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1775" yWindow="-270" windowWidth="16095" windowHeight="11565" tabRatio="835"/>
  </bookViews>
  <sheets>
    <sheet name="TNSP Charts" sheetId="15" r:id="rId1"/>
    <sheet name="RAB" sheetId="7" r:id="rId2"/>
    <sheet name="TNSP Analysis" sheetId="23" r:id="rId3"/>
    <sheet name="Opex" sheetId="4" r:id="rId4"/>
    <sheet name="Depreciation" sheetId="27" r:id="rId5"/>
    <sheet name="Capex" sheetId="1" r:id="rId6"/>
    <sheet name="Asset cost" sheetId="22" r:id="rId7"/>
    <sheet name="CPI" sheetId="2" r:id="rId8"/>
    <sheet name="Physical data" sheetId="5" r:id="rId9"/>
    <sheet name="Network size table" sheetId="26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Ref390772024" localSheetId="8">'Physical data'!$A$61</definedName>
    <definedName name="Capex_base" localSheetId="6">'Asset cost'!#REF!</definedName>
    <definedName name="Capex_base" localSheetId="3">Opex!$B$6</definedName>
    <definedName name="Capex_base" localSheetId="1">RAB!$B$6</definedName>
    <definedName name="Capex_base">Capex!$B$6</definedName>
    <definedName name="Capex_Base_Index" localSheetId="6">'Asset cost'!#REF!</definedName>
    <definedName name="Capex_Base_Index" localSheetId="3">Opex!$B$8</definedName>
    <definedName name="Capex_Base_Index" localSheetId="1">RAB!$B$8</definedName>
    <definedName name="Capex_Base_Index">Capex!$B$8</definedName>
    <definedName name="Capex_Years">[1]Capex!$C$1:$CZ$1</definedName>
  </definedNames>
  <calcPr calcId="145621"/>
</workbook>
</file>

<file path=xl/calcChain.xml><?xml version="1.0" encoding="utf-8"?>
<calcChain xmlns="http://schemas.openxmlformats.org/spreadsheetml/2006/main">
  <c r="C71" i="5" l="1"/>
  <c r="D71" i="5"/>
  <c r="E71" i="5"/>
  <c r="F71" i="5"/>
  <c r="G71" i="5"/>
  <c r="H71" i="5"/>
  <c r="I71" i="5"/>
  <c r="B71" i="5"/>
  <c r="C70" i="5"/>
  <c r="D70" i="5"/>
  <c r="E70" i="5"/>
  <c r="F70" i="5"/>
  <c r="G70" i="5"/>
  <c r="H70" i="5"/>
  <c r="I70" i="5"/>
  <c r="B70" i="5"/>
  <c r="C69" i="5"/>
  <c r="D69" i="5"/>
  <c r="E69" i="5"/>
  <c r="F69" i="5"/>
  <c r="G69" i="5"/>
  <c r="H69" i="5"/>
  <c r="I69" i="5"/>
  <c r="B69" i="5"/>
  <c r="C68" i="5"/>
  <c r="D68" i="5"/>
  <c r="E68" i="5"/>
  <c r="F68" i="5"/>
  <c r="G68" i="5"/>
  <c r="H68" i="5"/>
  <c r="I68" i="5"/>
  <c r="B68" i="5"/>
  <c r="C67" i="5"/>
  <c r="D67" i="5"/>
  <c r="E67" i="5"/>
  <c r="F67" i="5"/>
  <c r="G67" i="5"/>
  <c r="H67" i="5"/>
  <c r="I67" i="5"/>
  <c r="B67" i="5"/>
  <c r="C61" i="5" l="1"/>
  <c r="C62" i="5"/>
  <c r="C63" i="5"/>
  <c r="C64" i="5"/>
  <c r="C60" i="5"/>
  <c r="C32" i="5" l="1"/>
  <c r="D32" i="5"/>
  <c r="E32" i="5"/>
  <c r="F32" i="5"/>
  <c r="G32" i="5"/>
  <c r="H32" i="5"/>
  <c r="I32" i="5"/>
  <c r="C33" i="5"/>
  <c r="D33" i="5"/>
  <c r="E33" i="5"/>
  <c r="F33" i="5"/>
  <c r="G33" i="5"/>
  <c r="H33" i="5"/>
  <c r="I33" i="5"/>
  <c r="C34" i="5"/>
  <c r="D34" i="5"/>
  <c r="E34" i="5"/>
  <c r="F34" i="5"/>
  <c r="G34" i="5"/>
  <c r="H34" i="5"/>
  <c r="I34" i="5"/>
  <c r="C35" i="5"/>
  <c r="D35" i="5"/>
  <c r="E35" i="5"/>
  <c r="F35" i="5"/>
  <c r="G35" i="5"/>
  <c r="H35" i="5"/>
  <c r="I35" i="5"/>
  <c r="C36" i="5"/>
  <c r="D36" i="5"/>
  <c r="E36" i="5"/>
  <c r="F36" i="5"/>
  <c r="G36" i="5"/>
  <c r="H36" i="5"/>
  <c r="I36" i="5"/>
  <c r="B32" i="5"/>
  <c r="B36" i="5"/>
  <c r="B35" i="5"/>
  <c r="B34" i="5"/>
  <c r="B33" i="5"/>
  <c r="B15" i="4" l="1"/>
  <c r="C9" i="1" l="1"/>
  <c r="B17" i="4" l="1"/>
  <c r="E16" i="26" l="1"/>
  <c r="E15" i="26"/>
  <c r="E14" i="26"/>
  <c r="E13" i="26"/>
  <c r="E12" i="26"/>
  <c r="I43" i="5" l="1"/>
  <c r="H43" i="5"/>
  <c r="G43" i="5"/>
  <c r="F43" i="5"/>
  <c r="E43" i="5"/>
  <c r="D43" i="5"/>
  <c r="C43" i="5"/>
  <c r="B43" i="5"/>
  <c r="I42" i="5"/>
  <c r="H42" i="5"/>
  <c r="G42" i="5"/>
  <c r="F42" i="5"/>
  <c r="E42" i="5"/>
  <c r="D42" i="5"/>
  <c r="C42" i="5"/>
  <c r="B42" i="5"/>
  <c r="I41" i="5"/>
  <c r="H41" i="5"/>
  <c r="G41" i="5"/>
  <c r="F41" i="5"/>
  <c r="E41" i="5"/>
  <c r="D41" i="5"/>
  <c r="C41" i="5"/>
  <c r="B41" i="5"/>
  <c r="I40" i="5"/>
  <c r="H40" i="5"/>
  <c r="G40" i="5"/>
  <c r="F40" i="5"/>
  <c r="E40" i="5"/>
  <c r="D40" i="5"/>
  <c r="C40" i="5"/>
  <c r="B40" i="5"/>
  <c r="I39" i="5"/>
  <c r="H39" i="5"/>
  <c r="G39" i="5"/>
  <c r="F39" i="5"/>
  <c r="E39" i="5"/>
  <c r="H60" i="5" s="1"/>
  <c r="D39" i="5"/>
  <c r="C39" i="5"/>
  <c r="B39" i="5"/>
  <c r="C14" i="5" l="1"/>
  <c r="D14" i="5"/>
  <c r="E14" i="5"/>
  <c r="F14" i="5"/>
  <c r="G14" i="5"/>
  <c r="H14" i="5"/>
  <c r="I14" i="5"/>
  <c r="C15" i="5"/>
  <c r="D15" i="5"/>
  <c r="E15" i="5"/>
  <c r="F15" i="5"/>
  <c r="G15" i="5"/>
  <c r="H15" i="5"/>
  <c r="I15" i="5"/>
  <c r="B15" i="5"/>
  <c r="B14" i="5"/>
  <c r="C13" i="5"/>
  <c r="D13" i="5"/>
  <c r="E13" i="5"/>
  <c r="F13" i="5"/>
  <c r="G13" i="5"/>
  <c r="H13" i="5"/>
  <c r="I13" i="5"/>
  <c r="B13" i="5"/>
  <c r="C11" i="5"/>
  <c r="D11" i="5"/>
  <c r="E11" i="5"/>
  <c r="F11" i="5"/>
  <c r="G11" i="5"/>
  <c r="H11" i="5"/>
  <c r="I11" i="5"/>
  <c r="C12" i="5"/>
  <c r="D12" i="5"/>
  <c r="E12" i="5"/>
  <c r="F12" i="5"/>
  <c r="G12" i="5"/>
  <c r="H12" i="5"/>
  <c r="I12" i="5"/>
  <c r="B12" i="5"/>
  <c r="B11" i="5"/>
  <c r="B47" i="5" l="1"/>
  <c r="C47" i="5"/>
  <c r="D47" i="5"/>
  <c r="E47" i="5"/>
  <c r="F47" i="5"/>
  <c r="G47" i="5"/>
  <c r="H47" i="5"/>
  <c r="I47" i="5"/>
  <c r="B48" i="5"/>
  <c r="C48" i="5"/>
  <c r="D48" i="5"/>
  <c r="E48" i="5"/>
  <c r="F48" i="5"/>
  <c r="G48" i="5"/>
  <c r="H48" i="5"/>
  <c r="I48" i="5"/>
  <c r="B49" i="5"/>
  <c r="C49" i="5"/>
  <c r="D49" i="5"/>
  <c r="E49" i="5"/>
  <c r="F49" i="5"/>
  <c r="G49" i="5"/>
  <c r="H49" i="5"/>
  <c r="I49" i="5"/>
  <c r="B50" i="5"/>
  <c r="C50" i="5"/>
  <c r="D50" i="5"/>
  <c r="E50" i="5"/>
  <c r="F50" i="5"/>
  <c r="G50" i="5"/>
  <c r="H50" i="5"/>
  <c r="I50" i="5"/>
  <c r="C46" i="5"/>
  <c r="D46" i="5"/>
  <c r="E46" i="5"/>
  <c r="F46" i="5"/>
  <c r="G46" i="5"/>
  <c r="H46" i="5"/>
  <c r="I46" i="5"/>
  <c r="B46" i="5"/>
  <c r="B2" i="22" l="1"/>
  <c r="B6" i="27" l="1"/>
  <c r="A5" i="27"/>
  <c r="J4" i="27"/>
  <c r="I4" i="27"/>
  <c r="H4" i="27"/>
  <c r="G4" i="27"/>
  <c r="F4" i="27"/>
  <c r="E4" i="27"/>
  <c r="D4" i="27"/>
  <c r="C4" i="27"/>
  <c r="J3" i="27"/>
  <c r="I3" i="27"/>
  <c r="H3" i="27"/>
  <c r="G3" i="27"/>
  <c r="F3" i="27"/>
  <c r="E3" i="27"/>
  <c r="D3" i="27"/>
  <c r="C3" i="27"/>
  <c r="J2" i="27"/>
  <c r="I2" i="27"/>
  <c r="H2" i="27"/>
  <c r="G2" i="27"/>
  <c r="F2" i="27"/>
  <c r="E2" i="27"/>
  <c r="D2" i="27"/>
  <c r="C2" i="27"/>
  <c r="B7" i="27" l="1"/>
  <c r="F3" i="26" l="1"/>
  <c r="G3" i="26"/>
  <c r="B3" i="26"/>
  <c r="C3" i="26"/>
  <c r="D3" i="26"/>
  <c r="E3" i="26"/>
  <c r="A4" i="26"/>
  <c r="A5" i="26"/>
  <c r="A6" i="26"/>
  <c r="A7" i="26"/>
  <c r="A8" i="26"/>
  <c r="B7" i="4" l="1"/>
  <c r="G63" i="5" l="1"/>
  <c r="F7" i="26" s="1"/>
  <c r="G62" i="5"/>
  <c r="F6" i="26" s="1"/>
  <c r="G61" i="5"/>
  <c r="F5" i="26" s="1"/>
  <c r="G64" i="5"/>
  <c r="F8" i="26" s="1"/>
  <c r="H64" i="5"/>
  <c r="G8" i="26" s="1"/>
  <c r="H63" i="5"/>
  <c r="G7" i="26" s="1"/>
  <c r="H62" i="5"/>
  <c r="G6" i="26" s="1"/>
  <c r="H61" i="5"/>
  <c r="G5" i="26" s="1"/>
  <c r="G4" i="26"/>
  <c r="B26" i="5" l="1"/>
  <c r="C26" i="5"/>
  <c r="D26" i="5"/>
  <c r="E26" i="5"/>
  <c r="F26" i="5"/>
  <c r="G26" i="5"/>
  <c r="H26" i="5"/>
  <c r="I26" i="5"/>
  <c r="B27" i="5"/>
  <c r="C27" i="5"/>
  <c r="D27" i="5"/>
  <c r="E27" i="5"/>
  <c r="F27" i="5"/>
  <c r="G27" i="5"/>
  <c r="H27" i="5"/>
  <c r="I27" i="5"/>
  <c r="B28" i="5"/>
  <c r="C28" i="5"/>
  <c r="D28" i="5"/>
  <c r="E28" i="5"/>
  <c r="F28" i="5"/>
  <c r="G28" i="5"/>
  <c r="H28" i="5"/>
  <c r="I28" i="5"/>
  <c r="B29" i="5"/>
  <c r="C29" i="5"/>
  <c r="D29" i="5"/>
  <c r="E29" i="5"/>
  <c r="F29" i="5"/>
  <c r="G29" i="5"/>
  <c r="H29" i="5"/>
  <c r="I29" i="5"/>
  <c r="B19" i="5"/>
  <c r="B54" i="5" s="1"/>
  <c r="C19" i="5"/>
  <c r="C54" i="5" s="1"/>
  <c r="D19" i="5"/>
  <c r="D54" i="5" s="1"/>
  <c r="E19" i="5"/>
  <c r="E54" i="5" s="1"/>
  <c r="F19" i="5"/>
  <c r="F54" i="5" s="1"/>
  <c r="G19" i="5"/>
  <c r="G54" i="5" s="1"/>
  <c r="H19" i="5"/>
  <c r="H54" i="5" s="1"/>
  <c r="I19" i="5"/>
  <c r="I54" i="5" s="1"/>
  <c r="B20" i="5"/>
  <c r="B55" i="5" s="1"/>
  <c r="C20" i="5"/>
  <c r="C55" i="5" s="1"/>
  <c r="D20" i="5"/>
  <c r="D55" i="5" s="1"/>
  <c r="E20" i="5"/>
  <c r="E55" i="5" s="1"/>
  <c r="F20" i="5"/>
  <c r="F55" i="5" s="1"/>
  <c r="G20" i="5"/>
  <c r="G55" i="5" s="1"/>
  <c r="H20" i="5"/>
  <c r="H55" i="5" s="1"/>
  <c r="I20" i="5"/>
  <c r="I55" i="5" s="1"/>
  <c r="B21" i="5"/>
  <c r="B56" i="5" s="1"/>
  <c r="C21" i="5"/>
  <c r="C56" i="5" s="1"/>
  <c r="D21" i="5"/>
  <c r="D56" i="5" s="1"/>
  <c r="E21" i="5"/>
  <c r="E56" i="5" s="1"/>
  <c r="F21" i="5"/>
  <c r="F56" i="5" s="1"/>
  <c r="G21" i="5"/>
  <c r="G56" i="5" s="1"/>
  <c r="H21" i="5"/>
  <c r="H56" i="5" s="1"/>
  <c r="I21" i="5"/>
  <c r="I56" i="5" s="1"/>
  <c r="B22" i="5"/>
  <c r="B57" i="5" s="1"/>
  <c r="C22" i="5"/>
  <c r="C57" i="5" s="1"/>
  <c r="D22" i="5"/>
  <c r="D57" i="5" s="1"/>
  <c r="E22" i="5"/>
  <c r="E57" i="5" s="1"/>
  <c r="F22" i="5"/>
  <c r="F57" i="5" s="1"/>
  <c r="G22" i="5"/>
  <c r="G57" i="5" s="1"/>
  <c r="H22" i="5"/>
  <c r="H57" i="5" s="1"/>
  <c r="I22" i="5"/>
  <c r="I57" i="5" s="1"/>
  <c r="I8" i="5"/>
  <c r="H8" i="5"/>
  <c r="G8" i="5"/>
  <c r="F8" i="5"/>
  <c r="E8" i="5"/>
  <c r="D8" i="5"/>
  <c r="C8" i="5"/>
  <c r="B8" i="5"/>
  <c r="I7" i="5"/>
  <c r="H7" i="5"/>
  <c r="G7" i="5"/>
  <c r="F7" i="5"/>
  <c r="E7" i="5"/>
  <c r="D7" i="5"/>
  <c r="C7" i="5"/>
  <c r="B7" i="5"/>
  <c r="I6" i="5"/>
  <c r="H6" i="5"/>
  <c r="G6" i="5"/>
  <c r="F6" i="5"/>
  <c r="E6" i="5"/>
  <c r="D6" i="5"/>
  <c r="C6" i="5"/>
  <c r="B6" i="5"/>
  <c r="I5" i="5"/>
  <c r="H5" i="5"/>
  <c r="G5" i="5"/>
  <c r="F5" i="5"/>
  <c r="E5" i="5"/>
  <c r="D5" i="5"/>
  <c r="C5" i="5"/>
  <c r="B5" i="5"/>
  <c r="A20" i="7"/>
  <c r="B16" i="4"/>
  <c r="C16" i="4"/>
  <c r="D16" i="4"/>
  <c r="E16" i="4"/>
  <c r="F16" i="4"/>
  <c r="G16" i="4"/>
  <c r="H16" i="4"/>
  <c r="I16" i="4"/>
  <c r="C17" i="4"/>
  <c r="D17" i="4"/>
  <c r="E17" i="4"/>
  <c r="F17" i="4"/>
  <c r="G17" i="4"/>
  <c r="H17" i="4"/>
  <c r="I17" i="4"/>
  <c r="B18" i="4"/>
  <c r="C18" i="4"/>
  <c r="D18" i="4"/>
  <c r="E18" i="4"/>
  <c r="F18" i="4"/>
  <c r="G18" i="4"/>
  <c r="H18" i="4"/>
  <c r="I18" i="4"/>
  <c r="B19" i="4"/>
  <c r="C19" i="4"/>
  <c r="D19" i="4"/>
  <c r="E19" i="4"/>
  <c r="F19" i="4"/>
  <c r="G19" i="4"/>
  <c r="H19" i="4"/>
  <c r="I19" i="4"/>
  <c r="A21" i="4"/>
  <c r="A24" i="1"/>
  <c r="J57" i="5" l="1"/>
  <c r="J56" i="5"/>
  <c r="J55" i="5"/>
  <c r="J54" i="5"/>
  <c r="E61" i="5"/>
  <c r="D5" i="26" s="1"/>
  <c r="F61" i="5"/>
  <c r="E5" i="26" s="1"/>
  <c r="B61" i="5"/>
  <c r="B5" i="26" s="1"/>
  <c r="E64" i="5"/>
  <c r="D8" i="26" s="1"/>
  <c r="E63" i="5"/>
  <c r="D7" i="26" s="1"/>
  <c r="E62" i="5"/>
  <c r="D6" i="26" s="1"/>
  <c r="F64" i="5"/>
  <c r="E8" i="26" s="1"/>
  <c r="F63" i="5"/>
  <c r="E7" i="26" s="1"/>
  <c r="F62" i="5"/>
  <c r="E6" i="26" s="1"/>
  <c r="B62" i="5"/>
  <c r="B6" i="26" s="1"/>
  <c r="B63" i="5"/>
  <c r="B7" i="26" s="1"/>
  <c r="B64" i="5"/>
  <c r="B8" i="26" s="1"/>
  <c r="B7" i="7" l="1"/>
  <c r="A6" i="7"/>
  <c r="J5" i="7"/>
  <c r="I5" i="7"/>
  <c r="H5" i="7"/>
  <c r="G5" i="7"/>
  <c r="F5" i="7"/>
  <c r="E5" i="7"/>
  <c r="D5" i="7"/>
  <c r="C5" i="7"/>
  <c r="J4" i="7"/>
  <c r="I4" i="7"/>
  <c r="H4" i="7"/>
  <c r="G4" i="7"/>
  <c r="F4" i="7"/>
  <c r="E4" i="7"/>
  <c r="D4" i="7"/>
  <c r="C4" i="7"/>
  <c r="J3" i="7"/>
  <c r="I3" i="7"/>
  <c r="H3" i="7"/>
  <c r="G3" i="7"/>
  <c r="F3" i="7"/>
  <c r="E3" i="7"/>
  <c r="D3" i="7"/>
  <c r="C3" i="7"/>
  <c r="B8" i="7" l="1"/>
  <c r="C9" i="7" s="1"/>
  <c r="D9" i="7" l="1"/>
  <c r="I9" i="7"/>
  <c r="D10" i="7"/>
  <c r="E9" i="7"/>
  <c r="G10" i="7"/>
  <c r="H9" i="7"/>
  <c r="H10" i="7"/>
  <c r="G9" i="7"/>
  <c r="E10" i="7"/>
  <c r="I10" i="7"/>
  <c r="F9" i="7"/>
  <c r="J9" i="7"/>
  <c r="F10" i="7"/>
  <c r="J10" i="7"/>
  <c r="C10" i="7"/>
  <c r="A6" i="4" l="1"/>
  <c r="J5" i="4"/>
  <c r="I5" i="4"/>
  <c r="H5" i="4"/>
  <c r="G5" i="4"/>
  <c r="F5" i="4"/>
  <c r="E5" i="4"/>
  <c r="D5" i="4"/>
  <c r="C5" i="4"/>
  <c r="J4" i="4"/>
  <c r="I4" i="4"/>
  <c r="H4" i="4"/>
  <c r="G4" i="4"/>
  <c r="F4" i="4"/>
  <c r="E4" i="4"/>
  <c r="D4" i="4"/>
  <c r="C4" i="4"/>
  <c r="J3" i="4"/>
  <c r="B8" i="4" s="1"/>
  <c r="I3" i="4"/>
  <c r="H3" i="4"/>
  <c r="G3" i="4"/>
  <c r="F3" i="4"/>
  <c r="E3" i="4"/>
  <c r="D3" i="4"/>
  <c r="C3" i="4"/>
  <c r="J5" i="1"/>
  <c r="I5" i="1"/>
  <c r="H5" i="1"/>
  <c r="G5" i="1"/>
  <c r="F5" i="1"/>
  <c r="E5" i="1"/>
  <c r="D5" i="1"/>
  <c r="C5" i="1"/>
  <c r="B7" i="1"/>
  <c r="A6" i="1"/>
  <c r="J4" i="1"/>
  <c r="I4" i="1"/>
  <c r="H4" i="1"/>
  <c r="G4" i="1"/>
  <c r="F4" i="1"/>
  <c r="E4" i="1"/>
  <c r="D4" i="1"/>
  <c r="J3" i="1"/>
  <c r="I3" i="1"/>
  <c r="H3" i="1"/>
  <c r="G3" i="1"/>
  <c r="F3" i="1"/>
  <c r="E3" i="1"/>
  <c r="D3" i="1"/>
  <c r="C4" i="1"/>
  <c r="C3" i="1"/>
  <c r="B8" i="1" l="1"/>
  <c r="I10" i="4"/>
  <c r="G10" i="4"/>
  <c r="E10" i="4"/>
  <c r="C10" i="4"/>
  <c r="B22" i="4" s="1"/>
  <c r="B149" i="23" s="1"/>
  <c r="I9" i="4"/>
  <c r="H24" i="4" s="1"/>
  <c r="H151" i="23" s="1"/>
  <c r="G9" i="4"/>
  <c r="F24" i="4" s="1"/>
  <c r="F151" i="23" s="1"/>
  <c r="E9" i="4"/>
  <c r="D24" i="4" s="1"/>
  <c r="D151" i="23" s="1"/>
  <c r="C9" i="4"/>
  <c r="B24" i="4" s="1"/>
  <c r="B151" i="23" s="1"/>
  <c r="J10" i="4"/>
  <c r="H10" i="4"/>
  <c r="F10" i="4"/>
  <c r="D10" i="4"/>
  <c r="J9" i="4"/>
  <c r="I24" i="4" s="1"/>
  <c r="I151" i="23" s="1"/>
  <c r="H9" i="4"/>
  <c r="G24" i="4" s="1"/>
  <c r="G151" i="23" s="1"/>
  <c r="F9" i="4"/>
  <c r="E24" i="4" s="1"/>
  <c r="E151" i="23" s="1"/>
  <c r="D9" i="4"/>
  <c r="C24" i="4" s="1"/>
  <c r="C151" i="23" s="1"/>
  <c r="C10" i="1"/>
  <c r="E10" i="1"/>
  <c r="F9" i="1"/>
  <c r="I10" i="1"/>
  <c r="F10" i="1"/>
  <c r="G9" i="1"/>
  <c r="J10" i="1"/>
  <c r="J151" i="23" l="1"/>
  <c r="D8" i="27"/>
  <c r="F8" i="27"/>
  <c r="J8" i="27"/>
  <c r="F9" i="27"/>
  <c r="J9" i="27"/>
  <c r="E8" i="27"/>
  <c r="I8" i="27"/>
  <c r="E9" i="27"/>
  <c r="I9" i="27"/>
  <c r="H8" i="27"/>
  <c r="D9" i="27"/>
  <c r="H9" i="27"/>
  <c r="C8" i="27"/>
  <c r="G8" i="27"/>
  <c r="C9" i="27"/>
  <c r="G9" i="27"/>
  <c r="E9" i="1"/>
  <c r="D10" i="1"/>
  <c r="H10" i="1"/>
  <c r="I9" i="1"/>
  <c r="D9" i="1"/>
  <c r="H9" i="1"/>
  <c r="G10" i="1"/>
  <c r="J9" i="1"/>
  <c r="B129" i="23"/>
  <c r="B14" i="26"/>
  <c r="C57" i="23"/>
  <c r="C99" i="23"/>
  <c r="G57" i="23"/>
  <c r="G99" i="23"/>
  <c r="B57" i="23"/>
  <c r="B99" i="23"/>
  <c r="F57" i="23"/>
  <c r="F99" i="23"/>
  <c r="E57" i="23"/>
  <c r="E99" i="23"/>
  <c r="I57" i="23"/>
  <c r="I99" i="23"/>
  <c r="D57" i="23"/>
  <c r="D99" i="23"/>
  <c r="H57" i="23"/>
  <c r="H99" i="23"/>
  <c r="E78" i="23"/>
  <c r="E120" i="23"/>
  <c r="E36" i="23"/>
  <c r="I78" i="23"/>
  <c r="I120" i="23"/>
  <c r="I36" i="23"/>
  <c r="H120" i="23"/>
  <c r="H36" i="23"/>
  <c r="H78" i="23"/>
  <c r="C78" i="23"/>
  <c r="C120" i="23"/>
  <c r="C36" i="23"/>
  <c r="G78" i="23"/>
  <c r="G120" i="23"/>
  <c r="G36" i="23"/>
  <c r="B120" i="23"/>
  <c r="B78" i="23"/>
  <c r="B36" i="23"/>
  <c r="F120" i="23"/>
  <c r="F78" i="23"/>
  <c r="F36" i="23"/>
  <c r="D120" i="23"/>
  <c r="D78" i="23"/>
  <c r="D36" i="23"/>
  <c r="E26" i="4"/>
  <c r="E153" i="23" s="1"/>
  <c r="E25" i="4"/>
  <c r="E152" i="23" s="1"/>
  <c r="E23" i="4"/>
  <c r="E150" i="23" s="1"/>
  <c r="I26" i="4"/>
  <c r="I153" i="23" s="1"/>
  <c r="I25" i="4"/>
  <c r="I152" i="23" s="1"/>
  <c r="I23" i="4"/>
  <c r="I150" i="23" s="1"/>
  <c r="D26" i="4"/>
  <c r="D153" i="23" s="1"/>
  <c r="D25" i="4"/>
  <c r="D152" i="23" s="1"/>
  <c r="D23" i="4"/>
  <c r="D150" i="23" s="1"/>
  <c r="H26" i="4"/>
  <c r="H153" i="23" s="1"/>
  <c r="H25" i="4"/>
  <c r="H152" i="23" s="1"/>
  <c r="H23" i="4"/>
  <c r="H150" i="23" s="1"/>
  <c r="C26" i="4"/>
  <c r="C153" i="23" s="1"/>
  <c r="C25" i="4"/>
  <c r="C152" i="23" s="1"/>
  <c r="C23" i="4"/>
  <c r="C150" i="23" s="1"/>
  <c r="G26" i="4"/>
  <c r="G153" i="23" s="1"/>
  <c r="G25" i="4"/>
  <c r="G152" i="23" s="1"/>
  <c r="G23" i="4"/>
  <c r="G150" i="23" s="1"/>
  <c r="B26" i="4"/>
  <c r="B153" i="23" s="1"/>
  <c r="B25" i="4"/>
  <c r="B152" i="23" s="1"/>
  <c r="B23" i="4"/>
  <c r="B150" i="23" s="1"/>
  <c r="F26" i="4"/>
  <c r="F153" i="23" s="1"/>
  <c r="F25" i="4"/>
  <c r="F152" i="23" s="1"/>
  <c r="F23" i="4"/>
  <c r="F150" i="23" s="1"/>
  <c r="J152" i="23" l="1"/>
  <c r="J150" i="23"/>
  <c r="J153" i="23"/>
  <c r="B130" i="23"/>
  <c r="B128" i="23"/>
  <c r="B131" i="23"/>
  <c r="J99" i="23"/>
  <c r="J57" i="23"/>
  <c r="B13" i="26"/>
  <c r="B16" i="26"/>
  <c r="B15" i="26"/>
  <c r="F59" i="23"/>
  <c r="F101" i="23"/>
  <c r="F58" i="23"/>
  <c r="F100" i="23"/>
  <c r="B58" i="23"/>
  <c r="B100" i="23"/>
  <c r="G58" i="23"/>
  <c r="G100" i="23"/>
  <c r="C58" i="23"/>
  <c r="C100" i="23"/>
  <c r="H58" i="23"/>
  <c r="H100" i="23"/>
  <c r="D58" i="23"/>
  <c r="D100" i="23"/>
  <c r="I58" i="23"/>
  <c r="I100" i="23"/>
  <c r="E58" i="23"/>
  <c r="E100" i="23"/>
  <c r="F56" i="23"/>
  <c r="F98" i="23"/>
  <c r="B56" i="23"/>
  <c r="B98" i="23"/>
  <c r="B59" i="23"/>
  <c r="B101" i="23"/>
  <c r="G56" i="23"/>
  <c r="G98" i="23"/>
  <c r="G59" i="23"/>
  <c r="G101" i="23"/>
  <c r="C56" i="23"/>
  <c r="C98" i="23"/>
  <c r="C59" i="23"/>
  <c r="C101" i="23"/>
  <c r="H56" i="23"/>
  <c r="H98" i="23"/>
  <c r="H59" i="23"/>
  <c r="H101" i="23"/>
  <c r="D56" i="23"/>
  <c r="D98" i="23"/>
  <c r="D59" i="23"/>
  <c r="D101" i="23"/>
  <c r="I56" i="23"/>
  <c r="I98" i="23"/>
  <c r="I59" i="23"/>
  <c r="I101" i="23"/>
  <c r="E56" i="23"/>
  <c r="E98" i="23"/>
  <c r="J98" i="23" s="1"/>
  <c r="E59" i="23"/>
  <c r="E101" i="23"/>
  <c r="J101" i="23" s="1"/>
  <c r="F119" i="23"/>
  <c r="F35" i="23"/>
  <c r="F77" i="23"/>
  <c r="F122" i="23"/>
  <c r="F38" i="23"/>
  <c r="F80" i="23"/>
  <c r="B122" i="23"/>
  <c r="B38" i="23"/>
  <c r="B80" i="23"/>
  <c r="C77" i="23"/>
  <c r="C119" i="23"/>
  <c r="C35" i="23"/>
  <c r="C80" i="23"/>
  <c r="C122" i="23"/>
  <c r="C38" i="23"/>
  <c r="H119" i="23"/>
  <c r="H35" i="23"/>
  <c r="H77" i="23"/>
  <c r="D119" i="23"/>
  <c r="D35" i="23"/>
  <c r="D77" i="23"/>
  <c r="D122" i="23"/>
  <c r="D38" i="23"/>
  <c r="D80" i="23"/>
  <c r="I80" i="23"/>
  <c r="I122" i="23"/>
  <c r="I38" i="23"/>
  <c r="E77" i="23"/>
  <c r="E119" i="23"/>
  <c r="E35" i="23"/>
  <c r="F79" i="23"/>
  <c r="F121" i="23"/>
  <c r="F37" i="23"/>
  <c r="B79" i="23"/>
  <c r="B121" i="23"/>
  <c r="B37" i="23"/>
  <c r="G121" i="23"/>
  <c r="G37" i="23"/>
  <c r="G79" i="23"/>
  <c r="C121" i="23"/>
  <c r="C37" i="23"/>
  <c r="C79" i="23"/>
  <c r="H79" i="23"/>
  <c r="H121" i="23"/>
  <c r="H37" i="23"/>
  <c r="D79" i="23"/>
  <c r="D121" i="23"/>
  <c r="D37" i="23"/>
  <c r="I121" i="23"/>
  <c r="I37" i="23"/>
  <c r="I79" i="23"/>
  <c r="E121" i="23"/>
  <c r="E37" i="23"/>
  <c r="E79" i="23"/>
  <c r="J120" i="23"/>
  <c r="J78" i="23"/>
  <c r="B119" i="23"/>
  <c r="B35" i="23"/>
  <c r="B77" i="23"/>
  <c r="G77" i="23"/>
  <c r="G119" i="23"/>
  <c r="G35" i="23"/>
  <c r="G80" i="23"/>
  <c r="G122" i="23"/>
  <c r="G38" i="23"/>
  <c r="H122" i="23"/>
  <c r="H38" i="23"/>
  <c r="H80" i="23"/>
  <c r="I77" i="23"/>
  <c r="I119" i="23"/>
  <c r="I35" i="23"/>
  <c r="E80" i="23"/>
  <c r="E122" i="23"/>
  <c r="E38" i="23"/>
  <c r="J36" i="23"/>
  <c r="J100" i="23" l="1"/>
  <c r="J58" i="23"/>
  <c r="J56" i="23"/>
  <c r="J59" i="23"/>
  <c r="J121" i="23"/>
  <c r="J38" i="23"/>
  <c r="J37" i="23"/>
  <c r="J122" i="23"/>
  <c r="J35" i="23"/>
  <c r="J80" i="23"/>
  <c r="J79" i="23"/>
  <c r="J119" i="23"/>
  <c r="J77" i="23"/>
  <c r="D60" i="5" l="1"/>
  <c r="D61" i="5" l="1"/>
  <c r="C5" i="26" s="1"/>
  <c r="D63" i="5"/>
  <c r="C7" i="26" s="1"/>
  <c r="C4" i="26"/>
  <c r="D62" i="5"/>
  <c r="C6" i="26" s="1"/>
  <c r="D64" i="5"/>
  <c r="C8" i="26" s="1"/>
  <c r="I15" i="4" l="1"/>
  <c r="I22" i="4" s="1"/>
  <c r="I149" i="23" s="1"/>
  <c r="C18" i="1"/>
  <c r="C25" i="1" s="1"/>
  <c r="E18" i="1"/>
  <c r="E25" i="1" s="1"/>
  <c r="G18" i="1"/>
  <c r="G25" i="1" s="1"/>
  <c r="I18" i="1"/>
  <c r="I25" i="1" s="1"/>
  <c r="B18" i="1"/>
  <c r="B25" i="1" s="1"/>
  <c r="D18" i="1"/>
  <c r="D25" i="1" s="1"/>
  <c r="F18" i="1"/>
  <c r="F25" i="1" s="1"/>
  <c r="H18" i="1"/>
  <c r="H25" i="1" s="1"/>
  <c r="B22" i="1"/>
  <c r="B29" i="1" s="1"/>
  <c r="F22" i="1"/>
  <c r="F29" i="1" s="1"/>
  <c r="C22" i="1"/>
  <c r="C29" i="1" s="1"/>
  <c r="G22" i="1"/>
  <c r="G29" i="1" s="1"/>
  <c r="D22" i="1"/>
  <c r="D29" i="1" s="1"/>
  <c r="H22" i="1"/>
  <c r="H29" i="1" s="1"/>
  <c r="E22" i="1"/>
  <c r="E29" i="1" s="1"/>
  <c r="I22" i="1"/>
  <c r="I29" i="1" s="1"/>
  <c r="D21" i="1"/>
  <c r="D28" i="1" s="1"/>
  <c r="H21" i="1"/>
  <c r="H28" i="1" s="1"/>
  <c r="E21" i="1"/>
  <c r="E28" i="1" s="1"/>
  <c r="I21" i="1"/>
  <c r="I28" i="1" s="1"/>
  <c r="B21" i="1"/>
  <c r="B28" i="1" s="1"/>
  <c r="F21" i="1"/>
  <c r="F28" i="1" s="1"/>
  <c r="C21" i="1"/>
  <c r="C28" i="1" s="1"/>
  <c r="G21" i="1"/>
  <c r="G28" i="1" s="1"/>
  <c r="D20" i="1"/>
  <c r="D27" i="1" s="1"/>
  <c r="H20" i="1"/>
  <c r="H27" i="1" s="1"/>
  <c r="C20" i="1"/>
  <c r="C27" i="1" s="1"/>
  <c r="G20" i="1"/>
  <c r="G27" i="1" s="1"/>
  <c r="B20" i="1"/>
  <c r="B27" i="1" s="1"/>
  <c r="F20" i="1"/>
  <c r="F27" i="1" s="1"/>
  <c r="E20" i="1"/>
  <c r="E27" i="1" s="1"/>
  <c r="I20" i="1"/>
  <c r="I27" i="1" s="1"/>
  <c r="D13" i="27"/>
  <c r="D20" i="27" s="1"/>
  <c r="F13" i="27"/>
  <c r="F20" i="27" s="1"/>
  <c r="H13" i="27"/>
  <c r="H20" i="27" s="1"/>
  <c r="J13" i="27"/>
  <c r="J20" i="27" s="1"/>
  <c r="C13" i="27"/>
  <c r="C20" i="27" s="1"/>
  <c r="E13" i="27"/>
  <c r="E20" i="27" s="1"/>
  <c r="G13" i="27"/>
  <c r="G20" i="27" s="1"/>
  <c r="I13" i="27"/>
  <c r="I20" i="27" s="1"/>
  <c r="C17" i="27"/>
  <c r="C24" i="27" s="1"/>
  <c r="G17" i="27"/>
  <c r="G24" i="27" s="1"/>
  <c r="D17" i="27"/>
  <c r="D24" i="27" s="1"/>
  <c r="H17" i="27"/>
  <c r="H24" i="27" s="1"/>
  <c r="E17" i="27"/>
  <c r="E24" i="27" s="1"/>
  <c r="I17" i="27"/>
  <c r="I24" i="27" s="1"/>
  <c r="F17" i="27"/>
  <c r="F24" i="27" s="1"/>
  <c r="J17" i="27"/>
  <c r="J24" i="27" s="1"/>
  <c r="E16" i="27"/>
  <c r="E23" i="27" s="1"/>
  <c r="I16" i="27"/>
  <c r="I23" i="27" s="1"/>
  <c r="F16" i="27"/>
  <c r="F23" i="27" s="1"/>
  <c r="J16" i="27"/>
  <c r="J23" i="27" s="1"/>
  <c r="C16" i="27"/>
  <c r="C23" i="27" s="1"/>
  <c r="G16" i="27"/>
  <c r="G23" i="27" s="1"/>
  <c r="D16" i="27"/>
  <c r="D23" i="27" s="1"/>
  <c r="H16" i="27"/>
  <c r="H23" i="27" s="1"/>
  <c r="E15" i="27"/>
  <c r="E22" i="27" s="1"/>
  <c r="I15" i="27"/>
  <c r="I22" i="27" s="1"/>
  <c r="D15" i="27"/>
  <c r="D22" i="27" s="1"/>
  <c r="H15" i="27"/>
  <c r="H22" i="27" s="1"/>
  <c r="C15" i="27"/>
  <c r="C22" i="27" s="1"/>
  <c r="G15" i="27"/>
  <c r="G22" i="27" s="1"/>
  <c r="F15" i="27"/>
  <c r="F22" i="27" s="1"/>
  <c r="J15" i="27"/>
  <c r="J22" i="27" s="1"/>
  <c r="C14" i="7"/>
  <c r="C21" i="7" s="1"/>
  <c r="H14" i="7"/>
  <c r="H21" i="7" s="1"/>
  <c r="G7" i="22" s="1"/>
  <c r="G142" i="23" s="1"/>
  <c r="E14" i="7"/>
  <c r="E21" i="7" s="1"/>
  <c r="G14" i="7"/>
  <c r="G21" i="7" s="1"/>
  <c r="I14" i="7"/>
  <c r="I21" i="7" s="1"/>
  <c r="D14" i="7"/>
  <c r="D21" i="7" s="1"/>
  <c r="F14" i="7"/>
  <c r="F21" i="7" s="1"/>
  <c r="J14" i="7"/>
  <c r="J21" i="7" s="1"/>
  <c r="C18" i="7"/>
  <c r="C25" i="7" s="1"/>
  <c r="G18" i="7"/>
  <c r="G25" i="7" s="1"/>
  <c r="D18" i="7"/>
  <c r="D25" i="7" s="1"/>
  <c r="H18" i="7"/>
  <c r="H25" i="7" s="1"/>
  <c r="E18" i="7"/>
  <c r="E25" i="7" s="1"/>
  <c r="I18" i="7"/>
  <c r="I25" i="7" s="1"/>
  <c r="F18" i="7"/>
  <c r="F25" i="7" s="1"/>
  <c r="J18" i="7"/>
  <c r="J25" i="7" s="1"/>
  <c r="F17" i="7"/>
  <c r="F24" i="7" s="1"/>
  <c r="J17" i="7"/>
  <c r="J24" i="7" s="1"/>
  <c r="E17" i="7"/>
  <c r="E24" i="7" s="1"/>
  <c r="I17" i="7"/>
  <c r="I24" i="7" s="1"/>
  <c r="D17" i="7"/>
  <c r="D24" i="7" s="1"/>
  <c r="H17" i="7"/>
  <c r="H24" i="7" s="1"/>
  <c r="C17" i="7"/>
  <c r="C24" i="7" s="1"/>
  <c r="G17" i="7"/>
  <c r="G24" i="7" s="1"/>
  <c r="D16" i="7"/>
  <c r="D23" i="7" s="1"/>
  <c r="C9" i="22" s="1"/>
  <c r="C144" i="23" s="1"/>
  <c r="C137" i="23" s="1"/>
  <c r="H16" i="7"/>
  <c r="H23" i="7" s="1"/>
  <c r="G9" i="22" s="1"/>
  <c r="G144" i="23" s="1"/>
  <c r="G137" i="23" s="1"/>
  <c r="E16" i="7"/>
  <c r="E23" i="7" s="1"/>
  <c r="D9" i="22" s="1"/>
  <c r="D144" i="23" s="1"/>
  <c r="D137" i="23" s="1"/>
  <c r="I16" i="7"/>
  <c r="I23" i="7" s="1"/>
  <c r="H9" i="22" s="1"/>
  <c r="H144" i="23" s="1"/>
  <c r="H137" i="23" s="1"/>
  <c r="F16" i="7"/>
  <c r="F23" i="7" s="1"/>
  <c r="J16" i="7"/>
  <c r="J23" i="7" s="1"/>
  <c r="I9" i="22" s="1"/>
  <c r="I144" i="23" s="1"/>
  <c r="I137" i="23" s="1"/>
  <c r="C16" i="7"/>
  <c r="G16" i="7"/>
  <c r="G23" i="7" s="1"/>
  <c r="F9" i="22" s="1"/>
  <c r="F144" i="23" s="1"/>
  <c r="F137" i="23" s="1"/>
  <c r="F18" i="5"/>
  <c r="F53" i="5" s="1"/>
  <c r="C18" i="5"/>
  <c r="C53" i="5" s="1"/>
  <c r="E18" i="5"/>
  <c r="G18" i="5"/>
  <c r="G53" i="5" s="1"/>
  <c r="I18" i="5"/>
  <c r="I53" i="5" s="1"/>
  <c r="B18" i="5"/>
  <c r="B53" i="5" s="1"/>
  <c r="D18" i="5"/>
  <c r="D53" i="5" s="1"/>
  <c r="H18" i="5"/>
  <c r="H53" i="5" s="1"/>
  <c r="C4" i="5"/>
  <c r="E4" i="5"/>
  <c r="G4" i="5"/>
  <c r="I4" i="5"/>
  <c r="B4" i="5"/>
  <c r="F4" i="5"/>
  <c r="D4" i="5"/>
  <c r="H4" i="5"/>
  <c r="D14" i="27"/>
  <c r="D21" i="27" s="1"/>
  <c r="F14" i="27"/>
  <c r="F21" i="27" s="1"/>
  <c r="H14" i="27"/>
  <c r="H21" i="27" s="1"/>
  <c r="J14" i="27"/>
  <c r="J21" i="27" s="1"/>
  <c r="C19" i="1"/>
  <c r="C26" i="1" s="1"/>
  <c r="E19" i="1"/>
  <c r="E26" i="1" s="1"/>
  <c r="G19" i="1"/>
  <c r="G26" i="1" s="1"/>
  <c r="I19" i="1"/>
  <c r="I26" i="1" s="1"/>
  <c r="C14" i="27"/>
  <c r="C21" i="27" s="1"/>
  <c r="E14" i="27"/>
  <c r="E21" i="27" s="1"/>
  <c r="G14" i="27"/>
  <c r="G21" i="27" s="1"/>
  <c r="I14" i="27"/>
  <c r="I21" i="27" s="1"/>
  <c r="B19" i="1"/>
  <c r="B26" i="1" s="1"/>
  <c r="D19" i="1"/>
  <c r="D26" i="1" s="1"/>
  <c r="F19" i="1"/>
  <c r="F26" i="1" s="1"/>
  <c r="H19" i="1"/>
  <c r="H26" i="1" s="1"/>
  <c r="C15" i="7"/>
  <c r="C22" i="7" s="1"/>
  <c r="E15" i="7"/>
  <c r="E22" i="7" s="1"/>
  <c r="G15" i="7"/>
  <c r="G22" i="7" s="1"/>
  <c r="I15" i="7"/>
  <c r="I22" i="7" s="1"/>
  <c r="D15" i="7"/>
  <c r="D22" i="7" s="1"/>
  <c r="F15" i="7"/>
  <c r="F22" i="7" s="1"/>
  <c r="H15" i="7"/>
  <c r="H22" i="7" s="1"/>
  <c r="J15" i="7"/>
  <c r="J22" i="7" s="1"/>
  <c r="D127" i="23" l="1"/>
  <c r="B60" i="5"/>
  <c r="C23" i="7"/>
  <c r="B9" i="22" s="1"/>
  <c r="B144" i="23" s="1"/>
  <c r="B137" i="23" s="1"/>
  <c r="H7" i="22"/>
  <c r="H142" i="23" s="1"/>
  <c r="D7" i="22"/>
  <c r="D69" i="23" s="1"/>
  <c r="D128" i="23"/>
  <c r="D13" i="26"/>
  <c r="E8" i="22"/>
  <c r="E143" i="23" s="1"/>
  <c r="H8" i="22"/>
  <c r="H143" i="23" s="1"/>
  <c r="H136" i="23" s="1"/>
  <c r="D8" i="22"/>
  <c r="D143" i="23" s="1"/>
  <c r="D136" i="23" s="1"/>
  <c r="C13" i="26"/>
  <c r="I8" i="22"/>
  <c r="I143" i="23" s="1"/>
  <c r="I136" i="23" s="1"/>
  <c r="C128" i="23"/>
  <c r="H25" i="5"/>
  <c r="B25" i="5"/>
  <c r="B34" i="23" s="1"/>
  <c r="G25" i="5"/>
  <c r="C25" i="5"/>
  <c r="F17" i="22"/>
  <c r="F85" i="23"/>
  <c r="F50" i="23"/>
  <c r="F43" i="23" s="1"/>
  <c r="F71" i="23"/>
  <c r="F64" i="23" s="1"/>
  <c r="F92" i="23"/>
  <c r="F113" i="23"/>
  <c r="F106" i="23" s="1"/>
  <c r="F29" i="23"/>
  <c r="F22" i="23" s="1"/>
  <c r="I85" i="23"/>
  <c r="I17" i="22"/>
  <c r="I50" i="23"/>
  <c r="I43" i="23" s="1"/>
  <c r="I29" i="23"/>
  <c r="I22" i="23" s="1"/>
  <c r="I71" i="23"/>
  <c r="I64" i="23" s="1"/>
  <c r="I92" i="23"/>
  <c r="I113" i="23"/>
  <c r="I106" i="23" s="1"/>
  <c r="H17" i="22"/>
  <c r="H85" i="23"/>
  <c r="H92" i="23"/>
  <c r="H113" i="23"/>
  <c r="H106" i="23" s="1"/>
  <c r="H29" i="23"/>
  <c r="H22" i="23" s="1"/>
  <c r="H50" i="23"/>
  <c r="H43" i="23" s="1"/>
  <c r="H71" i="23"/>
  <c r="H64" i="23" s="1"/>
  <c r="G85" i="23"/>
  <c r="G17" i="22"/>
  <c r="G92" i="23"/>
  <c r="G29" i="23"/>
  <c r="G22" i="23" s="1"/>
  <c r="G50" i="23"/>
  <c r="G43" i="23" s="1"/>
  <c r="G71" i="23"/>
  <c r="G64" i="23" s="1"/>
  <c r="G113" i="23"/>
  <c r="G106" i="23" s="1"/>
  <c r="G10" i="22"/>
  <c r="G145" i="23" s="1"/>
  <c r="G138" i="23" s="1"/>
  <c r="F10" i="22"/>
  <c r="F145" i="23" s="1"/>
  <c r="I10" i="22"/>
  <c r="I145" i="23" s="1"/>
  <c r="I138" i="23" s="1"/>
  <c r="H10" i="22"/>
  <c r="H145" i="23" s="1"/>
  <c r="H138" i="23" s="1"/>
  <c r="I11" i="22"/>
  <c r="I146" i="23" s="1"/>
  <c r="I139" i="23" s="1"/>
  <c r="H11" i="22"/>
  <c r="H146" i="23" s="1"/>
  <c r="H139" i="23" s="1"/>
  <c r="G11" i="22"/>
  <c r="G146" i="23" s="1"/>
  <c r="G139" i="23" s="1"/>
  <c r="F11" i="22"/>
  <c r="F146" i="23" s="1"/>
  <c r="F139" i="23" s="1"/>
  <c r="H111" i="23"/>
  <c r="H27" i="23"/>
  <c r="H90" i="23"/>
  <c r="H69" i="23"/>
  <c r="I7" i="22"/>
  <c r="I142" i="23" s="1"/>
  <c r="I135" i="23" s="1"/>
  <c r="C127" i="23"/>
  <c r="C12" i="26"/>
  <c r="I97" i="23"/>
  <c r="I118" i="23"/>
  <c r="I76" i="23"/>
  <c r="F8" i="22"/>
  <c r="F143" i="23" s="1"/>
  <c r="F136" i="23" s="1"/>
  <c r="B8" i="22"/>
  <c r="B143" i="23" s="1"/>
  <c r="B136" i="23" s="1"/>
  <c r="G8" i="22"/>
  <c r="G143" i="23" s="1"/>
  <c r="G136" i="23" s="1"/>
  <c r="C8" i="22"/>
  <c r="C143" i="23" s="1"/>
  <c r="C136" i="23" s="1"/>
  <c r="B4" i="26"/>
  <c r="I55" i="23"/>
  <c r="H48" i="23"/>
  <c r="D48" i="23"/>
  <c r="F25" i="5"/>
  <c r="I25" i="5"/>
  <c r="I34" i="23" s="1"/>
  <c r="E25" i="5"/>
  <c r="E53" i="5"/>
  <c r="J53" i="5" s="1"/>
  <c r="E60" i="5"/>
  <c r="D4" i="26" s="1"/>
  <c r="D25" i="5"/>
  <c r="D27" i="23" s="1"/>
  <c r="D129" i="23"/>
  <c r="D14" i="26"/>
  <c r="E9" i="22"/>
  <c r="E144" i="23" s="1"/>
  <c r="D17" i="22"/>
  <c r="D85" i="23"/>
  <c r="D50" i="23"/>
  <c r="D43" i="23" s="1"/>
  <c r="D71" i="23"/>
  <c r="D64" i="23" s="1"/>
  <c r="D92" i="23"/>
  <c r="D113" i="23"/>
  <c r="D106" i="23" s="1"/>
  <c r="D29" i="23"/>
  <c r="D22" i="23" s="1"/>
  <c r="C17" i="22"/>
  <c r="C85" i="23"/>
  <c r="C92" i="23"/>
  <c r="C29" i="23"/>
  <c r="C22" i="23" s="1"/>
  <c r="C71" i="23"/>
  <c r="C64" i="23" s="1"/>
  <c r="C50" i="23"/>
  <c r="C43" i="23" s="1"/>
  <c r="C113" i="23"/>
  <c r="C106" i="23" s="1"/>
  <c r="D130" i="23"/>
  <c r="D15" i="26"/>
  <c r="E10" i="22"/>
  <c r="E145" i="23" s="1"/>
  <c r="E138" i="23" s="1"/>
  <c r="D16" i="26"/>
  <c r="D131" i="23"/>
  <c r="E11" i="22"/>
  <c r="E146" i="23" s="1"/>
  <c r="D12" i="26"/>
  <c r="E7" i="22"/>
  <c r="E142" i="23" s="1"/>
  <c r="C129" i="23"/>
  <c r="C10" i="22"/>
  <c r="C145" i="23" s="1"/>
  <c r="C138" i="23" s="1"/>
  <c r="B10" i="22"/>
  <c r="B145" i="23" s="1"/>
  <c r="B138" i="23" s="1"/>
  <c r="C130" i="23"/>
  <c r="D10" i="22"/>
  <c r="D145" i="23" s="1"/>
  <c r="D138" i="23" s="1"/>
  <c r="C131" i="23"/>
  <c r="D11" i="22"/>
  <c r="D146" i="23" s="1"/>
  <c r="D139" i="23" s="1"/>
  <c r="C11" i="22"/>
  <c r="C146" i="23" s="1"/>
  <c r="C139" i="23" s="1"/>
  <c r="B11" i="22"/>
  <c r="B146" i="23" s="1"/>
  <c r="B139" i="23" s="1"/>
  <c r="F7" i="22"/>
  <c r="F142" i="23" s="1"/>
  <c r="B7" i="22"/>
  <c r="C7" i="22"/>
  <c r="C142" i="23" s="1"/>
  <c r="C14" i="26"/>
  <c r="C15" i="26"/>
  <c r="C16" i="26"/>
  <c r="J146" i="23" l="1"/>
  <c r="E139" i="23"/>
  <c r="J139" i="23" s="1"/>
  <c r="E137" i="23"/>
  <c r="J137" i="23" s="1"/>
  <c r="J144" i="23"/>
  <c r="B83" i="23"/>
  <c r="B142" i="23"/>
  <c r="B135" i="23" s="1"/>
  <c r="J143" i="23"/>
  <c r="E136" i="23"/>
  <c r="J136" i="23" s="1"/>
  <c r="J142" i="23"/>
  <c r="J145" i="23"/>
  <c r="F138" i="23"/>
  <c r="J138" i="23" s="1"/>
  <c r="D90" i="23"/>
  <c r="D142" i="23"/>
  <c r="B85" i="23"/>
  <c r="B71" i="23"/>
  <c r="B64" i="23" s="1"/>
  <c r="B113" i="23"/>
  <c r="B106" i="23" s="1"/>
  <c r="B50" i="23"/>
  <c r="B43" i="23" s="1"/>
  <c r="B92" i="23"/>
  <c r="B29" i="23"/>
  <c r="B22" i="23" s="1"/>
  <c r="B17" i="22"/>
  <c r="D111" i="23"/>
  <c r="F60" i="5"/>
  <c r="E4" i="26" s="1"/>
  <c r="F15" i="4"/>
  <c r="F22" i="4" s="1"/>
  <c r="F15" i="22" s="1"/>
  <c r="E15" i="4"/>
  <c r="E22" i="4" s="1"/>
  <c r="E15" i="22" s="1"/>
  <c r="D15" i="4"/>
  <c r="D22" i="4" s="1"/>
  <c r="D149" i="23" s="1"/>
  <c r="C15" i="4"/>
  <c r="C22" i="4" s="1"/>
  <c r="C149" i="23" s="1"/>
  <c r="C135" i="23" s="1"/>
  <c r="G48" i="23"/>
  <c r="G27" i="23"/>
  <c r="G90" i="23"/>
  <c r="G69" i="23"/>
  <c r="G111" i="23"/>
  <c r="F90" i="23"/>
  <c r="F111" i="23"/>
  <c r="F27" i="23"/>
  <c r="F48" i="23"/>
  <c r="F69" i="23"/>
  <c r="C19" i="22"/>
  <c r="C87" i="23"/>
  <c r="C52" i="23"/>
  <c r="C45" i="23" s="1"/>
  <c r="C31" i="23"/>
  <c r="C24" i="23" s="1"/>
  <c r="C73" i="23"/>
  <c r="C66" i="23" s="1"/>
  <c r="C94" i="23"/>
  <c r="C115" i="23"/>
  <c r="C108" i="23" s="1"/>
  <c r="C18" i="22"/>
  <c r="C86" i="23"/>
  <c r="C51" i="23"/>
  <c r="C44" i="23" s="1"/>
  <c r="C72" i="23"/>
  <c r="C65" i="23" s="1"/>
  <c r="C114" i="23"/>
  <c r="C107" i="23" s="1"/>
  <c r="C93" i="23"/>
  <c r="C30" i="23"/>
  <c r="C23" i="23" s="1"/>
  <c r="F12" i="26"/>
  <c r="E48" i="23"/>
  <c r="E27" i="23"/>
  <c r="E90" i="23"/>
  <c r="E69" i="23"/>
  <c r="E111" i="23"/>
  <c r="E18" i="22"/>
  <c r="E86" i="23"/>
  <c r="E30" i="23"/>
  <c r="E51" i="23"/>
  <c r="E72" i="23"/>
  <c r="E114" i="23"/>
  <c r="E93" i="23"/>
  <c r="F15" i="26"/>
  <c r="G16" i="22"/>
  <c r="G84" i="23"/>
  <c r="G91" i="23"/>
  <c r="G112" i="23"/>
  <c r="G105" i="23" s="1"/>
  <c r="G49" i="23"/>
  <c r="G42" i="23" s="1"/>
  <c r="G70" i="23"/>
  <c r="G63" i="23" s="1"/>
  <c r="G28" i="23"/>
  <c r="G21" i="23" s="1"/>
  <c r="F84" i="23"/>
  <c r="F16" i="22"/>
  <c r="F49" i="23"/>
  <c r="F42" i="23" s="1"/>
  <c r="F28" i="23"/>
  <c r="F21" i="23" s="1"/>
  <c r="F91" i="23"/>
  <c r="F70" i="23"/>
  <c r="F63" i="23" s="1"/>
  <c r="F112" i="23"/>
  <c r="F105" i="23" s="1"/>
  <c r="I15" i="22"/>
  <c r="I83" i="23"/>
  <c r="I48" i="23"/>
  <c r="I41" i="23" s="1"/>
  <c r="I27" i="23"/>
  <c r="I20" i="23" s="1"/>
  <c r="I69" i="23"/>
  <c r="I62" i="23" s="1"/>
  <c r="I90" i="23"/>
  <c r="I111" i="23"/>
  <c r="I104" i="23" s="1"/>
  <c r="G19" i="22"/>
  <c r="G87" i="23"/>
  <c r="G52" i="23"/>
  <c r="G45" i="23" s="1"/>
  <c r="G73" i="23"/>
  <c r="G66" i="23" s="1"/>
  <c r="G115" i="23"/>
  <c r="G108" i="23" s="1"/>
  <c r="G94" i="23"/>
  <c r="G31" i="23"/>
  <c r="G24" i="23" s="1"/>
  <c r="I19" i="22"/>
  <c r="I87" i="23"/>
  <c r="I52" i="23"/>
  <c r="I45" i="23" s="1"/>
  <c r="I31" i="23"/>
  <c r="I24" i="23" s="1"/>
  <c r="I73" i="23"/>
  <c r="I66" i="23" s="1"/>
  <c r="I94" i="23"/>
  <c r="I115" i="23"/>
  <c r="I108" i="23" s="1"/>
  <c r="I18" i="22"/>
  <c r="I86" i="23"/>
  <c r="I93" i="23"/>
  <c r="I30" i="23"/>
  <c r="I23" i="23" s="1"/>
  <c r="I51" i="23"/>
  <c r="I44" i="23" s="1"/>
  <c r="I72" i="23"/>
  <c r="I65" i="23" s="1"/>
  <c r="I114" i="23"/>
  <c r="I107" i="23" s="1"/>
  <c r="G86" i="23"/>
  <c r="G18" i="22"/>
  <c r="G93" i="23"/>
  <c r="G114" i="23"/>
  <c r="G107" i="23" s="1"/>
  <c r="G51" i="23"/>
  <c r="G44" i="23" s="1"/>
  <c r="G30" i="23"/>
  <c r="G23" i="23" s="1"/>
  <c r="G72" i="23"/>
  <c r="G65" i="23" s="1"/>
  <c r="K57" i="5"/>
  <c r="G60" i="5"/>
  <c r="F4" i="26" s="1"/>
  <c r="H84" i="23"/>
  <c r="H16" i="22"/>
  <c r="H91" i="23"/>
  <c r="H112" i="23"/>
  <c r="H105" i="23" s="1"/>
  <c r="H28" i="23"/>
  <c r="H21" i="23" s="1"/>
  <c r="H49" i="23"/>
  <c r="H42" i="23" s="1"/>
  <c r="H70" i="23"/>
  <c r="H63" i="23" s="1"/>
  <c r="H15" i="4"/>
  <c r="H22" i="4" s="1"/>
  <c r="H149" i="23" s="1"/>
  <c r="H135" i="23" s="1"/>
  <c r="G15" i="4"/>
  <c r="G22" i="4" s="1"/>
  <c r="C15" i="22"/>
  <c r="C83" i="23"/>
  <c r="C90" i="23"/>
  <c r="C27" i="23"/>
  <c r="C69" i="23"/>
  <c r="C48" i="23"/>
  <c r="C111" i="23"/>
  <c r="B15" i="22"/>
  <c r="B90" i="23"/>
  <c r="B27" i="23"/>
  <c r="B48" i="23"/>
  <c r="B69" i="23"/>
  <c r="B111" i="23"/>
  <c r="B19" i="22"/>
  <c r="B87" i="23"/>
  <c r="B94" i="23"/>
  <c r="B31" i="23"/>
  <c r="B24" i="23" s="1"/>
  <c r="B115" i="23"/>
  <c r="B108" i="23" s="1"/>
  <c r="B52" i="23"/>
  <c r="B45" i="23" s="1"/>
  <c r="B73" i="23"/>
  <c r="B66" i="23" s="1"/>
  <c r="D19" i="22"/>
  <c r="D87" i="23"/>
  <c r="D94" i="23"/>
  <c r="D115" i="23"/>
  <c r="D108" i="23" s="1"/>
  <c r="D31" i="23"/>
  <c r="D24" i="23" s="1"/>
  <c r="D52" i="23"/>
  <c r="D45" i="23" s="1"/>
  <c r="D73" i="23"/>
  <c r="D66" i="23" s="1"/>
  <c r="D18" i="22"/>
  <c r="D86" i="23"/>
  <c r="D93" i="23"/>
  <c r="D114" i="23"/>
  <c r="D107" i="23" s="1"/>
  <c r="D30" i="23"/>
  <c r="D23" i="23" s="1"/>
  <c r="D51" i="23"/>
  <c r="D44" i="23" s="1"/>
  <c r="D72" i="23"/>
  <c r="D65" i="23" s="1"/>
  <c r="B18" i="22"/>
  <c r="B86" i="23"/>
  <c r="B51" i="23"/>
  <c r="B44" i="23" s="1"/>
  <c r="B30" i="23"/>
  <c r="B23" i="23" s="1"/>
  <c r="B93" i="23"/>
  <c r="B72" i="23"/>
  <c r="B65" i="23" s="1"/>
  <c r="B114" i="23"/>
  <c r="B107" i="23" s="1"/>
  <c r="E19" i="22"/>
  <c r="E87" i="23"/>
  <c r="E52" i="23"/>
  <c r="E73" i="23"/>
  <c r="E115" i="23"/>
  <c r="E94" i="23"/>
  <c r="E31" i="23"/>
  <c r="F16" i="26"/>
  <c r="E17" i="22"/>
  <c r="E85" i="23"/>
  <c r="J85" i="23" s="1"/>
  <c r="E5" i="23" s="1"/>
  <c r="E50" i="23"/>
  <c r="E71" i="23"/>
  <c r="E113" i="23"/>
  <c r="F14" i="26"/>
  <c r="E92" i="23"/>
  <c r="J92" i="23" s="1"/>
  <c r="E29" i="23"/>
  <c r="C16" i="22"/>
  <c r="C84" i="23"/>
  <c r="C49" i="23"/>
  <c r="C42" i="23" s="1"/>
  <c r="C28" i="23"/>
  <c r="C21" i="23" s="1"/>
  <c r="C91" i="23"/>
  <c r="C70" i="23"/>
  <c r="C63" i="23" s="1"/>
  <c r="C112" i="23"/>
  <c r="C105" i="23" s="1"/>
  <c r="B84" i="23"/>
  <c r="B16" i="22"/>
  <c r="B91" i="23"/>
  <c r="B112" i="23"/>
  <c r="B105" i="23" s="1"/>
  <c r="B28" i="23"/>
  <c r="B21" i="23" s="1"/>
  <c r="B49" i="23"/>
  <c r="B42" i="23" s="1"/>
  <c r="B70" i="23"/>
  <c r="B63" i="23" s="1"/>
  <c r="F19" i="22"/>
  <c r="F87" i="23"/>
  <c r="F52" i="23"/>
  <c r="F45" i="23" s="1"/>
  <c r="F94" i="23"/>
  <c r="F31" i="23"/>
  <c r="F24" i="23" s="1"/>
  <c r="F73" i="23"/>
  <c r="F66" i="23" s="1"/>
  <c r="F115" i="23"/>
  <c r="F108" i="23" s="1"/>
  <c r="H19" i="22"/>
  <c r="H87" i="23"/>
  <c r="H94" i="23"/>
  <c r="H115" i="23"/>
  <c r="H108" i="23" s="1"/>
  <c r="H31" i="23"/>
  <c r="H24" i="23" s="1"/>
  <c r="H73" i="23"/>
  <c r="H66" i="23" s="1"/>
  <c r="H52" i="23"/>
  <c r="H45" i="23" s="1"/>
  <c r="H18" i="22"/>
  <c r="H86" i="23"/>
  <c r="H51" i="23"/>
  <c r="H44" i="23" s="1"/>
  <c r="H72" i="23"/>
  <c r="H65" i="23" s="1"/>
  <c r="H93" i="23"/>
  <c r="H30" i="23"/>
  <c r="H23" i="23" s="1"/>
  <c r="H114" i="23"/>
  <c r="H107" i="23" s="1"/>
  <c r="F86" i="23"/>
  <c r="F18" i="22"/>
  <c r="F51" i="23"/>
  <c r="F44" i="23" s="1"/>
  <c r="F93" i="23"/>
  <c r="F72" i="23"/>
  <c r="F65" i="23" s="1"/>
  <c r="F114" i="23"/>
  <c r="F107" i="23" s="1"/>
  <c r="F30" i="23"/>
  <c r="F23" i="23" s="1"/>
  <c r="I16" i="22"/>
  <c r="I84" i="23"/>
  <c r="I49" i="23"/>
  <c r="I42" i="23" s="1"/>
  <c r="I70" i="23"/>
  <c r="I63" i="23" s="1"/>
  <c r="I112" i="23"/>
  <c r="I105" i="23" s="1"/>
  <c r="I91" i="23"/>
  <c r="I28" i="23"/>
  <c r="I21" i="23" s="1"/>
  <c r="D84" i="23"/>
  <c r="D16" i="22"/>
  <c r="D49" i="23"/>
  <c r="D42" i="23" s="1"/>
  <c r="D70" i="23"/>
  <c r="D63" i="23" s="1"/>
  <c r="D91" i="23"/>
  <c r="D112" i="23"/>
  <c r="D105" i="23" s="1"/>
  <c r="D28" i="23"/>
  <c r="D21" i="23" s="1"/>
  <c r="E84" i="23"/>
  <c r="E16" i="22"/>
  <c r="E70" i="23"/>
  <c r="E91" i="23"/>
  <c r="E28" i="23"/>
  <c r="E49" i="23"/>
  <c r="E112" i="23"/>
  <c r="F13" i="26"/>
  <c r="G15" i="22" l="1"/>
  <c r="G149" i="23"/>
  <c r="G135" i="23" s="1"/>
  <c r="E83" i="23"/>
  <c r="E149" i="23"/>
  <c r="F83" i="23"/>
  <c r="F149" i="23"/>
  <c r="F135" i="23" s="1"/>
  <c r="D135" i="23"/>
  <c r="J84" i="23"/>
  <c r="E4" i="23" s="1"/>
  <c r="E42" i="23"/>
  <c r="J42" i="23" s="1"/>
  <c r="C4" i="23" s="1"/>
  <c r="J49" i="23"/>
  <c r="J91" i="23"/>
  <c r="J113" i="23"/>
  <c r="E106" i="23"/>
  <c r="J106" i="23" s="1"/>
  <c r="F5" i="23" s="1"/>
  <c r="J50" i="23"/>
  <c r="E43" i="23"/>
  <c r="J43" i="23" s="1"/>
  <c r="C5" i="23" s="1"/>
  <c r="E24" i="23"/>
  <c r="J31" i="23"/>
  <c r="E108" i="23"/>
  <c r="J108" i="23" s="1"/>
  <c r="F7" i="23" s="1"/>
  <c r="J115" i="23"/>
  <c r="E45" i="23"/>
  <c r="J52" i="23"/>
  <c r="J45" i="23"/>
  <c r="C7" i="23" s="1"/>
  <c r="E65" i="23"/>
  <c r="J65" i="23" s="1"/>
  <c r="D6" i="23" s="1"/>
  <c r="J72" i="23"/>
  <c r="E23" i="23"/>
  <c r="J23" i="23" s="1"/>
  <c r="B6" i="23" s="1"/>
  <c r="J30" i="23"/>
  <c r="J69" i="23"/>
  <c r="J27" i="23"/>
  <c r="E105" i="23"/>
  <c r="J105" i="23" s="1"/>
  <c r="F4" i="23" s="1"/>
  <c r="J112" i="23"/>
  <c r="E21" i="23"/>
  <c r="J28" i="23"/>
  <c r="E63" i="23"/>
  <c r="J63" i="23" s="1"/>
  <c r="D4" i="23" s="1"/>
  <c r="J70" i="23"/>
  <c r="J21" i="23"/>
  <c r="B4" i="23" s="1"/>
  <c r="E22" i="23"/>
  <c r="J22" i="23" s="1"/>
  <c r="B5" i="23" s="1"/>
  <c r="J29" i="23"/>
  <c r="J71" i="23"/>
  <c r="E64" i="23"/>
  <c r="J64" i="23" s="1"/>
  <c r="D5" i="23" s="1"/>
  <c r="E66" i="23"/>
  <c r="J66" i="23" s="1"/>
  <c r="D7" i="23" s="1"/>
  <c r="J73" i="23"/>
  <c r="J87" i="23"/>
  <c r="E7" i="23" s="1"/>
  <c r="G97" i="23"/>
  <c r="G118" i="23"/>
  <c r="G104" i="23" s="1"/>
  <c r="G76" i="23"/>
  <c r="G55" i="23"/>
  <c r="G41" i="23" s="1"/>
  <c r="G34" i="23"/>
  <c r="G20" i="23" s="1"/>
  <c r="H97" i="23"/>
  <c r="H76" i="23"/>
  <c r="H62" i="23" s="1"/>
  <c r="H34" i="23"/>
  <c r="H20" i="23" s="1"/>
  <c r="H55" i="23"/>
  <c r="H41" i="23" s="1"/>
  <c r="H118" i="23"/>
  <c r="H104" i="23" s="1"/>
  <c r="H83" i="23"/>
  <c r="H15" i="22"/>
  <c r="B97" i="23"/>
  <c r="B20" i="23"/>
  <c r="B76" i="23"/>
  <c r="B62" i="23" s="1"/>
  <c r="B55" i="23"/>
  <c r="B41" i="23" s="1"/>
  <c r="B118" i="23"/>
  <c r="B104" i="23" s="1"/>
  <c r="J93" i="23"/>
  <c r="J94" i="23"/>
  <c r="J24" i="23"/>
  <c r="B7" i="23" s="1"/>
  <c r="E107" i="23"/>
  <c r="J107" i="23" s="1"/>
  <c r="F6" i="23" s="1"/>
  <c r="J114" i="23"/>
  <c r="E44" i="23"/>
  <c r="J44" i="23" s="1"/>
  <c r="C6" i="23" s="1"/>
  <c r="J51" i="23"/>
  <c r="J86" i="23"/>
  <c r="E6" i="23" s="1"/>
  <c r="J111" i="23"/>
  <c r="J90" i="23"/>
  <c r="J48" i="23"/>
  <c r="G62" i="23"/>
  <c r="G83" i="23"/>
  <c r="C97" i="23"/>
  <c r="C118" i="23"/>
  <c r="C104" i="23" s="1"/>
  <c r="C76" i="23"/>
  <c r="C62" i="23" s="1"/>
  <c r="C55" i="23"/>
  <c r="C41" i="23" s="1"/>
  <c r="C34" i="23"/>
  <c r="C20" i="23" s="1"/>
  <c r="D97" i="23"/>
  <c r="D76" i="23"/>
  <c r="D62" i="23" s="1"/>
  <c r="D34" i="23"/>
  <c r="D20" i="23" s="1"/>
  <c r="D55" i="23"/>
  <c r="D41" i="23" s="1"/>
  <c r="D118" i="23"/>
  <c r="D104" i="23" s="1"/>
  <c r="D15" i="22"/>
  <c r="D83" i="23"/>
  <c r="B127" i="23"/>
  <c r="E97" i="23"/>
  <c r="E118" i="23"/>
  <c r="B12" i="26"/>
  <c r="E55" i="23"/>
  <c r="E34" i="23"/>
  <c r="E76" i="23"/>
  <c r="F97" i="23"/>
  <c r="F76" i="23"/>
  <c r="F62" i="23" s="1"/>
  <c r="F34" i="23"/>
  <c r="F20" i="23" s="1"/>
  <c r="F55" i="23"/>
  <c r="F41" i="23" s="1"/>
  <c r="F118" i="23"/>
  <c r="F104" i="23" s="1"/>
  <c r="J149" i="23" l="1"/>
  <c r="E135" i="23"/>
  <c r="J135" i="23" s="1"/>
  <c r="J83" i="23"/>
  <c r="E3" i="23" s="1"/>
  <c r="E11" i="23" s="1"/>
  <c r="J34" i="23"/>
  <c r="J97" i="23"/>
  <c r="J76" i="23"/>
  <c r="J55" i="23"/>
  <c r="J118" i="23"/>
  <c r="E41" i="23"/>
  <c r="J41" i="23" s="1"/>
  <c r="C3" i="23" s="1"/>
  <c r="C11" i="23" s="1"/>
  <c r="E104" i="23"/>
  <c r="J104" i="23" s="1"/>
  <c r="F3" i="23" s="1"/>
  <c r="F11" i="23" s="1"/>
  <c r="E20" i="23"/>
  <c r="J20" i="23" s="1"/>
  <c r="B3" i="23" s="1"/>
  <c r="B11" i="23" s="1"/>
  <c r="E62" i="23"/>
  <c r="J62" i="23" s="1"/>
  <c r="D3" i="23" s="1"/>
  <c r="D11" i="23" s="1"/>
  <c r="E14" i="23" l="1"/>
  <c r="F13" i="23"/>
  <c r="C12" i="23"/>
  <c r="C13" i="23"/>
  <c r="C15" i="23"/>
  <c r="E12" i="23"/>
  <c r="D13" i="23"/>
  <c r="D14" i="23"/>
  <c r="E15" i="23"/>
  <c r="E13" i="23"/>
  <c r="F12" i="23"/>
  <c r="C14" i="23"/>
  <c r="H11" i="23"/>
  <c r="I11" i="23"/>
  <c r="B13" i="23"/>
  <c r="F15" i="23"/>
  <c r="D15" i="23"/>
  <c r="F14" i="23"/>
  <c r="B14" i="23"/>
  <c r="B12" i="23"/>
  <c r="B15" i="23"/>
  <c r="D12" i="23"/>
  <c r="H15" i="23" l="1"/>
  <c r="I15" i="23"/>
  <c r="I14" i="23"/>
  <c r="H14" i="23"/>
  <c r="I13" i="23"/>
  <c r="H13" i="23"/>
  <c r="I12" i="23"/>
  <c r="H12" i="23"/>
</calcChain>
</file>

<file path=xl/comments1.xml><?xml version="1.0" encoding="utf-8"?>
<comments xmlns="http://schemas.openxmlformats.org/spreadsheetml/2006/main">
  <authors>
    <author>Author</author>
  </authors>
  <commentList>
    <comment ref="B6" authorId="0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Choose base year from drop down list.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B6" authorId="0">
      <text>
        <r>
          <rPr>
            <sz val="8"/>
            <color indexed="81"/>
            <rFont val="Tahoma"/>
            <family val="2"/>
          </rPr>
          <t>Choose base year from drop down list.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B6" authorId="0">
      <text>
        <r>
          <rPr>
            <sz val="8"/>
            <color indexed="81"/>
            <rFont val="Tahoma"/>
            <family val="2"/>
          </rPr>
          <t>Choose base year from drop down list.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sz val="8"/>
            <color indexed="81"/>
            <rFont val="Tahoma"/>
            <family val="2"/>
          </rPr>
          <t>Unless otherwise specified, reference period of each index: 2011–12 = 100.0.</t>
        </r>
      </text>
    </comment>
    <comment ref="A6" authorId="0">
      <text>
        <r>
          <rPr>
            <sz val="8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sharedStrings.xml><?xml version="1.0" encoding="utf-8"?>
<sst xmlns="http://schemas.openxmlformats.org/spreadsheetml/2006/main" count="378" uniqueCount="96">
  <si>
    <t>CPI (Dec)</t>
  </si>
  <si>
    <t>Raw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</si>
  <si>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</si>
  <si>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</si>
  <si>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</si>
  <si>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</si>
  <si>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</si>
  <si>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</si>
  <si>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</si>
  <si>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</si>
  <si>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</si>
  <si>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Index Numbers ;  All groups CPI ;  Australia ;</t>
  </si>
  <si>
    <t>Index Numbers</t>
  </si>
  <si>
    <t>Original</t>
  </si>
  <si>
    <t>INDEX</t>
  </si>
  <si>
    <t>Quarter</t>
  </si>
  <si>
    <t>A2325846C</t>
  </si>
  <si>
    <t>Financial year data (Real December previous year)</t>
  </si>
  <si>
    <t>Calander year data (Real June same year)</t>
  </si>
  <si>
    <t>Convert to real (Financial year DNSP)</t>
  </si>
  <si>
    <t>Convert to real (Calendar year DNSP)</t>
  </si>
  <si>
    <t>$ '000</t>
  </si>
  <si>
    <t>Route line length</t>
  </si>
  <si>
    <t>Customer numbers</t>
  </si>
  <si>
    <t>Maximum demand</t>
  </si>
  <si>
    <t>DNSP Network services capex</t>
  </si>
  <si>
    <t>Powerlink</t>
  </si>
  <si>
    <t>Prescribed transmission services opex</t>
  </si>
  <si>
    <t>Prescribed transmission services capex</t>
  </si>
  <si>
    <t>TNSP</t>
  </si>
  <si>
    <t>Energy transported</t>
  </si>
  <si>
    <t>Opex per MW</t>
  </si>
  <si>
    <t>Opex per km of line</t>
  </si>
  <si>
    <t>Depreciation</t>
  </si>
  <si>
    <t>5 year average</t>
  </si>
  <si>
    <t>Total user cost</t>
  </si>
  <si>
    <t>Total user cost per MW</t>
  </si>
  <si>
    <t>Total user cost per km</t>
  </si>
  <si>
    <t>Capacity</t>
  </si>
  <si>
    <t>Entry/exit points</t>
  </si>
  <si>
    <t>Time series</t>
  </si>
  <si>
    <t>Opex</t>
  </si>
  <si>
    <t>Capex</t>
  </si>
  <si>
    <t>Opex per transmission capacity</t>
  </si>
  <si>
    <t>Total user cost per transmission capacity</t>
  </si>
  <si>
    <t>Total user cost per entry/exit point</t>
  </si>
  <si>
    <t>Opex per entry/exit</t>
  </si>
  <si>
    <t>RAB</t>
  </si>
  <si>
    <t>Asset cost</t>
  </si>
  <si>
    <t>TasNetworks</t>
  </si>
  <si>
    <t>route line length</t>
  </si>
  <si>
    <t>customer numbers</t>
  </si>
  <si>
    <t>Transmission outputs</t>
  </si>
  <si>
    <t>Transmission inputs</t>
  </si>
  <si>
    <t>Prescribed transmission services RAB</t>
  </si>
  <si>
    <t>TNSP nominal depreciation</t>
  </si>
  <si>
    <t>TNSP real depreciation $2013</t>
  </si>
  <si>
    <t>Average real WACC</t>
  </si>
  <si>
    <t>Real $2013</t>
  </si>
  <si>
    <t>TNSP Asset cost</t>
  </si>
  <si>
    <t>Asset cost per entry/exit point</t>
  </si>
  <si>
    <t>Asset cost per MW</t>
  </si>
  <si>
    <t>Asset cost per transmission capacity</t>
  </si>
  <si>
    <t>Asset cost per km of line</t>
  </si>
  <si>
    <t>Unserved energy</t>
  </si>
  <si>
    <t>Total user cost per MW MD</t>
  </si>
  <si>
    <t>Asset cost per MW MD</t>
  </si>
  <si>
    <t>Opex per MW MD</t>
  </si>
  <si>
    <t>Total user cost per MWh Energy</t>
  </si>
  <si>
    <t>Asset cost per MWh Energy</t>
  </si>
  <si>
    <t>Opex per MWh Energy</t>
  </si>
  <si>
    <t>Benchmarking metrics</t>
  </si>
  <si>
    <t>Average rank</t>
  </si>
  <si>
    <t>Total user cost per transmision capacity</t>
  </si>
  <si>
    <t>Total user cost per MWh energy</t>
  </si>
  <si>
    <t>Average NSP performance 2009-2013</t>
  </si>
  <si>
    <t>Average rank (excluding energy)</t>
  </si>
  <si>
    <t>Average</t>
  </si>
  <si>
    <t>Efficiency rank</t>
  </si>
  <si>
    <t>MTFP</t>
  </si>
  <si>
    <t>Return on assets</t>
  </si>
  <si>
    <t>Average decomposition of total user cost</t>
  </si>
  <si>
    <t>voltage of entry/exit points</t>
  </si>
  <si>
    <t>Opex per entry/exit point KV</t>
  </si>
  <si>
    <t>Asset cost per entry/exit point KV</t>
  </si>
  <si>
    <t>Total user cost per entry/exit point KV</t>
  </si>
  <si>
    <t>AusNet Services</t>
  </si>
  <si>
    <t>Circuit line length</t>
  </si>
  <si>
    <t>Total user cost per route km of line</t>
  </si>
  <si>
    <t>Total user cost per circuit km of line</t>
  </si>
  <si>
    <t>Opex per circuit km</t>
  </si>
  <si>
    <t>Asset cost per circuit km</t>
  </si>
  <si>
    <t>Total user cost per circuit km</t>
  </si>
  <si>
    <t>circuit line length</t>
  </si>
  <si>
    <t>ElectraNet</t>
  </si>
  <si>
    <t>TransGrid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</si>
</sst>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mmm\-yyyy"/>
    <numFmt numFmtId="165" formatCode="0.0;\-0.0;0.0;@"/>
    <numFmt numFmtId="166" formatCode="0.0"/>
    <numFmt numFmtId="167" formatCode="#,##0.000"/>
    <numFmt numFmtId="168" formatCode="#,##0.0"/>
    <numFmt numFmtId="169" formatCode="_-&quot;$&quot;* #,##0_-;\-&quot;$&quot;* #,##0_-;_-&quot;$&quot;* &quot;-&quot;??_-;_-@_-"/>
    <numFmt numFmtId="170" formatCode="0.000%"/>
    <numFmt numFmtId="171" formatCode="0.0000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7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wrapText="1"/>
    </xf>
    <xf numFmtId="0" fontId="0" fillId="0" borderId="0" xfId="0"/>
    <xf numFmtId="0" fontId="0" fillId="0" borderId="0" xfId="0" applyBorder="1"/>
    <xf numFmtId="4" fontId="0" fillId="0" borderId="1" xfId="0" applyNumberFormat="1" applyBorder="1"/>
    <xf numFmtId="0" fontId="3" fillId="0" borderId="0" xfId="0" applyFont="1" applyAlignment="1"/>
    <xf numFmtId="164" fontId="3" fillId="0" borderId="0" xfId="0" applyNumberFormat="1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/>
    <xf numFmtId="165" fontId="2" fillId="0" borderId="0" xfId="0" applyNumberFormat="1" applyFont="1" applyAlignment="1"/>
    <xf numFmtId="166" fontId="0" fillId="0" borderId="0" xfId="0" applyNumberFormat="1"/>
    <xf numFmtId="0" fontId="0" fillId="0" borderId="0" xfId="0" applyAlignment="1">
      <alignment horizontal="right"/>
    </xf>
    <xf numFmtId="0" fontId="0" fillId="0" borderId="0" xfId="0" applyFont="1" applyFill="1" applyAlignment="1">
      <alignment horizontal="left"/>
    </xf>
    <xf numFmtId="166" fontId="0" fillId="0" borderId="1" xfId="0" applyNumberFormat="1" applyBorder="1"/>
    <xf numFmtId="167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3" fontId="0" fillId="2" borderId="1" xfId="0" applyNumberFormat="1" applyFill="1" applyBorder="1"/>
    <xf numFmtId="0" fontId="6" fillId="0" borderId="0" xfId="0" applyFont="1"/>
    <xf numFmtId="0" fontId="7" fillId="0" borderId="0" xfId="0" applyFont="1"/>
    <xf numFmtId="3" fontId="0" fillId="0" borderId="0" xfId="0" applyNumberFormat="1"/>
    <xf numFmtId="1" fontId="0" fillId="0" borderId="0" xfId="0" applyNumberFormat="1"/>
    <xf numFmtId="0" fontId="0" fillId="0" borderId="1" xfId="0" applyBorder="1" applyAlignment="1">
      <alignment wrapText="1"/>
    </xf>
    <xf numFmtId="3" fontId="0" fillId="0" borderId="0" xfId="0" applyNumberFormat="1" applyBorder="1"/>
    <xf numFmtId="4" fontId="0" fillId="0" borderId="0" xfId="0" applyNumberFormat="1" applyBorder="1"/>
    <xf numFmtId="0" fontId="7" fillId="0" borderId="0" xfId="0" applyFont="1" applyFill="1" applyBorder="1"/>
    <xf numFmtId="169" fontId="0" fillId="0" borderId="0" xfId="3" applyNumberFormat="1" applyFont="1"/>
    <xf numFmtId="10" fontId="0" fillId="0" borderId="0" xfId="0" applyNumberFormat="1"/>
    <xf numFmtId="1" fontId="0" fillId="0" borderId="1" xfId="0" applyNumberFormat="1" applyBorder="1"/>
    <xf numFmtId="0" fontId="8" fillId="3" borderId="0" xfId="7" applyAlignment="1">
      <alignment wrapText="1"/>
    </xf>
    <xf numFmtId="0" fontId="8" fillId="4" borderId="1" xfId="8" applyBorder="1" applyAlignment="1">
      <alignment wrapText="1"/>
    </xf>
    <xf numFmtId="168" fontId="8" fillId="3" borderId="1" xfId="7" applyNumberFormat="1" applyBorder="1"/>
    <xf numFmtId="0" fontId="0" fillId="3" borderId="0" xfId="7" applyFont="1" applyAlignment="1">
      <alignment wrapText="1"/>
    </xf>
    <xf numFmtId="2" fontId="0" fillId="0" borderId="0" xfId="0" applyNumberFormat="1"/>
    <xf numFmtId="171" fontId="0" fillId="0" borderId="1" xfId="6" applyNumberFormat="1" applyFont="1" applyBorder="1"/>
    <xf numFmtId="170" fontId="0" fillId="0" borderId="0" xfId="6" applyNumberFormat="1" applyFont="1"/>
    <xf numFmtId="170" fontId="0" fillId="0" borderId="2" xfId="6" applyNumberFormat="1" applyFont="1" applyFill="1" applyBorder="1"/>
    <xf numFmtId="0" fontId="0" fillId="4" borderId="1" xfId="8" applyFont="1" applyBorder="1" applyAlignment="1">
      <alignment wrapText="1"/>
    </xf>
  </cellXfs>
  <cellStyles count="9">
    <cellStyle name="20% - Accent1" xfId="7" builtinId="30"/>
    <cellStyle name="20% - Accent4" xfId="8" builtinId="42"/>
    <cellStyle name="Comma 2" xfId="4"/>
    <cellStyle name="Currency" xfId="3" builtinId="4"/>
    <cellStyle name="Normal" xfId="0" builtinId="0"/>
    <cellStyle name="Normal 2" xfId="2"/>
    <cellStyle name="Normal 3" xfId="1"/>
    <cellStyle name="Percent" xfId="6" builtinId="5"/>
    <cellStyle name="Percent 2" xfId="5"/>
  </cellStyles>
  <dxfs count="0"/>
  <tableStyles count="0" defaultTableStyle="TableStyleMedium2" defaultPivotStyle="PivotStyleLight16"/>
  <colors>
    <mruColors>
      <color rgb="FF006D2C"/>
      <color rgb="FF238B45"/>
      <color rgb="FF74C476"/>
      <color rgb="FF41AB5D"/>
      <color rgb="FFC6DBEF"/>
      <color rgb="FFBD0026"/>
      <color rgb="FFDEEBF7"/>
      <color rgb="FFA1D99B"/>
      <color rgb="FF9ECAE1"/>
      <color rgb="FF2171B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Opex!$A$22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Opex!$B$21:$I$21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Opex!$B$22:$I$22</c:f>
              <c:numCache>
                <c:formatCode>#,##0</c:formatCode>
                <c:ptCount val="8"/>
                <c:pt idx="0">
                  <c:v>60567.646778042959</c:v>
                </c:pt>
                <c:pt idx="1">
                  <c:v>64053.856812933031</c:v>
                </c:pt>
                <c:pt idx="2">
                  <c:v>58157.102725028053</c:v>
                </c:pt>
                <c:pt idx="3">
                  <c:v>62214.22510822511</c:v>
                </c:pt>
                <c:pt idx="4">
                  <c:v>63976.89925768823</c:v>
                </c:pt>
                <c:pt idx="5">
                  <c:v>69617.915376676989</c:v>
                </c:pt>
                <c:pt idx="6">
                  <c:v>76220.472945891786</c:v>
                </c:pt>
                <c:pt idx="7">
                  <c:v>72463.035294117639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Opex!$A$23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Opex!$B$21:$I$21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Opex!$B$23:$I$23</c:f>
              <c:numCache>
                <c:formatCode>#,##0</c:formatCode>
                <c:ptCount val="8"/>
                <c:pt idx="0">
                  <c:v>148547.12171837708</c:v>
                </c:pt>
                <c:pt idx="1">
                  <c:v>155221.38568129329</c:v>
                </c:pt>
                <c:pt idx="2">
                  <c:v>169505.47250280585</c:v>
                </c:pt>
                <c:pt idx="3">
                  <c:v>161959.09956709956</c:v>
                </c:pt>
                <c:pt idx="4">
                  <c:v>168815.79639448569</c:v>
                </c:pt>
                <c:pt idx="5">
                  <c:v>163341.99380804953</c:v>
                </c:pt>
                <c:pt idx="6">
                  <c:v>168419.27054108217</c:v>
                </c:pt>
                <c:pt idx="7">
                  <c:v>171972.27581482354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Opex!$A$24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</c:spPr>
          </c:marker>
          <c:cat>
            <c:numRef>
              <c:f>Opex!$B$21:$I$21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Opex!$B$24:$I$24</c:f>
              <c:numCache>
                <c:formatCode>#,##0</c:formatCode>
                <c:ptCount val="8"/>
                <c:pt idx="0">
                  <c:v>75354.280195392726</c:v>
                </c:pt>
                <c:pt idx="1">
                  <c:v>73870.967787817965</c:v>
                </c:pt>
                <c:pt idx="2">
                  <c:v>66666.288423580787</c:v>
                </c:pt>
                <c:pt idx="3">
                  <c:v>87529.423646932162</c:v>
                </c:pt>
                <c:pt idx="4">
                  <c:v>87585.002839248438</c:v>
                </c:pt>
                <c:pt idx="5">
                  <c:v>79337.000717741932</c:v>
                </c:pt>
                <c:pt idx="6">
                  <c:v>75929.778462151386</c:v>
                </c:pt>
                <c:pt idx="7">
                  <c:v>77610.936747081709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Opex!$A$25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Opex!$B$21:$I$21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Opex!$B$25:$I$25</c:f>
              <c:numCache>
                <c:formatCode>#,##0</c:formatCode>
                <c:ptCount val="8"/>
                <c:pt idx="0">
                  <c:v>44303.697260143199</c:v>
                </c:pt>
                <c:pt idx="1">
                  <c:v>45570.60271593534</c:v>
                </c:pt>
                <c:pt idx="2">
                  <c:v>54498.500615039287</c:v>
                </c:pt>
                <c:pt idx="3">
                  <c:v>52902.043038961034</c:v>
                </c:pt>
                <c:pt idx="4">
                  <c:v>53099.601679745487</c:v>
                </c:pt>
                <c:pt idx="5">
                  <c:v>50353.293853457173</c:v>
                </c:pt>
                <c:pt idx="6">
                  <c:v>49273.998717434872</c:v>
                </c:pt>
                <c:pt idx="7">
                  <c:v>46211.234298039213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Opex!$A$26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Opex!$B$21:$I$21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Opex!$B$26:$I$26</c:f>
              <c:numCache>
                <c:formatCode>#,##0</c:formatCode>
                <c:ptCount val="8"/>
                <c:pt idx="0">
                  <c:v>150984.53460620524</c:v>
                </c:pt>
                <c:pt idx="1">
                  <c:v>148958.79907621248</c:v>
                </c:pt>
                <c:pt idx="2">
                  <c:v>140803.6812570146</c:v>
                </c:pt>
                <c:pt idx="3">
                  <c:v>140799.48051948051</c:v>
                </c:pt>
                <c:pt idx="4">
                  <c:v>159189.31071049839</c:v>
                </c:pt>
                <c:pt idx="5">
                  <c:v>149002.02270381837</c:v>
                </c:pt>
                <c:pt idx="6">
                  <c:v>159730.74148296591</c:v>
                </c:pt>
                <c:pt idx="7">
                  <c:v>146976.86274509801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236928"/>
        <c:axId val="380239232"/>
      </c:lineChart>
      <c:catAx>
        <c:axId val="38023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0239232"/>
        <c:crosses val="autoZero"/>
        <c:auto val="1"/>
        <c:lblAlgn val="ctr"/>
        <c:lblOffset val="100"/>
        <c:noMultiLvlLbl val="0"/>
      </c:catAx>
      <c:valAx>
        <c:axId val="38023923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0236928"/>
        <c:crosses val="autoZero"/>
        <c:crossBetween val="between"/>
        <c:dispUnits>
          <c:builtInUnit val="thousands"/>
        </c:dispUnits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'TNSP Analysis'!$A$41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'TNSP Analysis'!$B$40:$I$40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Analysis'!$B$41:$I$41</c:f>
              <c:numCache>
                <c:formatCode>#,##0</c:formatCode>
                <c:ptCount val="8"/>
                <c:pt idx="0">
                  <c:v>16911.096595323361</c:v>
                </c:pt>
                <c:pt idx="1">
                  <c:v>17669.433012345115</c:v>
                </c:pt>
                <c:pt idx="2">
                  <c:v>16527.372214890413</c:v>
                </c:pt>
                <c:pt idx="3">
                  <c:v>16993.889049536774</c:v>
                </c:pt>
                <c:pt idx="4">
                  <c:v>17337.457439830345</c:v>
                </c:pt>
                <c:pt idx="5">
                  <c:v>16910.527743139755</c:v>
                </c:pt>
                <c:pt idx="6">
                  <c:v>17323.503054362176</c:v>
                </c:pt>
                <c:pt idx="7">
                  <c:v>17615.610736891173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'TNSP Analysis'!$A$42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'TNSP Analysis'!$B$40:$I$40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Analysis'!$B$42:$I$42</c:f>
              <c:numCache>
                <c:formatCode>#,##0</c:formatCode>
                <c:ptCount val="8"/>
                <c:pt idx="0">
                  <c:v>64065.037019059462</c:v>
                </c:pt>
                <c:pt idx="1">
                  <c:v>60433.292126302193</c:v>
                </c:pt>
                <c:pt idx="2">
                  <c:v>62696.005555605589</c:v>
                </c:pt>
                <c:pt idx="3">
                  <c:v>61799.405170012651</c:v>
                </c:pt>
                <c:pt idx="4">
                  <c:v>62841.27536690038</c:v>
                </c:pt>
                <c:pt idx="5">
                  <c:v>64553.321635498061</c:v>
                </c:pt>
                <c:pt idx="6">
                  <c:v>65098.869972132226</c:v>
                </c:pt>
                <c:pt idx="7">
                  <c:v>61450.130293493043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'TNSP Analysis'!$A$43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</c:spPr>
          </c:marker>
          <c:cat>
            <c:numRef>
              <c:f>'TNSP Analysis'!$B$40:$I$40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Analysis'!$B$43:$I$43</c:f>
              <c:numCache>
                <c:formatCode>#,##0</c:formatCode>
                <c:ptCount val="8"/>
                <c:pt idx="0">
                  <c:v>21074.179943783918</c:v>
                </c:pt>
                <c:pt idx="1">
                  <c:v>21277.544861585127</c:v>
                </c:pt>
                <c:pt idx="2">
                  <c:v>20090.680907611662</c:v>
                </c:pt>
                <c:pt idx="3">
                  <c:v>21654.766998038016</c:v>
                </c:pt>
                <c:pt idx="4">
                  <c:v>20763.618708513088</c:v>
                </c:pt>
                <c:pt idx="5">
                  <c:v>20281.966257694752</c:v>
                </c:pt>
                <c:pt idx="6">
                  <c:v>19898.530201770882</c:v>
                </c:pt>
                <c:pt idx="7">
                  <c:v>20173.758264852651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'TNSP Analysis'!$A$44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'TNSP Analysis'!$B$40:$I$40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Analysis'!$B$44:$I$44</c:f>
              <c:numCache>
                <c:formatCode>#,##0</c:formatCode>
                <c:ptCount val="8"/>
                <c:pt idx="0">
                  <c:v>33100.662534232346</c:v>
                </c:pt>
                <c:pt idx="1">
                  <c:v>33002.604157721842</c:v>
                </c:pt>
                <c:pt idx="2">
                  <c:v>36085.768929261489</c:v>
                </c:pt>
                <c:pt idx="3">
                  <c:v>35609.664574637864</c:v>
                </c:pt>
                <c:pt idx="4">
                  <c:v>37864.290019701439</c:v>
                </c:pt>
                <c:pt idx="5">
                  <c:v>37620.024397212779</c:v>
                </c:pt>
                <c:pt idx="6">
                  <c:v>37610.331206095099</c:v>
                </c:pt>
                <c:pt idx="7">
                  <c:v>35887.6086107507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'TNSP Analysis'!$A$45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'TNSP Analysis'!$B$40:$I$40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Analysis'!$B$45:$I$45</c:f>
              <c:numCache>
                <c:formatCode>#,##0</c:formatCode>
                <c:ptCount val="8"/>
                <c:pt idx="0">
                  <c:v>20038.733517839384</c:v>
                </c:pt>
                <c:pt idx="1">
                  <c:v>19980.943813295686</c:v>
                </c:pt>
                <c:pt idx="2">
                  <c:v>20698.870720131257</c:v>
                </c:pt>
                <c:pt idx="3">
                  <c:v>21119.02747661158</c:v>
                </c:pt>
                <c:pt idx="4">
                  <c:v>21894.525710101472</c:v>
                </c:pt>
                <c:pt idx="5">
                  <c:v>21151.207465630861</c:v>
                </c:pt>
                <c:pt idx="6">
                  <c:v>20982.851852063402</c:v>
                </c:pt>
                <c:pt idx="7">
                  <c:v>21043.42139619615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987648"/>
        <c:axId val="383063936"/>
      </c:lineChart>
      <c:catAx>
        <c:axId val="38298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3063936"/>
        <c:crosses val="autoZero"/>
        <c:auto val="1"/>
        <c:lblAlgn val="ctr"/>
        <c:lblOffset val="100"/>
        <c:noMultiLvlLbl val="0"/>
      </c:catAx>
      <c:valAx>
        <c:axId val="383063936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2987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'TNSP Analysis'!$A$97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'TNSP Analysis'!$B$96:$I$96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Analysis'!$B$97:$I$97</c:f>
              <c:numCache>
                <c:formatCode>#,##0</c:formatCode>
                <c:ptCount val="8"/>
                <c:pt idx="0">
                  <c:v>5.2389626137914505</c:v>
                </c:pt>
                <c:pt idx="1">
                  <c:v>5.4472197306686816</c:v>
                </c:pt>
                <c:pt idx="2">
                  <c:v>4.890850452024897</c:v>
                </c:pt>
                <c:pt idx="3">
                  <c:v>5.1463499965443882</c:v>
                </c:pt>
                <c:pt idx="4">
                  <c:v>5.179057658681149</c:v>
                </c:pt>
                <c:pt idx="5">
                  <c:v>5.546802276844633</c:v>
                </c:pt>
                <c:pt idx="6">
                  <c:v>5.9785452149887668</c:v>
                </c:pt>
                <c:pt idx="7">
                  <c:v>5.6838211070764482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'TNSP Analysis'!$A$98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'TNSP Analysis'!$B$96:$I$96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Analysis'!$B$98:$I$98</c:f>
              <c:numCache>
                <c:formatCode>#,##0</c:formatCode>
                <c:ptCount val="8"/>
                <c:pt idx="0">
                  <c:v>11.913792494556448</c:v>
                </c:pt>
                <c:pt idx="1">
                  <c:v>12.227933329233755</c:v>
                </c:pt>
                <c:pt idx="2">
                  <c:v>12.922086716432693</c:v>
                </c:pt>
                <c:pt idx="3">
                  <c:v>11.652991298852363</c:v>
                </c:pt>
                <c:pt idx="4">
                  <c:v>11.578189801068941</c:v>
                </c:pt>
                <c:pt idx="5">
                  <c:v>10.882573957030516</c:v>
                </c:pt>
                <c:pt idx="6">
                  <c:v>10.967652418669065</c:v>
                </c:pt>
                <c:pt idx="7">
                  <c:v>10.606406550809396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'TNSP Analysis'!$A$99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  <a:ln>
                <a:solidFill>
                  <a:srgbClr val="A1D99B"/>
                </a:solidFill>
              </a:ln>
            </c:spPr>
          </c:marker>
          <c:cat>
            <c:numRef>
              <c:f>'TNSP Analysis'!$B$96:$I$96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Analysis'!$B$99:$I$99</c:f>
              <c:numCache>
                <c:formatCode>#,##0</c:formatCode>
                <c:ptCount val="8"/>
                <c:pt idx="0">
                  <c:v>7.8526761354098298</c:v>
                </c:pt>
                <c:pt idx="1">
                  <c:v>7.7335602792941751</c:v>
                </c:pt>
                <c:pt idx="2">
                  <c:v>6.9242094332759434</c:v>
                </c:pt>
                <c:pt idx="3">
                  <c:v>7.8607475210536295</c:v>
                </c:pt>
                <c:pt idx="4">
                  <c:v>7.595612075210167</c:v>
                </c:pt>
                <c:pt idx="5">
                  <c:v>6.8672206974588361</c:v>
                </c:pt>
                <c:pt idx="6">
                  <c:v>6.1263335857795216</c:v>
                </c:pt>
                <c:pt idx="7">
                  <c:v>5.9884982057933414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'TNSP Analysis'!$A$100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'TNSP Analysis'!$B$96:$I$96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Analysis'!$B$100:$I$100</c:f>
              <c:numCache>
                <c:formatCode>#,##0</c:formatCode>
                <c:ptCount val="8"/>
                <c:pt idx="0">
                  <c:v>7.517000451346024</c:v>
                </c:pt>
                <c:pt idx="1">
                  <c:v>7.7464137342652037</c:v>
                </c:pt>
                <c:pt idx="2">
                  <c:v>9.2988159662570435</c:v>
                </c:pt>
                <c:pt idx="3">
                  <c:v>8.8601264552423515</c:v>
                </c:pt>
                <c:pt idx="4">
                  <c:v>9.0601285967351703</c:v>
                </c:pt>
                <c:pt idx="5">
                  <c:v>8.5434344316836626</c:v>
                </c:pt>
                <c:pt idx="6">
                  <c:v>8.2830148462605688</c:v>
                </c:pt>
                <c:pt idx="7">
                  <c:v>7.6271265428862502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'TNSP Analysis'!$A$101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'TNSP Analysis'!$B$96:$I$96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Analysis'!$B$101:$I$101</c:f>
              <c:numCache>
                <c:formatCode>#,##0</c:formatCode>
                <c:ptCount val="8"/>
                <c:pt idx="0">
                  <c:v>9.9142776680153162</c:v>
                </c:pt>
                <c:pt idx="1">
                  <c:v>9.8238342726513537</c:v>
                </c:pt>
                <c:pt idx="2">
                  <c:v>9.2658384612407598</c:v>
                </c:pt>
                <c:pt idx="3">
                  <c:v>9.1318533268139248</c:v>
                </c:pt>
                <c:pt idx="4">
                  <c:v>9.8319628627322828</c:v>
                </c:pt>
                <c:pt idx="5">
                  <c:v>9.0551214040606727</c:v>
                </c:pt>
                <c:pt idx="6">
                  <c:v>9.5917096909245121</c:v>
                </c:pt>
                <c:pt idx="7">
                  <c:v>8.7564410333689615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209856"/>
        <c:axId val="383212160"/>
      </c:lineChart>
      <c:catAx>
        <c:axId val="38320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3212160"/>
        <c:crosses val="autoZero"/>
        <c:auto val="1"/>
        <c:lblAlgn val="ctr"/>
        <c:lblOffset val="100"/>
        <c:noMultiLvlLbl val="0"/>
      </c:catAx>
      <c:valAx>
        <c:axId val="383212160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3209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'TNSP Analysis'!$A$90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'TNSP Analysis'!$B$89:$I$89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Analysis'!$B$90:$I$90</c:f>
              <c:numCache>
                <c:formatCode>#,##0</c:formatCode>
                <c:ptCount val="8"/>
                <c:pt idx="0">
                  <c:v>11.599141704038043</c:v>
                </c:pt>
                <c:pt idx="1">
                  <c:v>11.96751739804751</c:v>
                </c:pt>
                <c:pt idx="2">
                  <c:v>11.881284209004797</c:v>
                </c:pt>
                <c:pt idx="3">
                  <c:v>12.467607252161105</c:v>
                </c:pt>
                <c:pt idx="4">
                  <c:v>12.498187561136481</c:v>
                </c:pt>
                <c:pt idx="5">
                  <c:v>12.447125622319238</c:v>
                </c:pt>
                <c:pt idx="6">
                  <c:v>13.044968402657785</c:v>
                </c:pt>
                <c:pt idx="7">
                  <c:v>14.316784977916369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'TNSP Analysis'!$A$91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'TNSP Analysis'!$B$89:$I$89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Analysis'!$B$91:$I$91</c:f>
              <c:numCache>
                <c:formatCode>#,##0</c:formatCode>
                <c:ptCount val="8"/>
                <c:pt idx="0">
                  <c:v>31.046288871795248</c:v>
                </c:pt>
                <c:pt idx="1">
                  <c:v>31.447426838301794</c:v>
                </c:pt>
                <c:pt idx="2">
                  <c:v>33.568787767224677</c:v>
                </c:pt>
                <c:pt idx="3">
                  <c:v>35.715362356300695</c:v>
                </c:pt>
                <c:pt idx="4">
                  <c:v>36.370041635216971</c:v>
                </c:pt>
                <c:pt idx="5">
                  <c:v>37.480269694735078</c:v>
                </c:pt>
                <c:pt idx="6">
                  <c:v>38.204123617197148</c:v>
                </c:pt>
                <c:pt idx="7">
                  <c:v>35.903769775929639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'TNSP Analysis'!$A$92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</c:spPr>
          </c:marker>
          <c:cat>
            <c:numRef>
              <c:f>'TNSP Analysis'!$B$89:$I$89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Analysis'!$B$92:$I$92</c:f>
              <c:numCache>
                <c:formatCode>#,##0</c:formatCode>
                <c:ptCount val="8"/>
                <c:pt idx="0">
                  <c:v>25.607306230941045</c:v>
                </c:pt>
                <c:pt idx="1">
                  <c:v>26.179754392523535</c:v>
                </c:pt>
                <c:pt idx="2">
                  <c:v>26.81678288119409</c:v>
                </c:pt>
                <c:pt idx="3">
                  <c:v>24.314327294908633</c:v>
                </c:pt>
                <c:pt idx="4">
                  <c:v>23.411343844754448</c:v>
                </c:pt>
                <c:pt idx="5">
                  <c:v>23.310126068166515</c:v>
                </c:pt>
                <c:pt idx="6">
                  <c:v>22.185964356462595</c:v>
                </c:pt>
                <c:pt idx="7">
                  <c:v>21.557865866915925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'TNSP Analysis'!$A$93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'TNSP Analysis'!$B$89:$I$89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Analysis'!$B$93:$I$93</c:f>
              <c:numCache>
                <c:formatCode>#,##0</c:formatCode>
                <c:ptCount val="8"/>
                <c:pt idx="0">
                  <c:v>15.853062485544882</c:v>
                </c:pt>
                <c:pt idx="1">
                  <c:v>16.102887754023889</c:v>
                </c:pt>
                <c:pt idx="2">
                  <c:v>17.213830943618735</c:v>
                </c:pt>
                <c:pt idx="3">
                  <c:v>17.625858735346302</c:v>
                </c:pt>
                <c:pt idx="4">
                  <c:v>19.792915224583865</c:v>
                </c:pt>
                <c:pt idx="5">
                  <c:v>21.207648692176793</c:v>
                </c:pt>
                <c:pt idx="6">
                  <c:v>21.944088686610037</c:v>
                </c:pt>
                <c:pt idx="7">
                  <c:v>21.701699963374413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'TNSP Analysis'!$A$94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'TNSP Analysis'!$B$89:$I$89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Analysis'!$B$94:$I$94</c:f>
              <c:numCache>
                <c:formatCode>#,##0</c:formatCode>
                <c:ptCount val="8"/>
                <c:pt idx="0">
                  <c:v>25.835433471664125</c:v>
                </c:pt>
                <c:pt idx="1">
                  <c:v>26.55115570441216</c:v>
                </c:pt>
                <c:pt idx="2">
                  <c:v>27.530640456476124</c:v>
                </c:pt>
                <c:pt idx="3">
                  <c:v>29.246330729169461</c:v>
                </c:pt>
                <c:pt idx="4">
                  <c:v>30.288393093848569</c:v>
                </c:pt>
                <c:pt idx="5">
                  <c:v>30.199617264605443</c:v>
                </c:pt>
                <c:pt idx="6">
                  <c:v>30.267266799087714</c:v>
                </c:pt>
                <c:pt idx="7">
                  <c:v>31.355817981900373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251584"/>
        <c:axId val="383253888"/>
      </c:lineChart>
      <c:catAx>
        <c:axId val="38325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3253888"/>
        <c:crosses val="autoZero"/>
        <c:auto val="1"/>
        <c:lblAlgn val="ctr"/>
        <c:lblOffset val="100"/>
        <c:noMultiLvlLbl val="0"/>
      </c:catAx>
      <c:valAx>
        <c:axId val="383253888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3251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'TNSP Analysis'!$A$83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'TNSP Analysis'!$B$82:$I$82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Analysis'!$B$83:$I$83</c:f>
              <c:numCache>
                <c:formatCode>#,##0</c:formatCode>
                <c:ptCount val="8"/>
                <c:pt idx="0">
                  <c:v>16.838104317829494</c:v>
                </c:pt>
                <c:pt idx="1">
                  <c:v>17.41473712871619</c:v>
                </c:pt>
                <c:pt idx="2">
                  <c:v>16.772134661029696</c:v>
                </c:pt>
                <c:pt idx="3">
                  <c:v>17.613957248705493</c:v>
                </c:pt>
                <c:pt idx="4">
                  <c:v>17.677245219817628</c:v>
                </c:pt>
                <c:pt idx="5">
                  <c:v>17.993927899163872</c:v>
                </c:pt>
                <c:pt idx="6">
                  <c:v>19.023513617646554</c:v>
                </c:pt>
                <c:pt idx="7">
                  <c:v>20.000606084992818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'TNSP Analysis'!$A$84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'TNSP Analysis'!$B$82:$I$82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Analysis'!$B$84:$I$84</c:f>
              <c:numCache>
                <c:formatCode>#,##0</c:formatCode>
                <c:ptCount val="8"/>
                <c:pt idx="0">
                  <c:v>42.960081366351702</c:v>
                </c:pt>
                <c:pt idx="1">
                  <c:v>43.675360167535551</c:v>
                </c:pt>
                <c:pt idx="2">
                  <c:v>46.490874483657372</c:v>
                </c:pt>
                <c:pt idx="3">
                  <c:v>47.368353655153058</c:v>
                </c:pt>
                <c:pt idx="4">
                  <c:v>47.948231436285916</c:v>
                </c:pt>
                <c:pt idx="5">
                  <c:v>48.362843651765601</c:v>
                </c:pt>
                <c:pt idx="6">
                  <c:v>49.171776035866216</c:v>
                </c:pt>
                <c:pt idx="7">
                  <c:v>46.510176326739035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'TNSP Analysis'!$A$85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</c:spPr>
          </c:marker>
          <c:cat>
            <c:numRef>
              <c:f>'TNSP Analysis'!$B$82:$I$82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Analysis'!$B$85:$I$85</c:f>
              <c:numCache>
                <c:formatCode>#,##0</c:formatCode>
                <c:ptCount val="8"/>
                <c:pt idx="0">
                  <c:v>33.459982366350872</c:v>
                </c:pt>
                <c:pt idx="1">
                  <c:v>33.913314671817716</c:v>
                </c:pt>
                <c:pt idx="2">
                  <c:v>33.740992314470034</c:v>
                </c:pt>
                <c:pt idx="3">
                  <c:v>32.175074815962262</c:v>
                </c:pt>
                <c:pt idx="4">
                  <c:v>31.006955919964618</c:v>
                </c:pt>
                <c:pt idx="5">
                  <c:v>30.177346765625355</c:v>
                </c:pt>
                <c:pt idx="6">
                  <c:v>28.312297942242122</c:v>
                </c:pt>
                <c:pt idx="7">
                  <c:v>27.546364072709267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'TNSP Analysis'!$A$86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'TNSP Analysis'!$B$82:$I$82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Analysis'!$B$86:$I$86</c:f>
              <c:numCache>
                <c:formatCode>#,##0</c:formatCode>
                <c:ptCount val="8"/>
                <c:pt idx="0">
                  <c:v>23.370062936890903</c:v>
                </c:pt>
                <c:pt idx="1">
                  <c:v>23.849301488289093</c:v>
                </c:pt>
                <c:pt idx="2">
                  <c:v>26.51264690987578</c:v>
                </c:pt>
                <c:pt idx="3">
                  <c:v>26.485985190588654</c:v>
                </c:pt>
                <c:pt idx="4">
                  <c:v>28.853043821319034</c:v>
                </c:pt>
                <c:pt idx="5">
                  <c:v>29.751083123860454</c:v>
                </c:pt>
                <c:pt idx="6">
                  <c:v>30.227103532870608</c:v>
                </c:pt>
                <c:pt idx="7">
                  <c:v>29.328826506260665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'TNSP Analysis'!$A$87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'TNSP Analysis'!$B$82:$I$82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Analysis'!$B$87:$I$87</c:f>
              <c:numCache>
                <c:formatCode>#,##0</c:formatCode>
                <c:ptCount val="8"/>
                <c:pt idx="0">
                  <c:v>35.749711139679441</c:v>
                </c:pt>
                <c:pt idx="1">
                  <c:v>36.374989977063514</c:v>
                </c:pt>
                <c:pt idx="2">
                  <c:v>36.79647891771689</c:v>
                </c:pt>
                <c:pt idx="3">
                  <c:v>38.37818405598339</c:v>
                </c:pt>
                <c:pt idx="4">
                  <c:v>40.120355956580852</c:v>
                </c:pt>
                <c:pt idx="5">
                  <c:v>39.254738668666114</c:v>
                </c:pt>
                <c:pt idx="6">
                  <c:v>39.858976490012225</c:v>
                </c:pt>
                <c:pt idx="7">
                  <c:v>40.112259015269338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309696"/>
        <c:axId val="383394176"/>
      </c:lineChart>
      <c:catAx>
        <c:axId val="38330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3394176"/>
        <c:crosses val="autoZero"/>
        <c:auto val="1"/>
        <c:lblAlgn val="ctr"/>
        <c:lblOffset val="100"/>
        <c:noMultiLvlLbl val="0"/>
      </c:catAx>
      <c:valAx>
        <c:axId val="383394176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3309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'TNSP Analysis'!$B$126</c:f>
              <c:strCache>
                <c:ptCount val="1"/>
                <c:pt idx="0">
                  <c:v>Opex</c:v>
                </c:pt>
              </c:strCache>
            </c:strRef>
          </c:tx>
          <c:invertIfNegative val="0"/>
          <c:cat>
            <c:strRef>
              <c:f>'TNSP Analysis'!$A$127:$A$131</c:f>
              <c:strCache>
                <c:ptCount val="5"/>
                <c:pt idx="0">
                  <c:v>ElectraNet</c:v>
                </c:pt>
                <c:pt idx="1">
                  <c:v>Powerlink</c:v>
                </c:pt>
                <c:pt idx="2">
                  <c:v>AusNet Services</c:v>
                </c:pt>
                <c:pt idx="3">
                  <c:v>TasNetworks</c:v>
                </c:pt>
                <c:pt idx="4">
                  <c:v>TransGrid</c:v>
                </c:pt>
              </c:strCache>
            </c:strRef>
          </c:cat>
          <c:val>
            <c:numRef>
              <c:f>'TNSP Analysis'!$B$127:$B$131</c:f>
              <c:numCache>
                <c:formatCode>#,##0</c:formatCode>
                <c:ptCount val="5"/>
                <c:pt idx="0">
                  <c:v>68898.509596519958</c:v>
                </c:pt>
                <c:pt idx="1">
                  <c:v>166901.68722510809</c:v>
                </c:pt>
                <c:pt idx="2">
                  <c:v>81598.428482631134</c:v>
                </c:pt>
                <c:pt idx="3">
                  <c:v>50368.034317527563</c:v>
                </c:pt>
                <c:pt idx="4">
                  <c:v>151139.68363237224</c:v>
                </c:pt>
              </c:numCache>
            </c:numRef>
          </c:val>
        </c:ser>
        <c:ser>
          <c:idx val="1"/>
          <c:order val="1"/>
          <c:tx>
            <c:strRef>
              <c:f>'TNSP Analysis'!$C$126</c:f>
              <c:strCache>
                <c:ptCount val="1"/>
                <c:pt idx="0">
                  <c:v>Depreciation</c:v>
                </c:pt>
              </c:strCache>
            </c:strRef>
          </c:tx>
          <c:invertIfNegative val="0"/>
          <c:cat>
            <c:strRef>
              <c:f>'TNSP Analysis'!$A$127:$A$131</c:f>
              <c:strCache>
                <c:ptCount val="5"/>
                <c:pt idx="0">
                  <c:v>ElectraNet</c:v>
                </c:pt>
                <c:pt idx="1">
                  <c:v>Powerlink</c:v>
                </c:pt>
                <c:pt idx="2">
                  <c:v>AusNet Services</c:v>
                </c:pt>
                <c:pt idx="3">
                  <c:v>TasNetworks</c:v>
                </c:pt>
                <c:pt idx="4">
                  <c:v>TransGrid</c:v>
                </c:pt>
              </c:strCache>
            </c:strRef>
          </c:cat>
          <c:val>
            <c:numRef>
              <c:f>'TNSP Analysis'!$C$127:$C$131</c:f>
              <c:numCache>
                <c:formatCode>#,##0</c:formatCode>
                <c:ptCount val="5"/>
                <c:pt idx="0">
                  <c:v>68599.653955124289</c:v>
                </c:pt>
                <c:pt idx="1">
                  <c:v>220326.29872685266</c:v>
                </c:pt>
                <c:pt idx="2">
                  <c:v>126250.23537577051</c:v>
                </c:pt>
                <c:pt idx="3">
                  <c:v>54920.712556520848</c:v>
                </c:pt>
                <c:pt idx="4">
                  <c:v>194014.00315449579</c:v>
                </c:pt>
              </c:numCache>
            </c:numRef>
          </c:val>
        </c:ser>
        <c:ser>
          <c:idx val="2"/>
          <c:order val="2"/>
          <c:tx>
            <c:strRef>
              <c:f>'TNSP Analysis'!$D$126</c:f>
              <c:strCache>
                <c:ptCount val="1"/>
                <c:pt idx="0">
                  <c:v>Return on assets</c:v>
                </c:pt>
              </c:strCache>
            </c:strRef>
          </c:tx>
          <c:invertIfNegative val="0"/>
          <c:cat>
            <c:strRef>
              <c:f>'TNSP Analysis'!$A$127:$A$131</c:f>
              <c:strCache>
                <c:ptCount val="5"/>
                <c:pt idx="0">
                  <c:v>ElectraNet</c:v>
                </c:pt>
                <c:pt idx="1">
                  <c:v>Powerlink</c:v>
                </c:pt>
                <c:pt idx="2">
                  <c:v>AusNet Services</c:v>
                </c:pt>
                <c:pt idx="3">
                  <c:v>TasNetworks</c:v>
                </c:pt>
                <c:pt idx="4">
                  <c:v>TransGrid</c:v>
                </c:pt>
              </c:strCache>
            </c:strRef>
          </c:cat>
          <c:val>
            <c:numRef>
              <c:f>'TNSP Analysis'!$D$127:$D$131</c:f>
              <c:numCache>
                <c:formatCode>#,##0</c:formatCode>
                <c:ptCount val="5"/>
                <c:pt idx="0">
                  <c:v>93434.322554628365</c:v>
                </c:pt>
                <c:pt idx="1">
                  <c:v>331283.64310655836</c:v>
                </c:pt>
                <c:pt idx="2">
                  <c:v>146621.94675171486</c:v>
                </c:pt>
                <c:pt idx="3">
                  <c:v>66732.025296318563</c:v>
                </c:pt>
                <c:pt idx="4">
                  <c:v>299709.36161564209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3465344"/>
        <c:axId val="383466880"/>
      </c:barChart>
      <c:catAx>
        <c:axId val="383465344"/>
        <c:scaling>
          <c:orientation val="minMax"/>
        </c:scaling>
        <c:delete val="0"/>
        <c:axPos val="b"/>
        <c:majorTickMark val="out"/>
        <c:minorTickMark val="none"/>
        <c:tickLblPos val="nextTo"/>
        <c:crossAx val="383466880"/>
        <c:crosses val="autoZero"/>
        <c:auto val="1"/>
        <c:lblAlgn val="ctr"/>
        <c:lblOffset val="100"/>
        <c:noMultiLvlLbl val="0"/>
      </c:catAx>
      <c:valAx>
        <c:axId val="383466880"/>
        <c:scaling>
          <c:orientation val="minMax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crossAx val="383465344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RAB!$A$21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RAB!$C$21:$J$21</c:f>
              <c:numCache>
                <c:formatCode>#,##0</c:formatCode>
                <c:ptCount val="8"/>
                <c:pt idx="0">
                  <c:v>1261224.3222225113</c:v>
                </c:pt>
                <c:pt idx="1">
                  <c:v>1297789.7081676973</c:v>
                </c:pt>
                <c:pt idx="2">
                  <c:v>1388461.2817740706</c:v>
                </c:pt>
                <c:pt idx="3">
                  <c:v>1449993.612895821</c:v>
                </c:pt>
                <c:pt idx="4">
                  <c:v>1439074.7617152776</c:v>
                </c:pt>
                <c:pt idx="5">
                  <c:v>1440030.9570348999</c:v>
                </c:pt>
                <c:pt idx="6">
                  <c:v>1579918.4797338494</c:v>
                </c:pt>
                <c:pt idx="7">
                  <c:v>1759914.0338834277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RAB!$A$22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RAB!$C$22:$J$22</c:f>
              <c:numCache>
                <c:formatCode>#,##0</c:formatCode>
                <c:ptCount val="8"/>
                <c:pt idx="0">
                  <c:v>3634438.7405007603</c:v>
                </c:pt>
                <c:pt idx="1">
                  <c:v>3764746.091695678</c:v>
                </c:pt>
                <c:pt idx="2">
                  <c:v>4197065.9735868257</c:v>
                </c:pt>
                <c:pt idx="3">
                  <c:v>4748788.0880349753</c:v>
                </c:pt>
                <c:pt idx="4">
                  <c:v>5202833.4466851689</c:v>
                </c:pt>
                <c:pt idx="5">
                  <c:v>5508315.0956337266</c:v>
                </c:pt>
                <c:pt idx="6">
                  <c:v>5752009.6799044479</c:v>
                </c:pt>
                <c:pt idx="7">
                  <c:v>5979257.2107958235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RAB!$A$23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RAB!$C$23:$J$23</c:f>
              <c:numCache>
                <c:formatCode>#,##0</c:formatCode>
                <c:ptCount val="8"/>
                <c:pt idx="0">
                  <c:v>2305792.4379324792</c:v>
                </c:pt>
                <c:pt idx="1">
                  <c:v>2305848.1567206383</c:v>
                </c:pt>
                <c:pt idx="2">
                  <c:v>2296551.568</c:v>
                </c:pt>
                <c:pt idx="3">
                  <c:v>2460575.942635091</c:v>
                </c:pt>
                <c:pt idx="4">
                  <c:v>2404546.4862505216</c:v>
                </c:pt>
                <c:pt idx="5">
                  <c:v>2358955.4828346772</c:v>
                </c:pt>
                <c:pt idx="6">
                  <c:v>2393429.4630398406</c:v>
                </c:pt>
                <c:pt idx="7">
                  <c:v>2416975.0928715952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RAB!$A$24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RAB!$C$24:$J$24</c:f>
              <c:numCache>
                <c:formatCode>#,##0</c:formatCode>
                <c:ptCount val="8"/>
                <c:pt idx="0">
                  <c:v>833393.23627684964</c:v>
                </c:pt>
                <c:pt idx="1">
                  <c:v>881334.72055427253</c:v>
                </c:pt>
                <c:pt idx="2">
                  <c:v>926717.81818181812</c:v>
                </c:pt>
                <c:pt idx="3">
                  <c:v>958437.9653679654</c:v>
                </c:pt>
                <c:pt idx="4">
                  <c:v>994980.97985153762</c:v>
                </c:pt>
                <c:pt idx="5">
                  <c:v>1089036.9329205367</c:v>
                </c:pt>
                <c:pt idx="6">
                  <c:v>1196890.5571142284</c:v>
                </c:pt>
                <c:pt idx="7">
                  <c:v>1237905.8196078429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RAB!$A$25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RAB!$C$25:$J$25</c:f>
              <c:numCache>
                <c:formatCode>#,##0</c:formatCode>
                <c:ptCount val="8"/>
                <c:pt idx="0">
                  <c:v>3959857.2641430469</c:v>
                </c:pt>
                <c:pt idx="1">
                  <c:v>4009710.4498618697</c:v>
                </c:pt>
                <c:pt idx="2">
                  <c:v>4195058.2599106384</c:v>
                </c:pt>
                <c:pt idx="3">
                  <c:v>4510036.1351601584</c:v>
                </c:pt>
                <c:pt idx="4">
                  <c:v>4785447.6572601749</c:v>
                </c:pt>
                <c:pt idx="5">
                  <c:v>4931347.6018849974</c:v>
                </c:pt>
                <c:pt idx="6">
                  <c:v>5096523.7242544899</c:v>
                </c:pt>
                <c:pt idx="7">
                  <c:v>5276284.5510475347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502592"/>
        <c:axId val="383517056"/>
      </c:lineChart>
      <c:catAx>
        <c:axId val="38350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3517056"/>
        <c:crosses val="autoZero"/>
        <c:auto val="1"/>
        <c:lblAlgn val="ctr"/>
        <c:lblOffset val="100"/>
        <c:noMultiLvlLbl val="0"/>
      </c:catAx>
      <c:valAx>
        <c:axId val="383517056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3502592"/>
        <c:crosses val="autoZero"/>
        <c:crossBetween val="between"/>
        <c:dispUnits>
          <c:builtInUnit val="thousands"/>
        </c:dispUnits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'TNSP Analysis'!$A$135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'TNSP Analysis'!$B$103:$I$103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Analysis'!$B$135:$I$135</c:f>
              <c:numCache>
                <c:formatCode>#,##0</c:formatCode>
                <c:ptCount val="8"/>
                <c:pt idx="0">
                  <c:v>34758.319515037176</c:v>
                </c:pt>
                <c:pt idx="1">
                  <c:v>37106.754164196784</c:v>
                </c:pt>
                <c:pt idx="2">
                  <c:v>36138.687291139242</c:v>
                </c:pt>
                <c:pt idx="3">
                  <c:v>38689.668506518239</c:v>
                </c:pt>
                <c:pt idx="4">
                  <c:v>39691.048334679384</c:v>
                </c:pt>
                <c:pt idx="5">
                  <c:v>41027.315005208446</c:v>
                </c:pt>
                <c:pt idx="6">
                  <c:v>43888.481144802186</c:v>
                </c:pt>
                <c:pt idx="7">
                  <c:v>46132.011381509183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'TNSP Analysis'!$A$136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'TNSP Analysis'!$B$103:$I$103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Analysis'!$B$136:$I$136</c:f>
              <c:numCache>
                <c:formatCode>#,##0</c:formatCode>
                <c:ptCount val="8"/>
                <c:pt idx="0">
                  <c:v>45801.434332309203</c:v>
                </c:pt>
                <c:pt idx="1">
                  <c:v>46640.449395700874</c:v>
                </c:pt>
                <c:pt idx="2">
                  <c:v>49089.917575414598</c:v>
                </c:pt>
                <c:pt idx="3">
                  <c:v>51201.513709452855</c:v>
                </c:pt>
                <c:pt idx="4">
                  <c:v>52497.498570005759</c:v>
                </c:pt>
                <c:pt idx="5">
                  <c:v>52850.535259641481</c:v>
                </c:pt>
                <c:pt idx="6">
                  <c:v>55119.482648862082</c:v>
                </c:pt>
                <c:pt idx="7">
                  <c:v>52698.532422204516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'TNSP Analysis'!$A$137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</c:spPr>
          </c:marker>
          <c:cat>
            <c:numRef>
              <c:f>'TNSP Analysis'!$B$103:$I$103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Analysis'!$B$137:$I$137</c:f>
              <c:numCache>
                <c:formatCode>#,##0</c:formatCode>
                <c:ptCount val="8"/>
                <c:pt idx="0">
                  <c:v>48848.621753765859</c:v>
                </c:pt>
                <c:pt idx="1">
                  <c:v>49283.429445489543</c:v>
                </c:pt>
                <c:pt idx="2">
                  <c:v>49423.136163657007</c:v>
                </c:pt>
                <c:pt idx="3">
                  <c:v>54506.231260572007</c:v>
                </c:pt>
                <c:pt idx="4">
                  <c:v>54395.437199621476</c:v>
                </c:pt>
                <c:pt idx="5">
                  <c:v>53041.059970069939</c:v>
                </c:pt>
                <c:pt idx="6">
                  <c:v>53385.458800570326</c:v>
                </c:pt>
                <c:pt idx="7">
                  <c:v>54313.232676450949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'TNSP Analysis'!$A$138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'TNSP Analysis'!$B$103:$I$103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Analysis'!$B$138:$I$138</c:f>
              <c:numCache>
                <c:formatCode>#,##0</c:formatCode>
                <c:ptCount val="8"/>
                <c:pt idx="0">
                  <c:v>38460.468806703604</c:v>
                </c:pt>
                <c:pt idx="1">
                  <c:v>38732.482344175543</c:v>
                </c:pt>
                <c:pt idx="2">
                  <c:v>42896.866910360812</c:v>
                </c:pt>
                <c:pt idx="3">
                  <c:v>44923.023712742302</c:v>
                </c:pt>
                <c:pt idx="4">
                  <c:v>48574.359931056388</c:v>
                </c:pt>
                <c:pt idx="5">
                  <c:v>50195.211895745786</c:v>
                </c:pt>
                <c:pt idx="6">
                  <c:v>51474.248846746814</c:v>
                </c:pt>
                <c:pt idx="7">
                  <c:v>50724.480840642987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'TNSP Analysis'!$A$139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'TNSP Analysis'!$B$103:$I$103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Analysis'!$B$139:$I$139</c:f>
              <c:numCache>
                <c:formatCode>#,##0</c:formatCode>
                <c:ptCount val="8"/>
                <c:pt idx="0">
                  <c:v>43494.631595931889</c:v>
                </c:pt>
                <c:pt idx="1">
                  <c:v>44030.993270919535</c:v>
                </c:pt>
                <c:pt idx="2">
                  <c:v>44648.75382689121</c:v>
                </c:pt>
                <c:pt idx="3">
                  <c:v>47250.462385674924</c:v>
                </c:pt>
                <c:pt idx="4">
                  <c:v>51219.458568168891</c:v>
                </c:pt>
                <c:pt idx="5">
                  <c:v>50933.898654551056</c:v>
                </c:pt>
                <c:pt idx="6">
                  <c:v>52276.972052843877</c:v>
                </c:pt>
                <c:pt idx="7">
                  <c:v>52218.416878002172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560704"/>
        <c:axId val="383563264"/>
      </c:lineChart>
      <c:catAx>
        <c:axId val="38356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3563264"/>
        <c:crosses val="autoZero"/>
        <c:auto val="1"/>
        <c:lblAlgn val="ctr"/>
        <c:lblOffset val="100"/>
        <c:noMultiLvlLbl val="0"/>
      </c:catAx>
      <c:valAx>
        <c:axId val="383563264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3560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'TNSP Analysis'!$A$142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'TNSP Analysis'!$B$103:$I$103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Analysis'!$B$142:$I$142</c:f>
              <c:numCache>
                <c:formatCode>#,##0</c:formatCode>
                <c:ptCount val="8"/>
                <c:pt idx="0">
                  <c:v>23943.70921091413</c:v>
                </c:pt>
                <c:pt idx="1">
                  <c:v>25499.995938085918</c:v>
                </c:pt>
                <c:pt idx="2">
                  <c:v>25600.439259770072</c:v>
                </c:pt>
                <c:pt idx="3">
                  <c:v>27385.532100745088</c:v>
                </c:pt>
                <c:pt idx="4">
                  <c:v>28062.413595350605</c:v>
                </c:pt>
                <c:pt idx="5">
                  <c:v>28380.248419247146</c:v>
                </c:pt>
                <c:pt idx="6">
                  <c:v>30095.589136777715</c:v>
                </c:pt>
                <c:pt idx="7">
                  <c:v>33022.10366731968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'TNSP Analysis'!$A$143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'TNSP Analysis'!$B$103:$I$103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Analysis'!$B$143:$I$143</c:f>
              <c:numCache>
                <c:formatCode>#,##0</c:formatCode>
                <c:ptCount val="8"/>
                <c:pt idx="0">
                  <c:v>33099.671038732711</c:v>
                </c:pt>
                <c:pt idx="1">
                  <c:v>33582.370344527888</c:v>
                </c:pt>
                <c:pt idx="2">
                  <c:v>35445.429730062766</c:v>
                </c:pt>
                <c:pt idx="3">
                  <c:v>38605.534586175549</c:v>
                </c:pt>
                <c:pt idx="4">
                  <c:v>39820.78486613209</c:v>
                </c:pt>
                <c:pt idx="5">
                  <c:v>40958.144010420547</c:v>
                </c:pt>
                <c:pt idx="6">
                  <c:v>42825.207844782795</c:v>
                </c:pt>
                <c:pt idx="7">
                  <c:v>40680.903085040045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'TNSP Analysis'!$A$144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</c:spPr>
          </c:marker>
          <c:cat>
            <c:numRef>
              <c:f>'TNSP Analysis'!$B$103:$I$103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Analysis'!$B$144:$I$144</c:f>
              <c:numCache>
                <c:formatCode>#,##0</c:formatCode>
                <c:ptCount val="8"/>
                <c:pt idx="0">
                  <c:v>37384.407514393773</c:v>
                </c:pt>
                <c:pt idx="1">
                  <c:v>38044.882695479202</c:v>
                </c:pt>
                <c:pt idx="2">
                  <c:v>39280.691553345008</c:v>
                </c:pt>
                <c:pt idx="3">
                  <c:v>41189.720740728379</c:v>
                </c:pt>
                <c:pt idx="4">
                  <c:v>41070.470998609999</c:v>
                </c:pt>
                <c:pt idx="5">
                  <c:v>40970.924458470676</c:v>
                </c:pt>
                <c:pt idx="6">
                  <c:v>41833.689675033835</c:v>
                </c:pt>
                <c:pt idx="7">
                  <c:v>42505.696277990319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'TNSP Analysis'!$A$145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'TNSP Analysis'!$B$103:$I$103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Analysis'!$B$145:$I$145</c:f>
              <c:numCache>
                <c:formatCode>#,##0</c:formatCode>
                <c:ptCount val="8"/>
                <c:pt idx="0">
                  <c:v>26089.62658177322</c:v>
                </c:pt>
                <c:pt idx="1">
                  <c:v>26151.911238542289</c:v>
                </c:pt>
                <c:pt idx="2">
                  <c:v>27851.59163911346</c:v>
                </c:pt>
                <c:pt idx="3">
                  <c:v>29895.314983667784</c:v>
                </c:pt>
                <c:pt idx="4">
                  <c:v>33321.551589418064</c:v>
                </c:pt>
                <c:pt idx="5">
                  <c:v>35780.963519294528</c:v>
                </c:pt>
                <c:pt idx="6">
                  <c:v>37368.961949705372</c:v>
                </c:pt>
                <c:pt idx="7">
                  <c:v>37533.293865903048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'TNSP Analysis'!$A$146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'TNSP Analysis'!$B$103:$I$103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Analysis'!$B$146:$I$146</c:f>
              <c:numCache>
                <c:formatCode>#,##0</c:formatCode>
                <c:ptCount val="8"/>
                <c:pt idx="0">
                  <c:v>31432.49623978122</c:v>
                </c:pt>
                <c:pt idx="1">
                  <c:v>32139.49361617077</c:v>
                </c:pt>
                <c:pt idx="2">
                  <c:v>33405.609030868742</c:v>
                </c:pt>
                <c:pt idx="3">
                  <c:v>36007.504889283147</c:v>
                </c:pt>
                <c:pt idx="4">
                  <c:v>38667.530688055231</c:v>
                </c:pt>
                <c:pt idx="5">
                  <c:v>39184.676737880109</c:v>
                </c:pt>
                <c:pt idx="6">
                  <c:v>39696.981706701932</c:v>
                </c:pt>
                <c:pt idx="7">
                  <c:v>40819.221233746721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680512"/>
        <c:axId val="383682816"/>
      </c:lineChart>
      <c:catAx>
        <c:axId val="38368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3682816"/>
        <c:crosses val="autoZero"/>
        <c:auto val="1"/>
        <c:lblAlgn val="ctr"/>
        <c:lblOffset val="100"/>
        <c:noMultiLvlLbl val="0"/>
      </c:catAx>
      <c:valAx>
        <c:axId val="383682816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3680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'TNSP Analysis'!$A$149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'TNSP Analysis'!$B$103:$I$103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Analysis'!$B$149:$I$149</c:f>
              <c:numCache>
                <c:formatCode>#,##0</c:formatCode>
                <c:ptCount val="8"/>
                <c:pt idx="0">
                  <c:v>10814.610304123042</c:v>
                </c:pt>
                <c:pt idx="1">
                  <c:v>11606.758226110867</c:v>
                </c:pt>
                <c:pt idx="2">
                  <c:v>10538.248031369169</c:v>
                </c:pt>
                <c:pt idx="3">
                  <c:v>11304.13640577315</c:v>
                </c:pt>
                <c:pt idx="4">
                  <c:v>11628.634739328782</c:v>
                </c:pt>
                <c:pt idx="5">
                  <c:v>12647.066585961298</c:v>
                </c:pt>
                <c:pt idx="6">
                  <c:v>13792.89200802447</c:v>
                </c:pt>
                <c:pt idx="7">
                  <c:v>13109.907714189505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'TNSP Analysis'!$A$150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'TNSP Analysis'!$B$103:$I$103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Analysis'!$B$150:$I$150</c:f>
              <c:numCache>
                <c:formatCode>#,##0</c:formatCode>
                <c:ptCount val="8"/>
                <c:pt idx="0">
                  <c:v>12701.763293576492</c:v>
                </c:pt>
                <c:pt idx="1">
                  <c:v>13058.079051172985</c:v>
                </c:pt>
                <c:pt idx="2">
                  <c:v>13644.487845351836</c:v>
                </c:pt>
                <c:pt idx="3">
                  <c:v>12595.979123277304</c:v>
                </c:pt>
                <c:pt idx="4">
                  <c:v>12676.713703873671</c:v>
                </c:pt>
                <c:pt idx="5">
                  <c:v>11892.391249220935</c:v>
                </c:pt>
                <c:pt idx="6">
                  <c:v>12294.274804079289</c:v>
                </c:pt>
                <c:pt idx="7">
                  <c:v>12017.629337164468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'TNSP Analysis'!$A$151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</c:spPr>
          </c:marker>
          <c:cat>
            <c:numRef>
              <c:f>'TNSP Analysis'!$B$103:$I$103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Analysis'!$B$151:$I$151</c:f>
              <c:numCache>
                <c:formatCode>#,##0</c:formatCode>
                <c:ptCount val="8"/>
                <c:pt idx="0">
                  <c:v>11464.214239372088</c:v>
                </c:pt>
                <c:pt idx="1">
                  <c:v>11238.54675001034</c:v>
                </c:pt>
                <c:pt idx="2">
                  <c:v>10142.444610312003</c:v>
                </c:pt>
                <c:pt idx="3">
                  <c:v>13316.510519843627</c:v>
                </c:pt>
                <c:pt idx="4">
                  <c:v>13324.966201011477</c:v>
                </c:pt>
                <c:pt idx="5">
                  <c:v>12070.135511599259</c:v>
                </c:pt>
                <c:pt idx="6">
                  <c:v>11551.769125536495</c:v>
                </c:pt>
                <c:pt idx="7">
                  <c:v>11807.536398460628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'TNSP Analysis'!$A$152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'TNSP Analysis'!$B$103:$I$103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Analysis'!$B$152:$I$152</c:f>
              <c:numCache>
                <c:formatCode>#,##0</c:formatCode>
                <c:ptCount val="8"/>
                <c:pt idx="0">
                  <c:v>12370.842224930388</c:v>
                </c:pt>
                <c:pt idx="1">
                  <c:v>12580.571105633255</c:v>
                </c:pt>
                <c:pt idx="2">
                  <c:v>15045.275271247352</c:v>
                </c:pt>
                <c:pt idx="3">
                  <c:v>15027.708729074518</c:v>
                </c:pt>
                <c:pt idx="4">
                  <c:v>15252.80834163832</c:v>
                </c:pt>
                <c:pt idx="5">
                  <c:v>14414.248376451256</c:v>
                </c:pt>
                <c:pt idx="6">
                  <c:v>14105.28689704144</c:v>
                </c:pt>
                <c:pt idx="7">
                  <c:v>13191.18697473994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'TNSP Analysis'!$A$153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'TNSP Analysis'!$B$103:$I$103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Analysis'!$B$153:$I$153</c:f>
              <c:numCache>
                <c:formatCode>#,##0</c:formatCode>
                <c:ptCount val="8"/>
                <c:pt idx="0">
                  <c:v>12062.135356150673</c:v>
                </c:pt>
                <c:pt idx="1">
                  <c:v>11891.499654748763</c:v>
                </c:pt>
                <c:pt idx="2">
                  <c:v>11243.14479602247</c:v>
                </c:pt>
                <c:pt idx="3">
                  <c:v>11242.957496391777</c:v>
                </c:pt>
                <c:pt idx="4">
                  <c:v>12551.927880113661</c:v>
                </c:pt>
                <c:pt idx="5">
                  <c:v>11749.221916670946</c:v>
                </c:pt>
                <c:pt idx="6">
                  <c:v>12579.990346141944</c:v>
                </c:pt>
                <c:pt idx="7">
                  <c:v>11399.195644255449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734144"/>
        <c:axId val="383736448"/>
      </c:lineChart>
      <c:catAx>
        <c:axId val="38373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3736448"/>
        <c:crosses val="autoZero"/>
        <c:auto val="1"/>
        <c:lblAlgn val="ctr"/>
        <c:lblOffset val="100"/>
        <c:noMultiLvlLbl val="0"/>
      </c:catAx>
      <c:valAx>
        <c:axId val="383736448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3734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'Asset cost'!$A$7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'Asset cost'!$B$6:$I$6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cost'!$B$7:$I$7</c:f>
              <c:numCache>
                <c:formatCode>#,##0</c:formatCode>
                <c:ptCount val="8"/>
                <c:pt idx="0">
                  <c:v>134097.67724038381</c:v>
                </c:pt>
                <c:pt idx="1">
                  <c:v>140726.03708364067</c:v>
                </c:pt>
                <c:pt idx="2">
                  <c:v>141280.35052927604</c:v>
                </c:pt>
                <c:pt idx="3">
                  <c:v>150720.90407137561</c:v>
                </c:pt>
                <c:pt idx="4">
                  <c:v>154390.11094271895</c:v>
                </c:pt>
                <c:pt idx="5">
                  <c:v>156223.87368572876</c:v>
                </c:pt>
                <c:pt idx="6">
                  <c:v>166310.30216548411</c:v>
                </c:pt>
                <c:pt idx="7">
                  <c:v>182524.69168345578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'Asset cost'!$A$8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'Asset cost'!$B$6:$I$6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cost'!$B$8:$I$8</c:f>
              <c:numCache>
                <c:formatCode>#,##0</c:formatCode>
                <c:ptCount val="8"/>
                <c:pt idx="0">
                  <c:v>387100.65279797907</c:v>
                </c:pt>
                <c:pt idx="1">
                  <c:v>399193.63628540299</c:v>
                </c:pt>
                <c:pt idx="2">
                  <c:v>440338.57353656972</c:v>
                </c:pt>
                <c:pt idx="3">
                  <c:v>496389.9637090452</c:v>
                </c:pt>
                <c:pt idx="4">
                  <c:v>530293.39206228103</c:v>
                </c:pt>
                <c:pt idx="5">
                  <c:v>562560.10798312619</c:v>
                </c:pt>
                <c:pt idx="6">
                  <c:v>586662.52226567944</c:v>
                </c:pt>
                <c:pt idx="7">
                  <c:v>582143.72314692312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'Asset cost'!$A$9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</c:spPr>
          </c:marker>
          <c:cat>
            <c:numRef>
              <c:f>'Asset cost'!$B$6:$I$6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cost'!$B$9:$I$9</c:f>
              <c:numCache>
                <c:formatCode>#,##0</c:formatCode>
                <c:ptCount val="8"/>
                <c:pt idx="0">
                  <c:v>245727.71059211026</c:v>
                </c:pt>
                <c:pt idx="1">
                  <c:v>250069.0139573848</c:v>
                </c:pt>
                <c:pt idx="2">
                  <c:v>258191.98558013671</c:v>
                </c:pt>
                <c:pt idx="3">
                  <c:v>270740.03442880762</c:v>
                </c:pt>
                <c:pt idx="4">
                  <c:v>269956.20587386354</c:v>
                </c:pt>
                <c:pt idx="5">
                  <c:v>269301.88646552776</c:v>
                </c:pt>
                <c:pt idx="6">
                  <c:v>274972.84223399742</c:v>
                </c:pt>
                <c:pt idx="7">
                  <c:v>279389.94163523038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'Asset cost'!$A$10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'Asset cost'!$B$6:$I$6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cost'!$B$10:$I$10</c:f>
              <c:numCache>
                <c:formatCode>#,##0</c:formatCode>
                <c:ptCount val="8"/>
                <c:pt idx="0">
                  <c:v>93434.779677304425</c:v>
                </c:pt>
                <c:pt idx="1">
                  <c:v>94730.068079371733</c:v>
                </c:pt>
                <c:pt idx="2">
                  <c:v>100886.82039436069</c:v>
                </c:pt>
                <c:pt idx="3">
                  <c:v>105240.47733700571</c:v>
                </c:pt>
                <c:pt idx="4">
                  <c:v>116002.31754824112</c:v>
                </c:pt>
                <c:pt idx="5">
                  <c:v>124993.63986195158</c:v>
                </c:pt>
                <c:pt idx="6">
                  <c:v>130540.99477890579</c:v>
                </c:pt>
                <c:pt idx="7">
                  <c:v>131486.25973809289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'Asset cost'!$A$11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'Asset cost'!$B$6:$I$6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cost'!$B$11:$I$11</c:f>
              <c:numCache>
                <c:formatCode>#,##0</c:formatCode>
                <c:ptCount val="8"/>
                <c:pt idx="0">
                  <c:v>393447.81633997295</c:v>
                </c:pt>
                <c:pt idx="1">
                  <c:v>402595.17394600157</c:v>
                </c:pt>
                <c:pt idx="2">
                  <c:v>418355.61237661121</c:v>
                </c:pt>
                <c:pt idx="3">
                  <c:v>450934.55034769932</c:v>
                </c:pt>
                <c:pt idx="4">
                  <c:v>490399.3725825022</c:v>
                </c:pt>
                <c:pt idx="5">
                  <c:v>496934.70208908257</c:v>
                </c:pt>
                <c:pt idx="6">
                  <c:v>504040.79400520772</c:v>
                </c:pt>
                <c:pt idx="7">
                  <c:v>526307.40482619777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929728"/>
        <c:axId val="381936384"/>
      </c:lineChart>
      <c:catAx>
        <c:axId val="38192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1936384"/>
        <c:crosses val="autoZero"/>
        <c:auto val="1"/>
        <c:lblAlgn val="ctr"/>
        <c:lblOffset val="100"/>
        <c:noMultiLvlLbl val="0"/>
      </c:catAx>
      <c:valAx>
        <c:axId val="381936384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1929728"/>
        <c:crosses val="autoZero"/>
        <c:crossBetween val="between"/>
        <c:dispUnits>
          <c:builtInUnit val="thousands"/>
        </c:dispUnits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'Asset cost'!$A$15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'Asset cost'!$B$14:$I$14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cost'!$B$15:$I$15</c:f>
              <c:numCache>
                <c:formatCode>#,##0</c:formatCode>
                <c:ptCount val="8"/>
                <c:pt idx="0">
                  <c:v>194665.32401842676</c:v>
                </c:pt>
                <c:pt idx="1">
                  <c:v>204779.89389657369</c:v>
                </c:pt>
                <c:pt idx="2">
                  <c:v>199437.4532543041</c:v>
                </c:pt>
                <c:pt idx="3">
                  <c:v>212935.12917960071</c:v>
                </c:pt>
                <c:pt idx="4">
                  <c:v>218367.01020040718</c:v>
                </c:pt>
                <c:pt idx="5">
                  <c:v>225841.78906240576</c:v>
                </c:pt>
                <c:pt idx="6">
                  <c:v>242530.7751113759</c:v>
                </c:pt>
                <c:pt idx="7">
                  <c:v>254987.72697757342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'Asset cost'!$A$16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'Asset cost'!$B$14:$I$14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cost'!$B$16:$I$16</c:f>
              <c:numCache>
                <c:formatCode>#,##0</c:formatCode>
                <c:ptCount val="8"/>
                <c:pt idx="0">
                  <c:v>535647.77451635618</c:v>
                </c:pt>
                <c:pt idx="1">
                  <c:v>554415.02196669625</c:v>
                </c:pt>
                <c:pt idx="2">
                  <c:v>609844.04603937559</c:v>
                </c:pt>
                <c:pt idx="3">
                  <c:v>658349.06327614479</c:v>
                </c:pt>
                <c:pt idx="4">
                  <c:v>699109.18845676677</c:v>
                </c:pt>
                <c:pt idx="5">
                  <c:v>725902.10179117578</c:v>
                </c:pt>
                <c:pt idx="6">
                  <c:v>755081.79280676157</c:v>
                </c:pt>
                <c:pt idx="7">
                  <c:v>754115.99896174669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'Asset cost'!$A$17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</c:spPr>
          </c:marker>
          <c:cat>
            <c:numRef>
              <c:f>'Asset cost'!$B$14:$I$14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cost'!$B$17:$I$17</c:f>
              <c:numCache>
                <c:formatCode>#,##0</c:formatCode>
                <c:ptCount val="8"/>
                <c:pt idx="0">
                  <c:v>321081.99078750296</c:v>
                </c:pt>
                <c:pt idx="1">
                  <c:v>323939.98174520279</c:v>
                </c:pt>
                <c:pt idx="2">
                  <c:v>324858.27400371747</c:v>
                </c:pt>
                <c:pt idx="3">
                  <c:v>358269.45807573979</c:v>
                </c:pt>
                <c:pt idx="4">
                  <c:v>357541.20871311199</c:v>
                </c:pt>
                <c:pt idx="5">
                  <c:v>348638.88718326972</c:v>
                </c:pt>
                <c:pt idx="6">
                  <c:v>350902.62069614884</c:v>
                </c:pt>
                <c:pt idx="7">
                  <c:v>357000.87838231208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'Asset cost'!$A$18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'Asset cost'!$B$14:$I$14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cost'!$B$18:$I$18</c:f>
              <c:numCache>
                <c:formatCode>#,##0</c:formatCode>
                <c:ptCount val="8"/>
                <c:pt idx="0">
                  <c:v>137738.47693744762</c:v>
                </c:pt>
                <c:pt idx="1">
                  <c:v>140300.67079530709</c:v>
                </c:pt>
                <c:pt idx="2">
                  <c:v>155385.32100939998</c:v>
                </c:pt>
                <c:pt idx="3">
                  <c:v>158142.52037596673</c:v>
                </c:pt>
                <c:pt idx="4">
                  <c:v>169101.9192279866</c:v>
                </c:pt>
                <c:pt idx="5">
                  <c:v>175346.93371540876</c:v>
                </c:pt>
                <c:pt idx="6">
                  <c:v>179814.99349634067</c:v>
                </c:pt>
                <c:pt idx="7">
                  <c:v>177697.49403613212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'Asset cost'!$A$19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'Asset cost'!$B$14:$I$14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cost'!$B$19:$I$19</c:f>
              <c:numCache>
                <c:formatCode>#,##0</c:formatCode>
                <c:ptCount val="8"/>
                <c:pt idx="0">
                  <c:v>544432.35094617819</c:v>
                </c:pt>
                <c:pt idx="1">
                  <c:v>551553.97302221402</c:v>
                </c:pt>
                <c:pt idx="2">
                  <c:v>559159.29363362584</c:v>
                </c:pt>
                <c:pt idx="3">
                  <c:v>591734.03086717986</c:v>
                </c:pt>
                <c:pt idx="4">
                  <c:v>649588.68329300056</c:v>
                </c:pt>
                <c:pt idx="5">
                  <c:v>645936.72479290096</c:v>
                </c:pt>
                <c:pt idx="6">
                  <c:v>663771.5354881736</c:v>
                </c:pt>
                <c:pt idx="7">
                  <c:v>673284.26757129584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246272"/>
        <c:axId val="382248832"/>
      </c:lineChart>
      <c:catAx>
        <c:axId val="38224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2248832"/>
        <c:crosses val="autoZero"/>
        <c:auto val="1"/>
        <c:lblAlgn val="ctr"/>
        <c:lblOffset val="100"/>
        <c:noMultiLvlLbl val="0"/>
      </c:catAx>
      <c:valAx>
        <c:axId val="38224883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2246272"/>
        <c:crosses val="autoZero"/>
        <c:crossBetween val="between"/>
        <c:dispUnits>
          <c:builtInUnit val="thousands"/>
        </c:dispUnits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Capex!$A$25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Capex!$B$25:$I$25</c:f>
              <c:numCache>
                <c:formatCode>#,##0</c:formatCode>
                <c:ptCount val="8"/>
                <c:pt idx="0">
                  <c:v>111625.89944859399</c:v>
                </c:pt>
                <c:pt idx="1">
                  <c:v>97833.084017792615</c:v>
                </c:pt>
                <c:pt idx="2">
                  <c:v>190890.64355915808</c:v>
                </c:pt>
                <c:pt idx="3">
                  <c:v>67038.037812717419</c:v>
                </c:pt>
                <c:pt idx="4">
                  <c:v>22611.044836219116</c:v>
                </c:pt>
                <c:pt idx="5">
                  <c:v>104974.23426544189</c:v>
                </c:pt>
                <c:pt idx="6">
                  <c:v>331530.38903088192</c:v>
                </c:pt>
                <c:pt idx="7">
                  <c:v>183177.92128168236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Capex!$A$26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Capex!$B$26:$I$26</c:f>
              <c:numCache>
                <c:formatCode>#,##0</c:formatCode>
                <c:ptCount val="8"/>
                <c:pt idx="0">
                  <c:v>336808.85701458063</c:v>
                </c:pt>
                <c:pt idx="1">
                  <c:v>310492.26898986986</c:v>
                </c:pt>
                <c:pt idx="2">
                  <c:v>797690.98617175943</c:v>
                </c:pt>
                <c:pt idx="3">
                  <c:v>761605.45980087284</c:v>
                </c:pt>
                <c:pt idx="4">
                  <c:v>525946.74034403835</c:v>
                </c:pt>
                <c:pt idx="5">
                  <c:v>501694.44789251813</c:v>
                </c:pt>
                <c:pt idx="6">
                  <c:v>529119.87857032591</c:v>
                </c:pt>
                <c:pt idx="7">
                  <c:v>518019.21865898353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Capex!$A$27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Capex!$B$27:$I$27</c:f>
              <c:numCache>
                <c:formatCode>#,##0</c:formatCode>
                <c:ptCount val="8"/>
                <c:pt idx="0">
                  <c:v>73269.092405122225</c:v>
                </c:pt>
                <c:pt idx="1">
                  <c:v>97639.314745724056</c:v>
                </c:pt>
                <c:pt idx="2">
                  <c:v>124870.71250655022</c:v>
                </c:pt>
                <c:pt idx="3">
                  <c:v>46977.738247578032</c:v>
                </c:pt>
                <c:pt idx="4">
                  <c:v>94683.309219206669</c:v>
                </c:pt>
                <c:pt idx="5">
                  <c:v>117078.52224193548</c:v>
                </c:pt>
                <c:pt idx="6">
                  <c:v>130261.06501195219</c:v>
                </c:pt>
                <c:pt idx="7">
                  <c:v>169322.12221011671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Capex!$A$28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Capex!$B$28:$I$28</c:f>
              <c:numCache>
                <c:formatCode>#,##0</c:formatCode>
                <c:ptCount val="8"/>
                <c:pt idx="0">
                  <c:v>84601.613365155135</c:v>
                </c:pt>
                <c:pt idx="1">
                  <c:v>118438.52193995382</c:v>
                </c:pt>
                <c:pt idx="2">
                  <c:v>70124.255892255896</c:v>
                </c:pt>
                <c:pt idx="3">
                  <c:v>93127.956709956707</c:v>
                </c:pt>
                <c:pt idx="4">
                  <c:v>55426.19724284199</c:v>
                </c:pt>
                <c:pt idx="5">
                  <c:v>240291.58307533539</c:v>
                </c:pt>
                <c:pt idx="6">
                  <c:v>110576.60120240481</c:v>
                </c:pt>
                <c:pt idx="7">
                  <c:v>89848.533333333326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Capex!$A$29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Capex!$B$29:$I$29</c:f>
              <c:numCache>
                <c:formatCode>#,##0</c:formatCode>
                <c:ptCount val="8"/>
                <c:pt idx="0">
                  <c:v>202641.68019093078</c:v>
                </c:pt>
                <c:pt idx="1">
                  <c:v>273419.08545034641</c:v>
                </c:pt>
                <c:pt idx="2">
                  <c:v>396382.76992143656</c:v>
                </c:pt>
                <c:pt idx="3">
                  <c:v>623166.77620147483</c:v>
                </c:pt>
                <c:pt idx="4">
                  <c:v>267425.97339923622</c:v>
                </c:pt>
                <c:pt idx="5">
                  <c:v>400793.38515651494</c:v>
                </c:pt>
                <c:pt idx="6">
                  <c:v>396433.4350165425</c:v>
                </c:pt>
                <c:pt idx="7">
                  <c:v>397012.00368831807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280448"/>
        <c:axId val="382282368"/>
      </c:lineChart>
      <c:catAx>
        <c:axId val="38228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2282368"/>
        <c:crosses val="autoZero"/>
        <c:auto val="1"/>
        <c:lblAlgn val="ctr"/>
        <c:lblOffset val="100"/>
        <c:noMultiLvlLbl val="0"/>
      </c:catAx>
      <c:valAx>
        <c:axId val="382282368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2280448"/>
        <c:crosses val="autoZero"/>
        <c:crossBetween val="between"/>
        <c:dispUnits>
          <c:builtInUnit val="thousands"/>
        </c:dispUnits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'TNSP Analysis'!$A$34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Analysis'!$B$34:$I$34</c:f>
              <c:numCache>
                <c:formatCode>#,##0</c:formatCode>
                <c:ptCount val="8"/>
                <c:pt idx="0">
                  <c:v>16604.404040772657</c:v>
                </c:pt>
                <c:pt idx="1">
                  <c:v>17256.580598225519</c:v>
                </c:pt>
                <c:pt idx="2">
                  <c:v>14536.157319376152</c:v>
                </c:pt>
                <c:pt idx="3">
                  <c:v>15161.689050925366</c:v>
                </c:pt>
                <c:pt idx="4">
                  <c:v>15691.534494213074</c:v>
                </c:pt>
                <c:pt idx="5">
                  <c:v>16560.283027516758</c:v>
                </c:pt>
                <c:pt idx="6">
                  <c:v>18858.494481218258</c:v>
                </c:pt>
                <c:pt idx="7">
                  <c:v>17519.426920010897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'TNSP Analysis'!$A$35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Analysis'!$B$35:$I$35</c:f>
              <c:numCache>
                <c:formatCode>#,##0</c:formatCode>
                <c:ptCount val="8"/>
                <c:pt idx="0">
                  <c:v>14415.576420959094</c:v>
                </c:pt>
                <c:pt idx="1">
                  <c:v>14108.007380948115</c:v>
                </c:pt>
                <c:pt idx="2">
                  <c:v>15497.695966811765</c:v>
                </c:pt>
                <c:pt idx="3">
                  <c:v>14310.317469379264</c:v>
                </c:pt>
                <c:pt idx="4">
                  <c:v>14657.538013853176</c:v>
                </c:pt>
                <c:pt idx="5">
                  <c:v>14478.68585627112</c:v>
                </c:pt>
                <c:pt idx="6">
                  <c:v>15276.063141355702</c:v>
                </c:pt>
                <c:pt idx="7">
                  <c:v>15697.063690775722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'TNSP Analysis'!$A$36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Analysis'!$B$36:$I$36</c:f>
              <c:numCache>
                <c:formatCode>#,##0</c:formatCode>
                <c:ptCount val="8"/>
                <c:pt idx="0">
                  <c:v>9979.7080019061323</c:v>
                </c:pt>
                <c:pt idx="1">
                  <c:v>8149.9752081397146</c:v>
                </c:pt>
                <c:pt idx="2">
                  <c:v>7141.6637482357264</c:v>
                </c:pt>
                <c:pt idx="3">
                  <c:v>8994.3045266663066</c:v>
                </c:pt>
                <c:pt idx="4">
                  <c:v>9113.3371803801238</c:v>
                </c:pt>
                <c:pt idx="5">
                  <c:v>8523.6197979933113</c:v>
                </c:pt>
                <c:pt idx="6">
                  <c:v>8733.5939496308802</c:v>
                </c:pt>
                <c:pt idx="7">
                  <c:v>8307.6364622892561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'TNSP Analysis'!$A$37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Analysis'!$B$37:$I$37</c:f>
              <c:numCache>
                <c:formatCode>#,##0</c:formatCode>
                <c:ptCount val="8"/>
                <c:pt idx="0">
                  <c:v>17180.759178876022</c:v>
                </c:pt>
                <c:pt idx="1">
                  <c:v>17581.142522243437</c:v>
                </c:pt>
                <c:pt idx="2">
                  <c:v>21495.446040820101</c:v>
                </c:pt>
                <c:pt idx="3">
                  <c:v>20633.370492362254</c:v>
                </c:pt>
                <c:pt idx="4">
                  <c:v>20793.267817632466</c:v>
                </c:pt>
                <c:pt idx="5">
                  <c:v>19999.941951714591</c:v>
                </c:pt>
                <c:pt idx="6">
                  <c:v>19600.721399742655</c:v>
                </c:pt>
                <c:pt idx="7">
                  <c:v>18608.8454681722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'TNSP Analysis'!$A$38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Analysis'!$B$38:$I$38</c:f>
              <c:numCache>
                <c:formatCode>#,##0</c:formatCode>
                <c:ptCount val="8"/>
                <c:pt idx="0">
                  <c:v>8482.2772250677117</c:v>
                </c:pt>
                <c:pt idx="1">
                  <c:v>8184.5493997918957</c:v>
                </c:pt>
                <c:pt idx="2">
                  <c:v>7866.1274445259551</c:v>
                </c:pt>
                <c:pt idx="3">
                  <c:v>7610.7827307827292</c:v>
                </c:pt>
                <c:pt idx="4">
                  <c:v>8698.8694377321517</c:v>
                </c:pt>
                <c:pt idx="5">
                  <c:v>8010.8614356891585</c:v>
                </c:pt>
                <c:pt idx="6">
                  <c:v>8973.6371619643778</c:v>
                </c:pt>
                <c:pt idx="7">
                  <c:v>8595.1381722279548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331904"/>
        <c:axId val="382334464"/>
      </c:lineChart>
      <c:catAx>
        <c:axId val="38233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2334464"/>
        <c:crosses val="autoZero"/>
        <c:auto val="1"/>
        <c:lblAlgn val="ctr"/>
        <c:lblOffset val="100"/>
        <c:noMultiLvlLbl val="0"/>
      </c:catAx>
      <c:valAx>
        <c:axId val="382334464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2331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'TNSP Analysis'!$A$27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Analysis'!$B$27:$I$27</c:f>
              <c:numCache>
                <c:formatCode>#,##0</c:formatCode>
                <c:ptCount val="8"/>
                <c:pt idx="0">
                  <c:v>36762.399272141607</c:v>
                </c:pt>
                <c:pt idx="1">
                  <c:v>37912.630433713297</c:v>
                </c:pt>
                <c:pt idx="2">
                  <c:v>35312.51223328842</c:v>
                </c:pt>
                <c:pt idx="3">
                  <c:v>36730.883926133363</c:v>
                </c:pt>
                <c:pt idx="4">
                  <c:v>37867.070450931977</c:v>
                </c:pt>
                <c:pt idx="5">
                  <c:v>37161.577589515349</c:v>
                </c:pt>
                <c:pt idx="6">
                  <c:v>41148.549652584778</c:v>
                </c:pt>
                <c:pt idx="7">
                  <c:v>44129.092634150358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'TNSP Analysis'!$A$28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Analysis'!$B$28:$I$28</c:f>
              <c:numCache>
                <c:formatCode>#,##0</c:formatCode>
                <c:ptCount val="8"/>
                <c:pt idx="0">
                  <c:v>37565.716376462588</c:v>
                </c:pt>
                <c:pt idx="1">
                  <c:v>36282.544073569043</c:v>
                </c:pt>
                <c:pt idx="2">
                  <c:v>40259.663799446826</c:v>
                </c:pt>
                <c:pt idx="3">
                  <c:v>43859.826266489661</c:v>
                </c:pt>
                <c:pt idx="4">
                  <c:v>46043.058283981336</c:v>
                </c:pt>
                <c:pt idx="5">
                  <c:v>49865.505427400072</c:v>
                </c:pt>
                <c:pt idx="6">
                  <c:v>53211.807081253559</c:v>
                </c:pt>
                <c:pt idx="7">
                  <c:v>53136.164280701429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'TNSP Analysis'!$A$29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Analysis'!$B$29:$I$29</c:f>
              <c:numCache>
                <c:formatCode>#,##0</c:formatCode>
                <c:ptCount val="8"/>
                <c:pt idx="0">
                  <c:v>32543.483838308814</c:v>
                </c:pt>
                <c:pt idx="1">
                  <c:v>27589.407924512467</c:v>
                </c:pt>
                <c:pt idx="2">
                  <c:v>27658.962079707497</c:v>
                </c:pt>
                <c:pt idx="3">
                  <c:v>27820.56839578156</c:v>
                </c:pt>
                <c:pt idx="4">
                  <c:v>28089.30579793474</c:v>
                </c:pt>
                <c:pt idx="5">
                  <c:v>28932.6149255501</c:v>
                </c:pt>
                <c:pt idx="6">
                  <c:v>31627.922534302135</c:v>
                </c:pt>
                <c:pt idx="7">
                  <c:v>29906.481787349159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'TNSP Analysis'!$A$30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Analysis'!$B$30:$I$30</c:f>
              <c:numCache>
                <c:formatCode>#,##0</c:formatCode>
                <c:ptCount val="8"/>
                <c:pt idx="0">
                  <c:v>36233.554936537104</c:v>
                </c:pt>
                <c:pt idx="1">
                  <c:v>36546.868568470156</c:v>
                </c:pt>
                <c:pt idx="2">
                  <c:v>39792.05261691998</c:v>
                </c:pt>
                <c:pt idx="3">
                  <c:v>41046.916809777307</c:v>
                </c:pt>
                <c:pt idx="4">
                  <c:v>45425.336159662605</c:v>
                </c:pt>
                <c:pt idx="5">
                  <c:v>49646.514661938323</c:v>
                </c:pt>
                <c:pt idx="6">
                  <c:v>51927.948542995684</c:v>
                </c:pt>
                <c:pt idx="7">
                  <c:v>52948.325787479414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'TNSP Analysis'!$A$31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Analysis'!$B$31:$I$31</c:f>
              <c:numCache>
                <c:formatCode>#,##0</c:formatCode>
                <c:ptCount val="8"/>
                <c:pt idx="0">
                  <c:v>22103.809906740054</c:v>
                </c:pt>
                <c:pt idx="1">
                  <c:v>22120.613953077009</c:v>
                </c:pt>
                <c:pt idx="2">
                  <c:v>23371.821920481074</c:v>
                </c:pt>
                <c:pt idx="3">
                  <c:v>24374.840559335098</c:v>
                </c:pt>
                <c:pt idx="4">
                  <c:v>26797.779922541104</c:v>
                </c:pt>
                <c:pt idx="5">
                  <c:v>26716.919467154974</c:v>
                </c:pt>
                <c:pt idx="6">
                  <c:v>28316.898539618411</c:v>
                </c:pt>
                <c:pt idx="7">
                  <c:v>30778.210808549575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740352"/>
        <c:axId val="382767488"/>
      </c:lineChart>
      <c:catAx>
        <c:axId val="38274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2767488"/>
        <c:crosses val="autoZero"/>
        <c:auto val="1"/>
        <c:lblAlgn val="ctr"/>
        <c:lblOffset val="100"/>
        <c:noMultiLvlLbl val="0"/>
      </c:catAx>
      <c:valAx>
        <c:axId val="382767488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2740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'TNSP Analysis'!$A$20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Analysis'!$B$20:$I$20</c:f>
              <c:numCache>
                <c:formatCode>#,##0</c:formatCode>
                <c:ptCount val="8"/>
                <c:pt idx="0">
                  <c:v>53366.803312914264</c:v>
                </c:pt>
                <c:pt idx="1">
                  <c:v>55169.211031938816</c:v>
                </c:pt>
                <c:pt idx="2">
                  <c:v>49848.669552664571</c:v>
                </c:pt>
                <c:pt idx="3">
                  <c:v>51892.572977058728</c:v>
                </c:pt>
                <c:pt idx="4">
                  <c:v>53558.604945145053</c:v>
                </c:pt>
                <c:pt idx="5">
                  <c:v>53721.860617032107</c:v>
                </c:pt>
                <c:pt idx="6">
                  <c:v>60007.044133803036</c:v>
                </c:pt>
                <c:pt idx="7">
                  <c:v>61648.519554161256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'TNSP Analysis'!$A$21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Analysis'!$B$21:$I$21</c:f>
              <c:numCache>
                <c:formatCode>#,##0</c:formatCode>
                <c:ptCount val="8"/>
                <c:pt idx="0">
                  <c:v>51981.29279742168</c:v>
                </c:pt>
                <c:pt idx="1">
                  <c:v>50390.551454517161</c:v>
                </c:pt>
                <c:pt idx="2">
                  <c:v>55757.359766258589</c:v>
                </c:pt>
                <c:pt idx="3">
                  <c:v>58170.143735868929</c:v>
                </c:pt>
                <c:pt idx="4">
                  <c:v>60700.596297834512</c:v>
                </c:pt>
                <c:pt idx="5">
                  <c:v>64344.191283671193</c:v>
                </c:pt>
                <c:pt idx="6">
                  <c:v>68487.870222609257</c:v>
                </c:pt>
                <c:pt idx="7">
                  <c:v>68833.227971477143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'TNSP Analysis'!$A$22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Analysis'!$B$22:$I$22</c:f>
              <c:numCache>
                <c:formatCode>#,##0</c:formatCode>
                <c:ptCount val="8"/>
                <c:pt idx="0">
                  <c:v>42523.191840214946</c:v>
                </c:pt>
                <c:pt idx="1">
                  <c:v>35739.383132652183</c:v>
                </c:pt>
                <c:pt idx="2">
                  <c:v>34800.625827943222</c:v>
                </c:pt>
                <c:pt idx="3">
                  <c:v>36814.872922447867</c:v>
                </c:pt>
                <c:pt idx="4">
                  <c:v>37202.642978314863</c:v>
                </c:pt>
                <c:pt idx="5">
                  <c:v>37456.234723543414</c:v>
                </c:pt>
                <c:pt idx="6">
                  <c:v>40361.516483933017</c:v>
                </c:pt>
                <c:pt idx="7">
                  <c:v>38214.118249638414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'TNSP Analysis'!$A$23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Analysis'!$B$23:$I$23</c:f>
              <c:numCache>
                <c:formatCode>#,##0</c:formatCode>
                <c:ptCount val="8"/>
                <c:pt idx="0">
                  <c:v>53414.31411541313</c:v>
                </c:pt>
                <c:pt idx="1">
                  <c:v>54128.011090713597</c:v>
                </c:pt>
                <c:pt idx="2">
                  <c:v>61287.498657740085</c:v>
                </c:pt>
                <c:pt idx="3">
                  <c:v>61680.287302139564</c:v>
                </c:pt>
                <c:pt idx="4">
                  <c:v>66218.603977295075</c:v>
                </c:pt>
                <c:pt idx="5">
                  <c:v>69646.456613652917</c:v>
                </c:pt>
                <c:pt idx="6">
                  <c:v>71528.669942738343</c:v>
                </c:pt>
                <c:pt idx="7">
                  <c:v>71557.171255651614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'TNSP Analysis'!$A$24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'TNSP Analysis'!$B$19:$I$19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Analysis'!$B$24:$I$24</c:f>
              <c:numCache>
                <c:formatCode>#,##0</c:formatCode>
                <c:ptCount val="8"/>
                <c:pt idx="0">
                  <c:v>30586.087131807766</c:v>
                </c:pt>
                <c:pt idx="1">
                  <c:v>30305.163352868905</c:v>
                </c:pt>
                <c:pt idx="2">
                  <c:v>31237.949365007029</c:v>
                </c:pt>
                <c:pt idx="3">
                  <c:v>31985.623290117826</c:v>
                </c:pt>
                <c:pt idx="4">
                  <c:v>35496.649360273252</c:v>
                </c:pt>
                <c:pt idx="5">
                  <c:v>34727.780902844133</c:v>
                </c:pt>
                <c:pt idx="6">
                  <c:v>37290.53570158279</c:v>
                </c:pt>
                <c:pt idx="7">
                  <c:v>39373.348980777533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793216"/>
        <c:axId val="382795136"/>
      </c:lineChart>
      <c:catAx>
        <c:axId val="38279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2795136"/>
        <c:crosses val="autoZero"/>
        <c:auto val="1"/>
        <c:lblAlgn val="ctr"/>
        <c:lblOffset val="100"/>
        <c:noMultiLvlLbl val="0"/>
      </c:catAx>
      <c:valAx>
        <c:axId val="382795136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2793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'TNSP Analysis'!$A$55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'TNSP Analysis'!$B$33:$I$33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Analysis'!$B$55:$I$55</c:f>
              <c:numCache>
                <c:formatCode>#,##0</c:formatCode>
                <c:ptCount val="8"/>
                <c:pt idx="0">
                  <c:v>5261.6732352288618</c:v>
                </c:pt>
                <c:pt idx="1">
                  <c:v>5526.8869936522742</c:v>
                </c:pt>
                <c:pt idx="2">
                  <c:v>4819.4763219852366</c:v>
                </c:pt>
                <c:pt idx="3">
                  <c:v>4965.1818507613752</c:v>
                </c:pt>
                <c:pt idx="4">
                  <c:v>5079.5070509712687</c:v>
                </c:pt>
                <c:pt idx="5">
                  <c:v>5212.833702231881</c:v>
                </c:pt>
                <c:pt idx="6">
                  <c:v>5444.2806084164959</c:v>
                </c:pt>
                <c:pt idx="7">
                  <c:v>5006.0473015120888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'TNSP Analysis'!$A$56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'TNSP Analysis'!$B$33:$I$33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Analysis'!$B$56:$I$56</c:f>
              <c:numCache>
                <c:formatCode>#,##0</c:formatCode>
                <c:ptCount val="8"/>
                <c:pt idx="0">
                  <c:v>17766.669264247947</c:v>
                </c:pt>
                <c:pt idx="1">
                  <c:v>16919.706309275483</c:v>
                </c:pt>
                <c:pt idx="2">
                  <c:v>17426.284826031238</c:v>
                </c:pt>
                <c:pt idx="3">
                  <c:v>15203.14461345157</c:v>
                </c:pt>
                <c:pt idx="4">
                  <c:v>15174.453608493095</c:v>
                </c:pt>
                <c:pt idx="5">
                  <c:v>14525.744224815431</c:v>
                </c:pt>
                <c:pt idx="6">
                  <c:v>14520.154370297627</c:v>
                </c:pt>
                <c:pt idx="7">
                  <c:v>14013.386230021475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'TNSP Analysis'!$A$57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</c:spPr>
          </c:marker>
          <c:cat>
            <c:numRef>
              <c:f>'TNSP Analysis'!$B$33:$I$33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Analysis'!$B$57:$I$57</c:f>
              <c:numCache>
                <c:formatCode>#,##0</c:formatCode>
                <c:ptCount val="8"/>
                <c:pt idx="0">
                  <c:v>4945.8696094325687</c:v>
                </c:pt>
                <c:pt idx="1">
                  <c:v>4852.1112540850581</c:v>
                </c:pt>
                <c:pt idx="2">
                  <c:v>4122.9398639162864</c:v>
                </c:pt>
                <c:pt idx="3">
                  <c:v>5290.5131370315485</c:v>
                </c:pt>
                <c:pt idx="4">
                  <c:v>5086.3552486264743</c:v>
                </c:pt>
                <c:pt idx="5">
                  <c:v>4615.4070320276178</c:v>
                </c:pt>
                <c:pt idx="6">
                  <c:v>4305.7272896550749</c:v>
                </c:pt>
                <c:pt idx="7">
                  <c:v>4385.7154742562961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'TNSP Analysis'!$A$58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'TNSP Analysis'!$B$33:$I$33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Analysis'!$B$58:$I$58</c:f>
              <c:numCache>
                <c:formatCode>#,##0</c:formatCode>
                <c:ptCount val="8"/>
                <c:pt idx="0">
                  <c:v>10646.856017529366</c:v>
                </c:pt>
                <c:pt idx="1">
                  <c:v>10719.468083349488</c:v>
                </c:pt>
                <c:pt idx="2">
                  <c:v>12656.409803771316</c:v>
                </c:pt>
                <c:pt idx="3">
                  <c:v>11912.19163228125</c:v>
                </c:pt>
                <c:pt idx="4">
                  <c:v>11889.745114139159</c:v>
                </c:pt>
                <c:pt idx="5">
                  <c:v>10803.109601685728</c:v>
                </c:pt>
                <c:pt idx="6">
                  <c:v>10306.211821258077</c:v>
                </c:pt>
                <c:pt idx="7">
                  <c:v>9332.7747749246118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'TNSP Analysis'!$A$59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'TNSP Analysis'!$B$33:$I$33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'TNSP Analysis'!$B$59:$I$59</c:f>
              <c:numCache>
                <c:formatCode>#,##0</c:formatCode>
                <c:ptCount val="8"/>
                <c:pt idx="0">
                  <c:v>5557.2356217087581</c:v>
                </c:pt>
                <c:pt idx="1">
                  <c:v>5396.2758685774706</c:v>
                </c:pt>
                <c:pt idx="2">
                  <c:v>5212.2485102915007</c:v>
                </c:pt>
                <c:pt idx="3">
                  <c:v>5025.1429572604484</c:v>
                </c:pt>
                <c:pt idx="4">
                  <c:v>5365.5098153122244</c:v>
                </c:pt>
                <c:pt idx="5">
                  <c:v>4879.0734046241969</c:v>
                </c:pt>
                <c:pt idx="6">
                  <c:v>5049.3374686402576</c:v>
                </c:pt>
                <c:pt idx="7">
                  <c:v>4593.7447333989066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891520"/>
        <c:axId val="382914560"/>
      </c:lineChart>
      <c:catAx>
        <c:axId val="38289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2914560"/>
        <c:crosses val="autoZero"/>
        <c:auto val="1"/>
        <c:lblAlgn val="ctr"/>
        <c:lblOffset val="100"/>
        <c:noMultiLvlLbl val="0"/>
      </c:catAx>
      <c:valAx>
        <c:axId val="382914560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2891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'TNSP Analysis'!$A$48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pPr>
              <a:solidFill>
                <a:srgbClr val="FD8D3C"/>
              </a:solidFill>
              <a:ln>
                <a:solidFill>
                  <a:srgbClr val="FD8D3C"/>
                </a:solidFill>
              </a:ln>
            </c:spPr>
          </c:marker>
          <c:cat>
            <c:numRef>
              <c:f>'TNSP Analysis'!$D$61:$I$61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'TNSP Analysis'!$B$48:$I$48</c:f>
              <c:numCache>
                <c:formatCode>#,##0</c:formatCode>
                <c:ptCount val="8"/>
                <c:pt idx="0">
                  <c:v>11649.423360094501</c:v>
                </c:pt>
                <c:pt idx="1">
                  <c:v>12142.546018692839</c:v>
                </c:pt>
                <c:pt idx="2">
                  <c:v>11707.895892905175</c:v>
                </c:pt>
                <c:pt idx="3">
                  <c:v>12028.707198775397</c:v>
                </c:pt>
                <c:pt idx="4">
                  <c:v>12257.950388859075</c:v>
                </c:pt>
                <c:pt idx="5">
                  <c:v>11697.694040907874</c:v>
                </c:pt>
                <c:pt idx="6">
                  <c:v>11879.222445945679</c:v>
                </c:pt>
                <c:pt idx="7">
                  <c:v>12609.563435379083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'TNSP Analysis'!$A$49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</c:spPr>
          </c:marker>
          <c:cat>
            <c:numRef>
              <c:f>'TNSP Analysis'!$D$61:$I$61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'TNSP Analysis'!$B$49:$I$49</c:f>
              <c:numCache>
                <c:formatCode>#,##0</c:formatCode>
                <c:ptCount val="8"/>
                <c:pt idx="0">
                  <c:v>46298.367754811516</c:v>
                </c:pt>
                <c:pt idx="1">
                  <c:v>43513.585817026709</c:v>
                </c:pt>
                <c:pt idx="2">
                  <c:v>45269.72072957435</c:v>
                </c:pt>
                <c:pt idx="3">
                  <c:v>46596.260556561079</c:v>
                </c:pt>
                <c:pt idx="4">
                  <c:v>47666.821758407285</c:v>
                </c:pt>
                <c:pt idx="5">
                  <c:v>50027.577410682628</c:v>
                </c:pt>
                <c:pt idx="6">
                  <c:v>50578.7156018346</c:v>
                </c:pt>
                <c:pt idx="7">
                  <c:v>47436.744063471568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'TNSP Analysis'!$A$50</c:f>
              <c:strCache>
                <c:ptCount val="1"/>
                <c:pt idx="0">
                  <c:v>AusNet Services</c:v>
                </c:pt>
              </c:strCache>
            </c:strRef>
          </c:tx>
          <c:marker>
            <c:spPr>
              <a:solidFill>
                <a:srgbClr val="A1D99B"/>
              </a:solidFill>
            </c:spPr>
          </c:marker>
          <c:cat>
            <c:numRef>
              <c:f>'TNSP Analysis'!$D$61:$I$61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'TNSP Analysis'!$B$50:$I$50</c:f>
              <c:numCache>
                <c:formatCode>#,##0</c:formatCode>
                <c:ptCount val="8"/>
                <c:pt idx="0">
                  <c:v>16128.310334351349</c:v>
                </c:pt>
                <c:pt idx="1">
                  <c:v>16425.433607500068</c:v>
                </c:pt>
                <c:pt idx="2">
                  <c:v>15967.741043695374</c:v>
                </c:pt>
                <c:pt idx="3">
                  <c:v>16364.253861006469</c:v>
                </c:pt>
                <c:pt idx="4">
                  <c:v>15677.263459886613</c:v>
                </c:pt>
                <c:pt idx="5">
                  <c:v>15666.559225667135</c:v>
                </c:pt>
                <c:pt idx="6">
                  <c:v>15592.802912115809</c:v>
                </c:pt>
                <c:pt idx="7">
                  <c:v>15788.042790596357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'TNSP Analysis'!$A$51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pPr>
              <a:ln>
                <a:solidFill>
                  <a:srgbClr val="FCC0C0"/>
                </a:solidFill>
              </a:ln>
            </c:spPr>
          </c:marker>
          <c:cat>
            <c:numRef>
              <c:f>'TNSP Analysis'!$D$61:$I$61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'TNSP Analysis'!$B$51:$I$51</c:f>
              <c:numCache>
                <c:formatCode>#,##0</c:formatCode>
                <c:ptCount val="8"/>
                <c:pt idx="0">
                  <c:v>22453.806516702978</c:v>
                </c:pt>
                <c:pt idx="1">
                  <c:v>22283.136074372353</c:v>
                </c:pt>
                <c:pt idx="2">
                  <c:v>23429.359125490173</c:v>
                </c:pt>
                <c:pt idx="3">
                  <c:v>23697.47294235661</c:v>
                </c:pt>
                <c:pt idx="4">
                  <c:v>25974.544905562278</c:v>
                </c:pt>
                <c:pt idx="5">
                  <c:v>26816.914795527053</c:v>
                </c:pt>
                <c:pt idx="6">
                  <c:v>27304.11938483702</c:v>
                </c:pt>
                <c:pt idx="7">
                  <c:v>26554.833835826092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'TNSP Analysis'!$A$52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pPr>
              <a:noFill/>
              <a:ln>
                <a:solidFill>
                  <a:srgbClr val="2171B5"/>
                </a:solidFill>
              </a:ln>
            </c:spPr>
          </c:marker>
          <c:cat>
            <c:numRef>
              <c:f>'TNSP Analysis'!$D$61:$I$61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'TNSP Analysis'!$B$52:$I$52</c:f>
              <c:numCache>
                <c:formatCode>#,##0</c:formatCode>
                <c:ptCount val="8"/>
                <c:pt idx="0">
                  <c:v>14481.497896130626</c:v>
                </c:pt>
                <c:pt idx="1">
                  <c:v>14584.667944718214</c:v>
                </c:pt>
                <c:pt idx="2">
                  <c:v>15486.622209839757</c:v>
                </c:pt>
                <c:pt idx="3">
                  <c:v>16093.884519351132</c:v>
                </c:pt>
                <c:pt idx="4">
                  <c:v>16529.015894789249</c:v>
                </c:pt>
                <c:pt idx="5">
                  <c:v>16272.134061006665</c:v>
                </c:pt>
                <c:pt idx="6">
                  <c:v>15933.514383423144</c:v>
                </c:pt>
                <c:pt idx="7">
                  <c:v>16449.676662797243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941824"/>
        <c:axId val="382952576"/>
      </c:lineChart>
      <c:catAx>
        <c:axId val="38294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2952576"/>
        <c:crosses val="autoZero"/>
        <c:auto val="1"/>
        <c:lblAlgn val="ctr"/>
        <c:lblOffset val="100"/>
        <c:noMultiLvlLbl val="0"/>
      </c:catAx>
      <c:valAx>
        <c:axId val="382952576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crossAx val="382941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0</xdr:rowOff>
    </xdr:from>
    <xdr:to>
      <xdr:col>0</xdr:col>
      <xdr:colOff>574221</xdr:colOff>
      <xdr:row>0</xdr:row>
      <xdr:rowOff>0</xdr:rowOff>
    </xdr:to>
    <xdr:sp macro="" textlink="">
      <xdr:nvSpPr>
        <xdr:cNvPr id="8" name="TextBox 7"/>
        <xdr:cNvSpPr txBox="1"/>
      </xdr:nvSpPr>
      <xdr:spPr>
        <a:xfrm>
          <a:off x="142875" y="333375"/>
          <a:ext cx="431346" cy="20097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t"/>
        <a:lstStyle/>
        <a:p>
          <a:r>
            <a:rPr lang="en-AU" sz="2400" b="1"/>
            <a:t>Total user</a:t>
          </a:r>
          <a:r>
            <a:rPr lang="en-AU" sz="2400" b="1" baseline="0"/>
            <a:t> cost</a:t>
          </a:r>
          <a:endParaRPr lang="en-AU" sz="2400" b="1"/>
        </a:p>
      </xdr:txBody>
    </xdr:sp>
    <xdr:clientData/>
  </xdr:twoCellAnchor>
  <xdr:twoCellAnchor>
    <xdr:from>
      <xdr:col>0</xdr:col>
      <xdr:colOff>161925</xdr:colOff>
      <xdr:row>0</xdr:row>
      <xdr:rowOff>0</xdr:rowOff>
    </xdr:from>
    <xdr:to>
      <xdr:col>0</xdr:col>
      <xdr:colOff>593271</xdr:colOff>
      <xdr:row>0</xdr:row>
      <xdr:rowOff>0</xdr:rowOff>
    </xdr:to>
    <xdr:sp macro="" textlink="">
      <xdr:nvSpPr>
        <xdr:cNvPr id="15" name="TextBox 14"/>
        <xdr:cNvSpPr txBox="1"/>
      </xdr:nvSpPr>
      <xdr:spPr>
        <a:xfrm>
          <a:off x="161925" y="3952875"/>
          <a:ext cx="431346" cy="8667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t"/>
        <a:lstStyle/>
        <a:p>
          <a:r>
            <a:rPr lang="en-AU" sz="2400" b="1"/>
            <a:t>AUCC</a:t>
          </a:r>
        </a:p>
      </xdr:txBody>
    </xdr:sp>
    <xdr:clientData/>
  </xdr:twoCellAnchor>
  <xdr:twoCellAnchor>
    <xdr:from>
      <xdr:col>0</xdr:col>
      <xdr:colOff>152400</xdr:colOff>
      <xdr:row>0</xdr:row>
      <xdr:rowOff>0</xdr:rowOff>
    </xdr:from>
    <xdr:to>
      <xdr:col>0</xdr:col>
      <xdr:colOff>583746</xdr:colOff>
      <xdr:row>0</xdr:row>
      <xdr:rowOff>0</xdr:rowOff>
    </xdr:to>
    <xdr:sp macro="" textlink="">
      <xdr:nvSpPr>
        <xdr:cNvPr id="18" name="TextBox 17"/>
        <xdr:cNvSpPr txBox="1"/>
      </xdr:nvSpPr>
      <xdr:spPr>
        <a:xfrm>
          <a:off x="152400" y="7572375"/>
          <a:ext cx="431346" cy="7619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t"/>
        <a:lstStyle/>
        <a:p>
          <a:r>
            <a:rPr lang="en-AU" sz="2400" b="1"/>
            <a:t>Opex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9</xdr:col>
      <xdr:colOff>452438</xdr:colOff>
      <xdr:row>20</xdr:row>
      <xdr:rowOff>114300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</xdr:row>
      <xdr:rowOff>0</xdr:rowOff>
    </xdr:from>
    <xdr:to>
      <xdr:col>18</xdr:col>
      <xdr:colOff>452438</xdr:colOff>
      <xdr:row>20</xdr:row>
      <xdr:rowOff>114300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40821</xdr:colOff>
      <xdr:row>2</xdr:row>
      <xdr:rowOff>13607</xdr:rowOff>
    </xdr:from>
    <xdr:to>
      <xdr:col>27</xdr:col>
      <xdr:colOff>493259</xdr:colOff>
      <xdr:row>20</xdr:row>
      <xdr:rowOff>127907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0</xdr:colOff>
      <xdr:row>2</xdr:row>
      <xdr:rowOff>0</xdr:rowOff>
    </xdr:from>
    <xdr:to>
      <xdr:col>36</xdr:col>
      <xdr:colOff>452438</xdr:colOff>
      <xdr:row>20</xdr:row>
      <xdr:rowOff>114300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23</xdr:row>
      <xdr:rowOff>0</xdr:rowOff>
    </xdr:from>
    <xdr:to>
      <xdr:col>9</xdr:col>
      <xdr:colOff>452438</xdr:colOff>
      <xdr:row>41</xdr:row>
      <xdr:rowOff>114300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23</xdr:row>
      <xdr:rowOff>0</xdr:rowOff>
    </xdr:from>
    <xdr:to>
      <xdr:col>18</xdr:col>
      <xdr:colOff>452438</xdr:colOff>
      <xdr:row>41</xdr:row>
      <xdr:rowOff>114300</xdr:rowOff>
    </xdr:to>
    <xdr:graphicFrame macro="">
      <xdr:nvGraphicFramePr>
        <xdr:cNvPr id="40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0</xdr:colOff>
      <xdr:row>23</xdr:row>
      <xdr:rowOff>0</xdr:rowOff>
    </xdr:from>
    <xdr:to>
      <xdr:col>27</xdr:col>
      <xdr:colOff>452438</xdr:colOff>
      <xdr:row>41</xdr:row>
      <xdr:rowOff>114300</xdr:rowOff>
    </xdr:to>
    <xdr:graphicFrame macro="">
      <xdr:nvGraphicFramePr>
        <xdr:cNvPr id="41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27214</xdr:colOff>
      <xdr:row>66</xdr:row>
      <xdr:rowOff>176894</xdr:rowOff>
    </xdr:from>
    <xdr:to>
      <xdr:col>9</xdr:col>
      <xdr:colOff>479652</xdr:colOff>
      <xdr:row>84</xdr:row>
      <xdr:rowOff>141515</xdr:rowOff>
    </xdr:to>
    <xdr:graphicFrame macro="">
      <xdr:nvGraphicFramePr>
        <xdr:cNvPr id="49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27214</xdr:colOff>
      <xdr:row>66</xdr:row>
      <xdr:rowOff>81644</xdr:rowOff>
    </xdr:from>
    <xdr:to>
      <xdr:col>18</xdr:col>
      <xdr:colOff>479652</xdr:colOff>
      <xdr:row>84</xdr:row>
      <xdr:rowOff>46265</xdr:rowOff>
    </xdr:to>
    <xdr:graphicFrame macro="">
      <xdr:nvGraphicFramePr>
        <xdr:cNvPr id="50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27214</xdr:colOff>
      <xdr:row>66</xdr:row>
      <xdr:rowOff>40822</xdr:rowOff>
    </xdr:from>
    <xdr:to>
      <xdr:col>27</xdr:col>
      <xdr:colOff>479652</xdr:colOff>
      <xdr:row>84</xdr:row>
      <xdr:rowOff>5443</xdr:rowOff>
    </xdr:to>
    <xdr:graphicFrame macro="">
      <xdr:nvGraphicFramePr>
        <xdr:cNvPr id="51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87</xdr:row>
      <xdr:rowOff>163285</xdr:rowOff>
    </xdr:from>
    <xdr:to>
      <xdr:col>9</xdr:col>
      <xdr:colOff>452438</xdr:colOff>
      <xdr:row>105</xdr:row>
      <xdr:rowOff>127907</xdr:rowOff>
    </xdr:to>
    <xdr:graphicFrame macro="">
      <xdr:nvGraphicFramePr>
        <xdr:cNvPr id="53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13607</xdr:colOff>
      <xdr:row>87</xdr:row>
      <xdr:rowOff>108856</xdr:rowOff>
    </xdr:from>
    <xdr:to>
      <xdr:col>18</xdr:col>
      <xdr:colOff>466045</xdr:colOff>
      <xdr:row>105</xdr:row>
      <xdr:rowOff>73478</xdr:rowOff>
    </xdr:to>
    <xdr:graphicFrame macro="">
      <xdr:nvGraphicFramePr>
        <xdr:cNvPr id="54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19</xdr:col>
      <xdr:colOff>0</xdr:colOff>
      <xdr:row>87</xdr:row>
      <xdr:rowOff>81642</xdr:rowOff>
    </xdr:from>
    <xdr:to>
      <xdr:col>27</xdr:col>
      <xdr:colOff>452438</xdr:colOff>
      <xdr:row>105</xdr:row>
      <xdr:rowOff>46264</xdr:rowOff>
    </xdr:to>
    <xdr:graphicFrame macro="">
      <xdr:nvGraphicFramePr>
        <xdr:cNvPr id="55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0</xdr:colOff>
      <xdr:row>108</xdr:row>
      <xdr:rowOff>176893</xdr:rowOff>
    </xdr:from>
    <xdr:to>
      <xdr:col>9</xdr:col>
      <xdr:colOff>435427</xdr:colOff>
      <xdr:row>127</xdr:row>
      <xdr:rowOff>81643</xdr:rowOff>
    </xdr:to>
    <xdr:graphicFrame macro="">
      <xdr:nvGraphicFramePr>
        <xdr:cNvPr id="61" name="Chart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37</xdr:col>
      <xdr:colOff>0</xdr:colOff>
      <xdr:row>2</xdr:row>
      <xdr:rowOff>0</xdr:rowOff>
    </xdr:from>
    <xdr:to>
      <xdr:col>45</xdr:col>
      <xdr:colOff>452438</xdr:colOff>
      <xdr:row>20</xdr:row>
      <xdr:rowOff>114300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19</xdr:col>
      <xdr:colOff>68036</xdr:colOff>
      <xdr:row>44</xdr:row>
      <xdr:rowOff>40820</xdr:rowOff>
    </xdr:from>
    <xdr:to>
      <xdr:col>27</xdr:col>
      <xdr:colOff>520474</xdr:colOff>
      <xdr:row>62</xdr:row>
      <xdr:rowOff>155120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54427</xdr:colOff>
      <xdr:row>44</xdr:row>
      <xdr:rowOff>163286</xdr:rowOff>
    </xdr:from>
    <xdr:to>
      <xdr:col>18</xdr:col>
      <xdr:colOff>506865</xdr:colOff>
      <xdr:row>63</xdr:row>
      <xdr:rowOff>87086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27214</xdr:colOff>
      <xdr:row>44</xdr:row>
      <xdr:rowOff>163286</xdr:rowOff>
    </xdr:from>
    <xdr:to>
      <xdr:col>9</xdr:col>
      <xdr:colOff>479652</xdr:colOff>
      <xdr:row>63</xdr:row>
      <xdr:rowOff>87086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cheu\Local%20Settings\Temporary%20Internet%20Files\Content.Outlook\SMGVD7WK\Database%20%20mockup%20-%20EBT%20RIN%20dat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TNSP%20sheet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UC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EBT%20DNSP%20PP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TNSP%20voltage%20variabl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TNSP%20reliability%20output%20metric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efinitions"/>
      <sheetName val="Raw data"/>
      <sheetName val="Capex"/>
      <sheetName val="Capex data check"/>
      <sheetName val="Opex"/>
      <sheetName val="Opex data check"/>
      <sheetName val="Physical and other"/>
      <sheetName val="Physical and other data check"/>
      <sheetName val="Reliability"/>
      <sheetName val="Rel - Normalised - Unplanned"/>
      <sheetName val="Rel - Norm'd - Unplanned check"/>
      <sheetName val="Calculations and charts"/>
      <sheetName val="AS Testing Sheet"/>
      <sheetName val="Charts - Expenditure"/>
      <sheetName val="Charts - Reliability"/>
    </sheetNames>
    <sheetDataSet>
      <sheetData sheetId="0"/>
      <sheetData sheetId="1"/>
      <sheetData sheetId="2"/>
      <sheetData sheetId="3">
        <row r="1">
          <cell r="C1">
            <v>1999</v>
          </cell>
          <cell r="D1">
            <v>2000</v>
          </cell>
          <cell r="E1">
            <v>2001</v>
          </cell>
          <cell r="F1">
            <v>2002</v>
          </cell>
          <cell r="G1">
            <v>2003</v>
          </cell>
          <cell r="H1">
            <v>2004</v>
          </cell>
          <cell r="I1">
            <v>2005</v>
          </cell>
          <cell r="J1">
            <v>2006</v>
          </cell>
          <cell r="K1">
            <v>2007</v>
          </cell>
          <cell r="L1">
            <v>2008</v>
          </cell>
          <cell r="M1">
            <v>2009</v>
          </cell>
          <cell r="N1">
            <v>2010</v>
          </cell>
          <cell r="O1">
            <v>2011</v>
          </cell>
          <cell r="P1">
            <v>2012</v>
          </cell>
          <cell r="Q1">
            <v>2013</v>
          </cell>
          <cell r="R1">
            <v>2014</v>
          </cell>
          <cell r="S1">
            <v>2015</v>
          </cell>
          <cell r="T1">
            <v>2016</v>
          </cell>
          <cell r="U1">
            <v>2017</v>
          </cell>
          <cell r="V1">
            <v>2018</v>
          </cell>
          <cell r="W1">
            <v>2019</v>
          </cell>
          <cell r="X1">
            <v>2020</v>
          </cell>
          <cell r="Y1">
            <v>2021</v>
          </cell>
          <cell r="Z1">
            <v>2022</v>
          </cell>
          <cell r="AA1">
            <v>2023</v>
          </cell>
          <cell r="AB1">
            <v>2024</v>
          </cell>
          <cell r="AC1">
            <v>2025</v>
          </cell>
          <cell r="AD1">
            <v>2026</v>
          </cell>
          <cell r="AE1">
            <v>2027</v>
          </cell>
          <cell r="AF1">
            <v>2028</v>
          </cell>
          <cell r="AG1">
            <v>2029</v>
          </cell>
          <cell r="AH1">
            <v>2030</v>
          </cell>
          <cell r="AI1">
            <v>2031</v>
          </cell>
          <cell r="AJ1">
            <v>2032</v>
          </cell>
          <cell r="AK1">
            <v>2033</v>
          </cell>
          <cell r="AL1">
            <v>2034</v>
          </cell>
          <cell r="AM1">
            <v>2035</v>
          </cell>
          <cell r="AN1">
            <v>2036</v>
          </cell>
          <cell r="AO1">
            <v>2037</v>
          </cell>
          <cell r="AP1">
            <v>2038</v>
          </cell>
          <cell r="AQ1">
            <v>2039</v>
          </cell>
          <cell r="AR1">
            <v>2040</v>
          </cell>
          <cell r="AS1">
            <v>2041</v>
          </cell>
          <cell r="AT1">
            <v>2042</v>
          </cell>
          <cell r="AU1">
            <v>2043</v>
          </cell>
          <cell r="AV1">
            <v>2044</v>
          </cell>
          <cell r="AW1">
            <v>2045</v>
          </cell>
          <cell r="AX1">
            <v>2046</v>
          </cell>
          <cell r="AY1">
            <v>2047</v>
          </cell>
          <cell r="AZ1">
            <v>2048</v>
          </cell>
          <cell r="BA1">
            <v>2049</v>
          </cell>
          <cell r="BB1">
            <v>2050</v>
          </cell>
          <cell r="BC1">
            <v>2051</v>
          </cell>
          <cell r="BD1">
            <v>2052</v>
          </cell>
          <cell r="BE1">
            <v>2053</v>
          </cell>
          <cell r="BF1">
            <v>2054</v>
          </cell>
          <cell r="BG1">
            <v>2055</v>
          </cell>
          <cell r="BH1">
            <v>2056</v>
          </cell>
          <cell r="BI1">
            <v>2057</v>
          </cell>
          <cell r="BJ1">
            <v>2058</v>
          </cell>
          <cell r="BK1">
            <v>2059</v>
          </cell>
          <cell r="BL1">
            <v>2060</v>
          </cell>
          <cell r="BM1">
            <v>2061</v>
          </cell>
          <cell r="BN1">
            <v>2062</v>
          </cell>
          <cell r="BO1">
            <v>2063</v>
          </cell>
          <cell r="BP1">
            <v>2064</v>
          </cell>
          <cell r="BQ1">
            <v>2065</v>
          </cell>
          <cell r="BR1">
            <v>2066</v>
          </cell>
          <cell r="BS1">
            <v>2067</v>
          </cell>
          <cell r="BT1">
            <v>2068</v>
          </cell>
          <cell r="BU1">
            <v>2069</v>
          </cell>
          <cell r="BV1">
            <v>2070</v>
          </cell>
          <cell r="BW1">
            <v>2071</v>
          </cell>
          <cell r="BX1">
            <v>2072</v>
          </cell>
          <cell r="BY1">
            <v>2073</v>
          </cell>
          <cell r="BZ1">
            <v>2074</v>
          </cell>
          <cell r="CA1">
            <v>2075</v>
          </cell>
          <cell r="CB1">
            <v>2076</v>
          </cell>
          <cell r="CC1">
            <v>2077</v>
          </cell>
          <cell r="CD1">
            <v>2078</v>
          </cell>
          <cell r="CE1">
            <v>2079</v>
          </cell>
          <cell r="CF1">
            <v>2080</v>
          </cell>
          <cell r="CG1">
            <v>2081</v>
          </cell>
          <cell r="CH1">
            <v>2082</v>
          </cell>
          <cell r="CI1">
            <v>2083</v>
          </cell>
          <cell r="CJ1">
            <v>2084</v>
          </cell>
          <cell r="CK1">
            <v>2085</v>
          </cell>
          <cell r="CL1">
            <v>2086</v>
          </cell>
          <cell r="CM1">
            <v>2087</v>
          </cell>
          <cell r="CN1">
            <v>2088</v>
          </cell>
          <cell r="CO1">
            <v>2089</v>
          </cell>
          <cell r="CP1">
            <v>2090</v>
          </cell>
          <cell r="CQ1">
            <v>2091</v>
          </cell>
          <cell r="CR1">
            <v>2092</v>
          </cell>
          <cell r="CS1">
            <v>2093</v>
          </cell>
          <cell r="CT1">
            <v>2094</v>
          </cell>
          <cell r="CU1">
            <v>2095</v>
          </cell>
          <cell r="CV1">
            <v>2096</v>
          </cell>
          <cell r="CW1">
            <v>2097</v>
          </cell>
          <cell r="CX1">
            <v>2098</v>
          </cell>
          <cell r="CY1">
            <v>2099</v>
          </cell>
          <cell r="CZ1">
            <v>2100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  <sheetName val="SD 2. Revenue"/>
      <sheetName val="SD 3. Opex"/>
      <sheetName val="SD 4. Assets (RAB)"/>
      <sheetName val="SD 5. Operational data"/>
      <sheetName val="SD 6. Physical assets"/>
      <sheetName val="SD 7. Quality of services"/>
      <sheetName val="SD 8. Operating environ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4">
          <cell r="D14">
            <v>48431</v>
          </cell>
          <cell r="E14">
            <v>52930</v>
          </cell>
          <cell r="F14">
            <v>49444.635999999999</v>
          </cell>
          <cell r="G14">
            <v>54853</v>
          </cell>
          <cell r="H14">
            <v>57567</v>
          </cell>
          <cell r="I14">
            <v>64370</v>
          </cell>
          <cell r="J14">
            <v>72584</v>
          </cell>
          <cell r="K14">
            <v>70527</v>
          </cell>
          <cell r="L14">
            <v>118781</v>
          </cell>
          <cell r="M14">
            <v>128265</v>
          </cell>
          <cell r="N14">
            <v>144112</v>
          </cell>
          <cell r="O14">
            <v>142796</v>
          </cell>
          <cell r="P14">
            <v>151902</v>
          </cell>
          <cell r="Q14">
            <v>151029</v>
          </cell>
          <cell r="R14">
            <v>160384</v>
          </cell>
          <cell r="S14">
            <v>167377.59669000003</v>
          </cell>
          <cell r="T14">
            <v>61764.624702139656</v>
          </cell>
          <cell r="U14">
            <v>61817.594227019435</v>
          </cell>
          <cell r="V14">
            <v>58269.389500000005</v>
          </cell>
          <cell r="W14">
            <v>77590.490999999995</v>
          </cell>
          <cell r="X14">
            <v>80063.390000000014</v>
          </cell>
          <cell r="Y14">
            <v>75097.619000000006</v>
          </cell>
          <cell r="Z14">
            <v>72741.886999999988</v>
          </cell>
          <cell r="AA14">
            <v>76129.812000000005</v>
          </cell>
          <cell r="AB14">
            <v>35426.048000000003</v>
          </cell>
          <cell r="AC14">
            <v>37656.624000000003</v>
          </cell>
          <cell r="AD14">
            <v>46334.126000000004</v>
          </cell>
          <cell r="AE14">
            <v>46642.640999999996</v>
          </cell>
          <cell r="AF14">
            <v>47779.507999999994</v>
          </cell>
          <cell r="AG14">
            <v>46557.578000000001</v>
          </cell>
          <cell r="AH14">
            <v>46923.140000000007</v>
          </cell>
          <cell r="AI14">
            <v>44976.582999999999</v>
          </cell>
          <cell r="AJ14">
            <v>120730</v>
          </cell>
          <cell r="AK14">
            <v>123090</v>
          </cell>
          <cell r="AL14">
            <v>119710</v>
          </cell>
          <cell r="AM14">
            <v>124140</v>
          </cell>
          <cell r="AN14">
            <v>143240</v>
          </cell>
          <cell r="AO14">
            <v>137770</v>
          </cell>
          <cell r="AP14">
            <v>152110</v>
          </cell>
          <cell r="AQ14">
            <v>143050</v>
          </cell>
        </row>
      </sheetData>
      <sheetData sheetId="9">
        <row r="11">
          <cell r="D11">
            <v>972255.64715022582</v>
          </cell>
          <cell r="E11">
            <v>1044740.5017476069</v>
          </cell>
          <cell r="F11">
            <v>1100079.8938119845</v>
          </cell>
          <cell r="G11">
            <v>1260834.2322580481</v>
          </cell>
          <cell r="H11">
            <v>1296024.7339933619</v>
          </cell>
          <cell r="I11">
            <v>1293760.5719179104</v>
          </cell>
          <cell r="J11">
            <v>1369197.4383241083</v>
          </cell>
          <cell r="K11">
            <v>1639883.9410163155</v>
          </cell>
          <cell r="L11">
            <v>2795318.1219493221</v>
          </cell>
          <cell r="M11">
            <v>3017009.4821339566</v>
          </cell>
          <cell r="N11">
            <v>3239942.8772956673</v>
          </cell>
          <cell r="O11">
            <v>3896671.2113796426</v>
          </cell>
          <cell r="P11">
            <v>4477145.9514911911</v>
          </cell>
          <cell r="Q11">
            <v>4885968.4382494837</v>
          </cell>
          <cell r="R11">
            <v>5300209.6679892214</v>
          </cell>
          <cell r="S11">
            <v>5604257.567900436</v>
          </cell>
          <cell r="T11">
            <v>1876932.2379999999</v>
          </cell>
          <cell r="U11">
            <v>1902983.2279999999</v>
          </cell>
          <cell r="V11">
            <v>1956232.1029999999</v>
          </cell>
          <cell r="W11">
            <v>2174199.409</v>
          </cell>
          <cell r="X11">
            <v>2188157.5580000002</v>
          </cell>
          <cell r="Y11">
            <v>2207940.7889999999</v>
          </cell>
          <cell r="Z11">
            <v>2257868.0639999998</v>
          </cell>
          <cell r="AA11">
            <v>2328015.8689999999</v>
          </cell>
          <cell r="AB11">
            <v>644385</v>
          </cell>
          <cell r="AC11">
            <v>688408</v>
          </cell>
          <cell r="AD11">
            <v>768149</v>
          </cell>
          <cell r="AE11">
            <v>807625</v>
          </cell>
          <cell r="AF11">
            <v>882445</v>
          </cell>
          <cell r="AG11">
            <v>908141</v>
          </cell>
          <cell r="AH11">
            <v>1105746</v>
          </cell>
          <cell r="AI11">
            <v>1173828</v>
          </cell>
          <cell r="AJ11">
            <v>3103905.2262627552</v>
          </cell>
          <cell r="AK11">
            <v>3228843.6045614304</v>
          </cell>
          <cell r="AL11">
            <v>3397891.6045614304</v>
          </cell>
          <cell r="AM11">
            <v>3735309.3228527359</v>
          </cell>
          <cell r="AN11">
            <v>4217502.4880022118</v>
          </cell>
          <cell r="AO11">
            <v>4394476.788326689</v>
          </cell>
          <cell r="AP11">
            <v>4724751.8876781929</v>
          </cell>
          <cell r="AQ11">
            <v>4981986.045157657</v>
          </cell>
        </row>
        <row r="13">
          <cell r="D13">
            <v>-45791.849417636906</v>
          </cell>
          <cell r="E13">
            <v>-50958.501088076984</v>
          </cell>
          <cell r="F13">
            <v>-48204.850280116312</v>
          </cell>
          <cell r="G13">
            <v>-55008.877124563965</v>
          </cell>
          <cell r="H13">
            <v>-60040.104570401381</v>
          </cell>
          <cell r="I13">
            <v>-63337.177692221783</v>
          </cell>
          <cell r="J13">
            <v>-66722.89939335885</v>
          </cell>
          <cell r="K13">
            <v>-73303.01352783374</v>
          </cell>
          <cell r="L13">
            <v>-132496.74622431587</v>
          </cell>
          <cell r="M13">
            <v>-140357.26629175912</v>
          </cell>
          <cell r="N13">
            <v>-156999.72982458232</v>
          </cell>
          <cell r="O13">
            <v>-182601.09296048834</v>
          </cell>
          <cell r="P13">
            <v>-191974.42283243482</v>
          </cell>
          <cell r="Q13">
            <v>-209895.4904502311</v>
          </cell>
          <cell r="R13">
            <v>-224992.70041557745</v>
          </cell>
          <cell r="S13">
            <v>-212080.91622801078</v>
          </cell>
          <cell r="T13">
            <v>-86280.945999999996</v>
          </cell>
          <cell r="U13">
            <v>-91719.03</v>
          </cell>
          <cell r="V13">
            <v>-103392.598</v>
          </cell>
          <cell r="W13">
            <v>-107125.821</v>
          </cell>
          <cell r="X13">
            <v>-112873.439</v>
          </cell>
          <cell r="Y13">
            <v>-118888.912</v>
          </cell>
          <cell r="Z13">
            <v>-123748.05100000001</v>
          </cell>
          <cell r="AA13">
            <v>-129632.00900000001</v>
          </cell>
          <cell r="AB13">
            <v>-34117</v>
          </cell>
          <cell r="AC13">
            <v>-33914</v>
          </cell>
          <cell r="AD13">
            <v>-37777</v>
          </cell>
          <cell r="AE13">
            <v>-41311</v>
          </cell>
          <cell r="AF13">
            <v>-49841</v>
          </cell>
          <cell r="AG13">
            <v>-54231</v>
          </cell>
          <cell r="AH13">
            <v>-54880</v>
          </cell>
          <cell r="AI13">
            <v>-54578</v>
          </cell>
          <cell r="AJ13">
            <v>-121720.69285763716</v>
          </cell>
          <cell r="AK13">
            <v>-130837</v>
          </cell>
          <cell r="AL13">
            <v>-138414</v>
          </cell>
          <cell r="AM13">
            <v>-155347.27373057668</v>
          </cell>
          <cell r="AN13">
            <v>-178956.02871101134</v>
          </cell>
          <cell r="AO13">
            <v>-181714.94605466677</v>
          </cell>
          <cell r="AP13">
            <v>-184338.2857749275</v>
          </cell>
          <cell r="AQ13">
            <v>-199415.56154466461</v>
          </cell>
        </row>
        <row r="15">
          <cell r="D15">
            <v>89258.11425374214</v>
          </cell>
          <cell r="E15">
            <v>80842.987365847715</v>
          </cell>
          <cell r="F15">
            <v>162293.47653741398</v>
          </cell>
          <cell r="G15">
            <v>59106.056239456964</v>
          </cell>
          <cell r="H15">
            <v>20345.625267704796</v>
          </cell>
          <cell r="I15">
            <v>97061.100193905717</v>
          </cell>
          <cell r="J15">
            <v>315713.09947788186</v>
          </cell>
          <cell r="K15">
            <v>178283.85468255344</v>
          </cell>
          <cell r="L15">
            <v>269318.53261280397</v>
          </cell>
          <cell r="M15">
            <v>256570.90166529323</v>
          </cell>
          <cell r="N15">
            <v>678189.56935022678</v>
          </cell>
          <cell r="O15">
            <v>671491.83669466269</v>
          </cell>
          <cell r="P15">
            <v>473251.6947943017</v>
          </cell>
          <cell r="Q15">
            <v>463875.87787008594</v>
          </cell>
          <cell r="R15">
            <v>503875.60955456615</v>
          </cell>
          <cell r="S15">
            <v>504179.01052687335</v>
          </cell>
          <cell r="T15">
            <v>60055.487000000001</v>
          </cell>
          <cell r="U15">
            <v>81707.709000000003</v>
          </cell>
          <cell r="V15">
            <v>109142.72199999999</v>
          </cell>
          <cell r="W15">
            <v>41643.434000000001</v>
          </cell>
          <cell r="X15">
            <v>86552.108999999997</v>
          </cell>
          <cell r="Y15">
            <v>110822.41800000001</v>
          </cell>
          <cell r="Z15">
            <v>124792.08900000001</v>
          </cell>
          <cell r="AA15">
            <v>166090.78399999999</v>
          </cell>
          <cell r="AB15">
            <v>67649</v>
          </cell>
          <cell r="AC15">
            <v>97870</v>
          </cell>
          <cell r="AD15">
            <v>59619</v>
          </cell>
          <cell r="AE15">
            <v>82109</v>
          </cell>
          <cell r="AF15">
            <v>49873</v>
          </cell>
          <cell r="AG15">
            <v>222178</v>
          </cell>
          <cell r="AH15">
            <v>105301</v>
          </cell>
          <cell r="AI15">
            <v>87448</v>
          </cell>
          <cell r="AJ15">
            <v>162036</v>
          </cell>
          <cell r="AK15">
            <v>225936</v>
          </cell>
          <cell r="AL15">
            <v>337001</v>
          </cell>
          <cell r="AM15">
            <v>549433.30268145294</v>
          </cell>
          <cell r="AN15">
            <v>240632.34056820587</v>
          </cell>
          <cell r="AO15">
            <v>370580.90669528913</v>
          </cell>
          <cell r="AP15">
            <v>377519.62609399756</v>
          </cell>
          <cell r="AQ15">
            <v>386404.8127500806</v>
          </cell>
        </row>
        <row r="17">
          <cell r="D17">
            <v>1044740.5017476071</v>
          </cell>
          <cell r="E17">
            <v>1100079.8938119845</v>
          </cell>
          <cell r="F17">
            <v>1260834.2322580479</v>
          </cell>
          <cell r="G17">
            <v>1296024.7339933617</v>
          </cell>
          <cell r="H17">
            <v>1293760.5719179104</v>
          </cell>
          <cell r="I17">
            <v>1369197.4383241085</v>
          </cell>
          <cell r="J17">
            <v>1639883.941016315</v>
          </cell>
          <cell r="K17">
            <v>1785902.9188331054</v>
          </cell>
          <cell r="L17">
            <v>3017009.4821339557</v>
          </cell>
          <cell r="M17">
            <v>3204880.0510882894</v>
          </cell>
          <cell r="N17">
            <v>3896671.2113796421</v>
          </cell>
          <cell r="O17">
            <v>4477145.9514911911</v>
          </cell>
          <cell r="P17">
            <v>4885968.4382494837</v>
          </cell>
          <cell r="Q17">
            <v>5300209.6679892205</v>
          </cell>
          <cell r="R17">
            <v>5654953.8063326087</v>
          </cell>
          <cell r="S17">
            <v>6034754.5599845648</v>
          </cell>
          <cell r="T17">
            <v>1902983.2279999999</v>
          </cell>
          <cell r="U17">
            <v>1956232.1029999999</v>
          </cell>
          <cell r="V17">
            <v>2058350.409</v>
          </cell>
          <cell r="W17">
            <v>2188157.5580000002</v>
          </cell>
          <cell r="X17">
            <v>2207940.7889999999</v>
          </cell>
          <cell r="Y17">
            <v>2257868.0639999998</v>
          </cell>
          <cell r="Z17">
            <v>2328015.8689999999</v>
          </cell>
          <cell r="AA17">
            <v>2413683.3590000002</v>
          </cell>
          <cell r="AB17">
            <v>688408</v>
          </cell>
          <cell r="AC17">
            <v>768149</v>
          </cell>
          <cell r="AD17">
            <v>807625</v>
          </cell>
          <cell r="AE17">
            <v>882445</v>
          </cell>
          <cell r="AF17">
            <v>908141</v>
          </cell>
          <cell r="AG17">
            <v>1105746</v>
          </cell>
          <cell r="AH17">
            <v>1173828</v>
          </cell>
          <cell r="AI17">
            <v>1235836</v>
          </cell>
          <cell r="AJ17">
            <v>3228843.6045614309</v>
          </cell>
          <cell r="AK17">
            <v>3397891.6045614304</v>
          </cell>
          <cell r="AL17">
            <v>3735308.6045614304</v>
          </cell>
          <cell r="AM17">
            <v>4217502.4880022006</v>
          </cell>
          <cell r="AN17">
            <v>4394476.7883266909</v>
          </cell>
          <cell r="AO17">
            <v>4724751.8876782004</v>
          </cell>
          <cell r="AP17">
            <v>4981986.0451576486</v>
          </cell>
          <cell r="AQ17">
            <v>5288644.1877974691</v>
          </cell>
        </row>
      </sheetData>
      <sheetData sheetId="10">
        <row r="17">
          <cell r="D17">
            <v>15101.074258214998</v>
          </cell>
          <cell r="E17">
            <v>13989.61</v>
          </cell>
          <cell r="F17">
            <v>13083.325236576969</v>
          </cell>
          <cell r="G17">
            <v>13513.587369959037</v>
          </cell>
          <cell r="H17">
            <v>13846.707414743054</v>
          </cell>
          <cell r="I17">
            <v>13881.537225071985</v>
          </cell>
          <cell r="J17">
            <v>14062.879897383038</v>
          </cell>
          <cell r="K17">
            <v>14283.594450350931</v>
          </cell>
          <cell r="L17">
            <v>51045.963444256988</v>
          </cell>
          <cell r="M17">
            <v>51964.465679886969</v>
          </cell>
          <cell r="N17">
            <v>51187.327595034993</v>
          </cell>
          <cell r="O17">
            <v>52191.948260312034</v>
          </cell>
          <cell r="P17">
            <v>52848.520626357007</v>
          </cell>
          <cell r="Q17">
            <v>51917.071191967989</v>
          </cell>
          <cell r="R17">
            <v>50878.576976755998</v>
          </cell>
          <cell r="S17">
            <v>49333.938670690004</v>
          </cell>
          <cell r="T17">
            <v>45186.299678676005</v>
          </cell>
          <cell r="U17">
            <v>45956.437073729998</v>
          </cell>
          <cell r="V17">
            <v>45046.718030759999</v>
          </cell>
          <cell r="W17">
            <v>47419.179046665005</v>
          </cell>
          <cell r="X17">
            <v>48976.636241105007</v>
          </cell>
          <cell r="Y17">
            <v>48047.970992499999</v>
          </cell>
          <cell r="Z17">
            <v>47529.361264941996</v>
          </cell>
          <cell r="AA17">
            <v>49056.428480179005</v>
          </cell>
          <cell r="AB17">
            <v>10530.108800000002</v>
          </cell>
          <cell r="AC17">
            <v>12828.493</v>
          </cell>
          <cell r="AD17">
            <v>13500.337</v>
          </cell>
          <cell r="AE17">
            <v>13412.710999999999</v>
          </cell>
          <cell r="AF17">
            <v>13030.212</v>
          </cell>
          <cell r="AG17">
            <v>13108.442999999999</v>
          </cell>
          <cell r="AH17">
            <v>12589.843000000001</v>
          </cell>
          <cell r="AI17">
            <v>12866.188</v>
          </cell>
          <cell r="AJ17">
            <v>72900</v>
          </cell>
          <cell r="AK17">
            <v>74900</v>
          </cell>
          <cell r="AL17">
            <v>75800</v>
          </cell>
          <cell r="AM17">
            <v>74400</v>
          </cell>
          <cell r="AN17">
            <v>72300</v>
          </cell>
          <cell r="AO17">
            <v>70800</v>
          </cell>
          <cell r="AP17">
            <v>68200</v>
          </cell>
          <cell r="AQ17">
            <v>65200</v>
          </cell>
        </row>
        <row r="47">
          <cell r="D47">
            <v>3647.685676000001</v>
          </cell>
          <cell r="E47">
            <v>3711.8510500000002</v>
          </cell>
          <cell r="F47">
            <v>4000.8580980000002</v>
          </cell>
          <cell r="G47">
            <v>4103.3835280000003</v>
          </cell>
          <cell r="H47">
            <v>4077.1601580000001</v>
          </cell>
          <cell r="I47">
            <v>4203.9085479999985</v>
          </cell>
          <cell r="J47">
            <v>4041.7050799999993</v>
          </cell>
          <cell r="K47">
            <v>4136.1532900000002</v>
          </cell>
          <cell r="L47">
            <v>10304.62587</v>
          </cell>
          <cell r="M47">
            <v>11002.360679999998</v>
          </cell>
          <cell r="N47">
            <v>10937.462759999999</v>
          </cell>
          <cell r="O47">
            <v>11317.645462</v>
          </cell>
          <cell r="P47">
            <v>11517.336420000001</v>
          </cell>
          <cell r="Q47">
            <v>11281.548300000002</v>
          </cell>
          <cell r="R47">
            <v>11025.044147999999</v>
          </cell>
          <cell r="S47">
            <v>10955.697141999999</v>
          </cell>
          <cell r="T47">
            <v>7550.75</v>
          </cell>
          <cell r="U47">
            <v>9063.9500000000007</v>
          </cell>
          <cell r="V47">
            <v>9334.84</v>
          </cell>
          <cell r="W47">
            <v>9731.65</v>
          </cell>
          <cell r="X47">
            <v>9610.64</v>
          </cell>
          <cell r="Y47">
            <v>9307.9</v>
          </cell>
          <cell r="Z47">
            <v>8693.99</v>
          </cell>
          <cell r="AA47">
            <v>9342.1200000000008</v>
          </cell>
          <cell r="AB47">
            <v>2578.681</v>
          </cell>
          <cell r="AC47">
            <v>2592.0160000000001</v>
          </cell>
          <cell r="AD47">
            <v>2535.3510000000001</v>
          </cell>
          <cell r="AE47">
            <v>2563.9070000000002</v>
          </cell>
          <cell r="AF47">
            <v>2553.692</v>
          </cell>
          <cell r="AG47">
            <v>2517.672</v>
          </cell>
          <cell r="AH47">
            <v>2513.8870000000002</v>
          </cell>
          <cell r="AI47">
            <v>2483.2939999999999</v>
          </cell>
          <cell r="AJ47">
            <v>17800</v>
          </cell>
          <cell r="AK47">
            <v>18200</v>
          </cell>
          <cell r="AL47">
            <v>17900</v>
          </cell>
          <cell r="AM47">
            <v>18500</v>
          </cell>
          <cell r="AN47">
            <v>18300</v>
          </cell>
          <cell r="AO47">
            <v>18600</v>
          </cell>
          <cell r="AP47">
            <v>17800</v>
          </cell>
          <cell r="AQ47">
            <v>17100</v>
          </cell>
        </row>
      </sheetData>
      <sheetData sheetId="11">
        <row r="20">
          <cell r="D20">
            <v>5591.75</v>
          </cell>
          <cell r="E20">
            <v>5509.88</v>
          </cell>
          <cell r="F20">
            <v>5509.88</v>
          </cell>
          <cell r="G20">
            <v>5494.88</v>
          </cell>
          <cell r="H20">
            <v>5492.88</v>
          </cell>
          <cell r="I20">
            <v>5495.88</v>
          </cell>
          <cell r="J20">
            <v>5498.88</v>
          </cell>
          <cell r="K20">
            <v>5500.16</v>
          </cell>
          <cell r="L20">
            <v>11680</v>
          </cell>
          <cell r="M20">
            <v>11872</v>
          </cell>
          <cell r="N20">
            <v>12408</v>
          </cell>
          <cell r="O20">
            <v>12843</v>
          </cell>
          <cell r="P20">
            <v>13299</v>
          </cell>
          <cell r="Q20">
            <v>13712</v>
          </cell>
          <cell r="R20">
            <v>13676</v>
          </cell>
          <cell r="S20">
            <v>14287</v>
          </cell>
          <cell r="T20">
            <v>6562</v>
          </cell>
          <cell r="U20">
            <v>6562</v>
          </cell>
          <cell r="V20">
            <v>6562</v>
          </cell>
          <cell r="W20">
            <v>6562</v>
          </cell>
          <cell r="X20">
            <v>6562</v>
          </cell>
          <cell r="Y20">
            <v>6562</v>
          </cell>
          <cell r="Z20">
            <v>6562</v>
          </cell>
          <cell r="AA20">
            <v>6562</v>
          </cell>
          <cell r="AB20">
            <v>3568</v>
          </cell>
          <cell r="AC20">
            <v>3609</v>
          </cell>
          <cell r="AD20">
            <v>3609</v>
          </cell>
          <cell r="AE20">
            <v>3507</v>
          </cell>
          <cell r="AF20">
            <v>3468</v>
          </cell>
          <cell r="AG20">
            <v>3480</v>
          </cell>
          <cell r="AH20">
            <v>3480</v>
          </cell>
          <cell r="AI20">
            <v>3480</v>
          </cell>
          <cell r="AJ20">
            <v>12469.323000000002</v>
          </cell>
          <cell r="AK20">
            <v>12478.586000000005</v>
          </cell>
          <cell r="AL20">
            <v>12475.606000000005</v>
          </cell>
          <cell r="AM20">
            <v>12475.441000000004</v>
          </cell>
          <cell r="AN20">
            <v>12634.550999999999</v>
          </cell>
          <cell r="AO20">
            <v>12633.955000000002</v>
          </cell>
          <cell r="AP20">
            <v>12649.299000000001</v>
          </cell>
          <cell r="AQ20">
            <v>12845.709000000003</v>
          </cell>
        </row>
        <row r="31">
          <cell r="D31">
            <v>8.7889999999999997</v>
          </cell>
          <cell r="E31">
            <v>8.7889999999999997</v>
          </cell>
          <cell r="F31">
            <v>8.7889999999999997</v>
          </cell>
          <cell r="G31">
            <v>8.7889999999999997</v>
          </cell>
          <cell r="H31">
            <v>8.7889999999999997</v>
          </cell>
          <cell r="I31">
            <v>8.7889999999999997</v>
          </cell>
          <cell r="J31">
            <v>27.189</v>
          </cell>
          <cell r="K31">
            <v>27.189</v>
          </cell>
          <cell r="L31">
            <v>15</v>
          </cell>
          <cell r="M31">
            <v>15</v>
          </cell>
          <cell r="N31">
            <v>15</v>
          </cell>
          <cell r="O31">
            <v>15</v>
          </cell>
          <cell r="P31">
            <v>18</v>
          </cell>
          <cell r="Q31">
            <v>23</v>
          </cell>
          <cell r="R31">
            <v>23</v>
          </cell>
          <cell r="S31">
            <v>23</v>
          </cell>
          <cell r="T31">
            <v>11</v>
          </cell>
          <cell r="U31">
            <v>11</v>
          </cell>
          <cell r="V31">
            <v>11</v>
          </cell>
          <cell r="W31">
            <v>11</v>
          </cell>
          <cell r="X31">
            <v>11</v>
          </cell>
          <cell r="Y31">
            <v>11</v>
          </cell>
          <cell r="Z31">
            <v>11</v>
          </cell>
          <cell r="AA31">
            <v>11</v>
          </cell>
          <cell r="AB31">
            <v>13.3</v>
          </cell>
          <cell r="AC31">
            <v>13.3</v>
          </cell>
          <cell r="AD31">
            <v>13.3</v>
          </cell>
          <cell r="AE31">
            <v>13.3</v>
          </cell>
          <cell r="AF31">
            <v>13.3</v>
          </cell>
          <cell r="AG31">
            <v>13.3</v>
          </cell>
          <cell r="AH31">
            <v>13.3</v>
          </cell>
          <cell r="AI31">
            <v>23.19</v>
          </cell>
          <cell r="AJ31">
            <v>47.908000000000001</v>
          </cell>
          <cell r="AK31">
            <v>47.908000000000001</v>
          </cell>
          <cell r="AL31">
            <v>47.908000000000001</v>
          </cell>
          <cell r="AM31">
            <v>47.908000000000001</v>
          </cell>
          <cell r="AN31">
            <v>47.908000000000001</v>
          </cell>
          <cell r="AO31">
            <v>47.908000000000001</v>
          </cell>
          <cell r="AP31">
            <v>47.908000000000001</v>
          </cell>
          <cell r="AQ31">
            <v>47.908000000000001</v>
          </cell>
        </row>
        <row r="56">
          <cell r="D56">
            <v>5296.6</v>
          </cell>
          <cell r="E56">
            <v>5230</v>
          </cell>
          <cell r="F56">
            <v>5477.6</v>
          </cell>
          <cell r="G56">
            <v>5797.6</v>
          </cell>
          <cell r="H56">
            <v>5862.6</v>
          </cell>
          <cell r="I56">
            <v>6262.6</v>
          </cell>
          <cell r="J56">
            <v>6887.6</v>
          </cell>
          <cell r="K56">
            <v>7362.6</v>
          </cell>
          <cell r="L56">
            <v>5277</v>
          </cell>
          <cell r="M56">
            <v>5970</v>
          </cell>
          <cell r="N56">
            <v>6443</v>
          </cell>
          <cell r="O56">
            <v>7143</v>
          </cell>
          <cell r="P56">
            <v>7488</v>
          </cell>
          <cell r="Q56">
            <v>7608</v>
          </cell>
          <cell r="R56">
            <v>7674</v>
          </cell>
          <cell r="S56">
            <v>8339</v>
          </cell>
          <cell r="T56">
            <v>12195.3</v>
          </cell>
          <cell r="U56">
            <v>12184</v>
          </cell>
          <cell r="V56">
            <v>13129.1</v>
          </cell>
          <cell r="W56">
            <v>13504.1</v>
          </cell>
          <cell r="X56">
            <v>14179.1</v>
          </cell>
          <cell r="Y56">
            <v>14149.1</v>
          </cell>
          <cell r="Z56">
            <v>14594.1</v>
          </cell>
          <cell r="AA56">
            <v>14655.800000000001</v>
          </cell>
          <cell r="AB56">
            <v>2644</v>
          </cell>
          <cell r="AC56">
            <v>2709</v>
          </cell>
          <cell r="AD56">
            <v>2760</v>
          </cell>
          <cell r="AE56">
            <v>2844</v>
          </cell>
          <cell r="AF56">
            <v>2869</v>
          </cell>
          <cell r="AG56">
            <v>3064</v>
          </cell>
          <cell r="AH56">
            <v>3184</v>
          </cell>
          <cell r="AI56">
            <v>3347</v>
          </cell>
          <cell r="AJ56">
            <v>24853</v>
          </cell>
          <cell r="AK56">
            <v>25288</v>
          </cell>
          <cell r="AL56">
            <v>24698</v>
          </cell>
          <cell r="AM56">
            <v>25648</v>
          </cell>
          <cell r="AN56">
            <v>27298</v>
          </cell>
          <cell r="AO56">
            <v>28168</v>
          </cell>
          <cell r="AP56">
            <v>29263</v>
          </cell>
          <cell r="AQ56">
            <v>29624</v>
          </cell>
        </row>
        <row r="57">
          <cell r="D57">
            <v>601</v>
          </cell>
          <cell r="E57">
            <v>746</v>
          </cell>
          <cell r="F57">
            <v>871</v>
          </cell>
          <cell r="G57">
            <v>871</v>
          </cell>
          <cell r="H57">
            <v>871</v>
          </cell>
          <cell r="I57">
            <v>871</v>
          </cell>
          <cell r="J57">
            <v>891</v>
          </cell>
          <cell r="K57">
            <v>891</v>
          </cell>
          <cell r="L57">
            <v>525</v>
          </cell>
          <cell r="M57">
            <v>585</v>
          </cell>
          <cell r="N57">
            <v>585</v>
          </cell>
          <cell r="O57">
            <v>600</v>
          </cell>
          <cell r="P57">
            <v>479</v>
          </cell>
          <cell r="Q57">
            <v>479</v>
          </cell>
          <cell r="R57">
            <v>479</v>
          </cell>
          <cell r="S57">
            <v>479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499</v>
          </cell>
          <cell r="AC57">
            <v>524</v>
          </cell>
          <cell r="AD57">
            <v>524</v>
          </cell>
          <cell r="AE57">
            <v>575</v>
          </cell>
          <cell r="AF57">
            <v>575</v>
          </cell>
          <cell r="AG57">
            <v>575</v>
          </cell>
          <cell r="AH57">
            <v>575</v>
          </cell>
          <cell r="AI57">
            <v>582.5</v>
          </cell>
          <cell r="AJ57">
            <v>35</v>
          </cell>
          <cell r="AK57">
            <v>35</v>
          </cell>
          <cell r="AL57">
            <v>35</v>
          </cell>
          <cell r="AM57">
            <v>35</v>
          </cell>
          <cell r="AN57">
            <v>35</v>
          </cell>
          <cell r="AO57">
            <v>35</v>
          </cell>
          <cell r="AP57">
            <v>35</v>
          </cell>
          <cell r="AQ57">
            <v>35</v>
          </cell>
        </row>
        <row r="58">
          <cell r="D58">
            <v>4933.5</v>
          </cell>
          <cell r="E58">
            <v>4933.5</v>
          </cell>
          <cell r="F58">
            <v>5038.5</v>
          </cell>
          <cell r="G58">
            <v>5181.5</v>
          </cell>
          <cell r="H58">
            <v>5181.5</v>
          </cell>
          <cell r="I58">
            <v>5541.5</v>
          </cell>
          <cell r="J58">
            <v>5541.5</v>
          </cell>
          <cell r="K58">
            <v>5541.5</v>
          </cell>
          <cell r="L58">
            <v>2559</v>
          </cell>
          <cell r="M58">
            <v>2619</v>
          </cell>
          <cell r="N58">
            <v>2699</v>
          </cell>
          <cell r="O58">
            <v>2910</v>
          </cell>
          <cell r="P58">
            <v>3158</v>
          </cell>
          <cell r="Q58">
            <v>3158</v>
          </cell>
          <cell r="R58">
            <v>3446</v>
          </cell>
          <cell r="S58">
            <v>3454</v>
          </cell>
          <cell r="T58">
            <v>2300.5</v>
          </cell>
          <cell r="U58">
            <v>2300.5</v>
          </cell>
          <cell r="V58">
            <v>2300.5</v>
          </cell>
          <cell r="W58">
            <v>2300.5</v>
          </cell>
          <cell r="X58">
            <v>2300.5</v>
          </cell>
          <cell r="Y58">
            <v>2300.5</v>
          </cell>
          <cell r="Z58">
            <v>2300.5</v>
          </cell>
          <cell r="AA58">
            <v>2300.5</v>
          </cell>
          <cell r="AB58">
            <v>463.2</v>
          </cell>
          <cell r="AC58">
            <v>463.2</v>
          </cell>
          <cell r="AD58">
            <v>467</v>
          </cell>
          <cell r="AE58">
            <v>467</v>
          </cell>
          <cell r="AF58">
            <v>467</v>
          </cell>
          <cell r="AG58">
            <v>467</v>
          </cell>
          <cell r="AH58">
            <v>467</v>
          </cell>
          <cell r="AI58">
            <v>467</v>
          </cell>
          <cell r="AJ58">
            <v>2281</v>
          </cell>
          <cell r="AK58">
            <v>2281</v>
          </cell>
          <cell r="AL58">
            <v>2281</v>
          </cell>
          <cell r="AM58">
            <v>2336</v>
          </cell>
          <cell r="AN58">
            <v>2336</v>
          </cell>
          <cell r="AO58">
            <v>2336</v>
          </cell>
          <cell r="AP58">
            <v>2336</v>
          </cell>
          <cell r="AQ58">
            <v>2336</v>
          </cell>
        </row>
        <row r="59">
          <cell r="D59">
            <v>680</v>
          </cell>
          <cell r="E59">
            <v>680</v>
          </cell>
          <cell r="F59">
            <v>680</v>
          </cell>
          <cell r="G59">
            <v>680</v>
          </cell>
          <cell r="H59">
            <v>680</v>
          </cell>
          <cell r="I59">
            <v>680</v>
          </cell>
          <cell r="J59">
            <v>680</v>
          </cell>
          <cell r="K59">
            <v>680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740</v>
          </cell>
          <cell r="U59">
            <v>740</v>
          </cell>
          <cell r="V59">
            <v>740</v>
          </cell>
          <cell r="W59">
            <v>740</v>
          </cell>
          <cell r="X59">
            <v>740</v>
          </cell>
          <cell r="Y59">
            <v>740</v>
          </cell>
          <cell r="Z59">
            <v>740</v>
          </cell>
          <cell r="AA59">
            <v>740</v>
          </cell>
          <cell r="AB59">
            <v>555</v>
          </cell>
          <cell r="AC59">
            <v>555</v>
          </cell>
          <cell r="AD59">
            <v>555</v>
          </cell>
          <cell r="AE59">
            <v>555</v>
          </cell>
          <cell r="AF59">
            <v>555</v>
          </cell>
          <cell r="AG59">
            <v>555</v>
          </cell>
          <cell r="AH59">
            <v>555</v>
          </cell>
          <cell r="AI59">
            <v>555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</row>
      </sheetData>
      <sheetData sheetId="12" refreshError="1"/>
      <sheetData sheetId="13">
        <row r="20">
          <cell r="D20">
            <v>4643</v>
          </cell>
          <cell r="E20">
            <v>4555</v>
          </cell>
          <cell r="F20">
            <v>4555</v>
          </cell>
          <cell r="G20">
            <v>4540</v>
          </cell>
          <cell r="H20">
            <v>4538</v>
          </cell>
          <cell r="I20">
            <v>4542</v>
          </cell>
          <cell r="J20">
            <v>4543</v>
          </cell>
          <cell r="K20">
            <v>4543</v>
          </cell>
          <cell r="L20">
            <v>8393</v>
          </cell>
          <cell r="M20">
            <v>8387</v>
          </cell>
          <cell r="N20">
            <v>8643</v>
          </cell>
          <cell r="O20">
            <v>8878</v>
          </cell>
          <cell r="P20">
            <v>9096</v>
          </cell>
          <cell r="Q20">
            <v>9294</v>
          </cell>
          <cell r="R20">
            <v>9290</v>
          </cell>
          <cell r="S20">
            <v>9505</v>
          </cell>
          <cell r="T20">
            <v>5029</v>
          </cell>
          <cell r="U20">
            <v>5029</v>
          </cell>
          <cell r="V20">
            <v>5029</v>
          </cell>
          <cell r="W20">
            <v>5029</v>
          </cell>
          <cell r="X20">
            <v>5029</v>
          </cell>
          <cell r="Y20">
            <v>5029</v>
          </cell>
          <cell r="Z20">
            <v>5029</v>
          </cell>
          <cell r="AA20">
            <v>5029</v>
          </cell>
          <cell r="AB20">
            <v>2261</v>
          </cell>
          <cell r="AC20">
            <v>2326</v>
          </cell>
          <cell r="AD20">
            <v>2326</v>
          </cell>
          <cell r="AE20">
            <v>2265</v>
          </cell>
          <cell r="AF20">
            <v>2265</v>
          </cell>
          <cell r="AG20">
            <v>2365</v>
          </cell>
          <cell r="AH20">
            <v>2353</v>
          </cell>
          <cell r="AI20">
            <v>2348</v>
          </cell>
          <cell r="AJ20">
            <v>10381.867</v>
          </cell>
          <cell r="AK20">
            <v>10520</v>
          </cell>
          <cell r="AL20">
            <v>10562.36</v>
          </cell>
          <cell r="AM20">
            <v>10562.84</v>
          </cell>
          <cell r="AN20">
            <v>10882.06</v>
          </cell>
          <cell r="AO20">
            <v>11004.81</v>
          </cell>
          <cell r="AP20">
            <v>11122.07</v>
          </cell>
          <cell r="AQ20">
            <v>11391.57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C"/>
      <sheetName val="DNSP stacked data"/>
      <sheetName val="WACC"/>
      <sheetName val="01ACT BB"/>
      <sheetName val="02AGD BB"/>
      <sheetName val="03CIT BB"/>
      <sheetName val="04END BB"/>
      <sheetName val="05ENX BB"/>
      <sheetName val="06ERG BB"/>
      <sheetName val="07ESS BB"/>
      <sheetName val="08JEN BB"/>
      <sheetName val="09PCR BB"/>
      <sheetName val="10SAP BB"/>
      <sheetName val="11SPD BB"/>
      <sheetName val="12TND BB"/>
      <sheetName val="13UED BB"/>
      <sheetName val="Sheet1"/>
    </sheetNames>
    <sheetDataSet>
      <sheetData sheetId="0"/>
      <sheetData sheetId="1"/>
      <sheetData sheetId="2">
        <row r="22">
          <cell r="C22">
            <v>5.4823047865758007E-2</v>
          </cell>
          <cell r="D22">
            <v>5.3025363175868902E-2</v>
          </cell>
          <cell r="E22">
            <v>5.7246585811709313E-2</v>
          </cell>
          <cell r="F22">
            <v>6.7751425222524642E-2</v>
          </cell>
          <cell r="G22">
            <v>6.1679012051015739E-2</v>
          </cell>
          <cell r="H22">
            <v>6.9623190940395749E-2</v>
          </cell>
          <cell r="I22">
            <v>6.9374637434752986E-2</v>
          </cell>
          <cell r="J22">
            <v>5.3816171149810632E-2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NSP charts"/>
      <sheetName val="Analysis"/>
      <sheetName val="RAB"/>
      <sheetName val="Opex"/>
      <sheetName val="Depreciation"/>
      <sheetName val="Capex"/>
      <sheetName val="Asset cost"/>
      <sheetName val="CPI"/>
      <sheetName val="Physical data"/>
      <sheetName val="Network characteristics charts"/>
      <sheetName val="Reliability"/>
      <sheetName val="Network size table"/>
    </sheetNames>
    <sheetDataSet>
      <sheetData sheetId="0"/>
      <sheetData sheetId="1"/>
      <sheetData sheetId="2"/>
      <sheetData sheetId="3"/>
      <sheetData sheetId="4">
        <row r="24">
          <cell r="F24">
            <v>-92714.426115943046</v>
          </cell>
          <cell r="G24">
            <v>-97108.533098771266</v>
          </cell>
          <cell r="H24">
            <v>-91578.358235293563</v>
          </cell>
          <cell r="I24">
            <v>-102051.4872868394</v>
          </cell>
          <cell r="J24">
            <v>-113068.91101421771</v>
          </cell>
        </row>
        <row r="25">
          <cell r="F25">
            <v>-163422.26932208461</v>
          </cell>
          <cell r="G25">
            <v>-177952.34099040215</v>
          </cell>
          <cell r="H25">
            <v>-162869.21569505977</v>
          </cell>
          <cell r="I25">
            <v>-175375.96503988822</v>
          </cell>
          <cell r="J25">
            <v>-194921.96649557215</v>
          </cell>
        </row>
        <row r="26">
          <cell r="F26">
            <v>-82384.990999999995</v>
          </cell>
          <cell r="G26">
            <v>-88913.315000000002</v>
          </cell>
          <cell r="H26">
            <v>-130732.864</v>
          </cell>
          <cell r="I26">
            <v>-112282.345</v>
          </cell>
          <cell r="J26">
            <v>-129504.23772903974</v>
          </cell>
        </row>
        <row r="27">
          <cell r="F27">
            <v>-45703.966411886177</v>
          </cell>
          <cell r="G27">
            <v>-53533.931814740274</v>
          </cell>
          <cell r="H27">
            <v>-61151.18369106482</v>
          </cell>
          <cell r="I27">
            <v>-67071.747018849259</v>
          </cell>
          <cell r="J27">
            <v>-69759.442766199165</v>
          </cell>
        </row>
        <row r="28">
          <cell r="F28">
            <v>-76668.799873429656</v>
          </cell>
          <cell r="G28">
            <v>-76669.548274234519</v>
          </cell>
          <cell r="H28">
            <v>-65682.346743820381</v>
          </cell>
          <cell r="I28">
            <v>-83380.174189981393</v>
          </cell>
          <cell r="J28">
            <v>-94034.533195486729</v>
          </cell>
        </row>
      </sheetData>
      <sheetData sheetId="5"/>
      <sheetData sheetId="6"/>
      <sheetData sheetId="7"/>
      <sheetData sheetId="8">
        <row r="23">
          <cell r="C23">
            <v>154510</v>
          </cell>
          <cell r="D23">
            <v>156360</v>
          </cell>
          <cell r="E23">
            <v>158455</v>
          </cell>
          <cell r="F23">
            <v>161092</v>
          </cell>
          <cell r="G23">
            <v>164900</v>
          </cell>
          <cell r="H23">
            <v>168937</v>
          </cell>
          <cell r="I23">
            <v>173186</v>
          </cell>
          <cell r="J23">
            <v>177255</v>
          </cell>
        </row>
        <row r="24">
          <cell r="C24">
            <v>1546194.5</v>
          </cell>
          <cell r="D24">
            <v>1561614</v>
          </cell>
          <cell r="E24">
            <v>1574318</v>
          </cell>
          <cell r="F24">
            <v>1586138</v>
          </cell>
          <cell r="G24">
            <v>1596897.5</v>
          </cell>
          <cell r="H24">
            <v>1608734.5</v>
          </cell>
          <cell r="I24">
            <v>1621658.5</v>
          </cell>
          <cell r="J24">
            <v>1635052.5</v>
          </cell>
        </row>
        <row r="25">
          <cell r="C25">
            <v>294971.65817284817</v>
          </cell>
          <cell r="D25">
            <v>299951.29418559512</v>
          </cell>
          <cell r="E25">
            <v>303151.80398687738</v>
          </cell>
          <cell r="F25">
            <v>305984.98426974035</v>
          </cell>
          <cell r="G25">
            <v>310174.96273258881</v>
          </cell>
          <cell r="H25">
            <v>314439.61807555537</v>
          </cell>
          <cell r="I25">
            <v>318643.22002329014</v>
          </cell>
          <cell r="J25">
            <v>322735.81579787645</v>
          </cell>
        </row>
        <row r="26">
          <cell r="C26">
            <v>849548.29330195289</v>
          </cell>
          <cell r="D26">
            <v>859722.30529925239</v>
          </cell>
          <cell r="E26">
            <v>869654.53679641755</v>
          </cell>
          <cell r="F26">
            <v>878612.20779662021</v>
          </cell>
          <cell r="G26">
            <v>886064.29272155382</v>
          </cell>
          <cell r="H26">
            <v>895088.26980019733</v>
          </cell>
          <cell r="I26">
            <v>903746.68839345104</v>
          </cell>
          <cell r="J26">
            <v>919384.82389900391</v>
          </cell>
        </row>
        <row r="27">
          <cell r="C27">
            <v>1212063.5623809525</v>
          </cell>
        </row>
        <row r="28">
          <cell r="C28">
            <v>624130</v>
          </cell>
        </row>
        <row r="29">
          <cell r="C29">
            <v>799028</v>
          </cell>
          <cell r="D29">
            <v>805190</v>
          </cell>
          <cell r="E29">
            <v>814865</v>
          </cell>
          <cell r="F29">
            <v>821578</v>
          </cell>
          <cell r="G29">
            <v>825215</v>
          </cell>
          <cell r="H29">
            <v>834416</v>
          </cell>
          <cell r="I29">
            <v>838385</v>
          </cell>
          <cell r="J29">
            <v>844244</v>
          </cell>
        </row>
        <row r="30">
          <cell r="C30">
            <v>293175.49999999994</v>
          </cell>
          <cell r="D30">
            <v>299118.49999999994</v>
          </cell>
          <cell r="E30">
            <v>302627.5</v>
          </cell>
          <cell r="F30">
            <v>305243</v>
          </cell>
          <cell r="G30">
            <v>309598</v>
          </cell>
          <cell r="H30">
            <v>313362.00000000006</v>
          </cell>
          <cell r="I30">
            <v>317050.00000000006</v>
          </cell>
          <cell r="J30">
            <v>318830</v>
          </cell>
        </row>
        <row r="31">
          <cell r="C31">
            <v>663966.3573024238</v>
          </cell>
          <cell r="D31">
            <v>675821.59009513049</v>
          </cell>
          <cell r="E31">
            <v>688356.4318822237</v>
          </cell>
          <cell r="F31">
            <v>701004.54183504835</v>
          </cell>
          <cell r="G31">
            <v>715219.69663430494</v>
          </cell>
          <cell r="H31">
            <v>731281.52706414193</v>
          </cell>
          <cell r="I31">
            <v>743561.51547834044</v>
          </cell>
          <cell r="J31">
            <v>753913.41676783864</v>
          </cell>
        </row>
        <row r="32">
          <cell r="C32">
            <v>778839</v>
          </cell>
        </row>
        <row r="33">
          <cell r="C33">
            <v>605408</v>
          </cell>
          <cell r="D33">
            <v>616585.5</v>
          </cell>
          <cell r="E33">
            <v>627552.50000000012</v>
          </cell>
          <cell r="F33">
            <v>638613.50000000023</v>
          </cell>
          <cell r="G33">
            <v>645694.5</v>
          </cell>
          <cell r="H33">
            <v>654640.99999999988</v>
          </cell>
          <cell r="I33">
            <v>668703</v>
          </cell>
          <cell r="J33">
            <v>681299.00000000012</v>
          </cell>
        </row>
        <row r="34">
          <cell r="C34">
            <v>250642.52420131132</v>
          </cell>
          <cell r="D34">
            <v>255484.38545676047</v>
          </cell>
          <cell r="E34">
            <v>260424.25945125124</v>
          </cell>
          <cell r="F34">
            <v>265464.13023523602</v>
          </cell>
          <cell r="G34">
            <v>270606.02202186675</v>
          </cell>
          <cell r="H34">
            <v>275852</v>
          </cell>
          <cell r="I34">
            <v>278392</v>
          </cell>
          <cell r="J34">
            <v>279868</v>
          </cell>
        </row>
        <row r="35">
          <cell r="C35">
            <v>612728</v>
          </cell>
          <cell r="D35">
            <v>618250</v>
          </cell>
          <cell r="E35">
            <v>624094</v>
          </cell>
          <cell r="F35">
            <v>628120</v>
          </cell>
          <cell r="G35">
            <v>633823</v>
          </cell>
          <cell r="H35">
            <v>641129.77419354848</v>
          </cell>
          <cell r="I35">
            <v>647892</v>
          </cell>
          <cell r="J35">
            <v>656516</v>
          </cell>
        </row>
      </sheetData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nection output"/>
      <sheetName val="TNSP connection voltages"/>
      <sheetName val="PivotSPATNI"/>
      <sheetName val="SPATNI"/>
      <sheetName val="Vic2005-06"/>
      <sheetName val="Vic2006-07"/>
      <sheetName val="Vic2007-08"/>
      <sheetName val="Vic2008-09"/>
      <sheetName val="Vic2009-10"/>
      <sheetName val="Vic2010-11"/>
      <sheetName val="Vic2011-12"/>
      <sheetName val="Vic2012-13"/>
    </sheetNames>
    <sheetDataSet>
      <sheetData sheetId="0">
        <row r="3">
          <cell r="B3">
            <v>11561</v>
          </cell>
          <cell r="C3">
            <v>11759</v>
          </cell>
          <cell r="D3">
            <v>11891</v>
          </cell>
          <cell r="E3">
            <v>12089</v>
          </cell>
          <cell r="F3">
            <v>12353</v>
          </cell>
          <cell r="G3">
            <v>12551</v>
          </cell>
          <cell r="H3">
            <v>12749</v>
          </cell>
          <cell r="I3">
            <v>12749</v>
          </cell>
        </row>
        <row r="4">
          <cell r="B4">
            <v>12468.5</v>
          </cell>
          <cell r="C4">
            <v>12694</v>
          </cell>
          <cell r="D4">
            <v>13117.5</v>
          </cell>
          <cell r="E4">
            <v>13898.5</v>
          </cell>
          <cell r="F4">
            <v>14580.5</v>
          </cell>
          <cell r="G4">
            <v>15009.5</v>
          </cell>
          <cell r="H4">
            <v>15356</v>
          </cell>
          <cell r="I4">
            <v>16214</v>
          </cell>
        </row>
        <row r="5">
          <cell r="B5">
            <v>9596</v>
          </cell>
          <cell r="C5">
            <v>9552</v>
          </cell>
          <cell r="D5">
            <v>9628</v>
          </cell>
          <cell r="E5">
            <v>11135</v>
          </cell>
          <cell r="F5">
            <v>11531</v>
          </cell>
          <cell r="G5">
            <v>11553</v>
          </cell>
          <cell r="H5">
            <v>12394</v>
          </cell>
          <cell r="I5">
            <v>12960</v>
          </cell>
        </row>
        <row r="6">
          <cell r="B6">
            <v>5893.8</v>
          </cell>
          <cell r="C6">
            <v>5882.8</v>
          </cell>
          <cell r="D6">
            <v>5860.8</v>
          </cell>
          <cell r="E6">
            <v>5970.8</v>
          </cell>
          <cell r="F6">
            <v>5860.8</v>
          </cell>
          <cell r="G6">
            <v>5893.8</v>
          </cell>
          <cell r="H6">
            <v>5948.8</v>
          </cell>
          <cell r="I6">
            <v>6058.8</v>
          </cell>
        </row>
        <row r="7">
          <cell r="B7">
            <v>15229</v>
          </cell>
          <cell r="C7">
            <v>15163</v>
          </cell>
          <cell r="D7">
            <v>15196</v>
          </cell>
          <cell r="E7">
            <v>15418.5</v>
          </cell>
          <cell r="F7">
            <v>16191</v>
          </cell>
          <cell r="G7">
            <v>16455</v>
          </cell>
          <cell r="H7">
            <v>16653</v>
          </cell>
          <cell r="I7">
            <v>16785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iability metrics"/>
      <sheetName val="Output price calculations"/>
      <sheetName val="VCR price indexes"/>
      <sheetName val="VCR price indexes (transposed)"/>
    </sheetNames>
    <sheetDataSet>
      <sheetData sheetId="0">
        <row r="3">
          <cell r="C3">
            <v>77.58</v>
          </cell>
          <cell r="D3">
            <v>62.69</v>
          </cell>
          <cell r="E3">
            <v>40.950000000000003</v>
          </cell>
          <cell r="F3">
            <v>95.14</v>
          </cell>
          <cell r="G3">
            <v>315.52999999999997</v>
          </cell>
          <cell r="H3">
            <v>401.76</v>
          </cell>
          <cell r="I3">
            <v>323.70999999999998</v>
          </cell>
          <cell r="J3">
            <v>392.52</v>
          </cell>
        </row>
        <row r="4">
          <cell r="C4">
            <v>254.2885</v>
          </cell>
          <cell r="D4">
            <v>1648.8036669999999</v>
          </cell>
          <cell r="E4">
            <v>289.31633299999999</v>
          </cell>
          <cell r="F4">
            <v>1179.671278</v>
          </cell>
          <cell r="G4">
            <v>100.126167</v>
          </cell>
          <cell r="H4">
            <v>307.452</v>
          </cell>
          <cell r="I4">
            <v>84.258667000000003</v>
          </cell>
          <cell r="J4">
            <v>34.269832999999998</v>
          </cell>
        </row>
        <row r="5">
          <cell r="C5">
            <v>530.55999999999995</v>
          </cell>
          <cell r="D5">
            <v>109.87</v>
          </cell>
          <cell r="E5">
            <v>1219.58</v>
          </cell>
          <cell r="F5">
            <v>6975.47</v>
          </cell>
          <cell r="G5">
            <v>33.25</v>
          </cell>
          <cell r="H5">
            <v>4.3</v>
          </cell>
          <cell r="I5">
            <v>476</v>
          </cell>
          <cell r="J5">
            <v>206.01</v>
          </cell>
        </row>
        <row r="6">
          <cell r="C6">
            <v>335</v>
          </cell>
          <cell r="D6">
            <v>150</v>
          </cell>
          <cell r="E6">
            <v>92</v>
          </cell>
          <cell r="F6">
            <v>264</v>
          </cell>
          <cell r="G6">
            <v>192</v>
          </cell>
          <cell r="H6">
            <v>368</v>
          </cell>
          <cell r="I6">
            <v>219</v>
          </cell>
          <cell r="J6">
            <v>535</v>
          </cell>
        </row>
        <row r="7">
          <cell r="C7">
            <v>128.06</v>
          </cell>
          <cell r="D7">
            <v>335.85</v>
          </cell>
          <cell r="E7">
            <v>92.57</v>
          </cell>
          <cell r="F7">
            <v>253.06</v>
          </cell>
          <cell r="G7">
            <v>521.72</v>
          </cell>
          <cell r="H7">
            <v>146.82</v>
          </cell>
          <cell r="I7">
            <v>148.13999999999999</v>
          </cell>
          <cell r="J7">
            <v>179.42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L108"/>
  <sheetViews>
    <sheetView tabSelected="1" zoomScale="70" zoomScaleNormal="70" workbookViewId="0">
      <selection activeCell="P127" sqref="P127"/>
    </sheetView>
  </sheetViews>
  <sheetFormatPr defaultRowHeight="15" x14ac:dyDescent="0.25"/>
  <cols>
    <col min="40" max="40" width="9.140625" customWidth="1"/>
  </cols>
  <sheetData>
    <row r="1" spans="2:38" ht="26.25" x14ac:dyDescent="0.4">
      <c r="B1" s="23" t="s">
        <v>40</v>
      </c>
    </row>
    <row r="2" spans="2:38" ht="26.25" x14ac:dyDescent="0.4">
      <c r="B2" s="23" t="s">
        <v>41</v>
      </c>
      <c r="K2" s="23" t="s">
        <v>48</v>
      </c>
      <c r="T2" s="23" t="s">
        <v>35</v>
      </c>
      <c r="AC2" s="23" t="s">
        <v>42</v>
      </c>
      <c r="AL2" s="23" t="s">
        <v>47</v>
      </c>
    </row>
    <row r="23" spans="2:20" ht="26.25" x14ac:dyDescent="0.4">
      <c r="B23" s="23" t="s">
        <v>31</v>
      </c>
      <c r="K23" s="23" t="s">
        <v>61</v>
      </c>
      <c r="T23" s="23" t="s">
        <v>36</v>
      </c>
    </row>
    <row r="43" spans="2:21" ht="26.25" x14ac:dyDescent="0.4">
      <c r="B43" s="23"/>
      <c r="K43" s="23"/>
      <c r="T43" s="23"/>
    </row>
    <row r="44" spans="2:21" ht="26.25" x14ac:dyDescent="0.4">
      <c r="B44" s="23" t="s">
        <v>90</v>
      </c>
      <c r="C44" s="2"/>
      <c r="D44" s="2"/>
      <c r="E44" s="2"/>
      <c r="F44" s="2"/>
      <c r="G44" s="2"/>
      <c r="H44" s="2"/>
      <c r="I44" s="2"/>
      <c r="J44" s="2"/>
      <c r="K44" s="23" t="s">
        <v>91</v>
      </c>
      <c r="L44" s="2"/>
      <c r="M44" s="2"/>
      <c r="N44" s="2"/>
      <c r="O44" s="2"/>
      <c r="P44" s="2"/>
      <c r="Q44" s="2"/>
      <c r="R44" s="2"/>
      <c r="S44" s="2"/>
      <c r="T44" s="23" t="s">
        <v>92</v>
      </c>
      <c r="U44" s="2"/>
    </row>
    <row r="66" spans="2:20" ht="26.25" x14ac:dyDescent="0.4">
      <c r="B66" s="23" t="s">
        <v>43</v>
      </c>
      <c r="K66" s="23" t="s">
        <v>62</v>
      </c>
      <c r="T66" s="23" t="s">
        <v>44</v>
      </c>
    </row>
    <row r="83" spans="2:29" ht="26.25" x14ac:dyDescent="0.4">
      <c r="AC83" s="23"/>
    </row>
    <row r="87" spans="2:29" ht="26.25" x14ac:dyDescent="0.4">
      <c r="B87" s="23" t="s">
        <v>83</v>
      </c>
      <c r="K87" s="23" t="s">
        <v>84</v>
      </c>
      <c r="T87" s="23" t="s">
        <v>85</v>
      </c>
    </row>
    <row r="103" spans="2:29" ht="26.25" x14ac:dyDescent="0.4">
      <c r="AC103" s="23"/>
    </row>
    <row r="108" spans="2:29" ht="26.25" x14ac:dyDescent="0.4">
      <c r="B108" s="23" t="s">
        <v>81</v>
      </c>
    </row>
  </sheetData>
  <pageMargins left="0.7" right="0.7" top="0.75" bottom="0.75" header="0.3" footer="0.3"/>
  <pageSetup paperSize="9" scale="59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opLeftCell="B1" workbookViewId="0">
      <selection activeCell="C13" sqref="C13"/>
    </sheetView>
  </sheetViews>
  <sheetFormatPr defaultRowHeight="15" x14ac:dyDescent="0.25"/>
  <cols>
    <col min="1" max="1" width="24.85546875" customWidth="1"/>
    <col min="2" max="7" width="19.140625" customWidth="1"/>
    <col min="8" max="9" width="17.85546875" customWidth="1"/>
  </cols>
  <sheetData>
    <row r="1" spans="1:9" x14ac:dyDescent="0.25">
      <c r="H1" s="2"/>
      <c r="I1" s="2"/>
    </row>
    <row r="2" spans="1:9" x14ac:dyDescent="0.25">
      <c r="A2" t="s">
        <v>52</v>
      </c>
      <c r="H2" s="2"/>
      <c r="I2" s="2"/>
    </row>
    <row r="3" spans="1:9" x14ac:dyDescent="0.25">
      <c r="B3" s="2" t="str">
        <f>'Physical data'!B59</f>
        <v>route line length</v>
      </c>
      <c r="C3" s="2" t="str">
        <f>'Physical data'!D59</f>
        <v>customer numbers</v>
      </c>
      <c r="D3" s="2" t="str">
        <f>'Physical data'!E59</f>
        <v>Energy transported</v>
      </c>
      <c r="E3" s="2" t="str">
        <f>'Physical data'!F59</f>
        <v>Maximum demand</v>
      </c>
      <c r="F3" s="2" t="str">
        <f>'Physical data'!G59</f>
        <v>Capacity</v>
      </c>
      <c r="G3" s="2" t="str">
        <f>'Physical data'!H59</f>
        <v>Entry/exit points</v>
      </c>
      <c r="H3" s="2"/>
      <c r="I3" s="2"/>
    </row>
    <row r="4" spans="1:9" x14ac:dyDescent="0.25">
      <c r="A4" s="2" t="str">
        <f>'Physical data'!A60</f>
        <v>ElectraNet</v>
      </c>
      <c r="B4" s="2">
        <f>'Physical data'!B60</f>
        <v>4541</v>
      </c>
      <c r="C4" s="2">
        <f>'Physical data'!D60</f>
        <v>778839</v>
      </c>
      <c r="D4" s="26">
        <f>'Physical data'!E60/1000</f>
        <v>13917.661</v>
      </c>
      <c r="E4" s="2">
        <f>'Physical data'!F60</f>
        <v>4112</v>
      </c>
      <c r="F4" s="2">
        <f>'Physical data'!G60</f>
        <v>13391</v>
      </c>
      <c r="G4" s="2">
        <f>'Physical data'!H60</f>
        <v>12498</v>
      </c>
      <c r="H4" s="2"/>
      <c r="I4" s="2"/>
    </row>
    <row r="5" spans="1:9" x14ac:dyDescent="0.25">
      <c r="A5" s="2" t="str">
        <f>'Physical data'!A61</f>
        <v>Powerlink</v>
      </c>
      <c r="B5" s="2">
        <f>'Physical data'!B61</f>
        <v>9213</v>
      </c>
      <c r="C5" s="2">
        <f>'Physical data'!D61</f>
        <v>1836194</v>
      </c>
      <c r="D5" s="26">
        <f>'Physical data'!E61/1000</f>
        <v>51434.010999999999</v>
      </c>
      <c r="E5" s="2">
        <f>'Physical data'!F61</f>
        <v>11219</v>
      </c>
      <c r="F5" s="2">
        <f>'Physical data'!G61</f>
        <v>11379</v>
      </c>
      <c r="G5" s="2">
        <f>'Physical data'!H61</f>
        <v>15012</v>
      </c>
      <c r="H5" s="2"/>
      <c r="I5" s="2"/>
    </row>
    <row r="6" spans="1:9" x14ac:dyDescent="0.25">
      <c r="A6" s="2" t="str">
        <f>'Physical data'!A62</f>
        <v>AusNet Services</v>
      </c>
      <c r="B6" s="2">
        <f>'Physical data'!B62</f>
        <v>5029</v>
      </c>
      <c r="C6" s="2">
        <f>'Physical data'!D62</f>
        <v>2655495</v>
      </c>
      <c r="D6" s="26">
        <f>'Physical data'!E62/1000</f>
        <v>48205.915000000001</v>
      </c>
      <c r="E6" s="2">
        <f>'Physical data'!F62</f>
        <v>9337</v>
      </c>
      <c r="F6" s="2">
        <f>'Physical data'!G62</f>
        <v>17257</v>
      </c>
      <c r="G6" s="2">
        <f>'Physical data'!H62</f>
        <v>11915</v>
      </c>
      <c r="H6" s="2"/>
      <c r="I6" s="2"/>
    </row>
    <row r="7" spans="1:9" x14ac:dyDescent="0.25">
      <c r="A7" s="2" t="str">
        <f>'Physical data'!A63</f>
        <v>TasNetworks</v>
      </c>
      <c r="B7" s="2">
        <f>'Physical data'!B63</f>
        <v>2319</v>
      </c>
      <c r="C7" s="2">
        <f>'Physical data'!D63</f>
        <v>274036</v>
      </c>
      <c r="D7" s="26">
        <f>'Physical data'!E63/1000</f>
        <v>13001.478999999999</v>
      </c>
      <c r="E7" s="2">
        <f>'Physical data'!F63</f>
        <v>2526</v>
      </c>
      <c r="F7" s="2">
        <f>'Physical data'!G63</f>
        <v>4660</v>
      </c>
      <c r="G7" s="2">
        <f>'Physical data'!H63</f>
        <v>5947</v>
      </c>
      <c r="H7" s="2"/>
      <c r="I7" s="2"/>
    </row>
    <row r="8" spans="1:9" x14ac:dyDescent="0.25">
      <c r="A8" s="2" t="str">
        <f>'Physical data'!A64</f>
        <v>TransGrid</v>
      </c>
      <c r="B8" s="2">
        <f>'Physical data'!B64</f>
        <v>10993</v>
      </c>
      <c r="C8" s="2">
        <f>'Physical data'!D64</f>
        <v>3508117</v>
      </c>
      <c r="D8" s="26">
        <f>'Physical data'!E64/1000</f>
        <v>70180</v>
      </c>
      <c r="E8" s="2">
        <f>'Physical data'!F64</f>
        <v>18060</v>
      </c>
      <c r="F8" s="2">
        <f>'Physical data'!G64</f>
        <v>30371</v>
      </c>
      <c r="G8" s="2">
        <f>'Physical data'!H64</f>
        <v>16301</v>
      </c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t="s">
        <v>53</v>
      </c>
      <c r="H10" s="2"/>
      <c r="I10" s="2"/>
    </row>
    <row r="11" spans="1:9" x14ac:dyDescent="0.25">
      <c r="B11" t="s">
        <v>41</v>
      </c>
      <c r="C11" t="s">
        <v>42</v>
      </c>
      <c r="D11" t="s">
        <v>47</v>
      </c>
      <c r="E11" t="s">
        <v>33</v>
      </c>
      <c r="F11" t="s">
        <v>48</v>
      </c>
    </row>
    <row r="12" spans="1:9" x14ac:dyDescent="0.25">
      <c r="A12" t="s">
        <v>94</v>
      </c>
      <c r="B12" s="25">
        <f>AVERAGE(Opex!E22:I22)</f>
        <v>68898.509596519958</v>
      </c>
      <c r="C12" s="25">
        <f>AVERAGE(Capex!E25:I25)</f>
        <v>141866.32544538853</v>
      </c>
      <c r="D12" s="25">
        <f>AVERAGE(RAB!F21:J21)</f>
        <v>1533786.3690526553</v>
      </c>
      <c r="E12" s="25">
        <f>ABS(AVERAGE([4]Depreciation!F24:J24))</f>
        <v>99304.343150212997</v>
      </c>
      <c r="F12" s="25">
        <f>AVERAGE('Asset cost'!E7:I7)</f>
        <v>162033.97650975263</v>
      </c>
    </row>
    <row r="13" spans="1:9" x14ac:dyDescent="0.25">
      <c r="A13" t="s">
        <v>26</v>
      </c>
      <c r="B13" s="25">
        <f>AVERAGE(Opex!E23:I23)</f>
        <v>166901.68722510809</v>
      </c>
      <c r="C13" s="25">
        <f>AVERAGE(Capex!E26:I26)</f>
        <v>567277.14905334788</v>
      </c>
      <c r="D13" s="25">
        <f>AVERAGE(RAB!F22:J22)</f>
        <v>5438240.704210829</v>
      </c>
      <c r="E13" s="25">
        <f>ABS(AVERAGE([4]Depreciation!F25:J25))</f>
        <v>174908.35150860139</v>
      </c>
      <c r="F13" s="25">
        <f>AVERAGE('Asset cost'!E8:I8)</f>
        <v>551609.94183341099</v>
      </c>
    </row>
    <row r="14" spans="1:9" x14ac:dyDescent="0.25">
      <c r="A14" t="s">
        <v>86</v>
      </c>
      <c r="B14" s="25">
        <f>AVERAGE(Opex!E24:I24)</f>
        <v>81598.428482631134</v>
      </c>
      <c r="C14" s="25">
        <f>AVERAGE(Capex!E27:I27)</f>
        <v>111664.55138615782</v>
      </c>
      <c r="D14" s="25">
        <f>AVERAGE(RAB!F23:J23)</f>
        <v>2406896.4935263451</v>
      </c>
      <c r="E14" s="25">
        <f>ABS(AVERAGE([4]Depreciation!F26:J26))</f>
        <v>108763.55054580796</v>
      </c>
      <c r="F14" s="25">
        <f>AVERAGE('Asset cost'!E9:I9)</f>
        <v>272872.1821274854</v>
      </c>
    </row>
    <row r="15" spans="1:9" x14ac:dyDescent="0.25">
      <c r="A15" t="s">
        <v>49</v>
      </c>
      <c r="B15" s="25">
        <f>AVERAGE(Opex!E25:I25)</f>
        <v>50368.034317527563</v>
      </c>
      <c r="C15" s="25">
        <f>AVERAGE(Capex!E28:I28)</f>
        <v>117854.17431277444</v>
      </c>
      <c r="D15" s="25">
        <f>AVERAGE(RAB!F24:J24)</f>
        <v>1095450.4509724223</v>
      </c>
      <c r="E15" s="25">
        <f>ABS(AVERAGE([4]Depreciation!F27:J27))</f>
        <v>59444.05434054794</v>
      </c>
      <c r="F15" s="25">
        <f>AVERAGE('Asset cost'!E10:I10)</f>
        <v>121652.73785283943</v>
      </c>
    </row>
    <row r="16" spans="1:9" x14ac:dyDescent="0.25">
      <c r="A16" t="s">
        <v>95</v>
      </c>
      <c r="B16" s="25">
        <f>AVERAGE(Opex!E26:I26)</f>
        <v>151139.68363237224</v>
      </c>
      <c r="C16" s="25">
        <f>AVERAGE(Capex!E29:I29)</f>
        <v>416966.31469241728</v>
      </c>
      <c r="D16" s="25">
        <f>AVERAGE(RAB!F25:J25)</f>
        <v>4919927.9339214703</v>
      </c>
      <c r="E16" s="25">
        <f>ABS(AVERAGE([4]Depreciation!F28:J28))</f>
        <v>79287.080455390533</v>
      </c>
      <c r="F16" s="25">
        <f>AVERAGE('Asset cost'!E11:I11)</f>
        <v>493723.36477013788</v>
      </c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  <row r="21" spans="5:5" x14ac:dyDescent="0.25">
      <c r="E21" s="2"/>
    </row>
    <row r="22" spans="5:5" x14ac:dyDescent="0.25">
      <c r="E22" s="2"/>
    </row>
    <row r="23" spans="5:5" x14ac:dyDescent="0.25">
      <c r="E23" s="2"/>
    </row>
    <row r="24" spans="5:5" x14ac:dyDescent="0.25">
      <c r="E24" s="2"/>
    </row>
    <row r="25" spans="5:5" x14ac:dyDescent="0.25">
      <c r="E25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J25"/>
  <sheetViews>
    <sheetView workbookViewId="0">
      <selection activeCell="A31" sqref="A31"/>
    </sheetView>
  </sheetViews>
  <sheetFormatPr defaultRowHeight="15" x14ac:dyDescent="0.25"/>
  <cols>
    <col min="1" max="1" width="46.42578125" style="2" bestFit="1" customWidth="1"/>
    <col min="2" max="2" width="10.140625" style="2" bestFit="1" customWidth="1"/>
    <col min="3" max="3" width="11.42578125" style="2" customWidth="1"/>
    <col min="4" max="4" width="12.28515625" style="2" customWidth="1"/>
    <col min="5" max="7" width="11.7109375" style="2" bestFit="1" customWidth="1"/>
    <col min="8" max="8" width="12.7109375" style="2" customWidth="1"/>
    <col min="9" max="9" width="13.140625" style="2" customWidth="1"/>
    <col min="10" max="10" width="13.5703125" style="2" customWidth="1"/>
    <col min="11" max="16384" width="9.140625" style="2"/>
  </cols>
  <sheetData>
    <row r="2" spans="1:10" x14ac:dyDescent="0.25">
      <c r="C2" s="2">
        <v>2006</v>
      </c>
      <c r="D2" s="2">
        <v>2007</v>
      </c>
      <c r="E2" s="2">
        <v>2008</v>
      </c>
      <c r="F2" s="2">
        <v>2009</v>
      </c>
      <c r="G2" s="2">
        <v>2010</v>
      </c>
      <c r="H2" s="2">
        <v>2011</v>
      </c>
      <c r="I2" s="2">
        <v>2012</v>
      </c>
      <c r="J2" s="2">
        <v>2013</v>
      </c>
    </row>
    <row r="3" spans="1:10" x14ac:dyDescent="0.25">
      <c r="A3" s="2" t="s">
        <v>0</v>
      </c>
      <c r="C3" s="16">
        <f>CPI!B244</f>
        <v>86.6</v>
      </c>
      <c r="D3" s="16">
        <f>CPI!B248</f>
        <v>89.1</v>
      </c>
      <c r="E3" s="16">
        <f>CPI!B252</f>
        <v>92.4</v>
      </c>
      <c r="F3" s="16">
        <f>CPI!B256</f>
        <v>94.3</v>
      </c>
      <c r="G3" s="16">
        <f>CPI!B260</f>
        <v>96.9</v>
      </c>
      <c r="H3" s="16">
        <f>CPI!B264</f>
        <v>99.8</v>
      </c>
      <c r="I3" s="16">
        <f>CPI!B268</f>
        <v>102</v>
      </c>
      <c r="J3" s="16">
        <f>CPI!B272</f>
        <v>104.8</v>
      </c>
    </row>
    <row r="4" spans="1:10" hidden="1" x14ac:dyDescent="0.25">
      <c r="A4" s="2" t="s">
        <v>18</v>
      </c>
      <c r="C4" s="13">
        <f>CPI!B242</f>
        <v>85.9</v>
      </c>
      <c r="D4" s="13">
        <f>CPI!B246</f>
        <v>87.7</v>
      </c>
      <c r="E4" s="13">
        <f>CPI!B250</f>
        <v>91.6</v>
      </c>
      <c r="F4" s="13">
        <f>CPI!B254</f>
        <v>92.9</v>
      </c>
      <c r="G4" s="13">
        <f>CPI!B258</f>
        <v>95.8</v>
      </c>
      <c r="H4" s="13">
        <f>CPI!B262</f>
        <v>99.2</v>
      </c>
      <c r="I4" s="13">
        <f>CPI!B266</f>
        <v>100.4</v>
      </c>
      <c r="J4" s="13">
        <f>CPI!B270</f>
        <v>102.8</v>
      </c>
    </row>
    <row r="5" spans="1:10" hidden="1" x14ac:dyDescent="0.25">
      <c r="A5" s="2" t="s">
        <v>17</v>
      </c>
      <c r="C5" s="2">
        <f>CPI!B240</f>
        <v>83.8</v>
      </c>
      <c r="D5" s="2">
        <f>CPI!B244</f>
        <v>86.6</v>
      </c>
      <c r="E5" s="2">
        <f>CPI!B248</f>
        <v>89.1</v>
      </c>
      <c r="F5" s="2">
        <f>CPI!B252</f>
        <v>92.4</v>
      </c>
      <c r="G5" s="2">
        <f>CPI!B256</f>
        <v>94.3</v>
      </c>
      <c r="H5" s="2">
        <f>CPI!B260</f>
        <v>96.9</v>
      </c>
      <c r="I5" s="2">
        <f>CPI!B264</f>
        <v>99.8</v>
      </c>
      <c r="J5" s="2">
        <f>CPI!B268</f>
        <v>102</v>
      </c>
    </row>
    <row r="6" spans="1:10" x14ac:dyDescent="0.25">
      <c r="A6" s="14" t="str">
        <f>"Convert to real"</f>
        <v>Convert to real</v>
      </c>
      <c r="B6" s="15">
        <v>2013</v>
      </c>
      <c r="C6" s="13"/>
      <c r="D6" s="13"/>
      <c r="E6" s="13"/>
      <c r="F6" s="13"/>
      <c r="G6" s="13"/>
      <c r="H6" s="13"/>
      <c r="I6" s="13"/>
      <c r="J6" s="13"/>
    </row>
    <row r="7" spans="1:10" hidden="1" x14ac:dyDescent="0.25">
      <c r="B7" s="2">
        <f>MATCH(Capex_base,C2:P2)</f>
        <v>8</v>
      </c>
      <c r="C7" s="13"/>
      <c r="D7" s="13"/>
      <c r="E7" s="13"/>
      <c r="F7" s="13"/>
      <c r="G7" s="13"/>
      <c r="H7" s="13"/>
      <c r="I7" s="13"/>
      <c r="J7" s="13"/>
    </row>
    <row r="8" spans="1:10" hidden="1" x14ac:dyDescent="0.25">
      <c r="B8" s="2">
        <f>INDEX(C2:CZ5,2,$B$7)</f>
        <v>104.8</v>
      </c>
      <c r="C8" s="13"/>
      <c r="D8" s="13"/>
      <c r="E8" s="13"/>
      <c r="F8" s="13"/>
      <c r="G8" s="13"/>
      <c r="H8" s="13"/>
      <c r="I8" s="13"/>
      <c r="J8" s="13"/>
    </row>
    <row r="9" spans="1:10" x14ac:dyDescent="0.25">
      <c r="A9" s="2" t="s">
        <v>20</v>
      </c>
      <c r="C9" s="17">
        <f t="shared" ref="C9:J10" si="0">Capex_Base_Index/C4</f>
        <v>1.2200232828870778</v>
      </c>
      <c r="D9" s="17">
        <f t="shared" si="0"/>
        <v>1.194982896237172</v>
      </c>
      <c r="E9" s="17">
        <f t="shared" si="0"/>
        <v>1.1441048034934498</v>
      </c>
      <c r="F9" s="17">
        <f t="shared" si="0"/>
        <v>1.1280947255113023</v>
      </c>
      <c r="G9" s="17">
        <f t="shared" si="0"/>
        <v>1.0939457202505218</v>
      </c>
      <c r="H9" s="17">
        <f t="shared" si="0"/>
        <v>1.0564516129032258</v>
      </c>
      <c r="I9" s="17">
        <f t="shared" si="0"/>
        <v>1.0438247011952191</v>
      </c>
      <c r="J9" s="17">
        <f t="shared" si="0"/>
        <v>1.0194552529182879</v>
      </c>
    </row>
    <row r="10" spans="1:10" x14ac:dyDescent="0.25">
      <c r="A10" s="2" t="s">
        <v>19</v>
      </c>
      <c r="C10" s="17">
        <f t="shared" si="0"/>
        <v>1.2505966587112172</v>
      </c>
      <c r="D10" s="17">
        <f t="shared" si="0"/>
        <v>1.210161662817552</v>
      </c>
      <c r="E10" s="17">
        <f t="shared" si="0"/>
        <v>1.1762065095398428</v>
      </c>
      <c r="F10" s="17">
        <f t="shared" si="0"/>
        <v>1.1341991341991342</v>
      </c>
      <c r="G10" s="17">
        <f t="shared" si="0"/>
        <v>1.1113467656415694</v>
      </c>
      <c r="H10" s="17">
        <f t="shared" si="0"/>
        <v>1.0815273477812177</v>
      </c>
      <c r="I10" s="17">
        <f t="shared" si="0"/>
        <v>1.0501002004008015</v>
      </c>
      <c r="J10" s="17">
        <f t="shared" si="0"/>
        <v>1.0274509803921568</v>
      </c>
    </row>
    <row r="12" spans="1:10" x14ac:dyDescent="0.25">
      <c r="A12" s="24" t="s">
        <v>54</v>
      </c>
    </row>
    <row r="13" spans="1:10" x14ac:dyDescent="0.25">
      <c r="A13" s="24" t="s">
        <v>1</v>
      </c>
    </row>
    <row r="14" spans="1:10" x14ac:dyDescent="0.25">
      <c r="A14" s="18" t="s">
        <v>94</v>
      </c>
      <c r="B14" s="18" t="s">
        <v>21</v>
      </c>
      <c r="C14" s="19">
        <f>('[2]SD 4. Assets (RAB)'!D11+'[2]SD 4. Assets (RAB)'!D17)/2</f>
        <v>1008498.0744489165</v>
      </c>
      <c r="D14" s="19">
        <f>('[2]SD 4. Assets (RAB)'!E11+'[2]SD 4. Assets (RAB)'!E17)/2</f>
        <v>1072410.1977797956</v>
      </c>
      <c r="E14" s="19">
        <f>('[2]SD 4. Assets (RAB)'!F11+'[2]SD 4. Assets (RAB)'!F17)/2</f>
        <v>1180457.0630350162</v>
      </c>
      <c r="F14" s="19">
        <f>('[2]SD 4. Assets (RAB)'!G11+'[2]SD 4. Assets (RAB)'!G17)/2</f>
        <v>1278429.4831257048</v>
      </c>
      <c r="G14" s="19">
        <f>('[2]SD 4. Assets (RAB)'!H11+'[2]SD 4. Assets (RAB)'!H17)/2</f>
        <v>1294892.6529556361</v>
      </c>
      <c r="H14" s="19">
        <f>('[2]SD 4. Assets (RAB)'!I11+'[2]SD 4. Assets (RAB)'!I17)/2</f>
        <v>1331479.0051210094</v>
      </c>
      <c r="I14" s="19">
        <f>('[2]SD 4. Assets (RAB)'!J11+'[2]SD 4. Assets (RAB)'!J17)/2</f>
        <v>1504540.6896702116</v>
      </c>
      <c r="J14" s="19">
        <f>('[2]SD 4. Assets (RAB)'!K11+'[2]SD 4. Assets (RAB)'!K17)/2</f>
        <v>1712893.4299247104</v>
      </c>
    </row>
    <row r="15" spans="1:10" x14ac:dyDescent="0.25">
      <c r="A15" s="18" t="s">
        <v>26</v>
      </c>
      <c r="B15" s="18" t="s">
        <v>21</v>
      </c>
      <c r="C15" s="19">
        <f>('[2]SD 4. Assets (RAB)'!L11+'[2]SD 4. Assets (RAB)'!L17)/2</f>
        <v>2906163.8020416386</v>
      </c>
      <c r="D15" s="19">
        <f>('[2]SD 4. Assets (RAB)'!M11+'[2]SD 4. Assets (RAB)'!M17)/2</f>
        <v>3110944.766611123</v>
      </c>
      <c r="E15" s="19">
        <f>('[2]SD 4. Assets (RAB)'!N11+'[2]SD 4. Assets (RAB)'!N17)/2</f>
        <v>3568307.0443376545</v>
      </c>
      <c r="F15" s="19">
        <f>('[2]SD 4. Assets (RAB)'!O11+'[2]SD 4. Assets (RAB)'!O17)/2</f>
        <v>4186908.5814354168</v>
      </c>
      <c r="G15" s="19">
        <f>('[2]SD 4. Assets (RAB)'!P11+'[2]SD 4. Assets (RAB)'!P17)/2</f>
        <v>4681557.1948703378</v>
      </c>
      <c r="H15" s="19">
        <f>('[2]SD 4. Assets (RAB)'!Q11+'[2]SD 4. Assets (RAB)'!Q17)/2</f>
        <v>5093089.0531193521</v>
      </c>
      <c r="I15" s="19">
        <f>('[2]SD 4. Assets (RAB)'!R11+'[2]SD 4. Assets (RAB)'!R17)/2</f>
        <v>5477581.7371609155</v>
      </c>
      <c r="J15" s="19">
        <f>('[2]SD 4. Assets (RAB)'!S11+'[2]SD 4. Assets (RAB)'!S17)/2</f>
        <v>5819506.0639425004</v>
      </c>
    </row>
    <row r="16" spans="1:10" x14ac:dyDescent="0.25">
      <c r="A16" s="18" t="s">
        <v>86</v>
      </c>
      <c r="B16" s="18" t="s">
        <v>21</v>
      </c>
      <c r="C16" s="19">
        <f>('[2]SD 4. Assets (RAB)'!T11+'[2]SD 4. Assets (RAB)'!T17)/2</f>
        <v>1889957.733</v>
      </c>
      <c r="D16" s="19">
        <f>('[2]SD 4. Assets (RAB)'!U11+'[2]SD 4. Assets (RAB)'!U17)/2</f>
        <v>1929607.6654999999</v>
      </c>
      <c r="E16" s="19">
        <f>('[2]SD 4. Assets (RAB)'!V11+'[2]SD 4. Assets (RAB)'!V17)/2</f>
        <v>2007291.2560000001</v>
      </c>
      <c r="F16" s="19">
        <f>('[2]SD 4. Assets (RAB)'!W11+'[2]SD 4. Assets (RAB)'!W17)/2</f>
        <v>2181178.4835000001</v>
      </c>
      <c r="G16" s="19">
        <f>('[2]SD 4. Assets (RAB)'!X11+'[2]SD 4. Assets (RAB)'!X17)/2</f>
        <v>2198049.1735</v>
      </c>
      <c r="H16" s="19">
        <f>('[2]SD 4. Assets (RAB)'!Y11+'[2]SD 4. Assets (RAB)'!Y17)/2</f>
        <v>2232904.4265000001</v>
      </c>
      <c r="I16" s="19">
        <f>('[2]SD 4. Assets (RAB)'!Z11+'[2]SD 4. Assets (RAB)'!Z17)/2</f>
        <v>2292941.9665000001</v>
      </c>
      <c r="J16" s="19">
        <f>('[2]SD 4. Assets (RAB)'!AA11+'[2]SD 4. Assets (RAB)'!AA17)/2</f>
        <v>2370849.6140000001</v>
      </c>
    </row>
    <row r="17" spans="1:10" x14ac:dyDescent="0.25">
      <c r="A17" s="18" t="s">
        <v>49</v>
      </c>
      <c r="B17" s="18" t="s">
        <v>21</v>
      </c>
      <c r="C17" s="19">
        <f>('[2]SD 4. Assets (RAB)'!AB11+'[2]SD 4. Assets (RAB)'!AB17)/2</f>
        <v>666396.5</v>
      </c>
      <c r="D17" s="19">
        <f>('[2]SD 4. Assets (RAB)'!AC11+'[2]SD 4. Assets (RAB)'!AC17)/2</f>
        <v>728278.5</v>
      </c>
      <c r="E17" s="19">
        <f>('[2]SD 4. Assets (RAB)'!AD11+'[2]SD 4. Assets (RAB)'!AD17)/2</f>
        <v>787887</v>
      </c>
      <c r="F17" s="19">
        <f>('[2]SD 4. Assets (RAB)'!AE11+'[2]SD 4. Assets (RAB)'!AE17)/2</f>
        <v>845035</v>
      </c>
      <c r="G17" s="19">
        <f>('[2]SD 4. Assets (RAB)'!AF11+'[2]SD 4. Assets (RAB)'!AF17)/2</f>
        <v>895293</v>
      </c>
      <c r="H17" s="19">
        <f>('[2]SD 4. Assets (RAB)'!AG11+'[2]SD 4. Assets (RAB)'!AG17)/2</f>
        <v>1006943.5</v>
      </c>
      <c r="I17" s="19">
        <f>('[2]SD 4. Assets (RAB)'!AH11+'[2]SD 4. Assets (RAB)'!AH17)/2</f>
        <v>1139787</v>
      </c>
      <c r="J17" s="19">
        <f>('[2]SD 4. Assets (RAB)'!AI11+'[2]SD 4. Assets (RAB)'!AI17)/2</f>
        <v>1204832</v>
      </c>
    </row>
    <row r="18" spans="1:10" x14ac:dyDescent="0.25">
      <c r="A18" s="18" t="s">
        <v>95</v>
      </c>
      <c r="B18" s="18" t="s">
        <v>21</v>
      </c>
      <c r="C18" s="19">
        <f>('[2]SD 4. Assets (RAB)'!AJ11+'[2]SD 4. Assets (RAB)'!AJ17)/2</f>
        <v>3166374.415412093</v>
      </c>
      <c r="D18" s="19">
        <f>('[2]SD 4. Assets (RAB)'!AK11+'[2]SD 4. Assets (RAB)'!AK17)/2</f>
        <v>3313367.6045614304</v>
      </c>
      <c r="E18" s="19">
        <f>('[2]SD 4. Assets (RAB)'!AL11+'[2]SD 4. Assets (RAB)'!AL17)/2</f>
        <v>3566600.1045614304</v>
      </c>
      <c r="F18" s="19">
        <f>('[2]SD 4. Assets (RAB)'!AM11+'[2]SD 4. Assets (RAB)'!AM17)/2</f>
        <v>3976405.905427468</v>
      </c>
      <c r="G18" s="19">
        <f>('[2]SD 4. Assets (RAB)'!AN11+'[2]SD 4. Assets (RAB)'!AN17)/2</f>
        <v>4305989.6381644513</v>
      </c>
      <c r="H18" s="19">
        <f>('[2]SD 4. Assets (RAB)'!AO11+'[2]SD 4. Assets (RAB)'!AO17)/2</f>
        <v>4559614.3380024452</v>
      </c>
      <c r="I18" s="19">
        <f>('[2]SD 4. Assets (RAB)'!AP11+'[2]SD 4. Assets (RAB)'!AP17)/2</f>
        <v>4853368.9664179208</v>
      </c>
      <c r="J18" s="19">
        <f>('[2]SD 4. Assets (RAB)'!AQ11+'[2]SD 4. Assets (RAB)'!AQ17)/2</f>
        <v>5135315.116477563</v>
      </c>
    </row>
    <row r="20" spans="1:10" x14ac:dyDescent="0.25">
      <c r="A20" s="24" t="str">
        <f>"Real $"&amp;Capex_base&amp;""</f>
        <v>Real $2013</v>
      </c>
    </row>
    <row r="21" spans="1:10" x14ac:dyDescent="0.25">
      <c r="A21" s="18" t="s">
        <v>94</v>
      </c>
      <c r="B21" s="18" t="s">
        <v>21</v>
      </c>
      <c r="C21" s="19">
        <f>C14*C$10</f>
        <v>1261224.3222225113</v>
      </c>
      <c r="D21" s="19">
        <f>D14*D$10</f>
        <v>1297789.7081676973</v>
      </c>
      <c r="E21" s="19">
        <f>E14*E$10</f>
        <v>1388461.2817740706</v>
      </c>
      <c r="F21" s="19">
        <f t="shared" ref="F21:J21" si="1">F14*F$10</f>
        <v>1449993.612895821</v>
      </c>
      <c r="G21" s="19">
        <f t="shared" si="1"/>
        <v>1439074.7617152776</v>
      </c>
      <c r="H21" s="19">
        <f t="shared" si="1"/>
        <v>1440030.9570348999</v>
      </c>
      <c r="I21" s="19">
        <f t="shared" si="1"/>
        <v>1579918.4797338494</v>
      </c>
      <c r="J21" s="19">
        <f t="shared" si="1"/>
        <v>1759914.0338834277</v>
      </c>
    </row>
    <row r="22" spans="1:10" x14ac:dyDescent="0.25">
      <c r="A22" s="18" t="s">
        <v>26</v>
      </c>
      <c r="B22" s="18" t="s">
        <v>21</v>
      </c>
      <c r="C22" s="19">
        <f>C15*C$10</f>
        <v>3634438.7405007603</v>
      </c>
      <c r="D22" s="19">
        <f t="shared" ref="D22:J22" si="2">D15*D$10</f>
        <v>3764746.091695678</v>
      </c>
      <c r="E22" s="19">
        <f t="shared" si="2"/>
        <v>4197065.9735868257</v>
      </c>
      <c r="F22" s="19">
        <f t="shared" si="2"/>
        <v>4748788.0880349753</v>
      </c>
      <c r="G22" s="19">
        <f t="shared" si="2"/>
        <v>5202833.4466851689</v>
      </c>
      <c r="H22" s="19">
        <f t="shared" si="2"/>
        <v>5508315.0956337266</v>
      </c>
      <c r="I22" s="19">
        <f t="shared" si="2"/>
        <v>5752009.6799044479</v>
      </c>
      <c r="J22" s="19">
        <f t="shared" si="2"/>
        <v>5979257.2107958235</v>
      </c>
    </row>
    <row r="23" spans="1:10" x14ac:dyDescent="0.25">
      <c r="A23" s="18" t="s">
        <v>86</v>
      </c>
      <c r="B23" s="18" t="s">
        <v>21</v>
      </c>
      <c r="C23" s="19">
        <f>C16*C$9</f>
        <v>2305792.4379324792</v>
      </c>
      <c r="D23" s="19">
        <f t="shared" ref="D23:J23" si="3">D16*D$9</f>
        <v>2305848.1567206383</v>
      </c>
      <c r="E23" s="19">
        <f t="shared" si="3"/>
        <v>2296551.568</v>
      </c>
      <c r="F23" s="19">
        <f t="shared" si="3"/>
        <v>2460575.942635091</v>
      </c>
      <c r="G23" s="19">
        <f t="shared" si="3"/>
        <v>2404546.4862505216</v>
      </c>
      <c r="H23" s="19">
        <f t="shared" si="3"/>
        <v>2358955.4828346772</v>
      </c>
      <c r="I23" s="19">
        <f t="shared" si="3"/>
        <v>2393429.4630398406</v>
      </c>
      <c r="J23" s="19">
        <f t="shared" si="3"/>
        <v>2416975.0928715952</v>
      </c>
    </row>
    <row r="24" spans="1:10" x14ac:dyDescent="0.25">
      <c r="A24" s="18" t="s">
        <v>49</v>
      </c>
      <c r="B24" s="18" t="s">
        <v>21</v>
      </c>
      <c r="C24" s="19">
        <f t="shared" ref="C24:J25" si="4">C17*C$10</f>
        <v>833393.23627684964</v>
      </c>
      <c r="D24" s="19">
        <f t="shared" si="4"/>
        <v>881334.72055427253</v>
      </c>
      <c r="E24" s="19">
        <f t="shared" si="4"/>
        <v>926717.81818181812</v>
      </c>
      <c r="F24" s="19">
        <f t="shared" si="4"/>
        <v>958437.9653679654</v>
      </c>
      <c r="G24" s="19">
        <f t="shared" si="4"/>
        <v>994980.97985153762</v>
      </c>
      <c r="H24" s="19">
        <f t="shared" si="4"/>
        <v>1089036.9329205367</v>
      </c>
      <c r="I24" s="19">
        <f t="shared" si="4"/>
        <v>1196890.5571142284</v>
      </c>
      <c r="J24" s="19">
        <f t="shared" si="4"/>
        <v>1237905.8196078429</v>
      </c>
    </row>
    <row r="25" spans="1:10" x14ac:dyDescent="0.25">
      <c r="A25" s="18" t="s">
        <v>95</v>
      </c>
      <c r="B25" s="18" t="s">
        <v>21</v>
      </c>
      <c r="C25" s="19">
        <f t="shared" si="4"/>
        <v>3959857.2641430469</v>
      </c>
      <c r="D25" s="19">
        <f t="shared" si="4"/>
        <v>4009710.4498618697</v>
      </c>
      <c r="E25" s="19">
        <f t="shared" si="4"/>
        <v>4195058.2599106384</v>
      </c>
      <c r="F25" s="19">
        <f t="shared" si="4"/>
        <v>4510036.1351601584</v>
      </c>
      <c r="G25" s="19">
        <f t="shared" si="4"/>
        <v>4785447.6572601749</v>
      </c>
      <c r="H25" s="19">
        <f t="shared" si="4"/>
        <v>4931347.6018849974</v>
      </c>
      <c r="I25" s="19">
        <f t="shared" si="4"/>
        <v>5096523.7242544899</v>
      </c>
      <c r="J25" s="19">
        <f t="shared" si="4"/>
        <v>5276284.5510475347</v>
      </c>
    </row>
  </sheetData>
  <dataValidations count="1">
    <dataValidation type="list" allowBlank="1" showInputMessage="1" showErrorMessage="1" sqref="B6">
      <formula1>$C$2:$J$2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3"/>
  <sheetViews>
    <sheetView zoomScale="85" zoomScaleNormal="85" workbookViewId="0">
      <pane xSplit="1" topLeftCell="B1" activePane="topRight" state="frozen"/>
      <selection pane="topRight" activeCell="B69" sqref="B69"/>
    </sheetView>
  </sheetViews>
  <sheetFormatPr defaultRowHeight="15" x14ac:dyDescent="0.25"/>
  <cols>
    <col min="1" max="1" width="32.85546875" style="2" customWidth="1"/>
    <col min="2" max="18" width="25.42578125" style="2" customWidth="1"/>
    <col min="19" max="19" width="14.7109375" style="2" customWidth="1"/>
    <col min="20" max="20" width="14.5703125" style="2" customWidth="1"/>
    <col min="21" max="21" width="19.85546875" style="2" customWidth="1"/>
    <col min="22" max="23" width="21" style="2" customWidth="1"/>
    <col min="24" max="24" width="12.85546875" style="2" customWidth="1"/>
    <col min="25" max="25" width="16" style="2" customWidth="1"/>
    <col min="26" max="26" width="21.28515625" style="2" customWidth="1"/>
    <col min="27" max="28" width="18.5703125" style="2" customWidth="1"/>
    <col min="29" max="16384" width="9.140625" style="2"/>
  </cols>
  <sheetData>
    <row r="1" spans="1:9" x14ac:dyDescent="0.25">
      <c r="A1" s="24" t="s">
        <v>75</v>
      </c>
    </row>
    <row r="2" spans="1:9" s="20" customFormat="1" ht="30" x14ac:dyDescent="0.25">
      <c r="B2" s="20" t="s">
        <v>65</v>
      </c>
      <c r="C2" s="20" t="s">
        <v>73</v>
      </c>
      <c r="D2" s="20" t="s">
        <v>74</v>
      </c>
      <c r="E2" s="20" t="s">
        <v>45</v>
      </c>
      <c r="F2" s="20" t="s">
        <v>37</v>
      </c>
    </row>
    <row r="3" spans="1:9" x14ac:dyDescent="0.25">
      <c r="A3" s="18" t="s">
        <v>94</v>
      </c>
      <c r="B3" s="19">
        <f>J20</f>
        <v>56165.720445440034</v>
      </c>
      <c r="C3" s="19">
        <f>J41</f>
        <v>17236.197604752044</v>
      </c>
      <c r="D3" s="19">
        <f>J62</f>
        <v>16.578922198976006</v>
      </c>
      <c r="E3" s="19">
        <f>J83</f>
        <v>18.46185001406527</v>
      </c>
      <c r="F3" s="19">
        <f>J104</f>
        <v>50851.571993807673</v>
      </c>
    </row>
    <row r="4" spans="1:9" x14ac:dyDescent="0.25">
      <c r="A4" s="18" t="s">
        <v>26</v>
      </c>
      <c r="B4" s="19">
        <f t="shared" ref="B4:B7" si="0">J21</f>
        <v>64107.205902292204</v>
      </c>
      <c r="C4" s="19">
        <f t="shared" ref="C4:C7" si="1">J42</f>
        <v>63148.600487607277</v>
      </c>
      <c r="D4" s="19">
        <f t="shared" ref="D4:D7" si="2">J63</f>
        <v>13.990261062728134</v>
      </c>
      <c r="E4" s="19">
        <f>J84</f>
        <v>47.872276221161975</v>
      </c>
      <c r="F4" s="19">
        <f>J105</f>
        <v>77947.264049925056</v>
      </c>
    </row>
    <row r="5" spans="1:9" x14ac:dyDescent="0.25">
      <c r="A5" s="18" t="s">
        <v>86</v>
      </c>
      <c r="B5" s="19">
        <f t="shared" si="0"/>
        <v>38009.877071575509</v>
      </c>
      <c r="C5" s="19">
        <f t="shared" si="1"/>
        <v>20554.528086173879</v>
      </c>
      <c r="D5" s="19">
        <f t="shared" si="2"/>
        <v>7.3543761223944415</v>
      </c>
      <c r="E5" s="19">
        <f>J85</f>
        <v>29.843607903300722</v>
      </c>
      <c r="F5" s="19">
        <f>J106</f>
        <v>70485.307339454448</v>
      </c>
    </row>
    <row r="6" spans="1:9" x14ac:dyDescent="0.25">
      <c r="A6" s="18" t="s">
        <v>49</v>
      </c>
      <c r="B6" s="19">
        <f t="shared" si="0"/>
        <v>68126.237818295514</v>
      </c>
      <c r="C6" s="19">
        <f t="shared" si="1"/>
        <v>36918.383761679579</v>
      </c>
      <c r="D6" s="19">
        <f t="shared" si="2"/>
        <v>13.247712284339954</v>
      </c>
      <c r="E6" s="19">
        <f>J86</f>
        <v>28.929208434979881</v>
      </c>
      <c r="F6" s="19">
        <f>J107</f>
        <v>74144.214689592714</v>
      </c>
    </row>
    <row r="7" spans="1:9" x14ac:dyDescent="0.25">
      <c r="A7" s="18" t="s">
        <v>95</v>
      </c>
      <c r="B7" s="19">
        <f t="shared" si="0"/>
        <v>35774.787647119105</v>
      </c>
      <c r="C7" s="19">
        <f t="shared" si="1"/>
        <v>21238.206780120694</v>
      </c>
      <c r="D7" s="19">
        <f t="shared" si="2"/>
        <v>9.2241219671221959</v>
      </c>
      <c r="E7" s="19">
        <f>J87</f>
        <v>39.544902837302381</v>
      </c>
      <c r="F7" s="19">
        <f>J108</f>
        <v>58638.810432033963</v>
      </c>
    </row>
    <row r="9" spans="1:9" x14ac:dyDescent="0.25">
      <c r="A9" s="2" t="s">
        <v>78</v>
      </c>
    </row>
    <row r="10" spans="1:9" ht="30" x14ac:dyDescent="0.25">
      <c r="B10" s="20" t="s">
        <v>65</v>
      </c>
      <c r="C10" s="20" t="s">
        <v>73</v>
      </c>
      <c r="D10" s="20" t="s">
        <v>74</v>
      </c>
      <c r="E10" s="20" t="s">
        <v>45</v>
      </c>
      <c r="F10" s="20" t="s">
        <v>37</v>
      </c>
      <c r="G10" s="21" t="s">
        <v>79</v>
      </c>
      <c r="H10" s="34" t="s">
        <v>72</v>
      </c>
      <c r="I10" s="37" t="s">
        <v>76</v>
      </c>
    </row>
    <row r="11" spans="1:9" x14ac:dyDescent="0.25">
      <c r="A11" s="18" t="s">
        <v>94</v>
      </c>
      <c r="B11" s="19">
        <f>5-_xlfn.RANK.EQ(B3,B$3:B$7)+1</f>
        <v>3</v>
      </c>
      <c r="C11" s="19">
        <f t="shared" ref="C11:F11" si="3">5-_xlfn.RANK.EQ(C3,C$3:C$7)+1</f>
        <v>1</v>
      </c>
      <c r="D11" s="19">
        <f t="shared" si="3"/>
        <v>5</v>
      </c>
      <c r="E11" s="19">
        <f t="shared" si="3"/>
        <v>1</v>
      </c>
      <c r="F11" s="19">
        <f t="shared" si="3"/>
        <v>1</v>
      </c>
      <c r="G11" s="22">
        <v>2</v>
      </c>
      <c r="H11" s="36">
        <f>AVERAGE(B11:G11)</f>
        <v>2.1666666666666665</v>
      </c>
      <c r="I11" s="36">
        <f>AVERAGE(B11:C11,E11:F11)</f>
        <v>1.5</v>
      </c>
    </row>
    <row r="12" spans="1:9" x14ac:dyDescent="0.25">
      <c r="A12" s="18" t="s">
        <v>26</v>
      </c>
      <c r="B12" s="19">
        <f t="shared" ref="B12:F15" si="4">5-_xlfn.RANK.EQ(B4,B$3:B$7)+1</f>
        <v>4</v>
      </c>
      <c r="C12" s="19">
        <f t="shared" si="4"/>
        <v>5</v>
      </c>
      <c r="D12" s="19">
        <f t="shared" si="4"/>
        <v>4</v>
      </c>
      <c r="E12" s="19">
        <f t="shared" si="4"/>
        <v>5</v>
      </c>
      <c r="F12" s="19">
        <f t="shared" si="4"/>
        <v>5</v>
      </c>
      <c r="G12" s="22">
        <v>4</v>
      </c>
      <c r="H12" s="36">
        <f t="shared" ref="H12:H15" si="5">AVERAGE(B12:G12)</f>
        <v>4.5</v>
      </c>
      <c r="I12" s="36">
        <f>AVERAGE(B12:C12,E12:F12)</f>
        <v>4.75</v>
      </c>
    </row>
    <row r="13" spans="1:9" x14ac:dyDescent="0.25">
      <c r="A13" s="18" t="s">
        <v>86</v>
      </c>
      <c r="B13" s="19">
        <f t="shared" si="4"/>
        <v>2</v>
      </c>
      <c r="C13" s="19">
        <f t="shared" si="4"/>
        <v>2</v>
      </c>
      <c r="D13" s="19">
        <f t="shared" si="4"/>
        <v>1</v>
      </c>
      <c r="E13" s="19">
        <f t="shared" si="4"/>
        <v>3</v>
      </c>
      <c r="F13" s="19">
        <f t="shared" si="4"/>
        <v>3</v>
      </c>
      <c r="G13" s="22">
        <v>5</v>
      </c>
      <c r="H13" s="36">
        <f t="shared" si="5"/>
        <v>2.6666666666666665</v>
      </c>
      <c r="I13" s="36">
        <f>AVERAGE(B13:C13,E13:F13)</f>
        <v>2.5</v>
      </c>
    </row>
    <row r="14" spans="1:9" x14ac:dyDescent="0.25">
      <c r="A14" s="18" t="s">
        <v>49</v>
      </c>
      <c r="B14" s="19">
        <f t="shared" si="4"/>
        <v>5</v>
      </c>
      <c r="C14" s="19">
        <f t="shared" si="4"/>
        <v>4</v>
      </c>
      <c r="D14" s="19">
        <f t="shared" si="4"/>
        <v>3</v>
      </c>
      <c r="E14" s="19">
        <f t="shared" si="4"/>
        <v>2</v>
      </c>
      <c r="F14" s="19">
        <f t="shared" si="4"/>
        <v>4</v>
      </c>
      <c r="G14" s="22">
        <v>1</v>
      </c>
      <c r="H14" s="36">
        <f t="shared" si="5"/>
        <v>3.1666666666666665</v>
      </c>
      <c r="I14" s="36">
        <f>AVERAGE(B14:C14,E14:F14)</f>
        <v>3.75</v>
      </c>
    </row>
    <row r="15" spans="1:9" x14ac:dyDescent="0.25">
      <c r="A15" s="18" t="s">
        <v>95</v>
      </c>
      <c r="B15" s="19">
        <f t="shared" si="4"/>
        <v>1</v>
      </c>
      <c r="C15" s="19">
        <f t="shared" si="4"/>
        <v>3</v>
      </c>
      <c r="D15" s="19">
        <f t="shared" si="4"/>
        <v>2</v>
      </c>
      <c r="E15" s="19">
        <f t="shared" si="4"/>
        <v>4</v>
      </c>
      <c r="F15" s="19">
        <f t="shared" si="4"/>
        <v>2</v>
      </c>
      <c r="G15" s="22">
        <v>3</v>
      </c>
      <c r="H15" s="36">
        <f t="shared" si="5"/>
        <v>2.5</v>
      </c>
      <c r="I15" s="36">
        <f>AVERAGE(B15:C15,E15:F15)</f>
        <v>2.5</v>
      </c>
    </row>
    <row r="17" spans="1:10" x14ac:dyDescent="0.25">
      <c r="A17" s="30" t="s">
        <v>71</v>
      </c>
    </row>
    <row r="19" spans="1:10" x14ac:dyDescent="0.25">
      <c r="A19" s="35" t="s">
        <v>65</v>
      </c>
      <c r="B19" s="27">
        <v>2006</v>
      </c>
      <c r="C19" s="27">
        <v>2007</v>
      </c>
      <c r="D19" s="27">
        <v>2008</v>
      </c>
      <c r="E19" s="27">
        <v>2009</v>
      </c>
      <c r="F19" s="27">
        <v>2010</v>
      </c>
      <c r="G19" s="27">
        <v>2011</v>
      </c>
      <c r="H19" s="27">
        <v>2012</v>
      </c>
      <c r="I19" s="27">
        <v>2013</v>
      </c>
      <c r="J19" s="27" t="s">
        <v>34</v>
      </c>
    </row>
    <row r="20" spans="1:10" x14ac:dyDescent="0.25">
      <c r="A20" s="18" t="s">
        <v>94</v>
      </c>
      <c r="B20" s="19">
        <f>B27+B34</f>
        <v>53366.803312914264</v>
      </c>
      <c r="C20" s="19">
        <f t="shared" ref="C20:I20" si="6">C27+C34</f>
        <v>55169.211031938816</v>
      </c>
      <c r="D20" s="19">
        <f t="shared" si="6"/>
        <v>49848.669552664571</v>
      </c>
      <c r="E20" s="19">
        <f t="shared" si="6"/>
        <v>51892.572977058728</v>
      </c>
      <c r="F20" s="19">
        <f t="shared" si="6"/>
        <v>53558.604945145053</v>
      </c>
      <c r="G20" s="19">
        <f t="shared" si="6"/>
        <v>53721.860617032107</v>
      </c>
      <c r="H20" s="19">
        <f t="shared" si="6"/>
        <v>60007.044133803036</v>
      </c>
      <c r="I20" s="19">
        <f t="shared" si="6"/>
        <v>61648.519554161256</v>
      </c>
      <c r="J20" s="19">
        <f>AVERAGE(E20:I20)</f>
        <v>56165.720445440034</v>
      </c>
    </row>
    <row r="21" spans="1:10" x14ac:dyDescent="0.25">
      <c r="A21" s="18" t="s">
        <v>26</v>
      </c>
      <c r="B21" s="19">
        <f t="shared" ref="B21:I21" si="7">B28+B35</f>
        <v>51981.29279742168</v>
      </c>
      <c r="C21" s="19">
        <f t="shared" si="7"/>
        <v>50390.551454517161</v>
      </c>
      <c r="D21" s="19">
        <f t="shared" si="7"/>
        <v>55757.359766258589</v>
      </c>
      <c r="E21" s="19">
        <f t="shared" si="7"/>
        <v>58170.143735868929</v>
      </c>
      <c r="F21" s="19">
        <f t="shared" si="7"/>
        <v>60700.596297834512</v>
      </c>
      <c r="G21" s="19">
        <f t="shared" si="7"/>
        <v>64344.191283671193</v>
      </c>
      <c r="H21" s="19">
        <f t="shared" si="7"/>
        <v>68487.870222609257</v>
      </c>
      <c r="I21" s="19">
        <f t="shared" si="7"/>
        <v>68833.227971477143</v>
      </c>
      <c r="J21" s="19">
        <f>AVERAGE(E21:I21)</f>
        <v>64107.205902292204</v>
      </c>
    </row>
    <row r="22" spans="1:10" x14ac:dyDescent="0.25">
      <c r="A22" s="18" t="s">
        <v>86</v>
      </c>
      <c r="B22" s="19">
        <f t="shared" ref="B22:I22" si="8">B29+B36</f>
        <v>42523.191840214946</v>
      </c>
      <c r="C22" s="19">
        <f t="shared" si="8"/>
        <v>35739.383132652183</v>
      </c>
      <c r="D22" s="19">
        <f t="shared" si="8"/>
        <v>34800.625827943222</v>
      </c>
      <c r="E22" s="19">
        <f t="shared" si="8"/>
        <v>36814.872922447867</v>
      </c>
      <c r="F22" s="19">
        <f t="shared" si="8"/>
        <v>37202.642978314863</v>
      </c>
      <c r="G22" s="19">
        <f t="shared" si="8"/>
        <v>37456.234723543414</v>
      </c>
      <c r="H22" s="19">
        <f t="shared" si="8"/>
        <v>40361.516483933017</v>
      </c>
      <c r="I22" s="19">
        <f t="shared" si="8"/>
        <v>38214.118249638414</v>
      </c>
      <c r="J22" s="19">
        <f>AVERAGE(E22:I22)</f>
        <v>38009.877071575509</v>
      </c>
    </row>
    <row r="23" spans="1:10" x14ac:dyDescent="0.25">
      <c r="A23" s="18" t="s">
        <v>49</v>
      </c>
      <c r="B23" s="19">
        <f t="shared" ref="B23:I23" si="9">B30+B37</f>
        <v>53414.31411541313</v>
      </c>
      <c r="C23" s="19">
        <f t="shared" si="9"/>
        <v>54128.011090713597</v>
      </c>
      <c r="D23" s="19">
        <f t="shared" si="9"/>
        <v>61287.498657740085</v>
      </c>
      <c r="E23" s="19">
        <f t="shared" si="9"/>
        <v>61680.287302139564</v>
      </c>
      <c r="F23" s="19">
        <f t="shared" si="9"/>
        <v>66218.603977295075</v>
      </c>
      <c r="G23" s="19">
        <f t="shared" si="9"/>
        <v>69646.456613652917</v>
      </c>
      <c r="H23" s="19">
        <f t="shared" si="9"/>
        <v>71528.669942738343</v>
      </c>
      <c r="I23" s="19">
        <f t="shared" si="9"/>
        <v>71557.171255651614</v>
      </c>
      <c r="J23" s="19">
        <f>AVERAGE(E23:I23)</f>
        <v>68126.237818295514</v>
      </c>
    </row>
    <row r="24" spans="1:10" x14ac:dyDescent="0.25">
      <c r="A24" s="18" t="s">
        <v>95</v>
      </c>
      <c r="B24" s="19">
        <f t="shared" ref="B24:I24" si="10">B31+B38</f>
        <v>30586.087131807766</v>
      </c>
      <c r="C24" s="19">
        <f t="shared" si="10"/>
        <v>30305.163352868905</v>
      </c>
      <c r="D24" s="19">
        <f t="shared" si="10"/>
        <v>31237.949365007029</v>
      </c>
      <c r="E24" s="19">
        <f t="shared" si="10"/>
        <v>31985.623290117826</v>
      </c>
      <c r="F24" s="19">
        <f t="shared" si="10"/>
        <v>35496.649360273252</v>
      </c>
      <c r="G24" s="19">
        <f t="shared" si="10"/>
        <v>34727.780902844133</v>
      </c>
      <c r="H24" s="19">
        <f t="shared" si="10"/>
        <v>37290.53570158279</v>
      </c>
      <c r="I24" s="19">
        <f t="shared" si="10"/>
        <v>39373.348980777533</v>
      </c>
      <c r="J24" s="19">
        <f>AVERAGE(E24:I24)</f>
        <v>35774.787647119105</v>
      </c>
    </row>
    <row r="26" spans="1:10" x14ac:dyDescent="0.25">
      <c r="A26" s="27" t="s">
        <v>66</v>
      </c>
      <c r="B26" s="27">
        <v>2006</v>
      </c>
      <c r="C26" s="27">
        <v>2007</v>
      </c>
      <c r="D26" s="27">
        <v>2008</v>
      </c>
      <c r="E26" s="27">
        <v>2009</v>
      </c>
      <c r="F26" s="27">
        <v>2010</v>
      </c>
      <c r="G26" s="27">
        <v>2011</v>
      </c>
      <c r="H26" s="27">
        <v>2012</v>
      </c>
      <c r="I26" s="27">
        <v>2013</v>
      </c>
      <c r="J26" s="27" t="s">
        <v>34</v>
      </c>
    </row>
    <row r="27" spans="1:10" x14ac:dyDescent="0.25">
      <c r="A27" s="18" t="s">
        <v>94</v>
      </c>
      <c r="B27" s="19">
        <f>1000*'Asset cost'!B7/'Physical data'!B25</f>
        <v>36762.399272141607</v>
      </c>
      <c r="C27" s="19">
        <f>1000*'Asset cost'!C7/'Physical data'!C25</f>
        <v>37912.630433713297</v>
      </c>
      <c r="D27" s="19">
        <f>1000*'Asset cost'!D7/'Physical data'!D25</f>
        <v>35312.51223328842</v>
      </c>
      <c r="E27" s="19">
        <f>1000*'Asset cost'!E7/'Physical data'!E25</f>
        <v>36730.883926133363</v>
      </c>
      <c r="F27" s="19">
        <f>1000*'Asset cost'!F7/'Physical data'!F25</f>
        <v>37867.070450931977</v>
      </c>
      <c r="G27" s="19">
        <f>1000*'Asset cost'!G7/'Physical data'!G25</f>
        <v>37161.577589515349</v>
      </c>
      <c r="H27" s="19">
        <f>1000*'Asset cost'!H7/'Physical data'!H25</f>
        <v>41148.549652584778</v>
      </c>
      <c r="I27" s="19">
        <f>1000*'Asset cost'!I7/'Physical data'!I25</f>
        <v>44129.092634150358</v>
      </c>
      <c r="J27" s="19">
        <f>AVERAGE(E27:I27)</f>
        <v>39407.434850663165</v>
      </c>
    </row>
    <row r="28" spans="1:10" x14ac:dyDescent="0.25">
      <c r="A28" s="18" t="s">
        <v>26</v>
      </c>
      <c r="B28" s="19">
        <f>1000*'Asset cost'!B8/'Physical data'!B26</f>
        <v>37565.716376462588</v>
      </c>
      <c r="C28" s="19">
        <f>1000*'Asset cost'!C8/'Physical data'!C26</f>
        <v>36282.544073569043</v>
      </c>
      <c r="D28" s="19">
        <f>1000*'Asset cost'!D8/'Physical data'!D26</f>
        <v>40259.663799446826</v>
      </c>
      <c r="E28" s="19">
        <f>1000*'Asset cost'!E8/'Physical data'!E26</f>
        <v>43859.826266489661</v>
      </c>
      <c r="F28" s="19">
        <f>1000*'Asset cost'!F8/'Physical data'!F26</f>
        <v>46043.058283981336</v>
      </c>
      <c r="G28" s="19">
        <f>1000*'Asset cost'!G8/'Physical data'!G26</f>
        <v>49865.505427400072</v>
      </c>
      <c r="H28" s="19">
        <f>1000*'Asset cost'!H8/'Physical data'!H26</f>
        <v>53211.807081253559</v>
      </c>
      <c r="I28" s="19">
        <f>1000*'Asset cost'!I8/'Physical data'!I26</f>
        <v>53136.164280701429</v>
      </c>
      <c r="J28" s="19">
        <f>AVERAGE(E28:I28)</f>
        <v>49223.272267965214</v>
      </c>
    </row>
    <row r="29" spans="1:10" x14ac:dyDescent="0.25">
      <c r="A29" s="18" t="s">
        <v>86</v>
      </c>
      <c r="B29" s="19">
        <f>1000*'Asset cost'!B9/'Physical data'!B27</f>
        <v>32543.483838308814</v>
      </c>
      <c r="C29" s="19">
        <f>1000*'Asset cost'!C9/'Physical data'!C27</f>
        <v>27589.407924512467</v>
      </c>
      <c r="D29" s="19">
        <f>1000*'Asset cost'!D9/'Physical data'!D27</f>
        <v>27658.962079707497</v>
      </c>
      <c r="E29" s="19">
        <f>1000*'Asset cost'!E9/'Physical data'!E27</f>
        <v>27820.56839578156</v>
      </c>
      <c r="F29" s="19">
        <f>1000*'Asset cost'!F9/'Physical data'!F27</f>
        <v>28089.30579793474</v>
      </c>
      <c r="G29" s="19">
        <f>1000*'Asset cost'!G9/'Physical data'!G27</f>
        <v>28932.6149255501</v>
      </c>
      <c r="H29" s="19">
        <f>1000*'Asset cost'!H9/'Physical data'!H27</f>
        <v>31627.922534302135</v>
      </c>
      <c r="I29" s="19">
        <f>1000*'Asset cost'!I9/'Physical data'!I27</f>
        <v>29906.481787349159</v>
      </c>
      <c r="J29" s="19">
        <f>AVERAGE(E29:I29)</f>
        <v>29275.378688183537</v>
      </c>
    </row>
    <row r="30" spans="1:10" x14ac:dyDescent="0.25">
      <c r="A30" s="18" t="s">
        <v>49</v>
      </c>
      <c r="B30" s="19">
        <f>1000*'Asset cost'!B10/'Physical data'!B28</f>
        <v>36233.554936537104</v>
      </c>
      <c r="C30" s="19">
        <f>1000*'Asset cost'!C10/'Physical data'!C28</f>
        <v>36546.868568470156</v>
      </c>
      <c r="D30" s="19">
        <f>1000*'Asset cost'!D10/'Physical data'!D28</f>
        <v>39792.05261691998</v>
      </c>
      <c r="E30" s="19">
        <f>1000*'Asset cost'!E10/'Physical data'!E28</f>
        <v>41046.916809777307</v>
      </c>
      <c r="F30" s="19">
        <f>1000*'Asset cost'!F10/'Physical data'!F28</f>
        <v>45425.336159662605</v>
      </c>
      <c r="G30" s="19">
        <f>1000*'Asset cost'!G10/'Physical data'!G28</f>
        <v>49646.514661938323</v>
      </c>
      <c r="H30" s="19">
        <f>1000*'Asset cost'!H10/'Physical data'!H28</f>
        <v>51927.948542995684</v>
      </c>
      <c r="I30" s="19">
        <f>1000*'Asset cost'!I10/'Physical data'!I28</f>
        <v>52948.325787479414</v>
      </c>
      <c r="J30" s="19">
        <f>AVERAGE(E30:I30)</f>
        <v>48199.00839237067</v>
      </c>
    </row>
    <row r="31" spans="1:10" x14ac:dyDescent="0.25">
      <c r="A31" s="18" t="s">
        <v>95</v>
      </c>
      <c r="B31" s="19">
        <f>1000*'Asset cost'!B11/'Physical data'!B29</f>
        <v>22103.809906740054</v>
      </c>
      <c r="C31" s="19">
        <f>1000*'Asset cost'!C11/'Physical data'!C29</f>
        <v>22120.613953077009</v>
      </c>
      <c r="D31" s="19">
        <f>1000*'Asset cost'!D11/'Physical data'!D29</f>
        <v>23371.821920481074</v>
      </c>
      <c r="E31" s="19">
        <f>1000*'Asset cost'!E11/'Physical data'!E29</f>
        <v>24374.840559335098</v>
      </c>
      <c r="F31" s="19">
        <f>1000*'Asset cost'!F11/'Physical data'!F29</f>
        <v>26797.779922541104</v>
      </c>
      <c r="G31" s="19">
        <f>1000*'Asset cost'!G11/'Physical data'!G29</f>
        <v>26716.919467154974</v>
      </c>
      <c r="H31" s="19">
        <f>1000*'Asset cost'!H11/'Physical data'!H29</f>
        <v>28316.898539618411</v>
      </c>
      <c r="I31" s="19">
        <f>1000*'Asset cost'!I11/'Physical data'!I29</f>
        <v>30778.210808549575</v>
      </c>
      <c r="J31" s="19">
        <f>AVERAGE(E31:I31)</f>
        <v>27396.929859439835</v>
      </c>
    </row>
    <row r="33" spans="1:28" s="20" customFormat="1" x14ac:dyDescent="0.25">
      <c r="A33" s="27" t="s">
        <v>67</v>
      </c>
      <c r="B33" s="27">
        <v>2006</v>
      </c>
      <c r="C33" s="27">
        <v>2007</v>
      </c>
      <c r="D33" s="27">
        <v>2008</v>
      </c>
      <c r="E33" s="27">
        <v>2009</v>
      </c>
      <c r="F33" s="27">
        <v>2010</v>
      </c>
      <c r="G33" s="27">
        <v>2011</v>
      </c>
      <c r="H33" s="27">
        <v>2012</v>
      </c>
      <c r="I33" s="27">
        <v>2013</v>
      </c>
      <c r="J33" s="27" t="s">
        <v>34</v>
      </c>
      <c r="K33" s="25"/>
      <c r="AB33" s="25"/>
    </row>
    <row r="34" spans="1:28" x14ac:dyDescent="0.25">
      <c r="A34" s="18" t="s">
        <v>94</v>
      </c>
      <c r="B34" s="19">
        <f>1000*Opex!B22/'Physical data'!B25</f>
        <v>16604.404040772657</v>
      </c>
      <c r="C34" s="19">
        <f>1000*Opex!C22/'Physical data'!C25</f>
        <v>17256.580598225519</v>
      </c>
      <c r="D34" s="19">
        <f>1000*Opex!D22/'Physical data'!D25</f>
        <v>14536.157319376152</v>
      </c>
      <c r="E34" s="19">
        <f>1000*Opex!E22/'Physical data'!E25</f>
        <v>15161.689050925366</v>
      </c>
      <c r="F34" s="19">
        <f>1000*Opex!F22/'Physical data'!F25</f>
        <v>15691.534494213074</v>
      </c>
      <c r="G34" s="19">
        <f>1000*Opex!G22/'Physical data'!G25</f>
        <v>16560.283027516758</v>
      </c>
      <c r="H34" s="19">
        <f>1000*Opex!H22/'Physical data'!H25</f>
        <v>18858.494481218258</v>
      </c>
      <c r="I34" s="19">
        <f>1000*Opex!I22/'Physical data'!I25</f>
        <v>17519.426920010897</v>
      </c>
      <c r="J34" s="19">
        <f>AVERAGE(E34:I34)</f>
        <v>16758.285594776869</v>
      </c>
      <c r="K34" s="25"/>
      <c r="AB34" s="25"/>
    </row>
    <row r="35" spans="1:28" x14ac:dyDescent="0.25">
      <c r="A35" s="18" t="s">
        <v>26</v>
      </c>
      <c r="B35" s="19">
        <f>1000*Opex!B23/'Physical data'!B26</f>
        <v>14415.576420959094</v>
      </c>
      <c r="C35" s="19">
        <f>1000*Opex!C23/'Physical data'!C26</f>
        <v>14108.007380948115</v>
      </c>
      <c r="D35" s="19">
        <f>1000*Opex!D23/'Physical data'!D26</f>
        <v>15497.695966811765</v>
      </c>
      <c r="E35" s="19">
        <f>1000*Opex!E23/'Physical data'!E26</f>
        <v>14310.317469379264</v>
      </c>
      <c r="F35" s="19">
        <f>1000*Opex!F23/'Physical data'!F26</f>
        <v>14657.538013853176</v>
      </c>
      <c r="G35" s="19">
        <f>1000*Opex!G23/'Physical data'!G26</f>
        <v>14478.68585627112</v>
      </c>
      <c r="H35" s="19">
        <f>1000*Opex!H23/'Physical data'!H26</f>
        <v>15276.063141355702</v>
      </c>
      <c r="I35" s="19">
        <f>1000*Opex!I23/'Physical data'!I26</f>
        <v>15697.063690775722</v>
      </c>
      <c r="J35" s="19">
        <f>AVERAGE(E35:I35)</f>
        <v>14883.933634326997</v>
      </c>
      <c r="K35" s="25"/>
      <c r="AB35" s="25"/>
    </row>
    <row r="36" spans="1:28" x14ac:dyDescent="0.25">
      <c r="A36" s="18" t="s">
        <v>86</v>
      </c>
      <c r="B36" s="19">
        <f>1000*Opex!B24/'Physical data'!B27</f>
        <v>9979.7080019061323</v>
      </c>
      <c r="C36" s="19">
        <f>1000*Opex!C24/'Physical data'!C27</f>
        <v>8149.9752081397146</v>
      </c>
      <c r="D36" s="19">
        <f>1000*Opex!D24/'Physical data'!D27</f>
        <v>7141.6637482357264</v>
      </c>
      <c r="E36" s="19">
        <f>1000*Opex!E24/'Physical data'!E27</f>
        <v>8994.3045266663066</v>
      </c>
      <c r="F36" s="19">
        <f>1000*Opex!F24/'Physical data'!F27</f>
        <v>9113.3371803801238</v>
      </c>
      <c r="G36" s="19">
        <f>1000*Opex!G24/'Physical data'!G27</f>
        <v>8523.6197979933113</v>
      </c>
      <c r="H36" s="19">
        <f>1000*Opex!H24/'Physical data'!H27</f>
        <v>8733.5939496308802</v>
      </c>
      <c r="I36" s="19">
        <f>1000*Opex!I24/'Physical data'!I27</f>
        <v>8307.6364622892561</v>
      </c>
      <c r="J36" s="19">
        <f>AVERAGE(E36:I36)</f>
        <v>8734.4983833919759</v>
      </c>
      <c r="K36" s="25"/>
      <c r="AB36" s="25"/>
    </row>
    <row r="37" spans="1:28" x14ac:dyDescent="0.25">
      <c r="A37" s="18" t="s">
        <v>49</v>
      </c>
      <c r="B37" s="19">
        <f>1000*Opex!B25/'Physical data'!B28</f>
        <v>17180.759178876022</v>
      </c>
      <c r="C37" s="19">
        <f>1000*Opex!C25/'Physical data'!C28</f>
        <v>17581.142522243437</v>
      </c>
      <c r="D37" s="19">
        <f>1000*Opex!D25/'Physical data'!D28</f>
        <v>21495.446040820101</v>
      </c>
      <c r="E37" s="19">
        <f>1000*Opex!E25/'Physical data'!E28</f>
        <v>20633.370492362254</v>
      </c>
      <c r="F37" s="19">
        <f>1000*Opex!F25/'Physical data'!F28</f>
        <v>20793.267817632466</v>
      </c>
      <c r="G37" s="19">
        <f>1000*Opex!G25/'Physical data'!G28</f>
        <v>19999.941951714591</v>
      </c>
      <c r="H37" s="19">
        <f>1000*Opex!H25/'Physical data'!H28</f>
        <v>19600.721399742655</v>
      </c>
      <c r="I37" s="19">
        <f>1000*Opex!I25/'Physical data'!I28</f>
        <v>18608.8454681722</v>
      </c>
      <c r="J37" s="19">
        <f>AVERAGE(E37:I37)</f>
        <v>19927.229425924837</v>
      </c>
      <c r="K37" s="25"/>
      <c r="AB37" s="25"/>
    </row>
    <row r="38" spans="1:28" x14ac:dyDescent="0.25">
      <c r="A38" s="18" t="s">
        <v>95</v>
      </c>
      <c r="B38" s="19">
        <f>1000*Opex!B26/'Physical data'!B29</f>
        <v>8482.2772250677117</v>
      </c>
      <c r="C38" s="19">
        <f>1000*Opex!C26/'Physical data'!C29</f>
        <v>8184.5493997918957</v>
      </c>
      <c r="D38" s="19">
        <f>1000*Opex!D26/'Physical data'!D29</f>
        <v>7866.1274445259551</v>
      </c>
      <c r="E38" s="19">
        <f>1000*Opex!E26/'Physical data'!E29</f>
        <v>7610.7827307827292</v>
      </c>
      <c r="F38" s="19">
        <f>1000*Opex!F26/'Physical data'!F29</f>
        <v>8698.8694377321517</v>
      </c>
      <c r="G38" s="19">
        <f>1000*Opex!G26/'Physical data'!G29</f>
        <v>8010.8614356891585</v>
      </c>
      <c r="H38" s="19">
        <f>1000*Opex!H26/'Physical data'!H29</f>
        <v>8973.6371619643778</v>
      </c>
      <c r="I38" s="19">
        <f>1000*Opex!I26/'Physical data'!I29</f>
        <v>8595.1381722279548</v>
      </c>
      <c r="J38" s="19">
        <f>AVERAGE(E38:I38)</f>
        <v>8377.8577876792733</v>
      </c>
      <c r="K38" s="25"/>
      <c r="AB38" s="25"/>
    </row>
    <row r="39" spans="1:28" x14ac:dyDescent="0.25">
      <c r="R39" s="3"/>
      <c r="S39" s="28"/>
      <c r="T39" s="28"/>
      <c r="U39" s="28"/>
      <c r="V39" s="28"/>
      <c r="W39" s="28"/>
      <c r="X39" s="28"/>
      <c r="Y39" s="28"/>
      <c r="Z39" s="28"/>
      <c r="AA39" s="28"/>
    </row>
    <row r="40" spans="1:28" s="20" customFormat="1" ht="30" x14ac:dyDescent="0.25">
      <c r="A40" s="35" t="s">
        <v>44</v>
      </c>
      <c r="B40" s="27">
        <v>2006</v>
      </c>
      <c r="C40" s="27">
        <v>2007</v>
      </c>
      <c r="D40" s="27">
        <v>2008</v>
      </c>
      <c r="E40" s="27">
        <v>2009</v>
      </c>
      <c r="F40" s="27">
        <v>2010</v>
      </c>
      <c r="G40" s="27">
        <v>2011</v>
      </c>
      <c r="H40" s="27">
        <v>2012</v>
      </c>
      <c r="I40" s="27">
        <v>2013</v>
      </c>
      <c r="J40" s="27" t="s">
        <v>34</v>
      </c>
      <c r="R40" s="3"/>
      <c r="S40" s="28"/>
      <c r="T40" s="28"/>
      <c r="U40" s="28"/>
      <c r="V40" s="28"/>
      <c r="W40" s="28"/>
      <c r="X40" s="28"/>
      <c r="Y40" s="28"/>
      <c r="Z40" s="28"/>
      <c r="AA40" s="28"/>
    </row>
    <row r="41" spans="1:28" x14ac:dyDescent="0.25">
      <c r="A41" s="18" t="s">
        <v>94</v>
      </c>
      <c r="B41" s="19">
        <f>B48+B55</f>
        <v>16911.096595323361</v>
      </c>
      <c r="C41" s="19">
        <f t="shared" ref="C41:I41" si="11">C48+C55</f>
        <v>17669.433012345115</v>
      </c>
      <c r="D41" s="19">
        <f t="shared" si="11"/>
        <v>16527.372214890413</v>
      </c>
      <c r="E41" s="19">
        <f t="shared" si="11"/>
        <v>16993.889049536774</v>
      </c>
      <c r="F41" s="19">
        <f t="shared" si="11"/>
        <v>17337.457439830345</v>
      </c>
      <c r="G41" s="19">
        <f t="shared" si="11"/>
        <v>16910.527743139755</v>
      </c>
      <c r="H41" s="19">
        <f t="shared" si="11"/>
        <v>17323.503054362176</v>
      </c>
      <c r="I41" s="19">
        <f t="shared" si="11"/>
        <v>17615.610736891173</v>
      </c>
      <c r="J41" s="19">
        <f>AVERAGE(E41:I41)</f>
        <v>17236.197604752044</v>
      </c>
      <c r="K41" s="25"/>
      <c r="R41" s="3"/>
      <c r="S41" s="28"/>
      <c r="T41" s="28"/>
      <c r="U41" s="28"/>
      <c r="V41" s="28"/>
      <c r="W41" s="28"/>
      <c r="X41" s="28"/>
      <c r="Y41" s="28"/>
      <c r="Z41" s="28"/>
      <c r="AA41" s="28"/>
      <c r="AB41" s="25"/>
    </row>
    <row r="42" spans="1:28" x14ac:dyDescent="0.25">
      <c r="A42" s="18" t="s">
        <v>26</v>
      </c>
      <c r="B42" s="19">
        <f t="shared" ref="B42:I42" si="12">B49+B56</f>
        <v>64065.037019059462</v>
      </c>
      <c r="C42" s="19">
        <f t="shared" si="12"/>
        <v>60433.292126302193</v>
      </c>
      <c r="D42" s="19">
        <f t="shared" si="12"/>
        <v>62696.005555605589</v>
      </c>
      <c r="E42" s="19">
        <f t="shared" si="12"/>
        <v>61799.405170012651</v>
      </c>
      <c r="F42" s="19">
        <f t="shared" si="12"/>
        <v>62841.27536690038</v>
      </c>
      <c r="G42" s="19">
        <f t="shared" si="12"/>
        <v>64553.321635498061</v>
      </c>
      <c r="H42" s="19">
        <f t="shared" si="12"/>
        <v>65098.869972132226</v>
      </c>
      <c r="I42" s="19">
        <f t="shared" si="12"/>
        <v>61450.130293493043</v>
      </c>
      <c r="J42" s="19">
        <f t="shared" ref="J42:J45" si="13">AVERAGE(E42:I42)</f>
        <v>63148.600487607277</v>
      </c>
      <c r="K42" s="25"/>
      <c r="R42" s="3"/>
      <c r="S42" s="28"/>
      <c r="T42" s="28"/>
      <c r="U42" s="28"/>
      <c r="V42" s="28"/>
      <c r="W42" s="28"/>
      <c r="X42" s="28"/>
      <c r="Y42" s="28"/>
      <c r="Z42" s="28"/>
      <c r="AA42" s="28"/>
      <c r="AB42" s="25"/>
    </row>
    <row r="43" spans="1:28" x14ac:dyDescent="0.25">
      <c r="A43" s="18" t="s">
        <v>86</v>
      </c>
      <c r="B43" s="19">
        <f t="shared" ref="B43:I43" si="14">B50+B57</f>
        <v>21074.179943783918</v>
      </c>
      <c r="C43" s="19">
        <f t="shared" si="14"/>
        <v>21277.544861585127</v>
      </c>
      <c r="D43" s="19">
        <f t="shared" si="14"/>
        <v>20090.680907611662</v>
      </c>
      <c r="E43" s="19">
        <f t="shared" si="14"/>
        <v>21654.766998038016</v>
      </c>
      <c r="F43" s="19">
        <f t="shared" si="14"/>
        <v>20763.618708513088</v>
      </c>
      <c r="G43" s="19">
        <f t="shared" si="14"/>
        <v>20281.966257694752</v>
      </c>
      <c r="H43" s="19">
        <f t="shared" si="14"/>
        <v>19898.530201770882</v>
      </c>
      <c r="I43" s="19">
        <f t="shared" si="14"/>
        <v>20173.758264852651</v>
      </c>
      <c r="J43" s="19">
        <f t="shared" si="13"/>
        <v>20554.528086173879</v>
      </c>
      <c r="K43" s="25"/>
      <c r="R43" s="3"/>
      <c r="S43" s="28"/>
      <c r="T43" s="28"/>
      <c r="U43" s="28"/>
      <c r="V43" s="28"/>
      <c r="W43" s="28"/>
      <c r="X43" s="28"/>
      <c r="Y43" s="28"/>
      <c r="Z43" s="28"/>
      <c r="AA43" s="28"/>
      <c r="AB43" s="25"/>
    </row>
    <row r="44" spans="1:28" x14ac:dyDescent="0.25">
      <c r="A44" s="18" t="s">
        <v>49</v>
      </c>
      <c r="B44" s="19">
        <f t="shared" ref="B44:I44" si="15">B51+B58</f>
        <v>33100.662534232346</v>
      </c>
      <c r="C44" s="19">
        <f t="shared" si="15"/>
        <v>33002.604157721842</v>
      </c>
      <c r="D44" s="19">
        <f t="shared" si="15"/>
        <v>36085.768929261489</v>
      </c>
      <c r="E44" s="19">
        <f t="shared" si="15"/>
        <v>35609.664574637864</v>
      </c>
      <c r="F44" s="19">
        <f t="shared" si="15"/>
        <v>37864.290019701439</v>
      </c>
      <c r="G44" s="19">
        <f t="shared" si="15"/>
        <v>37620.024397212779</v>
      </c>
      <c r="H44" s="19">
        <f t="shared" si="15"/>
        <v>37610.331206095099</v>
      </c>
      <c r="I44" s="19">
        <f t="shared" si="15"/>
        <v>35887.6086107507</v>
      </c>
      <c r="J44" s="19">
        <f t="shared" si="13"/>
        <v>36918.383761679579</v>
      </c>
      <c r="K44" s="25"/>
      <c r="R44" s="3"/>
      <c r="S44" s="28"/>
      <c r="T44" s="28"/>
      <c r="U44" s="28"/>
      <c r="V44" s="28"/>
      <c r="W44" s="28"/>
      <c r="X44" s="28"/>
      <c r="Y44" s="28"/>
      <c r="Z44" s="28"/>
      <c r="AA44" s="28"/>
      <c r="AB44" s="25"/>
    </row>
    <row r="45" spans="1:28" x14ac:dyDescent="0.25">
      <c r="A45" s="18" t="s">
        <v>95</v>
      </c>
      <c r="B45" s="19">
        <f t="shared" ref="B45:I45" si="16">B52+B59</f>
        <v>20038.733517839384</v>
      </c>
      <c r="C45" s="19">
        <f t="shared" si="16"/>
        <v>19980.943813295686</v>
      </c>
      <c r="D45" s="19">
        <f t="shared" si="16"/>
        <v>20698.870720131257</v>
      </c>
      <c r="E45" s="19">
        <f t="shared" si="16"/>
        <v>21119.02747661158</v>
      </c>
      <c r="F45" s="19">
        <f t="shared" si="16"/>
        <v>21894.525710101472</v>
      </c>
      <c r="G45" s="19">
        <f t="shared" si="16"/>
        <v>21151.207465630861</v>
      </c>
      <c r="H45" s="19">
        <f t="shared" si="16"/>
        <v>20982.851852063402</v>
      </c>
      <c r="I45" s="19">
        <f t="shared" si="16"/>
        <v>21043.42139619615</v>
      </c>
      <c r="J45" s="19">
        <f t="shared" si="13"/>
        <v>21238.206780120694</v>
      </c>
      <c r="K45" s="25"/>
      <c r="R45" s="3"/>
      <c r="S45" s="28"/>
      <c r="T45" s="28"/>
      <c r="U45" s="28"/>
      <c r="V45" s="28"/>
      <c r="W45" s="28"/>
      <c r="X45" s="28"/>
      <c r="Y45" s="28"/>
      <c r="Z45" s="28"/>
      <c r="AA45" s="28"/>
      <c r="AB45" s="25"/>
    </row>
    <row r="46" spans="1:28" x14ac:dyDescent="0.25">
      <c r="A46" s="3"/>
      <c r="B46" s="28"/>
      <c r="C46" s="28"/>
      <c r="D46" s="28"/>
      <c r="E46" s="28"/>
      <c r="F46" s="28"/>
      <c r="G46" s="28"/>
      <c r="H46" s="28"/>
      <c r="I46" s="28"/>
      <c r="J46" s="28"/>
      <c r="K46" s="25"/>
      <c r="R46" s="3"/>
      <c r="S46" s="28"/>
      <c r="T46" s="28"/>
      <c r="U46" s="28"/>
      <c r="V46" s="28"/>
      <c r="W46" s="28"/>
      <c r="X46" s="28"/>
      <c r="Y46" s="28"/>
      <c r="Z46" s="28"/>
      <c r="AA46" s="28"/>
      <c r="AB46" s="25"/>
    </row>
    <row r="47" spans="1:28" ht="30" x14ac:dyDescent="0.25">
      <c r="A47" s="27" t="s">
        <v>62</v>
      </c>
      <c r="B47" s="27">
        <v>2006</v>
      </c>
      <c r="C47" s="27">
        <v>2007</v>
      </c>
      <c r="D47" s="27">
        <v>2008</v>
      </c>
      <c r="E47" s="27">
        <v>2009</v>
      </c>
      <c r="F47" s="27">
        <v>2010</v>
      </c>
      <c r="G47" s="27">
        <v>2011</v>
      </c>
      <c r="H47" s="27">
        <v>2012</v>
      </c>
      <c r="I47" s="27">
        <v>2013</v>
      </c>
      <c r="J47" s="27" t="s">
        <v>34</v>
      </c>
      <c r="K47" s="25"/>
      <c r="R47" s="3"/>
      <c r="S47" s="28"/>
      <c r="T47" s="28"/>
      <c r="U47" s="28"/>
      <c r="V47" s="28"/>
      <c r="W47" s="28"/>
      <c r="X47" s="28"/>
      <c r="Y47" s="28"/>
      <c r="Z47" s="28"/>
      <c r="AA47" s="28"/>
      <c r="AB47" s="25"/>
    </row>
    <row r="48" spans="1:28" x14ac:dyDescent="0.25">
      <c r="A48" s="18" t="s">
        <v>94</v>
      </c>
      <c r="B48" s="19">
        <f>1000*'Asset cost'!B7/'Physical data'!B32</f>
        <v>11649.423360094501</v>
      </c>
      <c r="C48" s="19">
        <f>1000*'Asset cost'!C7/'Physical data'!C32</f>
        <v>12142.546018692839</v>
      </c>
      <c r="D48" s="19">
        <f>1000*'Asset cost'!D7/'Physical data'!D32</f>
        <v>11707.895892905175</v>
      </c>
      <c r="E48" s="19">
        <f>1000*'Asset cost'!E7/'Physical data'!E32</f>
        <v>12028.707198775397</v>
      </c>
      <c r="F48" s="19">
        <f>1000*'Asset cost'!F7/'Physical data'!F32</f>
        <v>12257.950388859075</v>
      </c>
      <c r="G48" s="19">
        <f>1000*'Asset cost'!G7/'Physical data'!G32</f>
        <v>11697.694040907874</v>
      </c>
      <c r="H48" s="19">
        <f>1000*'Asset cost'!H7/'Physical data'!H32</f>
        <v>11879.222445945679</v>
      </c>
      <c r="I48" s="19">
        <f>1000*'Asset cost'!I7/'Physical data'!I32</f>
        <v>12609.563435379083</v>
      </c>
      <c r="J48" s="19">
        <f>AVERAGE(E48:I48)</f>
        <v>12094.62750197342</v>
      </c>
      <c r="K48" s="25"/>
      <c r="R48" s="3"/>
      <c r="S48" s="28"/>
      <c r="T48" s="28"/>
      <c r="U48" s="28"/>
      <c r="V48" s="28"/>
      <c r="W48" s="28"/>
      <c r="X48" s="28"/>
      <c r="Y48" s="28"/>
      <c r="Z48" s="28"/>
      <c r="AA48" s="28"/>
      <c r="AB48" s="25"/>
    </row>
    <row r="49" spans="1:28" x14ac:dyDescent="0.25">
      <c r="A49" s="18" t="s">
        <v>26</v>
      </c>
      <c r="B49" s="19">
        <f>1000*'Asset cost'!B8/'Physical data'!B33</f>
        <v>46298.367754811516</v>
      </c>
      <c r="C49" s="19">
        <f>1000*'Asset cost'!C8/'Physical data'!C33</f>
        <v>43513.585817026709</v>
      </c>
      <c r="D49" s="19">
        <f>1000*'Asset cost'!D8/'Physical data'!D33</f>
        <v>45269.72072957435</v>
      </c>
      <c r="E49" s="19">
        <f>1000*'Asset cost'!E8/'Physical data'!E33</f>
        <v>46596.260556561079</v>
      </c>
      <c r="F49" s="19">
        <f>1000*'Asset cost'!F8/'Physical data'!F33</f>
        <v>47666.821758407285</v>
      </c>
      <c r="G49" s="19">
        <f>1000*'Asset cost'!G8/'Physical data'!G33</f>
        <v>50027.577410682628</v>
      </c>
      <c r="H49" s="19">
        <f>1000*'Asset cost'!H8/'Physical data'!H33</f>
        <v>50578.7156018346</v>
      </c>
      <c r="I49" s="19">
        <f>1000*'Asset cost'!I8/'Physical data'!I33</f>
        <v>47436.744063471568</v>
      </c>
      <c r="J49" s="19">
        <f t="shared" ref="J49:J52" si="17">AVERAGE(E49:I49)</f>
        <v>48461.223878191435</v>
      </c>
      <c r="K49" s="25"/>
      <c r="R49" s="3"/>
      <c r="S49" s="28"/>
      <c r="T49" s="28"/>
      <c r="U49" s="28"/>
      <c r="V49" s="28"/>
      <c r="W49" s="28"/>
      <c r="X49" s="28"/>
      <c r="Y49" s="28"/>
      <c r="Z49" s="28"/>
      <c r="AA49" s="28"/>
      <c r="AB49" s="25"/>
    </row>
    <row r="50" spans="1:28" x14ac:dyDescent="0.25">
      <c r="A50" s="18" t="s">
        <v>86</v>
      </c>
      <c r="B50" s="19">
        <f>1000*'Asset cost'!B9/'Physical data'!B34</f>
        <v>16128.310334351349</v>
      </c>
      <c r="C50" s="19">
        <f>1000*'Asset cost'!C9/'Physical data'!C34</f>
        <v>16425.433607500068</v>
      </c>
      <c r="D50" s="19">
        <f>1000*'Asset cost'!D9/'Physical data'!D34</f>
        <v>15967.741043695374</v>
      </c>
      <c r="E50" s="19">
        <f>1000*'Asset cost'!E9/'Physical data'!E34</f>
        <v>16364.253861006469</v>
      </c>
      <c r="F50" s="19">
        <f>1000*'Asset cost'!F9/'Physical data'!F34</f>
        <v>15677.263459886613</v>
      </c>
      <c r="G50" s="19">
        <f>1000*'Asset cost'!G9/'Physical data'!G34</f>
        <v>15666.559225667135</v>
      </c>
      <c r="H50" s="19">
        <f>1000*'Asset cost'!H9/'Physical data'!H34</f>
        <v>15592.802912115809</v>
      </c>
      <c r="I50" s="19">
        <f>1000*'Asset cost'!I9/'Physical data'!I34</f>
        <v>15788.042790596357</v>
      </c>
      <c r="J50" s="19">
        <f t="shared" si="17"/>
        <v>15817.784449854476</v>
      </c>
      <c r="K50" s="25"/>
      <c r="R50" s="3"/>
      <c r="S50" s="28"/>
      <c r="T50" s="28"/>
      <c r="U50" s="28"/>
      <c r="V50" s="28"/>
      <c r="W50" s="28"/>
      <c r="X50" s="28"/>
      <c r="Y50" s="28"/>
      <c r="Z50" s="28"/>
      <c r="AA50" s="28"/>
      <c r="AB50" s="25"/>
    </row>
    <row r="51" spans="1:28" x14ac:dyDescent="0.25">
      <c r="A51" s="18" t="s">
        <v>49</v>
      </c>
      <c r="B51" s="19">
        <f>1000*'Asset cost'!B10/'Physical data'!B35</f>
        <v>22453.806516702978</v>
      </c>
      <c r="C51" s="19">
        <f>1000*'Asset cost'!C10/'Physical data'!C35</f>
        <v>22283.136074372353</v>
      </c>
      <c r="D51" s="19">
        <f>1000*'Asset cost'!D10/'Physical data'!D35</f>
        <v>23429.359125490173</v>
      </c>
      <c r="E51" s="19">
        <f>1000*'Asset cost'!E10/'Physical data'!E35</f>
        <v>23697.47294235661</v>
      </c>
      <c r="F51" s="19">
        <f>1000*'Asset cost'!F10/'Physical data'!F35</f>
        <v>25974.544905562278</v>
      </c>
      <c r="G51" s="19">
        <f>1000*'Asset cost'!G10/'Physical data'!G35</f>
        <v>26816.914795527053</v>
      </c>
      <c r="H51" s="19">
        <f>1000*'Asset cost'!H10/'Physical data'!H35</f>
        <v>27304.11938483702</v>
      </c>
      <c r="I51" s="19">
        <f>1000*'Asset cost'!I10/'Physical data'!I35</f>
        <v>26554.833835826092</v>
      </c>
      <c r="J51" s="19">
        <f t="shared" si="17"/>
        <v>26069.57717282181</v>
      </c>
      <c r="K51" s="25"/>
      <c r="R51" s="3"/>
      <c r="S51" s="28"/>
      <c r="T51" s="28"/>
      <c r="U51" s="28"/>
      <c r="V51" s="28"/>
      <c r="W51" s="28"/>
      <c r="X51" s="28"/>
      <c r="Y51" s="28"/>
      <c r="Z51" s="28"/>
      <c r="AA51" s="28"/>
      <c r="AB51" s="25"/>
    </row>
    <row r="52" spans="1:28" x14ac:dyDescent="0.25">
      <c r="A52" s="18" t="s">
        <v>95</v>
      </c>
      <c r="B52" s="19">
        <f>1000*'Asset cost'!B11/'Physical data'!B36</f>
        <v>14481.497896130626</v>
      </c>
      <c r="C52" s="19">
        <f>1000*'Asset cost'!C11/'Physical data'!C36</f>
        <v>14584.667944718214</v>
      </c>
      <c r="D52" s="19">
        <f>1000*'Asset cost'!D11/'Physical data'!D36</f>
        <v>15486.622209839757</v>
      </c>
      <c r="E52" s="19">
        <f>1000*'Asset cost'!E11/'Physical data'!E36</f>
        <v>16093.884519351132</v>
      </c>
      <c r="F52" s="19">
        <f>1000*'Asset cost'!F11/'Physical data'!F36</f>
        <v>16529.015894789249</v>
      </c>
      <c r="G52" s="19">
        <f>1000*'Asset cost'!G11/'Physical data'!G36</f>
        <v>16272.134061006665</v>
      </c>
      <c r="H52" s="19">
        <f>1000*'Asset cost'!H11/'Physical data'!H36</f>
        <v>15933.514383423144</v>
      </c>
      <c r="I52" s="19">
        <f>1000*'Asset cost'!I11/'Physical data'!I36</f>
        <v>16449.676662797243</v>
      </c>
      <c r="J52" s="19">
        <f t="shared" si="17"/>
        <v>16255.645104273484</v>
      </c>
      <c r="K52" s="25"/>
      <c r="R52" s="3"/>
      <c r="S52" s="28"/>
      <c r="T52" s="28"/>
      <c r="U52" s="28"/>
      <c r="V52" s="28"/>
      <c r="W52" s="28"/>
      <c r="X52" s="28"/>
      <c r="Y52" s="28"/>
      <c r="Z52" s="28"/>
      <c r="AA52" s="28"/>
      <c r="AB52" s="25"/>
    </row>
    <row r="53" spans="1:28" x14ac:dyDescent="0.25">
      <c r="A53" s="3"/>
      <c r="B53" s="28"/>
      <c r="C53" s="28"/>
      <c r="D53" s="28"/>
      <c r="E53" s="28"/>
      <c r="F53" s="28"/>
      <c r="G53" s="28"/>
      <c r="H53" s="28"/>
      <c r="I53" s="28"/>
      <c r="J53" s="28"/>
      <c r="K53" s="25"/>
      <c r="R53" s="3"/>
      <c r="S53" s="28"/>
      <c r="T53" s="28"/>
      <c r="U53" s="28"/>
      <c r="V53" s="28"/>
      <c r="W53" s="28"/>
      <c r="X53" s="28"/>
      <c r="Y53" s="28"/>
      <c r="Z53" s="28"/>
      <c r="AA53" s="28"/>
      <c r="AB53" s="25"/>
    </row>
    <row r="54" spans="1:28" x14ac:dyDescent="0.25">
      <c r="A54" s="27" t="s">
        <v>43</v>
      </c>
      <c r="B54" s="27">
        <v>2006</v>
      </c>
      <c r="C54" s="27">
        <v>2007</v>
      </c>
      <c r="D54" s="27">
        <v>2008</v>
      </c>
      <c r="E54" s="27">
        <v>2009</v>
      </c>
      <c r="F54" s="27">
        <v>2010</v>
      </c>
      <c r="G54" s="27">
        <v>2011</v>
      </c>
      <c r="H54" s="27">
        <v>2012</v>
      </c>
      <c r="I54" s="27">
        <v>2013</v>
      </c>
      <c r="J54" s="27" t="s">
        <v>34</v>
      </c>
      <c r="K54" s="25"/>
      <c r="R54" s="3"/>
      <c r="S54" s="28"/>
      <c r="T54" s="28"/>
      <c r="U54" s="28"/>
      <c r="V54" s="28"/>
      <c r="W54" s="28"/>
      <c r="X54" s="28"/>
      <c r="Y54" s="28"/>
      <c r="Z54" s="28"/>
      <c r="AA54" s="28"/>
      <c r="AB54" s="25"/>
    </row>
    <row r="55" spans="1:28" x14ac:dyDescent="0.25">
      <c r="A55" s="18" t="s">
        <v>94</v>
      </c>
      <c r="B55" s="19">
        <f>1000*Opex!B22/'Physical data'!B32</f>
        <v>5261.6732352288618</v>
      </c>
      <c r="C55" s="19">
        <f>1000*Opex!C22/'Physical data'!C32</f>
        <v>5526.8869936522742</v>
      </c>
      <c r="D55" s="19">
        <f>1000*Opex!D22/'Physical data'!D32</f>
        <v>4819.4763219852366</v>
      </c>
      <c r="E55" s="19">
        <f>1000*Opex!E22/'Physical data'!E32</f>
        <v>4965.1818507613752</v>
      </c>
      <c r="F55" s="19">
        <f>1000*Opex!F22/'Physical data'!F32</f>
        <v>5079.5070509712687</v>
      </c>
      <c r="G55" s="19">
        <f>1000*Opex!G22/'Physical data'!G32</f>
        <v>5212.833702231881</v>
      </c>
      <c r="H55" s="19">
        <f>1000*Opex!H22/'Physical data'!H32</f>
        <v>5444.2806084164959</v>
      </c>
      <c r="I55" s="19">
        <f>1000*Opex!I22/'Physical data'!I32</f>
        <v>5006.0473015120888</v>
      </c>
      <c r="J55" s="19">
        <f>AVERAGE(E55:I55)</f>
        <v>5141.5701027786217</v>
      </c>
      <c r="K55" s="25"/>
      <c r="R55" s="3"/>
      <c r="S55" s="28"/>
      <c r="T55" s="28"/>
      <c r="U55" s="28"/>
      <c r="V55" s="28"/>
      <c r="W55" s="28"/>
      <c r="X55" s="28"/>
      <c r="Y55" s="28"/>
      <c r="Z55" s="28"/>
      <c r="AA55" s="28"/>
      <c r="AB55" s="25"/>
    </row>
    <row r="56" spans="1:28" x14ac:dyDescent="0.25">
      <c r="A56" s="18" t="s">
        <v>26</v>
      </c>
      <c r="B56" s="19">
        <f>1000*Opex!B23/'Physical data'!B33</f>
        <v>17766.669264247947</v>
      </c>
      <c r="C56" s="19">
        <f>1000*Opex!C23/'Physical data'!C33</f>
        <v>16919.706309275483</v>
      </c>
      <c r="D56" s="19">
        <f>1000*Opex!D23/'Physical data'!D33</f>
        <v>17426.284826031238</v>
      </c>
      <c r="E56" s="19">
        <f>1000*Opex!E23/'Physical data'!E33</f>
        <v>15203.14461345157</v>
      </c>
      <c r="F56" s="19">
        <f>1000*Opex!F23/'Physical data'!F33</f>
        <v>15174.453608493095</v>
      </c>
      <c r="G56" s="19">
        <f>1000*Opex!G23/'Physical data'!G33</f>
        <v>14525.744224815431</v>
      </c>
      <c r="H56" s="19">
        <f>1000*Opex!H23/'Physical data'!H33</f>
        <v>14520.154370297627</v>
      </c>
      <c r="I56" s="19">
        <f>1000*Opex!I23/'Physical data'!I33</f>
        <v>14013.386230021475</v>
      </c>
      <c r="J56" s="19">
        <f t="shared" ref="J56:J59" si="18">AVERAGE(E56:I56)</f>
        <v>14687.37660941584</v>
      </c>
      <c r="K56" s="25"/>
      <c r="R56" s="3"/>
      <c r="S56" s="28"/>
      <c r="T56" s="28"/>
      <c r="U56" s="28"/>
      <c r="V56" s="28"/>
      <c r="W56" s="28"/>
      <c r="X56" s="28"/>
      <c r="Y56" s="28"/>
      <c r="Z56" s="28"/>
      <c r="AA56" s="28"/>
      <c r="AB56" s="25"/>
    </row>
    <row r="57" spans="1:28" x14ac:dyDescent="0.25">
      <c r="A57" s="18" t="s">
        <v>86</v>
      </c>
      <c r="B57" s="19">
        <f>1000*Opex!B24/'Physical data'!B34</f>
        <v>4945.8696094325687</v>
      </c>
      <c r="C57" s="19">
        <f>1000*Opex!C24/'Physical data'!C34</f>
        <v>4852.1112540850581</v>
      </c>
      <c r="D57" s="19">
        <f>1000*Opex!D24/'Physical data'!D34</f>
        <v>4122.9398639162864</v>
      </c>
      <c r="E57" s="19">
        <f>1000*Opex!E24/'Physical data'!E34</f>
        <v>5290.5131370315485</v>
      </c>
      <c r="F57" s="19">
        <f>1000*Opex!F24/'Physical data'!F34</f>
        <v>5086.3552486264743</v>
      </c>
      <c r="G57" s="19">
        <f>1000*Opex!G24/'Physical data'!G34</f>
        <v>4615.4070320276178</v>
      </c>
      <c r="H57" s="19">
        <f>1000*Opex!H24/'Physical data'!H34</f>
        <v>4305.7272896550749</v>
      </c>
      <c r="I57" s="19">
        <f>1000*Opex!I24/'Physical data'!I34</f>
        <v>4385.7154742562961</v>
      </c>
      <c r="J57" s="19">
        <f t="shared" si="18"/>
        <v>4736.743636319402</v>
      </c>
      <c r="K57" s="25"/>
      <c r="R57" s="3"/>
      <c r="S57" s="28"/>
      <c r="T57" s="28"/>
      <c r="U57" s="28"/>
      <c r="V57" s="28"/>
      <c r="W57" s="28"/>
      <c r="X57" s="28"/>
      <c r="Y57" s="28"/>
      <c r="Z57" s="28"/>
      <c r="AA57" s="28"/>
      <c r="AB57" s="25"/>
    </row>
    <row r="58" spans="1:28" x14ac:dyDescent="0.25">
      <c r="A58" s="18" t="s">
        <v>49</v>
      </c>
      <c r="B58" s="19">
        <f>1000*Opex!B25/'Physical data'!B35</f>
        <v>10646.856017529366</v>
      </c>
      <c r="C58" s="19">
        <f>1000*Opex!C25/'Physical data'!C35</f>
        <v>10719.468083349488</v>
      </c>
      <c r="D58" s="19">
        <f>1000*Opex!D25/'Physical data'!D35</f>
        <v>12656.409803771316</v>
      </c>
      <c r="E58" s="19">
        <f>1000*Opex!E25/'Physical data'!E35</f>
        <v>11912.19163228125</v>
      </c>
      <c r="F58" s="19">
        <f>1000*Opex!F25/'Physical data'!F35</f>
        <v>11889.745114139159</v>
      </c>
      <c r="G58" s="19">
        <f>1000*Opex!G25/'Physical data'!G35</f>
        <v>10803.109601685728</v>
      </c>
      <c r="H58" s="19">
        <f>1000*Opex!H25/'Physical data'!H35</f>
        <v>10306.211821258077</v>
      </c>
      <c r="I58" s="19">
        <f>1000*Opex!I25/'Physical data'!I35</f>
        <v>9332.7747749246118</v>
      </c>
      <c r="J58" s="19">
        <f t="shared" si="18"/>
        <v>10848.806588857766</v>
      </c>
      <c r="K58" s="25"/>
      <c r="R58" s="3"/>
      <c r="S58" s="28"/>
      <c r="T58" s="28"/>
      <c r="U58" s="28"/>
      <c r="V58" s="28"/>
      <c r="W58" s="28"/>
      <c r="X58" s="28"/>
      <c r="Y58" s="28"/>
      <c r="Z58" s="28"/>
      <c r="AA58" s="28"/>
      <c r="AB58" s="25"/>
    </row>
    <row r="59" spans="1:28" x14ac:dyDescent="0.25">
      <c r="A59" s="18" t="s">
        <v>95</v>
      </c>
      <c r="B59" s="19">
        <f>1000*Opex!B26/'Physical data'!B36</f>
        <v>5557.2356217087581</v>
      </c>
      <c r="C59" s="19">
        <f>1000*Opex!C26/'Physical data'!C36</f>
        <v>5396.2758685774706</v>
      </c>
      <c r="D59" s="19">
        <f>1000*Opex!D26/'Physical data'!D36</f>
        <v>5212.2485102915007</v>
      </c>
      <c r="E59" s="19">
        <f>1000*Opex!E26/'Physical data'!E36</f>
        <v>5025.1429572604484</v>
      </c>
      <c r="F59" s="19">
        <f>1000*Opex!F26/'Physical data'!F36</f>
        <v>5365.5098153122244</v>
      </c>
      <c r="G59" s="19">
        <f>1000*Opex!G26/'Physical data'!G36</f>
        <v>4879.0734046241969</v>
      </c>
      <c r="H59" s="19">
        <f>1000*Opex!H26/'Physical data'!H36</f>
        <v>5049.3374686402576</v>
      </c>
      <c r="I59" s="19">
        <f>1000*Opex!I26/'Physical data'!I36</f>
        <v>4593.7447333989066</v>
      </c>
      <c r="J59" s="19">
        <f t="shared" si="18"/>
        <v>4982.561675847207</v>
      </c>
      <c r="K59" s="25"/>
      <c r="R59" s="3"/>
      <c r="S59" s="28"/>
      <c r="T59" s="28"/>
      <c r="U59" s="28"/>
      <c r="V59" s="28"/>
      <c r="W59" s="28"/>
      <c r="X59" s="28"/>
      <c r="Y59" s="28"/>
      <c r="Z59" s="28"/>
      <c r="AA59" s="28"/>
      <c r="AB59" s="25"/>
    </row>
    <row r="60" spans="1:28" x14ac:dyDescent="0.25">
      <c r="A60" s="3"/>
      <c r="B60" s="28"/>
      <c r="C60" s="28"/>
      <c r="D60" s="28"/>
      <c r="E60" s="28"/>
      <c r="F60" s="28"/>
      <c r="G60" s="28"/>
      <c r="H60" s="28"/>
      <c r="I60" s="28"/>
      <c r="J60" s="28"/>
      <c r="K60" s="25"/>
      <c r="L60" s="29"/>
      <c r="M60" s="29"/>
      <c r="N60" s="29"/>
      <c r="O60" s="29"/>
      <c r="P60" s="29"/>
      <c r="Q60" s="28"/>
      <c r="R60" s="3"/>
      <c r="S60" s="28"/>
      <c r="T60" s="28"/>
      <c r="U60" s="28"/>
      <c r="V60" s="28"/>
      <c r="W60" s="28"/>
      <c r="X60" s="28"/>
      <c r="Y60" s="28"/>
      <c r="Z60" s="28"/>
      <c r="AA60" s="28"/>
      <c r="AB60" s="25"/>
    </row>
    <row r="61" spans="1:28" x14ac:dyDescent="0.25">
      <c r="A61" s="35" t="s">
        <v>68</v>
      </c>
      <c r="B61" s="27">
        <v>2006</v>
      </c>
      <c r="C61" s="27">
        <v>2007</v>
      </c>
      <c r="D61" s="27">
        <v>2008</v>
      </c>
      <c r="E61" s="27">
        <v>2009</v>
      </c>
      <c r="F61" s="27">
        <v>2010</v>
      </c>
      <c r="G61" s="27">
        <v>2011</v>
      </c>
      <c r="H61" s="27">
        <v>2012</v>
      </c>
      <c r="I61" s="27">
        <v>2013</v>
      </c>
      <c r="J61" s="27" t="s">
        <v>34</v>
      </c>
    </row>
    <row r="62" spans="1:28" x14ac:dyDescent="0.25">
      <c r="A62" s="18" t="s">
        <v>94</v>
      </c>
      <c r="B62" s="4">
        <f>B69+B76</f>
        <v>12.890826221354992</v>
      </c>
      <c r="C62" s="4">
        <f t="shared" ref="C62:I62" si="19">C69+C76</f>
        <v>14.637998764552671</v>
      </c>
      <c r="D62" s="4">
        <f t="shared" si="19"/>
        <v>15.243636434011293</v>
      </c>
      <c r="E62" s="4">
        <f t="shared" si="19"/>
        <v>15.757113440725561</v>
      </c>
      <c r="F62" s="4">
        <f t="shared" si="19"/>
        <v>15.770320240023596</v>
      </c>
      <c r="G62" s="4">
        <f t="shared" si="19"/>
        <v>16.269220432914597</v>
      </c>
      <c r="H62" s="4">
        <f t="shared" si="19"/>
        <v>17.246166992900825</v>
      </c>
      <c r="I62" s="4">
        <f t="shared" si="19"/>
        <v>17.851789888315452</v>
      </c>
      <c r="J62" s="19">
        <f>AVERAGE(E62:I62)</f>
        <v>16.578922198976006</v>
      </c>
    </row>
    <row r="63" spans="1:28" x14ac:dyDescent="0.25">
      <c r="A63" s="18" t="s">
        <v>26</v>
      </c>
      <c r="B63" s="4">
        <f t="shared" ref="B63:I63" si="20">B70+B77</f>
        <v>10.49344038929331</v>
      </c>
      <c r="C63" s="4">
        <f t="shared" si="20"/>
        <v>10.669118112019472</v>
      </c>
      <c r="D63" s="4">
        <f t="shared" si="20"/>
        <v>11.91396532485764</v>
      </c>
      <c r="E63" s="4">
        <f t="shared" si="20"/>
        <v>12.613996702950608</v>
      </c>
      <c r="F63" s="4">
        <f t="shared" si="20"/>
        <v>13.228547936081711</v>
      </c>
      <c r="G63" s="4">
        <f t="shared" si="20"/>
        <v>13.98195401098587</v>
      </c>
      <c r="H63" s="4">
        <f t="shared" si="20"/>
        <v>14.840859113487443</v>
      </c>
      <c r="I63" s="4">
        <f t="shared" si="20"/>
        <v>15.285947550135047</v>
      </c>
      <c r="J63" s="19">
        <f>AVERAGE(E63:I63)</f>
        <v>13.990261062728134</v>
      </c>
    </row>
    <row r="64" spans="1:28" x14ac:dyDescent="0.25">
      <c r="A64" s="18" t="s">
        <v>86</v>
      </c>
      <c r="B64" s="4">
        <f t="shared" ref="B64:I64" si="21">B71+B78</f>
        <v>7.1057376477106349</v>
      </c>
      <c r="C64" s="4">
        <f t="shared" si="21"/>
        <v>7.048848918063233</v>
      </c>
      <c r="D64" s="4">
        <f t="shared" si="21"/>
        <v>7.2115858425443813</v>
      </c>
      <c r="E64" s="4">
        <f t="shared" si="21"/>
        <v>7.5553703222733652</v>
      </c>
      <c r="F64" s="4">
        <f t="shared" si="21"/>
        <v>7.3002401992857884</v>
      </c>
      <c r="G64" s="4">
        <f t="shared" si="21"/>
        <v>7.2560584761776958</v>
      </c>
      <c r="H64" s="4">
        <f t="shared" si="21"/>
        <v>7.3828600123641284</v>
      </c>
      <c r="I64" s="4">
        <f t="shared" si="21"/>
        <v>7.2773516018712296</v>
      </c>
      <c r="J64" s="19">
        <f>AVERAGE(E64:I64)</f>
        <v>7.3543761223944415</v>
      </c>
    </row>
    <row r="65" spans="1:10" x14ac:dyDescent="0.25">
      <c r="A65" s="18" t="s">
        <v>49</v>
      </c>
      <c r="B65" s="4">
        <f t="shared" ref="B65:I65" si="22">B72+B79</f>
        <v>13.080441954925252</v>
      </c>
      <c r="C65" s="4">
        <f t="shared" si="22"/>
        <v>10.936644763754174</v>
      </c>
      <c r="D65" s="4">
        <f t="shared" si="22"/>
        <v>11.509736461349075</v>
      </c>
      <c r="E65" s="4">
        <f t="shared" si="22"/>
        <v>11.790496371387315</v>
      </c>
      <c r="F65" s="4">
        <f t="shared" si="22"/>
        <v>12.977679812729571</v>
      </c>
      <c r="G65" s="4">
        <f t="shared" si="22"/>
        <v>13.376640819615936</v>
      </c>
      <c r="H65" s="4">
        <f t="shared" si="22"/>
        <v>14.282544547723164</v>
      </c>
      <c r="I65" s="4">
        <f t="shared" si="22"/>
        <v>13.811199870243783</v>
      </c>
      <c r="J65" s="19">
        <f>AVERAGE(E65:I65)</f>
        <v>13.247712284339954</v>
      </c>
    </row>
    <row r="66" spans="1:10" x14ac:dyDescent="0.25">
      <c r="A66" s="18" t="s">
        <v>95</v>
      </c>
      <c r="B66" s="4">
        <f t="shared" ref="B66:I66" si="23">B73+B80</f>
        <v>7.468207831909166</v>
      </c>
      <c r="C66" s="4">
        <f t="shared" si="23"/>
        <v>7.363871468921416</v>
      </c>
      <c r="D66" s="4">
        <f t="shared" si="23"/>
        <v>7.3767716838209214</v>
      </c>
      <c r="E66" s="4">
        <f t="shared" si="23"/>
        <v>7.9534143933760735</v>
      </c>
      <c r="F66" s="4">
        <f t="shared" si="23"/>
        <v>8.9846290911894968</v>
      </c>
      <c r="G66" s="4">
        <f t="shared" si="23"/>
        <v>9.1234000676963412</v>
      </c>
      <c r="H66" s="4">
        <f t="shared" si="23"/>
        <v>9.7327204617034262</v>
      </c>
      <c r="I66" s="4">
        <f t="shared" si="23"/>
        <v>10.32644582164564</v>
      </c>
      <c r="J66" s="19">
        <f>AVERAGE(E66:I66)</f>
        <v>9.2241219671221959</v>
      </c>
    </row>
    <row r="68" spans="1:10" x14ac:dyDescent="0.25">
      <c r="A68" s="27" t="s">
        <v>69</v>
      </c>
      <c r="B68" s="27">
        <v>2006</v>
      </c>
      <c r="C68" s="27">
        <v>2007</v>
      </c>
      <c r="D68" s="27">
        <v>2008</v>
      </c>
      <c r="E68" s="27">
        <v>2009</v>
      </c>
      <c r="F68" s="27">
        <v>2010</v>
      </c>
      <c r="G68" s="27">
        <v>2011</v>
      </c>
      <c r="H68" s="27">
        <v>2012</v>
      </c>
      <c r="I68" s="27">
        <v>2013</v>
      </c>
      <c r="J68" s="27" t="s">
        <v>34</v>
      </c>
    </row>
    <row r="69" spans="1:10" x14ac:dyDescent="0.25">
      <c r="A69" s="18" t="s">
        <v>94</v>
      </c>
      <c r="B69" s="4">
        <f>1000*'Asset cost'!B7/'Physical data'!B18</f>
        <v>8.8800091269953558</v>
      </c>
      <c r="C69" s="4">
        <f>1000*'Asset cost'!C7/'Physical data'!C18</f>
        <v>10.05932524806915</v>
      </c>
      <c r="D69" s="4">
        <f>1000*'Asset cost'!D7/'Physical data'!D18</f>
        <v>10.79850481239276</v>
      </c>
      <c r="E69" s="4">
        <f>1000*'Asset cost'!E7/'Physical data'!E18</f>
        <v>11.153285944369669</v>
      </c>
      <c r="F69" s="4">
        <f>1000*'Asset cost'!F7/'Physical data'!F18</f>
        <v>11.149951126889171</v>
      </c>
      <c r="G69" s="4">
        <f>1000*'Asset cost'!G7/'Physical data'!G18</f>
        <v>11.254075910524286</v>
      </c>
      <c r="H69" s="4">
        <f>1000*'Asset cost'!H7/'Physical data'!H18</f>
        <v>11.826190892552015</v>
      </c>
      <c r="I69" s="4">
        <f>1000*'Asset cost'!I7/'Physical data'!I18</f>
        <v>12.778624618467193</v>
      </c>
      <c r="J69" s="19">
        <f>AVERAGE(E69:I69)</f>
        <v>11.632425698560466</v>
      </c>
    </row>
    <row r="70" spans="1:10" x14ac:dyDescent="0.25">
      <c r="A70" s="18" t="s">
        <v>26</v>
      </c>
      <c r="B70" s="4">
        <f>1000*'Asset cost'!B8/'Physical data'!B19</f>
        <v>7.5833744076688685</v>
      </c>
      <c r="C70" s="4">
        <f>1000*'Asset cost'!C8/'Physical data'!C19</f>
        <v>7.6820502445753496</v>
      </c>
      <c r="D70" s="4">
        <f>1000*'Asset cost'!D8/'Physical data'!D19</f>
        <v>8.602491949184726</v>
      </c>
      <c r="E70" s="4">
        <f>1000*'Asset cost'!E8/'Physical data'!E19</f>
        <v>9.5108533069747772</v>
      </c>
      <c r="F70" s="4">
        <f>1000*'Asset cost'!F8/'Physical data'!F19</f>
        <v>10.03421450169807</v>
      </c>
      <c r="G70" s="4">
        <f>1000*'Asset cost'!G8/'Physical data'!G19</f>
        <v>10.835744295031786</v>
      </c>
      <c r="H70" s="4">
        <f>1000*'Asset cost'!H8/'Physical data'!H19</f>
        <v>11.530639359935277</v>
      </c>
      <c r="I70" s="4">
        <f>1000*'Asset cost'!I8/'Physical data'!I19</f>
        <v>11.800065813370439</v>
      </c>
      <c r="J70" s="19">
        <f>AVERAGE(E70:I70)</f>
        <v>10.74230345540207</v>
      </c>
    </row>
    <row r="71" spans="1:10" x14ac:dyDescent="0.25">
      <c r="A71" s="18" t="s">
        <v>86</v>
      </c>
      <c r="B71" s="4">
        <f>1000*'Asset cost'!B9/'Physical data'!B20</f>
        <v>5.4381020871260315</v>
      </c>
      <c r="C71" s="4">
        <f>1000*'Asset cost'!C9/'Physical data'!C20</f>
        <v>5.4414360616378445</v>
      </c>
      <c r="D71" s="4">
        <f>1000*'Asset cost'!D9/'Physical data'!D20</f>
        <v>5.7316492048062457</v>
      </c>
      <c r="E71" s="4">
        <f>1000*'Asset cost'!E9/'Physical data'!E20</f>
        <v>5.7095048854045647</v>
      </c>
      <c r="F71" s="4">
        <f>1000*'Asset cost'!F9/'Physical data'!F20</f>
        <v>5.5119384790925121</v>
      </c>
      <c r="G71" s="4">
        <f>1000*'Asset cost'!G9/'Physical data'!G20</f>
        <v>5.6048545006731745</v>
      </c>
      <c r="H71" s="4">
        <f>1000*'Asset cost'!H9/'Physical data'!H20</f>
        <v>5.7853258473477398</v>
      </c>
      <c r="I71" s="4">
        <f>1000*'Asset cost'!I9/'Physical data'!I20</f>
        <v>5.6952768534325005</v>
      </c>
      <c r="J71" s="19">
        <f>AVERAGE(E71:I71)</f>
        <v>5.6613801131900976</v>
      </c>
    </row>
    <row r="72" spans="1:10" x14ac:dyDescent="0.25">
      <c r="A72" s="18" t="s">
        <v>49</v>
      </c>
      <c r="B72" s="4">
        <f>1000*'Asset cost'!B10/'Physical data'!B21</f>
        <v>8.8731067695430088</v>
      </c>
      <c r="C72" s="4">
        <f>1000*'Asset cost'!C10/'Physical data'!C21</f>
        <v>7.384348892685348</v>
      </c>
      <c r="D72" s="4">
        <f>1000*'Asset cost'!D10/'Physical data'!D21</f>
        <v>7.4729112609826478</v>
      </c>
      <c r="E72" s="4">
        <f>1000*'Asset cost'!E10/'Physical data'!E21</f>
        <v>7.8463240829542737</v>
      </c>
      <c r="F72" s="4">
        <f>1000*'Asset cost'!F10/'Physical data'!F21</f>
        <v>8.9025656334863257</v>
      </c>
      <c r="G72" s="4">
        <f>1000*'Asset cost'!G10/'Physical data'!G21</f>
        <v>9.5353536542785129</v>
      </c>
      <c r="H72" s="4">
        <f>1000*'Asset cost'!H10/'Physical data'!H21</f>
        <v>10.368754779460378</v>
      </c>
      <c r="I72" s="4">
        <f>1000*'Asset cost'!I10/'Physical data'!I21</f>
        <v>10.2195195451903</v>
      </c>
      <c r="J72" s="19">
        <f>AVERAGE(E72:I72)</f>
        <v>9.3745035390739595</v>
      </c>
    </row>
    <row r="73" spans="1:10" x14ac:dyDescent="0.25">
      <c r="A73" s="18" t="s">
        <v>95</v>
      </c>
      <c r="B73" s="4">
        <f>1000*'Asset cost'!B11/'Physical data'!B22</f>
        <v>5.3970893873796015</v>
      </c>
      <c r="C73" s="4">
        <f>1000*'Asset cost'!C11/'Physical data'!C22</f>
        <v>5.3751024558878715</v>
      </c>
      <c r="D73" s="4">
        <f>1000*'Asset cost'!D11/'Physical data'!D22</f>
        <v>5.5192033295067446</v>
      </c>
      <c r="E73" s="4">
        <f>1000*'Asset cost'!E11/'Physical data'!E22</f>
        <v>6.0609482573615505</v>
      </c>
      <c r="F73" s="4">
        <f>1000*'Asset cost'!F11/'Physical data'!F22</f>
        <v>6.7828405613070846</v>
      </c>
      <c r="G73" s="4">
        <f>1000*'Asset cost'!G11/'Physical data'!G22</f>
        <v>7.0188517244220696</v>
      </c>
      <c r="H73" s="4">
        <f>1000*'Asset cost'!H11/'Physical data'!H22</f>
        <v>7.3906274780822248</v>
      </c>
      <c r="I73" s="4">
        <f>1000*'Asset cost'!I11/'Physical data'!I22</f>
        <v>8.0721994605245051</v>
      </c>
      <c r="J73" s="19">
        <f>AVERAGE(E73:I73)</f>
        <v>7.065093496339486</v>
      </c>
    </row>
    <row r="75" spans="1:10" x14ac:dyDescent="0.25">
      <c r="A75" s="27" t="s">
        <v>70</v>
      </c>
      <c r="B75" s="27">
        <v>2006</v>
      </c>
      <c r="C75" s="27">
        <v>2007</v>
      </c>
      <c r="D75" s="27">
        <v>2008</v>
      </c>
      <c r="E75" s="27">
        <v>2009</v>
      </c>
      <c r="F75" s="27">
        <v>2010</v>
      </c>
      <c r="G75" s="27">
        <v>2011</v>
      </c>
      <c r="H75" s="27">
        <v>2012</v>
      </c>
      <c r="I75" s="27">
        <v>2013</v>
      </c>
      <c r="J75" s="27" t="s">
        <v>34</v>
      </c>
    </row>
    <row r="76" spans="1:10" x14ac:dyDescent="0.25">
      <c r="A76" s="18" t="s">
        <v>94</v>
      </c>
      <c r="B76" s="4">
        <f>1000*Opex!B22/'Physical data'!B18</f>
        <v>4.0108170943596351</v>
      </c>
      <c r="C76" s="4">
        <f>1000*Opex!C22/'Physical data'!C18</f>
        <v>4.5786735164835211</v>
      </c>
      <c r="D76" s="4">
        <f>1000*Opex!D22/'Physical data'!D18</f>
        <v>4.4451316216185326</v>
      </c>
      <c r="E76" s="4">
        <f>1000*Opex!E22/'Physical data'!E18</f>
        <v>4.6038274963558914</v>
      </c>
      <c r="F76" s="4">
        <f>1000*Opex!F22/'Physical data'!F18</f>
        <v>4.6203691131344247</v>
      </c>
      <c r="G76" s="4">
        <f>1000*Opex!G22/'Physical data'!G18</f>
        <v>5.0151445223903126</v>
      </c>
      <c r="H76" s="4">
        <f>1000*Opex!H22/'Physical data'!H18</f>
        <v>5.4199761003488094</v>
      </c>
      <c r="I76" s="4">
        <f>1000*Opex!I22/'Physical data'!I18</f>
        <v>5.073165269848257</v>
      </c>
      <c r="J76" s="19">
        <f>AVERAGE(E76:I76)</f>
        <v>4.946496500415539</v>
      </c>
    </row>
    <row r="77" spans="1:10" x14ac:dyDescent="0.25">
      <c r="A77" s="18" t="s">
        <v>26</v>
      </c>
      <c r="B77" s="4">
        <f>1000*Opex!B23/'Physical data'!B19</f>
        <v>2.9100659816244416</v>
      </c>
      <c r="C77" s="4">
        <f>1000*Opex!C23/'Physical data'!C19</f>
        <v>2.9870678674441229</v>
      </c>
      <c r="D77" s="4">
        <f>1000*Opex!D23/'Physical data'!D19</f>
        <v>3.3114733756729144</v>
      </c>
      <c r="E77" s="4">
        <f>1000*Opex!E23/'Physical data'!E19</f>
        <v>3.1031433959758314</v>
      </c>
      <c r="F77" s="4">
        <f>1000*Opex!F23/'Physical data'!F19</f>
        <v>3.1943334343836414</v>
      </c>
      <c r="G77" s="4">
        <f>1000*Opex!G23/'Physical data'!G19</f>
        <v>3.1462097159540834</v>
      </c>
      <c r="H77" s="4">
        <f>1000*Opex!H23/'Physical data'!H19</f>
        <v>3.3102197535521665</v>
      </c>
      <c r="I77" s="4">
        <f>1000*Opex!I23/'Physical data'!I19</f>
        <v>3.485881736764608</v>
      </c>
      <c r="J77" s="19">
        <f>AVERAGE(E77:I77)</f>
        <v>3.2479576073260668</v>
      </c>
    </row>
    <row r="78" spans="1:10" x14ac:dyDescent="0.25">
      <c r="A78" s="18" t="s">
        <v>86</v>
      </c>
      <c r="B78" s="4">
        <f>1000*Opex!B24/'Physical data'!B20</f>
        <v>1.6676355605846032</v>
      </c>
      <c r="C78" s="4">
        <f>1000*Opex!C24/'Physical data'!C20</f>
        <v>1.6074128564253887</v>
      </c>
      <c r="D78" s="4">
        <f>1000*Opex!D24/'Physical data'!D20</f>
        <v>1.4799366377381353</v>
      </c>
      <c r="E78" s="4">
        <f>1000*Opex!E24/'Physical data'!E20</f>
        <v>1.8458654368688001</v>
      </c>
      <c r="F78" s="4">
        <f>1000*Opex!F24/'Physical data'!F20</f>
        <v>1.7883017201932763</v>
      </c>
      <c r="G78" s="4">
        <f>1000*Opex!G24/'Physical data'!G20</f>
        <v>1.6512039755045216</v>
      </c>
      <c r="H78" s="4">
        <f>1000*Opex!H24/'Physical data'!H20</f>
        <v>1.5975341650163881</v>
      </c>
      <c r="I78" s="4">
        <f>1000*Opex!I24/'Physical data'!I20</f>
        <v>1.5820747484387292</v>
      </c>
      <c r="J78" s="19">
        <f>AVERAGE(E78:I78)</f>
        <v>1.692996009204343</v>
      </c>
    </row>
    <row r="79" spans="1:10" x14ac:dyDescent="0.25">
      <c r="A79" s="18" t="s">
        <v>49</v>
      </c>
      <c r="B79" s="4">
        <f>1000*Opex!B25/'Physical data'!B21</f>
        <v>4.2073351853822425</v>
      </c>
      <c r="C79" s="4">
        <f>1000*Opex!C25/'Physical data'!C21</f>
        <v>3.5522958710688264</v>
      </c>
      <c r="D79" s="4">
        <f>1000*Opex!D25/'Physical data'!D21</f>
        <v>4.0368252003664269</v>
      </c>
      <c r="E79" s="4">
        <f>1000*Opex!E25/'Physical data'!E21</f>
        <v>3.9441722884330415</v>
      </c>
      <c r="F79" s="4">
        <f>1000*Opex!F25/'Physical data'!F21</f>
        <v>4.0751141792432453</v>
      </c>
      <c r="G79" s="4">
        <f>1000*Opex!G25/'Physical data'!G21</f>
        <v>3.8412871653374223</v>
      </c>
      <c r="H79" s="4">
        <f>1000*Opex!H25/'Physical data'!H21</f>
        <v>3.9137897682627867</v>
      </c>
      <c r="I79" s="4">
        <f>1000*Opex!I25/'Physical data'!I21</f>
        <v>3.5916803250534821</v>
      </c>
      <c r="J79" s="19">
        <f>AVERAGE(E79:I79)</f>
        <v>3.8732087452659956</v>
      </c>
    </row>
    <row r="80" spans="1:10" x14ac:dyDescent="0.25">
      <c r="A80" s="18" t="s">
        <v>95</v>
      </c>
      <c r="B80" s="4">
        <f>1000*Opex!B26/'Physical data'!B22</f>
        <v>2.0711184445295645</v>
      </c>
      <c r="C80" s="4">
        <f>1000*Opex!C26/'Physical data'!C22</f>
        <v>1.9887690130335447</v>
      </c>
      <c r="D80" s="4">
        <f>1000*Opex!D26/'Physical data'!D22</f>
        <v>1.8575683543141768</v>
      </c>
      <c r="E80" s="4">
        <f>1000*Opex!E26/'Physical data'!E22</f>
        <v>1.8924661360145227</v>
      </c>
      <c r="F80" s="4">
        <f>1000*Opex!F26/'Physical data'!F22</f>
        <v>2.2017885298824122</v>
      </c>
      <c r="G80" s="4">
        <f>1000*Opex!G26/'Physical data'!G22</f>
        <v>2.1045483432742706</v>
      </c>
      <c r="H80" s="4">
        <f>1000*Opex!H26/'Physical data'!H22</f>
        <v>2.342092983621201</v>
      </c>
      <c r="I80" s="4">
        <f>1000*Opex!I26/'Physical data'!I22</f>
        <v>2.2542463611211354</v>
      </c>
      <c r="J80" s="19">
        <f>AVERAGE(E80:I80)</f>
        <v>2.1590284707827085</v>
      </c>
    </row>
    <row r="82" spans="1:10" x14ac:dyDescent="0.25">
      <c r="A82" s="35" t="s">
        <v>45</v>
      </c>
      <c r="B82" s="27">
        <v>2006</v>
      </c>
      <c r="C82" s="27">
        <v>2007</v>
      </c>
      <c r="D82" s="27">
        <v>2008</v>
      </c>
      <c r="E82" s="27">
        <v>2009</v>
      </c>
      <c r="F82" s="27">
        <v>2010</v>
      </c>
      <c r="G82" s="27">
        <v>2011</v>
      </c>
      <c r="H82" s="27">
        <v>2012</v>
      </c>
      <c r="I82" s="27">
        <v>2013</v>
      </c>
      <c r="J82" s="27" t="s">
        <v>34</v>
      </c>
    </row>
    <row r="83" spans="1:10" x14ac:dyDescent="0.25">
      <c r="A83" s="18" t="s">
        <v>94</v>
      </c>
      <c r="B83" s="19">
        <f>('Asset cost'!B7+Opex!B22)/'Physical data'!B39</f>
        <v>16.838104317829494</v>
      </c>
      <c r="C83" s="19">
        <f>('Asset cost'!C7+Opex!C22)/'Physical data'!C39</f>
        <v>17.41473712871619</v>
      </c>
      <c r="D83" s="19">
        <f>('Asset cost'!D7+Opex!D22)/'Physical data'!D39</f>
        <v>16.772134661029696</v>
      </c>
      <c r="E83" s="19">
        <f>('Asset cost'!E7+Opex!E22)/'Physical data'!E39</f>
        <v>17.613957248705493</v>
      </c>
      <c r="F83" s="19">
        <f>('Asset cost'!F7+Opex!F22)/'Physical data'!F39</f>
        <v>17.677245219817628</v>
      </c>
      <c r="G83" s="19">
        <f>('Asset cost'!G7+Opex!G22)/'Physical data'!G39</f>
        <v>17.993927899163872</v>
      </c>
      <c r="H83" s="19">
        <f>('Asset cost'!H7+Opex!H22)/'Physical data'!H39</f>
        <v>19.023513617646554</v>
      </c>
      <c r="I83" s="19">
        <f>('Asset cost'!I7+Opex!I22)/'Physical data'!I39</f>
        <v>20.000606084992818</v>
      </c>
      <c r="J83" s="19">
        <f>AVERAGE(E83:I83)</f>
        <v>18.46185001406527</v>
      </c>
    </row>
    <row r="84" spans="1:10" x14ac:dyDescent="0.25">
      <c r="A84" s="18" t="s">
        <v>26</v>
      </c>
      <c r="B84" s="19">
        <f>('Asset cost'!B8+Opex!B23)/'Physical data'!B40</f>
        <v>42.960081366351702</v>
      </c>
      <c r="C84" s="19">
        <f>('Asset cost'!C8+Opex!C23)/'Physical data'!C40</f>
        <v>43.675360167535551</v>
      </c>
      <c r="D84" s="19">
        <f>('Asset cost'!D8+Opex!D23)/'Physical data'!D40</f>
        <v>46.490874483657372</v>
      </c>
      <c r="E84" s="19">
        <f>('Asset cost'!E8+Opex!E23)/'Physical data'!E40</f>
        <v>47.368353655153058</v>
      </c>
      <c r="F84" s="19">
        <f>('Asset cost'!F8+Opex!F23)/'Physical data'!F40</f>
        <v>47.948231436285916</v>
      </c>
      <c r="G84" s="19">
        <f>('Asset cost'!G8+Opex!G23)/'Physical data'!G40</f>
        <v>48.362843651765601</v>
      </c>
      <c r="H84" s="19">
        <f>('Asset cost'!H8+Opex!H23)/'Physical data'!H40</f>
        <v>49.171776035866216</v>
      </c>
      <c r="I84" s="19">
        <f>('Asset cost'!I8+Opex!I23)/'Physical data'!I40</f>
        <v>46.510176326739035</v>
      </c>
      <c r="J84" s="19">
        <f>AVERAGE(E84:I84)</f>
        <v>47.872276221161975</v>
      </c>
    </row>
    <row r="85" spans="1:10" x14ac:dyDescent="0.25">
      <c r="A85" s="18" t="s">
        <v>86</v>
      </c>
      <c r="B85" s="19">
        <f>('Asset cost'!B9+Opex!B24)/'Physical data'!B41</f>
        <v>33.459982366350872</v>
      </c>
      <c r="C85" s="19">
        <f>('Asset cost'!C9+Opex!C24)/'Physical data'!C41</f>
        <v>33.913314671817716</v>
      </c>
      <c r="D85" s="19">
        <f>('Asset cost'!D9+Opex!D24)/'Physical data'!D41</f>
        <v>33.740992314470034</v>
      </c>
      <c r="E85" s="19">
        <f>('Asset cost'!E9+Opex!E24)/'Physical data'!E41</f>
        <v>32.175074815962262</v>
      </c>
      <c r="F85" s="19">
        <f>('Asset cost'!F9+Opex!F24)/'Physical data'!F41</f>
        <v>31.006955919964618</v>
      </c>
      <c r="G85" s="19">
        <f>('Asset cost'!G9+Opex!G24)/'Physical data'!G41</f>
        <v>30.177346765625355</v>
      </c>
      <c r="H85" s="19">
        <f>('Asset cost'!H9+Opex!H24)/'Physical data'!H41</f>
        <v>28.312297942242122</v>
      </c>
      <c r="I85" s="19">
        <f>('Asset cost'!I9+Opex!I24)/'Physical data'!I41</f>
        <v>27.546364072709267</v>
      </c>
      <c r="J85" s="19">
        <f>AVERAGE(E85:I85)</f>
        <v>29.843607903300722</v>
      </c>
    </row>
    <row r="86" spans="1:10" x14ac:dyDescent="0.25">
      <c r="A86" s="18" t="s">
        <v>49</v>
      </c>
      <c r="B86" s="19">
        <f>('Asset cost'!B10+Opex!B25)/'Physical data'!B42</f>
        <v>23.370062936890903</v>
      </c>
      <c r="C86" s="19">
        <f>('Asset cost'!C10+Opex!C25)/'Physical data'!C42</f>
        <v>23.849301488289093</v>
      </c>
      <c r="D86" s="19">
        <f>('Asset cost'!D10+Opex!D25)/'Physical data'!D42</f>
        <v>26.51264690987578</v>
      </c>
      <c r="E86" s="19">
        <f>('Asset cost'!E10+Opex!E25)/'Physical data'!E42</f>
        <v>26.485985190588654</v>
      </c>
      <c r="F86" s="19">
        <f>('Asset cost'!F10+Opex!F25)/'Physical data'!F42</f>
        <v>28.853043821319034</v>
      </c>
      <c r="G86" s="19">
        <f>('Asset cost'!G10+Opex!G25)/'Physical data'!G42</f>
        <v>29.751083123860454</v>
      </c>
      <c r="H86" s="19">
        <f>('Asset cost'!H10+Opex!H25)/'Physical data'!H42</f>
        <v>30.227103532870608</v>
      </c>
      <c r="I86" s="19">
        <f>('Asset cost'!I10+Opex!I25)/'Physical data'!I42</f>
        <v>29.328826506260665</v>
      </c>
      <c r="J86" s="19">
        <f>AVERAGE(E86:I86)</f>
        <v>28.929208434979881</v>
      </c>
    </row>
    <row r="87" spans="1:10" x14ac:dyDescent="0.25">
      <c r="A87" s="18" t="s">
        <v>95</v>
      </c>
      <c r="B87" s="19">
        <f>('Asset cost'!B11+Opex!B26)/'Physical data'!B43</f>
        <v>35.749711139679441</v>
      </c>
      <c r="C87" s="19">
        <f>('Asset cost'!C11+Opex!C26)/'Physical data'!C43</f>
        <v>36.374989977063514</v>
      </c>
      <c r="D87" s="19">
        <f>('Asset cost'!D11+Opex!D26)/'Physical data'!D43</f>
        <v>36.79647891771689</v>
      </c>
      <c r="E87" s="19">
        <f>('Asset cost'!E11+Opex!E26)/'Physical data'!E43</f>
        <v>38.37818405598339</v>
      </c>
      <c r="F87" s="19">
        <f>('Asset cost'!F11+Opex!F26)/'Physical data'!F43</f>
        <v>40.120355956580852</v>
      </c>
      <c r="G87" s="19">
        <f>('Asset cost'!G11+Opex!G26)/'Physical data'!G43</f>
        <v>39.254738668666114</v>
      </c>
      <c r="H87" s="19">
        <f>('Asset cost'!H11+Opex!H26)/'Physical data'!H43</f>
        <v>39.858976490012225</v>
      </c>
      <c r="I87" s="19">
        <f>('Asset cost'!I11+Opex!I26)/'Physical data'!I43</f>
        <v>40.112259015269338</v>
      </c>
      <c r="J87" s="19">
        <f>AVERAGE(E87:I87)</f>
        <v>39.544902837302381</v>
      </c>
    </row>
    <row r="88" spans="1:10" x14ac:dyDescent="0.25">
      <c r="A88" s="3"/>
      <c r="B88" s="28"/>
      <c r="C88" s="28"/>
      <c r="D88" s="28"/>
      <c r="E88" s="28"/>
      <c r="F88" s="28"/>
      <c r="G88" s="28"/>
      <c r="H88" s="28"/>
      <c r="I88" s="28"/>
      <c r="J88" s="28"/>
    </row>
    <row r="89" spans="1:10" x14ac:dyDescent="0.25">
      <c r="A89" s="27" t="s">
        <v>60</v>
      </c>
      <c r="B89" s="27">
        <v>2006</v>
      </c>
      <c r="C89" s="27">
        <v>2007</v>
      </c>
      <c r="D89" s="27">
        <v>2008</v>
      </c>
      <c r="E89" s="27">
        <v>2009</v>
      </c>
      <c r="F89" s="27">
        <v>2010</v>
      </c>
      <c r="G89" s="27">
        <v>2011</v>
      </c>
      <c r="H89" s="27">
        <v>2012</v>
      </c>
      <c r="I89" s="27">
        <v>2013</v>
      </c>
      <c r="J89" s="27" t="s">
        <v>34</v>
      </c>
    </row>
    <row r="90" spans="1:10" x14ac:dyDescent="0.25">
      <c r="A90" s="18" t="s">
        <v>94</v>
      </c>
      <c r="B90" s="19">
        <f>'Asset cost'!B7/'Physical data'!B39</f>
        <v>11.599141704038043</v>
      </c>
      <c r="C90" s="19">
        <f>'Asset cost'!C7/'Physical data'!C39</f>
        <v>11.96751739804751</v>
      </c>
      <c r="D90" s="19">
        <f>'Asset cost'!D7/'Physical data'!D39</f>
        <v>11.881284209004797</v>
      </c>
      <c r="E90" s="19">
        <f>'Asset cost'!E7/'Physical data'!E39</f>
        <v>12.467607252161105</v>
      </c>
      <c r="F90" s="19">
        <f>'Asset cost'!F7/'Physical data'!F39</f>
        <v>12.498187561136481</v>
      </c>
      <c r="G90" s="19">
        <f>'Asset cost'!G7/'Physical data'!G39</f>
        <v>12.447125622319238</v>
      </c>
      <c r="H90" s="19">
        <f>'Asset cost'!H7/'Physical data'!H39</f>
        <v>13.044968402657785</v>
      </c>
      <c r="I90" s="19">
        <f>'Asset cost'!I7/'Physical data'!I39</f>
        <v>14.316784977916369</v>
      </c>
      <c r="J90" s="19">
        <f>AVERAGE(E90:I90)</f>
        <v>12.954934763238196</v>
      </c>
    </row>
    <row r="91" spans="1:10" x14ac:dyDescent="0.25">
      <c r="A91" s="18" t="s">
        <v>26</v>
      </c>
      <c r="B91" s="19">
        <f>'Asset cost'!B8/'Physical data'!B40</f>
        <v>31.046288871795248</v>
      </c>
      <c r="C91" s="19">
        <f>'Asset cost'!C8/'Physical data'!C40</f>
        <v>31.447426838301794</v>
      </c>
      <c r="D91" s="19">
        <f>'Asset cost'!D8/'Physical data'!D40</f>
        <v>33.568787767224677</v>
      </c>
      <c r="E91" s="19">
        <f>'Asset cost'!E8/'Physical data'!E40</f>
        <v>35.715362356300695</v>
      </c>
      <c r="F91" s="19">
        <f>'Asset cost'!F8/'Physical data'!F40</f>
        <v>36.370041635216971</v>
      </c>
      <c r="G91" s="19">
        <f>'Asset cost'!G8/'Physical data'!G40</f>
        <v>37.480269694735078</v>
      </c>
      <c r="H91" s="19">
        <f>'Asset cost'!H8/'Physical data'!H40</f>
        <v>38.204123617197148</v>
      </c>
      <c r="I91" s="19">
        <f>'Asset cost'!I8/'Physical data'!I40</f>
        <v>35.903769775929639</v>
      </c>
      <c r="J91" s="19">
        <f>AVERAGE(E91:I91)</f>
        <v>36.734713415875909</v>
      </c>
    </row>
    <row r="92" spans="1:10" x14ac:dyDescent="0.25">
      <c r="A92" s="18" t="s">
        <v>86</v>
      </c>
      <c r="B92" s="19">
        <f>'Asset cost'!B9/'Physical data'!B41</f>
        <v>25.607306230941045</v>
      </c>
      <c r="C92" s="19">
        <f>'Asset cost'!C9/'Physical data'!C41</f>
        <v>26.179754392523535</v>
      </c>
      <c r="D92" s="19">
        <f>'Asset cost'!D9/'Physical data'!D41</f>
        <v>26.81678288119409</v>
      </c>
      <c r="E92" s="19">
        <f>'Asset cost'!E9/'Physical data'!E41</f>
        <v>24.314327294908633</v>
      </c>
      <c r="F92" s="19">
        <f>'Asset cost'!F9/'Physical data'!F41</f>
        <v>23.411343844754448</v>
      </c>
      <c r="G92" s="19">
        <f>'Asset cost'!G9/'Physical data'!G41</f>
        <v>23.310126068166515</v>
      </c>
      <c r="H92" s="19">
        <f>'Asset cost'!H9/'Physical data'!H41</f>
        <v>22.185964356462595</v>
      </c>
      <c r="I92" s="19">
        <f>'Asset cost'!I9/'Physical data'!I41</f>
        <v>21.557865866915925</v>
      </c>
      <c r="J92" s="19">
        <f>AVERAGE(E92:I92)</f>
        <v>22.955925486241618</v>
      </c>
    </row>
    <row r="93" spans="1:10" x14ac:dyDescent="0.25">
      <c r="A93" s="18" t="s">
        <v>49</v>
      </c>
      <c r="B93" s="19">
        <f>'Asset cost'!B10/'Physical data'!B42</f>
        <v>15.853062485544882</v>
      </c>
      <c r="C93" s="19">
        <f>'Asset cost'!C10/'Physical data'!C42</f>
        <v>16.102887754023889</v>
      </c>
      <c r="D93" s="19">
        <f>'Asset cost'!D10/'Physical data'!D42</f>
        <v>17.213830943618735</v>
      </c>
      <c r="E93" s="19">
        <f>'Asset cost'!E10/'Physical data'!E42</f>
        <v>17.625858735346302</v>
      </c>
      <c r="F93" s="19">
        <f>'Asset cost'!F10/'Physical data'!F42</f>
        <v>19.792915224583865</v>
      </c>
      <c r="G93" s="19">
        <f>'Asset cost'!G10/'Physical data'!G42</f>
        <v>21.207648692176793</v>
      </c>
      <c r="H93" s="19">
        <f>'Asset cost'!H10/'Physical data'!H42</f>
        <v>21.944088686610037</v>
      </c>
      <c r="I93" s="19">
        <f>'Asset cost'!I10/'Physical data'!I42</f>
        <v>21.701699963374413</v>
      </c>
      <c r="J93" s="19">
        <f>AVERAGE(E93:I93)</f>
        <v>20.454442260418279</v>
      </c>
    </row>
    <row r="94" spans="1:10" x14ac:dyDescent="0.25">
      <c r="A94" s="18" t="s">
        <v>95</v>
      </c>
      <c r="B94" s="19">
        <f>'Asset cost'!B11/'Physical data'!B43</f>
        <v>25.835433471664125</v>
      </c>
      <c r="C94" s="19">
        <f>'Asset cost'!C11/'Physical data'!C43</f>
        <v>26.55115570441216</v>
      </c>
      <c r="D94" s="19">
        <f>'Asset cost'!D11/'Physical data'!D43</f>
        <v>27.530640456476124</v>
      </c>
      <c r="E94" s="19">
        <f>'Asset cost'!E11/'Physical data'!E43</f>
        <v>29.246330729169461</v>
      </c>
      <c r="F94" s="19">
        <f>'Asset cost'!F11/'Physical data'!F43</f>
        <v>30.288393093848569</v>
      </c>
      <c r="G94" s="19">
        <f>'Asset cost'!G11/'Physical data'!G43</f>
        <v>30.199617264605443</v>
      </c>
      <c r="H94" s="19">
        <f>'Asset cost'!H11/'Physical data'!H43</f>
        <v>30.267266799087714</v>
      </c>
      <c r="I94" s="19">
        <f>'Asset cost'!I11/'Physical data'!I43</f>
        <v>31.355817981900373</v>
      </c>
      <c r="J94" s="19">
        <f>AVERAGE(E94:I94)</f>
        <v>30.271485173722311</v>
      </c>
    </row>
    <row r="95" spans="1:10" x14ac:dyDescent="0.25">
      <c r="A95" s="3"/>
      <c r="B95" s="28"/>
      <c r="C95" s="28"/>
      <c r="D95" s="28"/>
      <c r="E95" s="28"/>
      <c r="F95" s="28"/>
      <c r="G95" s="28"/>
      <c r="H95" s="28"/>
      <c r="I95" s="28"/>
      <c r="J95" s="28"/>
    </row>
    <row r="96" spans="1:10" x14ac:dyDescent="0.25">
      <c r="A96" s="27" t="s">
        <v>46</v>
      </c>
      <c r="B96" s="27">
        <v>2006</v>
      </c>
      <c r="C96" s="27">
        <v>2007</v>
      </c>
      <c r="D96" s="27">
        <v>2008</v>
      </c>
      <c r="E96" s="27">
        <v>2009</v>
      </c>
      <c r="F96" s="27">
        <v>2010</v>
      </c>
      <c r="G96" s="27">
        <v>2011</v>
      </c>
      <c r="H96" s="27">
        <v>2012</v>
      </c>
      <c r="I96" s="27">
        <v>2013</v>
      </c>
      <c r="J96" s="27" t="s">
        <v>34</v>
      </c>
    </row>
    <row r="97" spans="1:10" x14ac:dyDescent="0.25">
      <c r="A97" s="18" t="s">
        <v>94</v>
      </c>
      <c r="B97" s="19">
        <f>Opex!B22/'Physical data'!B39</f>
        <v>5.2389626137914505</v>
      </c>
      <c r="C97" s="19">
        <f>Opex!C22/'Physical data'!C39</f>
        <v>5.4472197306686816</v>
      </c>
      <c r="D97" s="19">
        <f>Opex!D22/'Physical data'!D39</f>
        <v>4.890850452024897</v>
      </c>
      <c r="E97" s="19">
        <f>Opex!E22/'Physical data'!E39</f>
        <v>5.1463499965443882</v>
      </c>
      <c r="F97" s="19">
        <f>Opex!F22/'Physical data'!F39</f>
        <v>5.179057658681149</v>
      </c>
      <c r="G97" s="19">
        <f>Opex!G22/'Physical data'!G39</f>
        <v>5.546802276844633</v>
      </c>
      <c r="H97" s="19">
        <f>Opex!H22/'Physical data'!H39</f>
        <v>5.9785452149887668</v>
      </c>
      <c r="I97" s="19">
        <f>Opex!I22/'Physical data'!I39</f>
        <v>5.6838211070764482</v>
      </c>
      <c r="J97" s="19">
        <f>AVERAGE(E97:I97)</f>
        <v>5.5069152508270767</v>
      </c>
    </row>
    <row r="98" spans="1:10" x14ac:dyDescent="0.25">
      <c r="A98" s="18" t="s">
        <v>26</v>
      </c>
      <c r="B98" s="19">
        <f>Opex!B23/'Physical data'!B40</f>
        <v>11.913792494556448</v>
      </c>
      <c r="C98" s="19">
        <f>Opex!C23/'Physical data'!C40</f>
        <v>12.227933329233755</v>
      </c>
      <c r="D98" s="19">
        <f>Opex!D23/'Physical data'!D40</f>
        <v>12.922086716432693</v>
      </c>
      <c r="E98" s="19">
        <f>Opex!E23/'Physical data'!E40</f>
        <v>11.652991298852363</v>
      </c>
      <c r="F98" s="19">
        <f>Opex!F23/'Physical data'!F40</f>
        <v>11.578189801068941</v>
      </c>
      <c r="G98" s="19">
        <f>Opex!G23/'Physical data'!G40</f>
        <v>10.882573957030516</v>
      </c>
      <c r="H98" s="19">
        <f>Opex!H23/'Physical data'!H40</f>
        <v>10.967652418669065</v>
      </c>
      <c r="I98" s="19">
        <f>Opex!I23/'Physical data'!I40</f>
        <v>10.606406550809396</v>
      </c>
      <c r="J98" s="19">
        <f>AVERAGE(E98:I98)</f>
        <v>11.137562805286056</v>
      </c>
    </row>
    <row r="99" spans="1:10" x14ac:dyDescent="0.25">
      <c r="A99" s="18" t="s">
        <v>86</v>
      </c>
      <c r="B99" s="19">
        <f>Opex!B24/'Physical data'!B41</f>
        <v>7.8526761354098298</v>
      </c>
      <c r="C99" s="19">
        <f>Opex!C24/'Physical data'!C41</f>
        <v>7.7335602792941751</v>
      </c>
      <c r="D99" s="19">
        <f>Opex!D24/'Physical data'!D41</f>
        <v>6.9242094332759434</v>
      </c>
      <c r="E99" s="19">
        <f>Opex!E24/'Physical data'!E41</f>
        <v>7.8607475210536295</v>
      </c>
      <c r="F99" s="19">
        <f>Opex!F24/'Physical data'!F41</f>
        <v>7.595612075210167</v>
      </c>
      <c r="G99" s="19">
        <f>Opex!G24/'Physical data'!G41</f>
        <v>6.8672206974588361</v>
      </c>
      <c r="H99" s="19">
        <f>Opex!H24/'Physical data'!H41</f>
        <v>6.1263335857795216</v>
      </c>
      <c r="I99" s="19">
        <f>Opex!I24/'Physical data'!I41</f>
        <v>5.9884982057933414</v>
      </c>
      <c r="J99" s="19">
        <f>AVERAGE(E99:I99)</f>
        <v>6.8876824170590991</v>
      </c>
    </row>
    <row r="100" spans="1:10" x14ac:dyDescent="0.25">
      <c r="A100" s="18" t="s">
        <v>49</v>
      </c>
      <c r="B100" s="19">
        <f>Opex!B25/'Physical data'!B42</f>
        <v>7.517000451346024</v>
      </c>
      <c r="C100" s="19">
        <f>Opex!C25/'Physical data'!C42</f>
        <v>7.7464137342652037</v>
      </c>
      <c r="D100" s="19">
        <f>Opex!D25/'Physical data'!D42</f>
        <v>9.2988159662570435</v>
      </c>
      <c r="E100" s="19">
        <f>Opex!E25/'Physical data'!E42</f>
        <v>8.8601264552423515</v>
      </c>
      <c r="F100" s="19">
        <f>Opex!F25/'Physical data'!F42</f>
        <v>9.0601285967351703</v>
      </c>
      <c r="G100" s="19">
        <f>Opex!G25/'Physical data'!G42</f>
        <v>8.5434344316836626</v>
      </c>
      <c r="H100" s="19">
        <f>Opex!H25/'Physical data'!H42</f>
        <v>8.2830148462605688</v>
      </c>
      <c r="I100" s="19">
        <f>Opex!I25/'Physical data'!I42</f>
        <v>7.6271265428862502</v>
      </c>
      <c r="J100" s="19">
        <f>AVERAGE(E100:I100)</f>
        <v>8.4747661745616014</v>
      </c>
    </row>
    <row r="101" spans="1:10" x14ac:dyDescent="0.25">
      <c r="A101" s="18" t="s">
        <v>95</v>
      </c>
      <c r="B101" s="19">
        <f>Opex!B26/'Physical data'!B43</f>
        <v>9.9142776680153162</v>
      </c>
      <c r="C101" s="19">
        <f>Opex!C26/'Physical data'!C43</f>
        <v>9.8238342726513537</v>
      </c>
      <c r="D101" s="19">
        <f>Opex!D26/'Physical data'!D43</f>
        <v>9.2658384612407598</v>
      </c>
      <c r="E101" s="19">
        <f>Opex!E26/'Physical data'!E43</f>
        <v>9.1318533268139248</v>
      </c>
      <c r="F101" s="19">
        <f>Opex!F26/'Physical data'!F43</f>
        <v>9.8319628627322828</v>
      </c>
      <c r="G101" s="19">
        <f>Opex!G26/'Physical data'!G43</f>
        <v>9.0551214040606727</v>
      </c>
      <c r="H101" s="19">
        <f>Opex!H26/'Physical data'!H43</f>
        <v>9.5917096909245121</v>
      </c>
      <c r="I101" s="19">
        <f>Opex!I26/'Physical data'!I43</f>
        <v>8.7564410333689615</v>
      </c>
      <c r="J101" s="19">
        <f>AVERAGE(E101:I101)</f>
        <v>9.2734176635800711</v>
      </c>
    </row>
    <row r="103" spans="1:10" x14ac:dyDescent="0.25">
      <c r="A103" s="42" t="s">
        <v>88</v>
      </c>
      <c r="B103" s="27">
        <v>2006</v>
      </c>
      <c r="C103" s="27">
        <v>2007</v>
      </c>
      <c r="D103" s="27">
        <v>2008</v>
      </c>
      <c r="E103" s="27">
        <v>2009</v>
      </c>
      <c r="F103" s="27">
        <v>2010</v>
      </c>
      <c r="G103" s="27">
        <v>2011</v>
      </c>
      <c r="H103" s="27">
        <v>2012</v>
      </c>
      <c r="I103" s="27">
        <v>2013</v>
      </c>
      <c r="J103" s="27" t="s">
        <v>34</v>
      </c>
    </row>
    <row r="104" spans="1:10" x14ac:dyDescent="0.25">
      <c r="A104" s="18" t="s">
        <v>94</v>
      </c>
      <c r="B104" s="19">
        <f>B111+B118</f>
        <v>41926.625892402924</v>
      </c>
      <c r="C104" s="19">
        <f t="shared" ref="C104:I104" si="24">C111+C118</f>
        <v>44957.166607370731</v>
      </c>
      <c r="D104" s="19">
        <f t="shared" si="24"/>
        <v>43784.292701274222</v>
      </c>
      <c r="E104" s="19">
        <f t="shared" si="24"/>
        <v>46902.010832511172</v>
      </c>
      <c r="F104" s="19">
        <f t="shared" si="24"/>
        <v>48119.658484003347</v>
      </c>
      <c r="G104" s="19">
        <f t="shared" si="24"/>
        <v>49722.983060855513</v>
      </c>
      <c r="H104" s="19">
        <f t="shared" si="24"/>
        <v>53385.598747826523</v>
      </c>
      <c r="I104" s="19">
        <f t="shared" si="24"/>
        <v>56127.60884384183</v>
      </c>
      <c r="J104" s="19">
        <f>AVERAGE(E104:I104)</f>
        <v>50851.571993807673</v>
      </c>
    </row>
    <row r="105" spans="1:10" x14ac:dyDescent="0.25">
      <c r="A105" s="18" t="s">
        <v>26</v>
      </c>
      <c r="B105" s="19">
        <f t="shared" ref="B105:I105" si="25">B112+B119</f>
        <v>63820.776184481845</v>
      </c>
      <c r="C105" s="19">
        <f t="shared" si="25"/>
        <v>66104.092281709352</v>
      </c>
      <c r="D105" s="19">
        <f t="shared" si="25"/>
        <v>70559.3018673349</v>
      </c>
      <c r="E105" s="19">
        <f t="shared" si="25"/>
        <v>74155.109627860409</v>
      </c>
      <c r="F105" s="19">
        <f t="shared" si="25"/>
        <v>76858.969707208293</v>
      </c>
      <c r="G105" s="19">
        <f t="shared" si="25"/>
        <v>78104.37936208045</v>
      </c>
      <c r="H105" s="19">
        <f t="shared" si="25"/>
        <v>81278.98738501202</v>
      </c>
      <c r="I105" s="19">
        <f t="shared" si="25"/>
        <v>79338.874167464135</v>
      </c>
      <c r="J105" s="19">
        <f>AVERAGE(E105:I105)</f>
        <v>77947.264049925056</v>
      </c>
    </row>
    <row r="106" spans="1:10" x14ac:dyDescent="0.25">
      <c r="A106" s="18" t="s">
        <v>86</v>
      </c>
      <c r="B106" s="19">
        <f t="shared" ref="B106:I106" si="26">B113+B120</f>
        <v>63846.090830682639</v>
      </c>
      <c r="C106" s="19">
        <f t="shared" si="26"/>
        <v>64414.392870392272</v>
      </c>
      <c r="D106" s="19">
        <f t="shared" si="26"/>
        <v>64596.992245718342</v>
      </c>
      <c r="E106" s="19">
        <f t="shared" si="26"/>
        <v>71240.695580779429</v>
      </c>
      <c r="F106" s="19">
        <f t="shared" si="26"/>
        <v>71095.885606106967</v>
      </c>
      <c r="G106" s="19">
        <f t="shared" si="26"/>
        <v>69325.688443680585</v>
      </c>
      <c r="H106" s="19">
        <f t="shared" si="26"/>
        <v>69775.824357953621</v>
      </c>
      <c r="I106" s="19">
        <f t="shared" si="26"/>
        <v>70988.442708751652</v>
      </c>
      <c r="J106" s="19">
        <f>AVERAGE(E106:I106)</f>
        <v>70485.307339454448</v>
      </c>
    </row>
    <row r="107" spans="1:10" x14ac:dyDescent="0.25">
      <c r="A107" s="18" t="s">
        <v>49</v>
      </c>
      <c r="B107" s="19">
        <f t="shared" ref="B107:I107" si="27">B114+B121</f>
        <v>60919.273302718982</v>
      </c>
      <c r="C107" s="19">
        <f t="shared" si="27"/>
        <v>60318.431124379655</v>
      </c>
      <c r="D107" s="19">
        <f t="shared" si="27"/>
        <v>66803.663374634547</v>
      </c>
      <c r="E107" s="19">
        <f t="shared" si="27"/>
        <v>69820.097296232561</v>
      </c>
      <c r="F107" s="19">
        <f t="shared" si="27"/>
        <v>74658.683985866053</v>
      </c>
      <c r="G107" s="19">
        <f t="shared" si="27"/>
        <v>74142.466687276436</v>
      </c>
      <c r="H107" s="19">
        <f t="shared" si="27"/>
        <v>76419.461749401045</v>
      </c>
      <c r="I107" s="19">
        <f t="shared" si="27"/>
        <v>75680.363729187447</v>
      </c>
      <c r="J107" s="19">
        <f>AVERAGE(E107:I107)</f>
        <v>74144.214689592714</v>
      </c>
    </row>
    <row r="108" spans="1:10" x14ac:dyDescent="0.25">
      <c r="A108" s="18" t="s">
        <v>95</v>
      </c>
      <c r="B108" s="19">
        <f t="shared" ref="B108:I108" si="28">B115+B122</f>
        <v>52440.697896262609</v>
      </c>
      <c r="C108" s="19">
        <f t="shared" si="28"/>
        <v>52429.084888043166</v>
      </c>
      <c r="D108" s="19">
        <f t="shared" si="28"/>
        <v>52938.859651974155</v>
      </c>
      <c r="E108" s="19">
        <f t="shared" si="28"/>
        <v>56020.353509773871</v>
      </c>
      <c r="F108" s="19">
        <f t="shared" si="28"/>
        <v>59693.539944918572</v>
      </c>
      <c r="G108" s="19">
        <f t="shared" si="28"/>
        <v>58695.854339411664</v>
      </c>
      <c r="H108" s="19">
        <f t="shared" si="28"/>
        <v>59680.575242573876</v>
      </c>
      <c r="I108" s="19">
        <f t="shared" si="28"/>
        <v>59103.72912349183</v>
      </c>
      <c r="J108" s="19">
        <f>AVERAGE(E108:I108)</f>
        <v>58638.810432033963</v>
      </c>
    </row>
    <row r="110" spans="1:10" x14ac:dyDescent="0.25">
      <c r="A110" s="27" t="s">
        <v>63</v>
      </c>
      <c r="B110" s="27">
        <v>2006</v>
      </c>
      <c r="C110" s="27">
        <v>2007</v>
      </c>
      <c r="D110" s="27">
        <v>2008</v>
      </c>
      <c r="E110" s="27">
        <v>2009</v>
      </c>
      <c r="F110" s="27">
        <v>2010</v>
      </c>
      <c r="G110" s="27">
        <v>2011</v>
      </c>
      <c r="H110" s="27">
        <v>2012</v>
      </c>
      <c r="I110" s="27">
        <v>2013</v>
      </c>
      <c r="J110" s="27" t="s">
        <v>34</v>
      </c>
    </row>
    <row r="111" spans="1:10" x14ac:dyDescent="0.25">
      <c r="A111" s="18" t="s">
        <v>94</v>
      </c>
      <c r="B111" s="19">
        <f>1000*('Asset cost'!B7)/'Physical data'!B4</f>
        <v>28881.687969068233</v>
      </c>
      <c r="C111" s="19">
        <f>1000*('Asset cost'!C7)/'Physical data'!C4</f>
        <v>30894.848975552286</v>
      </c>
      <c r="D111" s="19">
        <f>1000*('Asset cost'!D7)/'Physical data'!D4</f>
        <v>31016.542377448088</v>
      </c>
      <c r="E111" s="19">
        <f>1000*('Asset cost'!E7)/'Physical data'!E4</f>
        <v>33198.437020126788</v>
      </c>
      <c r="F111" s="19">
        <f>1000*('Asset cost'!F7)/'Physical data'!F4</f>
        <v>34021.619863975087</v>
      </c>
      <c r="G111" s="19">
        <f>1000*('Asset cost'!G7)/'Physical data'!G4</f>
        <v>34395.392709319407</v>
      </c>
      <c r="H111" s="19">
        <f>1000*('Asset cost'!H7)/'Physical data'!H4</f>
        <v>36608.034815206716</v>
      </c>
      <c r="I111" s="19">
        <f>1000*('Asset cost'!I7)/'Physical data'!I4</f>
        <v>40177.127819382738</v>
      </c>
      <c r="J111" s="19">
        <f>AVERAGE(E111:I111)</f>
        <v>35680.122445602152</v>
      </c>
    </row>
    <row r="112" spans="1:10" x14ac:dyDescent="0.25">
      <c r="A112" s="18" t="s">
        <v>26</v>
      </c>
      <c r="B112" s="19">
        <f>1000*('Asset cost'!B8)/'Physical data'!B5</f>
        <v>46121.845918977604</v>
      </c>
      <c r="C112" s="19">
        <f>1000*('Asset cost'!C8)/'Physical data'!C5</f>
        <v>47596.713519184814</v>
      </c>
      <c r="D112" s="19">
        <f>1000*('Asset cost'!D8)/'Physical data'!D5</f>
        <v>50947.422600551858</v>
      </c>
      <c r="E112" s="19">
        <f>1000*('Asset cost'!E8)/'Physical data'!E5</f>
        <v>55912.363562631806</v>
      </c>
      <c r="F112" s="19">
        <f>1000*('Asset cost'!F8)/'Physical data'!F5</f>
        <v>58299.625336662379</v>
      </c>
      <c r="G112" s="19">
        <f>1000*('Asset cost'!G8)/'Physical data'!G5</f>
        <v>60529.385408126334</v>
      </c>
      <c r="H112" s="19">
        <f>1000*('Asset cost'!H8)/'Physical data'!H5</f>
        <v>63149.894754109737</v>
      </c>
      <c r="I112" s="19">
        <f>1000*('Asset cost'!I8)/'Physical data'!I5</f>
        <v>61246.051882895641</v>
      </c>
      <c r="J112" s="19">
        <f>AVERAGE(E112:I112)</f>
        <v>59827.464188885177</v>
      </c>
    </row>
    <row r="113" spans="1:10" x14ac:dyDescent="0.25">
      <c r="A113" s="18" t="s">
        <v>86</v>
      </c>
      <c r="B113" s="19">
        <f>1000*('Asset cost'!B9)/'Physical data'!B6</f>
        <v>48862.141696581879</v>
      </c>
      <c r="C113" s="19">
        <f>1000*('Asset cost'!C9)/'Physical data'!C6</f>
        <v>49725.395497590929</v>
      </c>
      <c r="D113" s="19">
        <f>1000*('Asset cost'!D9)/'Physical data'!D6</f>
        <v>51340.621511262027</v>
      </c>
      <c r="E113" s="19">
        <f>1000*('Asset cost'!E9)/'Physical data'!E6</f>
        <v>53835.759480773042</v>
      </c>
      <c r="F113" s="19">
        <f>1000*('Asset cost'!F9)/'Physical data'!F6</f>
        <v>53679.897767719929</v>
      </c>
      <c r="G113" s="19">
        <f>1000*('Asset cost'!G9)/'Physical data'!G6</f>
        <v>53549.788519691341</v>
      </c>
      <c r="H113" s="19">
        <f>1000*('Asset cost'!H9)/'Physical data'!H6</f>
        <v>54677.439298866055</v>
      </c>
      <c r="I113" s="19">
        <f>1000*('Asset cost'!I9)/'Physical data'!I6</f>
        <v>55555.764890680126</v>
      </c>
      <c r="J113" s="19">
        <f>AVERAGE(E113:I113)</f>
        <v>54259.729991546097</v>
      </c>
    </row>
    <row r="114" spans="1:10" x14ac:dyDescent="0.25">
      <c r="A114" s="18" t="s">
        <v>49</v>
      </c>
      <c r="B114" s="19">
        <f>1000*('Asset cost'!B10)/'Physical data'!B7</f>
        <v>41324.537672403552</v>
      </c>
      <c r="C114" s="19">
        <f>1000*('Asset cost'!C10)/'Physical data'!C7</f>
        <v>40726.59848640229</v>
      </c>
      <c r="D114" s="19">
        <f>1000*('Asset cost'!D10)/'Physical data'!D7</f>
        <v>43373.525534978799</v>
      </c>
      <c r="E114" s="19">
        <f>1000*('Asset cost'!E10)/'Physical data'!E7</f>
        <v>46463.786903755281</v>
      </c>
      <c r="F114" s="19">
        <f>1000*('Asset cost'!F10)/'Physical data'!F7</f>
        <v>51215.151235426543</v>
      </c>
      <c r="G114" s="19">
        <f>1000*('Asset cost'!G10)/'Physical data'!G7</f>
        <v>52851.433345434074</v>
      </c>
      <c r="H114" s="19">
        <f>1000*('Asset cost'!H10)/'Physical data'!H7</f>
        <v>55478.535817639524</v>
      </c>
      <c r="I114" s="19">
        <f>1000*('Asset cost'!I10)/'Physical data'!I7</f>
        <v>55999.258832237181</v>
      </c>
      <c r="J114" s="19">
        <f>AVERAGE(E114:I114)</f>
        <v>52401.633226898521</v>
      </c>
    </row>
    <row r="115" spans="1:10" x14ac:dyDescent="0.25">
      <c r="A115" s="18" t="s">
        <v>95</v>
      </c>
      <c r="B115" s="19">
        <f>1000*('Asset cost'!B11)/'Physical data'!B8</f>
        <v>37897.597449473484</v>
      </c>
      <c r="C115" s="19">
        <f>1000*('Asset cost'!C11)/'Physical data'!C8</f>
        <v>38269.503226806235</v>
      </c>
      <c r="D115" s="19">
        <f>1000*('Asset cost'!D11)/'Physical data'!D8</f>
        <v>39608.156924836039</v>
      </c>
      <c r="E115" s="19">
        <f>1000*('Asset cost'!E11)/'Physical data'!E8</f>
        <v>42690.654250911626</v>
      </c>
      <c r="F115" s="19">
        <f>1000*('Asset cost'!F11)/'Physical data'!F8</f>
        <v>45064.939228648087</v>
      </c>
      <c r="G115" s="19">
        <f>1000*('Asset cost'!G11)/'Physical data'!G8</f>
        <v>45156.136461154943</v>
      </c>
      <c r="H115" s="19">
        <f>1000*('Asset cost'!H11)/'Physical data'!H8</f>
        <v>45318.973357046641</v>
      </c>
      <c r="I115" s="19">
        <f>1000*('Asset cost'!I11)/'Physical data'!I8</f>
        <v>46201.480992189645</v>
      </c>
      <c r="J115" s="19">
        <f>AVERAGE(E115:I115)</f>
        <v>44886.436857990186</v>
      </c>
    </row>
    <row r="117" spans="1:10" x14ac:dyDescent="0.25">
      <c r="A117" s="27" t="s">
        <v>32</v>
      </c>
      <c r="B117" s="27">
        <v>2006</v>
      </c>
      <c r="C117" s="27">
        <v>2007</v>
      </c>
      <c r="D117" s="27">
        <v>2008</v>
      </c>
      <c r="E117" s="27">
        <v>2009</v>
      </c>
      <c r="F117" s="27">
        <v>2010</v>
      </c>
      <c r="G117" s="27">
        <v>2011</v>
      </c>
      <c r="H117" s="27">
        <v>2012</v>
      </c>
      <c r="I117" s="27">
        <v>2013</v>
      </c>
      <c r="J117" s="27" t="s">
        <v>34</v>
      </c>
    </row>
    <row r="118" spans="1:10" x14ac:dyDescent="0.25">
      <c r="A118" s="18" t="s">
        <v>94</v>
      </c>
      <c r="B118" s="19">
        <f>1000*(Opex!B22)/'Physical data'!B4</f>
        <v>13044.937923334688</v>
      </c>
      <c r="C118" s="19">
        <f>1000*(Opex!C22)/'Physical data'!C4</f>
        <v>14062.317631818447</v>
      </c>
      <c r="D118" s="19">
        <f>1000*(Opex!D22)/'Physical data'!D4</f>
        <v>12767.750323826136</v>
      </c>
      <c r="E118" s="19">
        <f>1000*(Opex!E22)/'Physical data'!E4</f>
        <v>13703.573812384386</v>
      </c>
      <c r="F118" s="19">
        <f>1000*(Opex!F22)/'Physical data'!F4</f>
        <v>14098.038620028257</v>
      </c>
      <c r="G118" s="19">
        <f>1000*(Opex!G22)/'Physical data'!G4</f>
        <v>15327.590351536106</v>
      </c>
      <c r="H118" s="19">
        <f>1000*(Opex!H22)/'Physical data'!H4</f>
        <v>16777.563932619807</v>
      </c>
      <c r="I118" s="19">
        <f>1000*(Opex!I22)/'Physical data'!I4</f>
        <v>15950.48102445909</v>
      </c>
      <c r="J118" s="19">
        <f>AVERAGE(E118:I118)</f>
        <v>15171.44954820553</v>
      </c>
    </row>
    <row r="119" spans="1:10" x14ac:dyDescent="0.25">
      <c r="A119" s="18" t="s">
        <v>26</v>
      </c>
      <c r="B119" s="19">
        <f>1000*(Opex!B23)/'Physical data'!B5</f>
        <v>17698.930265504241</v>
      </c>
      <c r="C119" s="19">
        <f>1000*(Opex!C23)/'Physical data'!C5</f>
        <v>18507.378762524535</v>
      </c>
      <c r="D119" s="19">
        <f>1000*(Opex!D23)/'Physical data'!D5</f>
        <v>19611.879266783046</v>
      </c>
      <c r="E119" s="19">
        <f>1000*(Opex!E23)/'Physical data'!E5</f>
        <v>18242.746065228606</v>
      </c>
      <c r="F119" s="19">
        <f>1000*(Opex!F23)/'Physical data'!F5</f>
        <v>18559.344370545918</v>
      </c>
      <c r="G119" s="19">
        <f>1000*(Opex!G23)/'Physical data'!G5</f>
        <v>17574.993953954112</v>
      </c>
      <c r="H119" s="19">
        <f>1000*(Opex!H23)/'Physical data'!H5</f>
        <v>18129.09263090228</v>
      </c>
      <c r="I119" s="19">
        <f>1000*(Opex!I23)/'Physical data'!I5</f>
        <v>18092.822284568494</v>
      </c>
      <c r="J119" s="19">
        <f>AVERAGE(E119:I119)</f>
        <v>18119.799861039883</v>
      </c>
    </row>
    <row r="120" spans="1:10" x14ac:dyDescent="0.25">
      <c r="A120" s="18" t="s">
        <v>86</v>
      </c>
      <c r="B120" s="19">
        <f>1000*(Opex!B24)/'Physical data'!B6</f>
        <v>14983.949134100762</v>
      </c>
      <c r="C120" s="19">
        <f>1000*(Opex!C24)/'Physical data'!C6</f>
        <v>14688.997372801347</v>
      </c>
      <c r="D120" s="19">
        <f>1000*(Opex!D24)/'Physical data'!D6</f>
        <v>13256.370734456312</v>
      </c>
      <c r="E120" s="19">
        <f>1000*(Opex!E24)/'Physical data'!E6</f>
        <v>17404.936100006395</v>
      </c>
      <c r="F120" s="19">
        <f>1000*(Opex!F24)/'Physical data'!F6</f>
        <v>17415.987838387042</v>
      </c>
      <c r="G120" s="19">
        <f>1000*(Opex!G24)/'Physical data'!G6</f>
        <v>15775.899923989249</v>
      </c>
      <c r="H120" s="19">
        <f>1000*(Opex!H24)/'Physical data'!H6</f>
        <v>15098.385059087568</v>
      </c>
      <c r="I120" s="19">
        <f>1000*(Opex!I24)/'Physical data'!I6</f>
        <v>15432.677818071528</v>
      </c>
      <c r="J120" s="19">
        <f>AVERAGE(E120:I120)</f>
        <v>16225.577347908358</v>
      </c>
    </row>
    <row r="121" spans="1:10" x14ac:dyDescent="0.25">
      <c r="A121" s="18" t="s">
        <v>49</v>
      </c>
      <c r="B121" s="19">
        <f>1000*(Opex!B25)/'Physical data'!B7</f>
        <v>19594.735630315434</v>
      </c>
      <c r="C121" s="19">
        <f>1000*(Opex!C25)/'Physical data'!C7</f>
        <v>19591.832637977361</v>
      </c>
      <c r="D121" s="19">
        <f>1000*(Opex!D25)/'Physical data'!D7</f>
        <v>23430.137839655756</v>
      </c>
      <c r="E121" s="19">
        <f>1000*(Opex!E25)/'Physical data'!E7</f>
        <v>23356.310392477277</v>
      </c>
      <c r="F121" s="19">
        <f>1000*(Opex!F25)/'Physical data'!F7</f>
        <v>23443.53275043951</v>
      </c>
      <c r="G121" s="19">
        <f>1000*(Opex!G25)/'Physical data'!G7</f>
        <v>21291.033341842358</v>
      </c>
      <c r="H121" s="19">
        <f>1000*(Opex!H25)/'Physical data'!H7</f>
        <v>20940.925931761525</v>
      </c>
      <c r="I121" s="19">
        <f>1000*(Opex!I25)/'Physical data'!I7</f>
        <v>19681.104896950263</v>
      </c>
      <c r="J121" s="19">
        <f>AVERAGE(E121:I121)</f>
        <v>21742.581462694183</v>
      </c>
    </row>
    <row r="122" spans="1:10" x14ac:dyDescent="0.25">
      <c r="A122" s="18" t="s">
        <v>95</v>
      </c>
      <c r="B122" s="19">
        <f>1000*(Opex!B26)/'Physical data'!B8</f>
        <v>14543.100446789123</v>
      </c>
      <c r="C122" s="19">
        <f>1000*(Opex!C26)/'Physical data'!C8</f>
        <v>14159.581661236929</v>
      </c>
      <c r="D122" s="19">
        <f>1000*(Opex!D26)/'Physical data'!D8</f>
        <v>13330.702727138119</v>
      </c>
      <c r="E122" s="19">
        <f>1000*(Opex!E26)/'Physical data'!E8</f>
        <v>13329.699258862247</v>
      </c>
      <c r="F122" s="19">
        <f>1000*(Opex!F26)/'Physical data'!F8</f>
        <v>14628.600716270486</v>
      </c>
      <c r="G122" s="19">
        <f>1000*(Opex!G26)/'Physical data'!G8</f>
        <v>13539.717878256723</v>
      </c>
      <c r="H122" s="19">
        <f>1000*(Opex!H26)/'Physical data'!H8</f>
        <v>14361.601885527238</v>
      </c>
      <c r="I122" s="19">
        <f>1000*(Opex!I26)/'Physical data'!I8</f>
        <v>12902.248131302185</v>
      </c>
      <c r="J122" s="19">
        <f>AVERAGE(E122:I122)</f>
        <v>13752.373574043775</v>
      </c>
    </row>
    <row r="126" spans="1:10" x14ac:dyDescent="0.25">
      <c r="A126" s="27"/>
      <c r="B126" s="27" t="s">
        <v>41</v>
      </c>
      <c r="C126" s="27" t="s">
        <v>33</v>
      </c>
      <c r="D126" s="27" t="s">
        <v>80</v>
      </c>
    </row>
    <row r="127" spans="1:10" x14ac:dyDescent="0.25">
      <c r="A127" s="18" t="s">
        <v>94</v>
      </c>
      <c r="B127" s="19">
        <f>AVERAGE(Opex!E22:I22)</f>
        <v>68898.509596519958</v>
      </c>
      <c r="C127" s="19">
        <f>ABS(AVERAGE(Depreciation!F20:J20))</f>
        <v>68599.653955124289</v>
      </c>
      <c r="D127" s="19">
        <f>AVERAGE(RAB!F21:J21)*'Asset cost'!$B$2</f>
        <v>93434.322554628365</v>
      </c>
    </row>
    <row r="128" spans="1:10" x14ac:dyDescent="0.25">
      <c r="A128" s="18" t="s">
        <v>26</v>
      </c>
      <c r="B128" s="19">
        <f>AVERAGE(Opex!E23:I23)</f>
        <v>166901.68722510809</v>
      </c>
      <c r="C128" s="19">
        <f>ABS(AVERAGE(Depreciation!F21:J21))</f>
        <v>220326.29872685266</v>
      </c>
      <c r="D128" s="19">
        <f>AVERAGE(RAB!F22:J22)*'Asset cost'!$B$2</f>
        <v>331283.64310655836</v>
      </c>
    </row>
    <row r="129" spans="1:10" x14ac:dyDescent="0.25">
      <c r="A129" s="18" t="s">
        <v>86</v>
      </c>
      <c r="B129" s="19">
        <f>AVERAGE(Opex!E24:I24)</f>
        <v>81598.428482631134</v>
      </c>
      <c r="C129" s="19">
        <f>ABS(AVERAGE(Depreciation!F22:J22))</f>
        <v>126250.23537577051</v>
      </c>
      <c r="D129" s="19">
        <f>AVERAGE(RAB!F23:J23)*'Asset cost'!$B$2</f>
        <v>146621.94675171486</v>
      </c>
    </row>
    <row r="130" spans="1:10" x14ac:dyDescent="0.25">
      <c r="A130" s="18" t="s">
        <v>49</v>
      </c>
      <c r="B130" s="19">
        <f>AVERAGE(Opex!E25:I25)</f>
        <v>50368.034317527563</v>
      </c>
      <c r="C130" s="19">
        <f>ABS(AVERAGE(Depreciation!F23:J23))</f>
        <v>54920.712556520848</v>
      </c>
      <c r="D130" s="19">
        <f>AVERAGE(RAB!F24:J24)*'Asset cost'!$B$2</f>
        <v>66732.025296318563</v>
      </c>
    </row>
    <row r="131" spans="1:10" x14ac:dyDescent="0.25">
      <c r="A131" s="18" t="s">
        <v>95</v>
      </c>
      <c r="B131" s="19">
        <f>AVERAGE(Opex!E26:I26)</f>
        <v>151139.68363237224</v>
      </c>
      <c r="C131" s="19">
        <f>ABS(AVERAGE(Depreciation!F24:J24))</f>
        <v>194014.00315449579</v>
      </c>
      <c r="D131" s="19">
        <f>AVERAGE(RAB!F25:J25)*'Asset cost'!$B$2</f>
        <v>299709.36161564209</v>
      </c>
    </row>
    <row r="134" spans="1:10" ht="30" x14ac:dyDescent="0.25">
      <c r="A134" s="42" t="s">
        <v>89</v>
      </c>
      <c r="B134" s="27">
        <v>2006</v>
      </c>
      <c r="C134" s="27">
        <v>2007</v>
      </c>
      <c r="D134" s="27">
        <v>2008</v>
      </c>
      <c r="E134" s="27">
        <v>2009</v>
      </c>
      <c r="F134" s="27">
        <v>2010</v>
      </c>
      <c r="G134" s="27">
        <v>2011</v>
      </c>
      <c r="H134" s="27">
        <v>2012</v>
      </c>
      <c r="I134" s="27">
        <v>2013</v>
      </c>
      <c r="J134" s="27" t="s">
        <v>34</v>
      </c>
    </row>
    <row r="135" spans="1:10" x14ac:dyDescent="0.25">
      <c r="A135" s="18" t="s">
        <v>94</v>
      </c>
      <c r="B135" s="19">
        <f>B142+B149</f>
        <v>34758.319515037176</v>
      </c>
      <c r="C135" s="19">
        <f t="shared" ref="C135:I135" si="29">C142+C149</f>
        <v>37106.754164196784</v>
      </c>
      <c r="D135" s="19">
        <f t="shared" si="29"/>
        <v>36138.687291139242</v>
      </c>
      <c r="E135" s="19">
        <f t="shared" si="29"/>
        <v>38689.668506518239</v>
      </c>
      <c r="F135" s="19">
        <f t="shared" si="29"/>
        <v>39691.048334679384</v>
      </c>
      <c r="G135" s="19">
        <f t="shared" si="29"/>
        <v>41027.315005208446</v>
      </c>
      <c r="H135" s="19">
        <f t="shared" si="29"/>
        <v>43888.481144802186</v>
      </c>
      <c r="I135" s="19">
        <f t="shared" si="29"/>
        <v>46132.011381509183</v>
      </c>
      <c r="J135" s="19">
        <f>AVERAGE(E135:I135)</f>
        <v>41885.704874543488</v>
      </c>
    </row>
    <row r="136" spans="1:10" x14ac:dyDescent="0.25">
      <c r="A136" s="18" t="s">
        <v>26</v>
      </c>
      <c r="B136" s="19">
        <f>B143+B150</f>
        <v>45801.434332309203</v>
      </c>
      <c r="C136" s="19">
        <f t="shared" ref="C136:I136" si="30">C143+C150</f>
        <v>46640.449395700874</v>
      </c>
      <c r="D136" s="19">
        <f t="shared" si="30"/>
        <v>49089.917575414598</v>
      </c>
      <c r="E136" s="19">
        <f t="shared" si="30"/>
        <v>51201.513709452855</v>
      </c>
      <c r="F136" s="19">
        <f t="shared" si="30"/>
        <v>52497.498570005759</v>
      </c>
      <c r="G136" s="19">
        <f t="shared" si="30"/>
        <v>52850.535259641481</v>
      </c>
      <c r="H136" s="19">
        <f t="shared" si="30"/>
        <v>55119.482648862082</v>
      </c>
      <c r="I136" s="19">
        <f t="shared" si="30"/>
        <v>52698.532422204516</v>
      </c>
      <c r="J136" s="19">
        <f>AVERAGE(E136:I136)</f>
        <v>52873.512522033336</v>
      </c>
    </row>
    <row r="137" spans="1:10" x14ac:dyDescent="0.25">
      <c r="A137" s="18" t="s">
        <v>86</v>
      </c>
      <c r="B137" s="19">
        <f t="shared" ref="B137:I137" si="31">B144+B151</f>
        <v>48848.621753765859</v>
      </c>
      <c r="C137" s="19">
        <f t="shared" si="31"/>
        <v>49283.429445489543</v>
      </c>
      <c r="D137" s="19">
        <f t="shared" si="31"/>
        <v>49423.136163657007</v>
      </c>
      <c r="E137" s="19">
        <f t="shared" si="31"/>
        <v>54506.231260572007</v>
      </c>
      <c r="F137" s="19">
        <f t="shared" si="31"/>
        <v>54395.437199621476</v>
      </c>
      <c r="G137" s="19">
        <f t="shared" si="31"/>
        <v>53041.059970069939</v>
      </c>
      <c r="H137" s="19">
        <f t="shared" si="31"/>
        <v>53385.458800570326</v>
      </c>
      <c r="I137" s="19">
        <f t="shared" si="31"/>
        <v>54313.232676450949</v>
      </c>
      <c r="J137" s="19">
        <f>AVERAGE(E137:I137)</f>
        <v>53928.283981456931</v>
      </c>
    </row>
    <row r="138" spans="1:10" x14ac:dyDescent="0.25">
      <c r="A138" s="18" t="s">
        <v>49</v>
      </c>
      <c r="B138" s="19">
        <f>B145+B152</f>
        <v>38460.468806703604</v>
      </c>
      <c r="C138" s="19">
        <f t="shared" ref="C138:I138" si="32">C145+C152</f>
        <v>38732.482344175543</v>
      </c>
      <c r="D138" s="19">
        <f t="shared" si="32"/>
        <v>42896.866910360812</v>
      </c>
      <c r="E138" s="19">
        <f t="shared" si="32"/>
        <v>44923.023712742302</v>
      </c>
      <c r="F138" s="19">
        <f t="shared" si="32"/>
        <v>48574.359931056388</v>
      </c>
      <c r="G138" s="19">
        <f t="shared" si="32"/>
        <v>50195.211895745786</v>
      </c>
      <c r="H138" s="19">
        <f t="shared" si="32"/>
        <v>51474.248846746814</v>
      </c>
      <c r="I138" s="19">
        <f t="shared" si="32"/>
        <v>50724.480840642987</v>
      </c>
      <c r="J138" s="19">
        <f>AVERAGE(E138:I138)</f>
        <v>49178.265045386855</v>
      </c>
    </row>
    <row r="139" spans="1:10" x14ac:dyDescent="0.25">
      <c r="A139" s="18" t="s">
        <v>95</v>
      </c>
      <c r="B139" s="19">
        <f t="shared" ref="B139:I139" si="33">B146+B153</f>
        <v>43494.631595931889</v>
      </c>
      <c r="C139" s="19">
        <f t="shared" si="33"/>
        <v>44030.993270919535</v>
      </c>
      <c r="D139" s="19">
        <f t="shared" si="33"/>
        <v>44648.75382689121</v>
      </c>
      <c r="E139" s="19">
        <f t="shared" si="33"/>
        <v>47250.462385674924</v>
      </c>
      <c r="F139" s="19">
        <f t="shared" si="33"/>
        <v>51219.458568168891</v>
      </c>
      <c r="G139" s="19">
        <f t="shared" si="33"/>
        <v>50933.898654551056</v>
      </c>
      <c r="H139" s="19">
        <f t="shared" si="33"/>
        <v>52276.972052843877</v>
      </c>
      <c r="I139" s="19">
        <f t="shared" si="33"/>
        <v>52218.416878002172</v>
      </c>
      <c r="J139" s="19">
        <f>AVERAGE(E139:I139)</f>
        <v>50779.841707848187</v>
      </c>
    </row>
    <row r="141" spans="1:10" x14ac:dyDescent="0.25">
      <c r="A141" s="27" t="s">
        <v>63</v>
      </c>
      <c r="B141" s="27">
        <v>2006</v>
      </c>
      <c r="C141" s="27">
        <v>2007</v>
      </c>
      <c r="D141" s="27">
        <v>2008</v>
      </c>
      <c r="E141" s="27">
        <v>2009</v>
      </c>
      <c r="F141" s="27">
        <v>2010</v>
      </c>
      <c r="G141" s="27">
        <v>2011</v>
      </c>
      <c r="H141" s="27">
        <v>2012</v>
      </c>
      <c r="I141" s="27">
        <v>2013</v>
      </c>
      <c r="J141" s="27" t="s">
        <v>34</v>
      </c>
    </row>
    <row r="142" spans="1:10" x14ac:dyDescent="0.25">
      <c r="A142" s="18" t="s">
        <v>94</v>
      </c>
      <c r="B142" s="19">
        <f>1000*('Asset cost'!B7)/'Physical data'!B67</f>
        <v>23943.70921091413</v>
      </c>
      <c r="C142" s="19">
        <f>1000*('Asset cost'!C7)/'Physical data'!C67</f>
        <v>25499.995938085918</v>
      </c>
      <c r="D142" s="19">
        <f>1000*('Asset cost'!D7)/'Physical data'!D67</f>
        <v>25600.439259770072</v>
      </c>
      <c r="E142" s="19">
        <f>1000*('Asset cost'!E7)/'Physical data'!E67</f>
        <v>27385.532100745088</v>
      </c>
      <c r="F142" s="19">
        <f>1000*('Asset cost'!F7)/'Physical data'!F67</f>
        <v>28062.413595350605</v>
      </c>
      <c r="G142" s="19">
        <f>1000*('Asset cost'!G7)/'Physical data'!G67</f>
        <v>28380.248419247146</v>
      </c>
      <c r="H142" s="19">
        <f>1000*('Asset cost'!H7)/'Physical data'!H67</f>
        <v>30095.589136777715</v>
      </c>
      <c r="I142" s="19">
        <f>1000*('Asset cost'!I7)/'Physical data'!I67</f>
        <v>33022.10366731968</v>
      </c>
      <c r="J142" s="19">
        <f>AVERAGE(E142:I142)</f>
        <v>29389.177383888047</v>
      </c>
    </row>
    <row r="143" spans="1:10" x14ac:dyDescent="0.25">
      <c r="A143" s="18" t="s">
        <v>26</v>
      </c>
      <c r="B143" s="19">
        <f>1000*('Asset cost'!B8)/'Physical data'!B68</f>
        <v>33099.671038732711</v>
      </c>
      <c r="C143" s="19">
        <f>1000*('Asset cost'!C8)/'Physical data'!C68</f>
        <v>33582.370344527888</v>
      </c>
      <c r="D143" s="19">
        <f>1000*('Asset cost'!D8)/'Physical data'!D68</f>
        <v>35445.429730062766</v>
      </c>
      <c r="E143" s="19">
        <f>1000*('Asset cost'!E8)/'Physical data'!E68</f>
        <v>38605.534586175549</v>
      </c>
      <c r="F143" s="19">
        <f>1000*('Asset cost'!F8)/'Physical data'!F68</f>
        <v>39820.78486613209</v>
      </c>
      <c r="G143" s="19">
        <f>1000*('Asset cost'!G8)/'Physical data'!G68</f>
        <v>40958.144010420547</v>
      </c>
      <c r="H143" s="19">
        <f>1000*('Asset cost'!H8)/'Physical data'!H68</f>
        <v>42825.207844782795</v>
      </c>
      <c r="I143" s="19">
        <f>1000*('Asset cost'!I8)/'Physical data'!I68</f>
        <v>40680.903085040045</v>
      </c>
      <c r="J143" s="19">
        <f>AVERAGE(E143:I143)</f>
        <v>40578.114878510205</v>
      </c>
    </row>
    <row r="144" spans="1:10" x14ac:dyDescent="0.25">
      <c r="A144" s="18" t="s">
        <v>86</v>
      </c>
      <c r="B144" s="19">
        <f>1000*('Asset cost'!B9)/'Physical data'!B69</f>
        <v>37384.407514393773</v>
      </c>
      <c r="C144" s="19">
        <f>1000*('Asset cost'!C9)/'Physical data'!C69</f>
        <v>38044.882695479202</v>
      </c>
      <c r="D144" s="19">
        <f>1000*('Asset cost'!D9)/'Physical data'!D69</f>
        <v>39280.691553345008</v>
      </c>
      <c r="E144" s="19">
        <f>1000*('Asset cost'!E9)/'Physical data'!E69</f>
        <v>41189.720740728379</v>
      </c>
      <c r="F144" s="19">
        <f>1000*('Asset cost'!F9)/'Physical data'!F69</f>
        <v>41070.470998609999</v>
      </c>
      <c r="G144" s="19">
        <f>1000*('Asset cost'!G9)/'Physical data'!G69</f>
        <v>40970.924458470676</v>
      </c>
      <c r="H144" s="19">
        <f>1000*('Asset cost'!H9)/'Physical data'!H69</f>
        <v>41833.689675033835</v>
      </c>
      <c r="I144" s="19">
        <f>1000*('Asset cost'!I9)/'Physical data'!I69</f>
        <v>42505.696277990319</v>
      </c>
      <c r="J144" s="19">
        <f>AVERAGE(E144:I144)</f>
        <v>41514.100430166647</v>
      </c>
    </row>
    <row r="145" spans="1:10" x14ac:dyDescent="0.25">
      <c r="A145" s="18" t="s">
        <v>49</v>
      </c>
      <c r="B145" s="19">
        <f>1000*('Asset cost'!B10)/'Physical data'!B70</f>
        <v>26089.62658177322</v>
      </c>
      <c r="C145" s="19">
        <f>1000*('Asset cost'!C10)/'Physical data'!C70</f>
        <v>26151.911238542289</v>
      </c>
      <c r="D145" s="19">
        <f>1000*('Asset cost'!D10)/'Physical data'!D70</f>
        <v>27851.59163911346</v>
      </c>
      <c r="E145" s="19">
        <f>1000*('Asset cost'!E10)/'Physical data'!E70</f>
        <v>29895.314983667784</v>
      </c>
      <c r="F145" s="19">
        <f>1000*('Asset cost'!F10)/'Physical data'!F70</f>
        <v>33321.551589418064</v>
      </c>
      <c r="G145" s="19">
        <f>1000*('Asset cost'!G10)/'Physical data'!G70</f>
        <v>35780.963519294528</v>
      </c>
      <c r="H145" s="19">
        <f>1000*('Asset cost'!H10)/'Physical data'!H70</f>
        <v>37368.961949705372</v>
      </c>
      <c r="I145" s="19">
        <f>1000*('Asset cost'!I10)/'Physical data'!I70</f>
        <v>37533.293865903048</v>
      </c>
      <c r="J145" s="19">
        <f>AVERAGE(E145:I145)</f>
        <v>34780.017181597759</v>
      </c>
    </row>
    <row r="146" spans="1:10" x14ac:dyDescent="0.25">
      <c r="A146" s="18" t="s">
        <v>95</v>
      </c>
      <c r="B146" s="19">
        <f>1000*('Asset cost'!B11)/'Physical data'!B71</f>
        <v>31432.49623978122</v>
      </c>
      <c r="C146" s="19">
        <f>1000*('Asset cost'!C11)/'Physical data'!C71</f>
        <v>32139.49361617077</v>
      </c>
      <c r="D146" s="19">
        <f>1000*('Asset cost'!D11)/'Physical data'!D71</f>
        <v>33405.609030868742</v>
      </c>
      <c r="E146" s="19">
        <f>1000*('Asset cost'!E11)/'Physical data'!E71</f>
        <v>36007.504889283147</v>
      </c>
      <c r="F146" s="19">
        <f>1000*('Asset cost'!F11)/'Physical data'!F71</f>
        <v>38667.530688055231</v>
      </c>
      <c r="G146" s="19">
        <f>1000*('Asset cost'!G11)/'Physical data'!G71</f>
        <v>39184.676737880109</v>
      </c>
      <c r="H146" s="19">
        <f>1000*('Asset cost'!H11)/'Physical data'!H71</f>
        <v>39696.981706701932</v>
      </c>
      <c r="I146" s="19">
        <f>1000*('Asset cost'!I11)/'Physical data'!I71</f>
        <v>40819.221233746721</v>
      </c>
      <c r="J146" s="19">
        <f>AVERAGE(E146:I146)</f>
        <v>38875.183051133434</v>
      </c>
    </row>
    <row r="148" spans="1:10" x14ac:dyDescent="0.25">
      <c r="A148" s="27" t="s">
        <v>32</v>
      </c>
      <c r="B148" s="27">
        <v>2006</v>
      </c>
      <c r="C148" s="27">
        <v>2007</v>
      </c>
      <c r="D148" s="27">
        <v>2008</v>
      </c>
      <c r="E148" s="27">
        <v>2009</v>
      </c>
      <c r="F148" s="27">
        <v>2010</v>
      </c>
      <c r="G148" s="27">
        <v>2011</v>
      </c>
      <c r="H148" s="27">
        <v>2012</v>
      </c>
      <c r="I148" s="27">
        <v>2013</v>
      </c>
      <c r="J148" s="27" t="s">
        <v>34</v>
      </c>
    </row>
    <row r="149" spans="1:10" x14ac:dyDescent="0.25">
      <c r="A149" s="18" t="s">
        <v>94</v>
      </c>
      <c r="B149" s="19">
        <f>1000*(Opex!B22)/'Physical data'!B67</f>
        <v>10814.610304123042</v>
      </c>
      <c r="C149" s="19">
        <f>1000*(Opex!C22)/'Physical data'!C67</f>
        <v>11606.758226110867</v>
      </c>
      <c r="D149" s="19">
        <f>1000*(Opex!D22)/'Physical data'!D67</f>
        <v>10538.248031369169</v>
      </c>
      <c r="E149" s="19">
        <f>1000*(Opex!E22)/'Physical data'!E67</f>
        <v>11304.13640577315</v>
      </c>
      <c r="F149" s="19">
        <f>1000*(Opex!F22)/'Physical data'!F67</f>
        <v>11628.634739328782</v>
      </c>
      <c r="G149" s="19">
        <f>1000*(Opex!G22)/'Physical data'!G67</f>
        <v>12647.066585961298</v>
      </c>
      <c r="H149" s="19">
        <f>1000*(Opex!H22)/'Physical data'!H67</f>
        <v>13792.89200802447</v>
      </c>
      <c r="I149" s="19">
        <f>1000*(Opex!I22)/'Physical data'!I67</f>
        <v>13109.907714189505</v>
      </c>
      <c r="J149" s="19">
        <f>AVERAGE(E149:I149)</f>
        <v>12496.52749065544</v>
      </c>
    </row>
    <row r="150" spans="1:10" x14ac:dyDescent="0.25">
      <c r="A150" s="18" t="s">
        <v>26</v>
      </c>
      <c r="B150" s="19">
        <f>1000*(Opex!B23)/'Physical data'!B68</f>
        <v>12701.763293576492</v>
      </c>
      <c r="C150" s="19">
        <f>1000*(Opex!C23)/'Physical data'!C68</f>
        <v>13058.079051172985</v>
      </c>
      <c r="D150" s="19">
        <f>1000*(Opex!D23)/'Physical data'!D68</f>
        <v>13644.487845351836</v>
      </c>
      <c r="E150" s="19">
        <f>1000*(Opex!E23)/'Physical data'!E68</f>
        <v>12595.979123277304</v>
      </c>
      <c r="F150" s="19">
        <f>1000*(Opex!F23)/'Physical data'!F68</f>
        <v>12676.713703873671</v>
      </c>
      <c r="G150" s="19">
        <f>1000*(Opex!G23)/'Physical data'!G68</f>
        <v>11892.391249220935</v>
      </c>
      <c r="H150" s="19">
        <f>1000*(Opex!H23)/'Physical data'!H68</f>
        <v>12294.274804079289</v>
      </c>
      <c r="I150" s="19">
        <f>1000*(Opex!I23)/'Physical data'!I68</f>
        <v>12017.629337164468</v>
      </c>
      <c r="J150" s="19">
        <f>AVERAGE(E150:I150)</f>
        <v>12295.397643523134</v>
      </c>
    </row>
    <row r="151" spans="1:10" x14ac:dyDescent="0.25">
      <c r="A151" s="18" t="s">
        <v>86</v>
      </c>
      <c r="B151" s="19">
        <f>1000*(Opex!B24)/'Physical data'!B69</f>
        <v>11464.214239372088</v>
      </c>
      <c r="C151" s="19">
        <f>1000*(Opex!C24)/'Physical data'!C69</f>
        <v>11238.54675001034</v>
      </c>
      <c r="D151" s="19">
        <f>1000*(Opex!D24)/'Physical data'!D69</f>
        <v>10142.444610312003</v>
      </c>
      <c r="E151" s="19">
        <f>1000*(Opex!E24)/'Physical data'!E69</f>
        <v>13316.510519843627</v>
      </c>
      <c r="F151" s="19">
        <f>1000*(Opex!F24)/'Physical data'!F69</f>
        <v>13324.966201011477</v>
      </c>
      <c r="G151" s="19">
        <f>1000*(Opex!G24)/'Physical data'!G69</f>
        <v>12070.135511599259</v>
      </c>
      <c r="H151" s="19">
        <f>1000*(Opex!H24)/'Physical data'!H69</f>
        <v>11551.769125536495</v>
      </c>
      <c r="I151" s="19">
        <f>1000*(Opex!I24)/'Physical data'!I69</f>
        <v>11807.536398460628</v>
      </c>
      <c r="J151" s="19">
        <f>AVERAGE(E151:I151)</f>
        <v>12414.183551290298</v>
      </c>
    </row>
    <row r="152" spans="1:10" x14ac:dyDescent="0.25">
      <c r="A152" s="18" t="s">
        <v>49</v>
      </c>
      <c r="B152" s="19">
        <f>1000*(Opex!B25)/'Physical data'!B70</f>
        <v>12370.842224930388</v>
      </c>
      <c r="C152" s="19">
        <f>1000*(Opex!C25)/'Physical data'!C70</f>
        <v>12580.571105633255</v>
      </c>
      <c r="D152" s="19">
        <f>1000*(Opex!D25)/'Physical data'!D70</f>
        <v>15045.275271247352</v>
      </c>
      <c r="E152" s="19">
        <f>1000*(Opex!E25)/'Physical data'!E70</f>
        <v>15027.708729074518</v>
      </c>
      <c r="F152" s="19">
        <f>1000*(Opex!F25)/'Physical data'!F70</f>
        <v>15252.80834163832</v>
      </c>
      <c r="G152" s="19">
        <f>1000*(Opex!G25)/'Physical data'!G70</f>
        <v>14414.248376451256</v>
      </c>
      <c r="H152" s="19">
        <f>1000*(Opex!H25)/'Physical data'!H70</f>
        <v>14105.28689704144</v>
      </c>
      <c r="I152" s="19">
        <f>1000*(Opex!I25)/'Physical data'!I70</f>
        <v>13191.18697473994</v>
      </c>
      <c r="J152" s="19">
        <f>AVERAGE(E152:I152)</f>
        <v>14398.247863789094</v>
      </c>
    </row>
    <row r="153" spans="1:10" x14ac:dyDescent="0.25">
      <c r="A153" s="18" t="s">
        <v>95</v>
      </c>
      <c r="B153" s="19">
        <f>1000*(Opex!B26)/'Physical data'!B71</f>
        <v>12062.135356150673</v>
      </c>
      <c r="C153" s="19">
        <f>1000*(Opex!C26)/'Physical data'!C71</f>
        <v>11891.499654748763</v>
      </c>
      <c r="D153" s="19">
        <f>1000*(Opex!D26)/'Physical data'!D71</f>
        <v>11243.14479602247</v>
      </c>
      <c r="E153" s="19">
        <f>1000*(Opex!E26)/'Physical data'!E71</f>
        <v>11242.957496391777</v>
      </c>
      <c r="F153" s="19">
        <f>1000*(Opex!F26)/'Physical data'!F71</f>
        <v>12551.927880113661</v>
      </c>
      <c r="G153" s="19">
        <f>1000*(Opex!G26)/'Physical data'!G71</f>
        <v>11749.221916670946</v>
      </c>
      <c r="H153" s="19">
        <f>1000*(Opex!H26)/'Physical data'!H71</f>
        <v>12579.990346141944</v>
      </c>
      <c r="I153" s="19">
        <f>1000*(Opex!I26)/'Physical data'!I71</f>
        <v>11399.195644255449</v>
      </c>
      <c r="J153" s="19">
        <f>AVERAGE(E153:I153)</f>
        <v>11904.658656714757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2:J28"/>
  <sheetViews>
    <sheetView workbookViewId="0">
      <selection activeCell="G14" sqref="G14"/>
    </sheetView>
  </sheetViews>
  <sheetFormatPr defaultRowHeight="15" x14ac:dyDescent="0.25"/>
  <cols>
    <col min="1" max="1" width="46.42578125" style="2" bestFit="1" customWidth="1"/>
    <col min="2" max="4" width="10.140625" style="2" bestFit="1" customWidth="1"/>
    <col min="5" max="9" width="11.7109375" style="2" bestFit="1" customWidth="1"/>
    <col min="10" max="10" width="11.85546875" style="2" customWidth="1"/>
    <col min="11" max="16384" width="9.140625" style="2"/>
  </cols>
  <sheetData>
    <row r="2" spans="1:10" x14ac:dyDescent="0.25">
      <c r="C2" s="2">
        <v>2006</v>
      </c>
      <c r="D2" s="2">
        <v>2007</v>
      </c>
      <c r="E2" s="2">
        <v>2008</v>
      </c>
      <c r="F2" s="2">
        <v>2009</v>
      </c>
      <c r="G2" s="2">
        <v>2010</v>
      </c>
      <c r="H2" s="2">
        <v>2011</v>
      </c>
      <c r="I2" s="2">
        <v>2012</v>
      </c>
      <c r="J2" s="2">
        <v>2013</v>
      </c>
    </row>
    <row r="3" spans="1:10" x14ac:dyDescent="0.25">
      <c r="A3" s="2" t="s">
        <v>0</v>
      </c>
      <c r="C3" s="16">
        <f>CPI!B244</f>
        <v>86.6</v>
      </c>
      <c r="D3" s="16">
        <f>CPI!B248</f>
        <v>89.1</v>
      </c>
      <c r="E3" s="16">
        <f>CPI!B252</f>
        <v>92.4</v>
      </c>
      <c r="F3" s="16">
        <f>CPI!B256</f>
        <v>94.3</v>
      </c>
      <c r="G3" s="16">
        <f>CPI!B260</f>
        <v>96.9</v>
      </c>
      <c r="H3" s="16">
        <f>CPI!B264</f>
        <v>99.8</v>
      </c>
      <c r="I3" s="16">
        <f>CPI!B268</f>
        <v>102</v>
      </c>
      <c r="J3" s="16">
        <f>CPI!B272</f>
        <v>104.8</v>
      </c>
    </row>
    <row r="4" spans="1:10" ht="15" hidden="1" customHeight="1" x14ac:dyDescent="0.25">
      <c r="A4" s="2" t="s">
        <v>18</v>
      </c>
      <c r="C4" s="13">
        <f>CPI!B242</f>
        <v>85.9</v>
      </c>
      <c r="D4" s="13">
        <f>CPI!B246</f>
        <v>87.7</v>
      </c>
      <c r="E4" s="13">
        <f>CPI!B250</f>
        <v>91.6</v>
      </c>
      <c r="F4" s="13">
        <f>CPI!B254</f>
        <v>92.9</v>
      </c>
      <c r="G4" s="13">
        <f>CPI!B258</f>
        <v>95.8</v>
      </c>
      <c r="H4" s="13">
        <f>CPI!B262</f>
        <v>99.2</v>
      </c>
      <c r="I4" s="13">
        <f>CPI!B266</f>
        <v>100.4</v>
      </c>
      <c r="J4" s="13">
        <f>CPI!B270</f>
        <v>102.8</v>
      </c>
    </row>
    <row r="5" spans="1:10" ht="15" hidden="1" customHeight="1" x14ac:dyDescent="0.25">
      <c r="A5" s="2" t="s">
        <v>17</v>
      </c>
      <c r="C5" s="2">
        <f>CPI!B240</f>
        <v>83.8</v>
      </c>
      <c r="D5" s="2">
        <f>CPI!B244</f>
        <v>86.6</v>
      </c>
      <c r="E5" s="2">
        <f>CPI!B248</f>
        <v>89.1</v>
      </c>
      <c r="F5" s="2">
        <f>CPI!B252</f>
        <v>92.4</v>
      </c>
      <c r="G5" s="2">
        <f>CPI!B256</f>
        <v>94.3</v>
      </c>
      <c r="H5" s="2">
        <f>CPI!B260</f>
        <v>96.9</v>
      </c>
      <c r="I5" s="2">
        <f>CPI!B264</f>
        <v>99.8</v>
      </c>
      <c r="J5" s="2">
        <f>CPI!B268</f>
        <v>102</v>
      </c>
    </row>
    <row r="6" spans="1:10" x14ac:dyDescent="0.25">
      <c r="A6" s="14" t="str">
        <f>"Convert to real"</f>
        <v>Convert to real</v>
      </c>
      <c r="B6" s="15">
        <v>2013</v>
      </c>
      <c r="C6" s="13"/>
      <c r="D6" s="13"/>
      <c r="E6" s="13"/>
      <c r="F6" s="13"/>
      <c r="G6" s="13"/>
      <c r="H6" s="13"/>
      <c r="I6" s="13"/>
      <c r="J6" s="13"/>
    </row>
    <row r="7" spans="1:10" ht="15" hidden="1" customHeight="1" x14ac:dyDescent="0.25">
      <c r="B7" s="2">
        <f>MATCH(Capex_base,C2:P2)</f>
        <v>8</v>
      </c>
      <c r="C7" s="13"/>
      <c r="D7" s="13"/>
      <c r="E7" s="13"/>
      <c r="F7" s="13"/>
      <c r="G7" s="13"/>
      <c r="H7" s="13"/>
      <c r="I7" s="13"/>
      <c r="J7" s="13"/>
    </row>
    <row r="8" spans="1:10" ht="15" hidden="1" customHeight="1" x14ac:dyDescent="0.25">
      <c r="B8" s="2">
        <f>INDEX(C2:CZ5,2,$B$7)</f>
        <v>104.8</v>
      </c>
      <c r="C8" s="13"/>
      <c r="D8" s="13"/>
      <c r="E8" s="13"/>
      <c r="F8" s="13"/>
      <c r="G8" s="13"/>
      <c r="H8" s="13"/>
      <c r="I8" s="13"/>
      <c r="J8" s="13"/>
    </row>
    <row r="9" spans="1:10" x14ac:dyDescent="0.25">
      <c r="A9" s="2" t="s">
        <v>20</v>
      </c>
      <c r="C9" s="17">
        <f t="shared" ref="C9:J10" si="0">Capex_Base_Index/C4</f>
        <v>1.2200232828870778</v>
      </c>
      <c r="D9" s="17">
        <f t="shared" si="0"/>
        <v>1.194982896237172</v>
      </c>
      <c r="E9" s="17">
        <f t="shared" si="0"/>
        <v>1.1441048034934498</v>
      </c>
      <c r="F9" s="17">
        <f t="shared" si="0"/>
        <v>1.1280947255113023</v>
      </c>
      <c r="G9" s="17">
        <f t="shared" si="0"/>
        <v>1.0939457202505218</v>
      </c>
      <c r="H9" s="17">
        <f t="shared" si="0"/>
        <v>1.0564516129032258</v>
      </c>
      <c r="I9" s="17">
        <f t="shared" si="0"/>
        <v>1.0438247011952191</v>
      </c>
      <c r="J9" s="17">
        <f t="shared" si="0"/>
        <v>1.0194552529182879</v>
      </c>
    </row>
    <row r="10" spans="1:10" x14ac:dyDescent="0.25">
      <c r="A10" s="2" t="s">
        <v>19</v>
      </c>
      <c r="C10" s="17">
        <f t="shared" si="0"/>
        <v>1.2505966587112172</v>
      </c>
      <c r="D10" s="17">
        <f t="shared" si="0"/>
        <v>1.210161662817552</v>
      </c>
      <c r="E10" s="17">
        <f t="shared" si="0"/>
        <v>1.1762065095398428</v>
      </c>
      <c r="F10" s="17">
        <f t="shared" si="0"/>
        <v>1.1341991341991342</v>
      </c>
      <c r="G10" s="17">
        <f t="shared" si="0"/>
        <v>1.1113467656415694</v>
      </c>
      <c r="H10" s="17">
        <f t="shared" si="0"/>
        <v>1.0815273477812177</v>
      </c>
      <c r="I10" s="17">
        <f t="shared" si="0"/>
        <v>1.0501002004008015</v>
      </c>
      <c r="J10" s="17">
        <f t="shared" si="0"/>
        <v>1.0274509803921568</v>
      </c>
    </row>
    <row r="13" spans="1:10" x14ac:dyDescent="0.25">
      <c r="A13" s="24" t="s">
        <v>27</v>
      </c>
    </row>
    <row r="14" spans="1:10" x14ac:dyDescent="0.25">
      <c r="A14" s="24" t="s">
        <v>1</v>
      </c>
    </row>
    <row r="15" spans="1:10" x14ac:dyDescent="0.25">
      <c r="A15" s="18" t="s">
        <v>94</v>
      </c>
      <c r="B15" s="19">
        <f>'[2]SD 3. Opex'!D14</f>
        <v>48431</v>
      </c>
      <c r="C15" s="19">
        <f>'[2]SD 3. Opex'!E14</f>
        <v>52930</v>
      </c>
      <c r="D15" s="19">
        <f>'[2]SD 3. Opex'!F14</f>
        <v>49444.635999999999</v>
      </c>
      <c r="E15" s="19">
        <f>'[2]SD 3. Opex'!G14</f>
        <v>54853</v>
      </c>
      <c r="F15" s="19">
        <f>'[2]SD 3. Opex'!H14</f>
        <v>57567</v>
      </c>
      <c r="G15" s="19">
        <f>'[2]SD 3. Opex'!I14</f>
        <v>64370</v>
      </c>
      <c r="H15" s="19">
        <f>'[2]SD 3. Opex'!J14</f>
        <v>72584</v>
      </c>
      <c r="I15" s="19">
        <f>'[2]SD 3. Opex'!K14</f>
        <v>70527</v>
      </c>
    </row>
    <row r="16" spans="1:10" x14ac:dyDescent="0.25">
      <c r="A16" s="18" t="s">
        <v>26</v>
      </c>
      <c r="B16" s="19">
        <f>'[2]SD 3. Opex'!L14</f>
        <v>118781</v>
      </c>
      <c r="C16" s="19">
        <f>'[2]SD 3. Opex'!M14</f>
        <v>128265</v>
      </c>
      <c r="D16" s="19">
        <f>'[2]SD 3. Opex'!N14</f>
        <v>144112</v>
      </c>
      <c r="E16" s="19">
        <f>'[2]SD 3. Opex'!O14</f>
        <v>142796</v>
      </c>
      <c r="F16" s="19">
        <f>'[2]SD 3. Opex'!P14</f>
        <v>151902</v>
      </c>
      <c r="G16" s="19">
        <f>'[2]SD 3. Opex'!Q14</f>
        <v>151029</v>
      </c>
      <c r="H16" s="19">
        <f>'[2]SD 3. Opex'!R14</f>
        <v>160384</v>
      </c>
      <c r="I16" s="19">
        <f>'[2]SD 3. Opex'!S14</f>
        <v>167377.59669000003</v>
      </c>
    </row>
    <row r="17" spans="1:10" x14ac:dyDescent="0.25">
      <c r="A17" s="18" t="s">
        <v>86</v>
      </c>
      <c r="B17" s="19">
        <f>'[2]SD 3. Opex'!T14</f>
        <v>61764.624702139656</v>
      </c>
      <c r="C17" s="19">
        <f>'[2]SD 3. Opex'!U14</f>
        <v>61817.594227019435</v>
      </c>
      <c r="D17" s="19">
        <f>'[2]SD 3. Opex'!V14</f>
        <v>58269.389500000005</v>
      </c>
      <c r="E17" s="19">
        <f>'[2]SD 3. Opex'!W14</f>
        <v>77590.490999999995</v>
      </c>
      <c r="F17" s="19">
        <f>'[2]SD 3. Opex'!X14</f>
        <v>80063.390000000014</v>
      </c>
      <c r="G17" s="19">
        <f>'[2]SD 3. Opex'!Y14</f>
        <v>75097.619000000006</v>
      </c>
      <c r="H17" s="19">
        <f>'[2]SD 3. Opex'!Z14</f>
        <v>72741.886999999988</v>
      </c>
      <c r="I17" s="19">
        <f>'[2]SD 3. Opex'!AA14</f>
        <v>76129.812000000005</v>
      </c>
    </row>
    <row r="18" spans="1:10" x14ac:dyDescent="0.25">
      <c r="A18" s="18" t="s">
        <v>49</v>
      </c>
      <c r="B18" s="19">
        <f>'[2]SD 3. Opex'!AB14</f>
        <v>35426.048000000003</v>
      </c>
      <c r="C18" s="19">
        <f>'[2]SD 3. Opex'!AC14</f>
        <v>37656.624000000003</v>
      </c>
      <c r="D18" s="19">
        <f>'[2]SD 3. Opex'!AD14</f>
        <v>46334.126000000004</v>
      </c>
      <c r="E18" s="19">
        <f>'[2]SD 3. Opex'!AE14</f>
        <v>46642.640999999996</v>
      </c>
      <c r="F18" s="19">
        <f>'[2]SD 3. Opex'!AF14</f>
        <v>47779.507999999994</v>
      </c>
      <c r="G18" s="19">
        <f>'[2]SD 3. Opex'!AG14</f>
        <v>46557.578000000001</v>
      </c>
      <c r="H18" s="19">
        <f>'[2]SD 3. Opex'!AH14</f>
        <v>46923.140000000007</v>
      </c>
      <c r="I18" s="19">
        <f>'[2]SD 3. Opex'!AI14</f>
        <v>44976.582999999999</v>
      </c>
    </row>
    <row r="19" spans="1:10" x14ac:dyDescent="0.25">
      <c r="A19" s="18" t="s">
        <v>95</v>
      </c>
      <c r="B19" s="19">
        <f>'[2]SD 3. Opex'!AJ14</f>
        <v>120730</v>
      </c>
      <c r="C19" s="19">
        <f>'[2]SD 3. Opex'!AK14</f>
        <v>123090</v>
      </c>
      <c r="D19" s="19">
        <f>'[2]SD 3. Opex'!AL14</f>
        <v>119710</v>
      </c>
      <c r="E19" s="19">
        <f>'[2]SD 3. Opex'!AM14</f>
        <v>124140</v>
      </c>
      <c r="F19" s="19">
        <f>'[2]SD 3. Opex'!AN14</f>
        <v>143240</v>
      </c>
      <c r="G19" s="19">
        <f>'[2]SD 3. Opex'!AO14</f>
        <v>137770</v>
      </c>
      <c r="H19" s="19">
        <f>'[2]SD 3. Opex'!AP14</f>
        <v>152110</v>
      </c>
      <c r="I19" s="19">
        <f>'[2]SD 3. Opex'!AQ14</f>
        <v>143050</v>
      </c>
    </row>
    <row r="21" spans="1:10" x14ac:dyDescent="0.25">
      <c r="A21" s="24" t="str">
        <f>"Real $"&amp;Capex_base&amp;""</f>
        <v>Real $2013</v>
      </c>
      <c r="B21" s="2">
        <v>2006</v>
      </c>
      <c r="C21" s="2">
        <v>2007</v>
      </c>
      <c r="D21" s="2">
        <v>2008</v>
      </c>
      <c r="E21" s="2">
        <v>2009</v>
      </c>
      <c r="F21" s="2">
        <v>2010</v>
      </c>
      <c r="G21" s="2">
        <v>2011</v>
      </c>
      <c r="H21" s="2">
        <v>2012</v>
      </c>
      <c r="I21" s="2">
        <v>2013</v>
      </c>
    </row>
    <row r="22" spans="1:10" x14ac:dyDescent="0.25">
      <c r="A22" s="18" t="s">
        <v>94</v>
      </c>
      <c r="B22" s="19">
        <f>B15*C$10</f>
        <v>60567.646778042959</v>
      </c>
      <c r="C22" s="19">
        <f t="shared" ref="B22:I26" si="1">C15*D$10</f>
        <v>64053.856812933031</v>
      </c>
      <c r="D22" s="19">
        <f t="shared" si="1"/>
        <v>58157.102725028053</v>
      </c>
      <c r="E22" s="19">
        <f t="shared" si="1"/>
        <v>62214.22510822511</v>
      </c>
      <c r="F22" s="19">
        <f t="shared" si="1"/>
        <v>63976.89925768823</v>
      </c>
      <c r="G22" s="19">
        <f t="shared" si="1"/>
        <v>69617.915376676989</v>
      </c>
      <c r="H22" s="19">
        <f t="shared" si="1"/>
        <v>76220.472945891786</v>
      </c>
      <c r="I22" s="19">
        <f t="shared" si="1"/>
        <v>72463.035294117639</v>
      </c>
    </row>
    <row r="23" spans="1:10" x14ac:dyDescent="0.25">
      <c r="A23" s="18" t="s">
        <v>26</v>
      </c>
      <c r="B23" s="19">
        <f t="shared" si="1"/>
        <v>148547.12171837708</v>
      </c>
      <c r="C23" s="19">
        <f t="shared" si="1"/>
        <v>155221.38568129329</v>
      </c>
      <c r="D23" s="19">
        <f t="shared" si="1"/>
        <v>169505.47250280585</v>
      </c>
      <c r="E23" s="19">
        <f t="shared" si="1"/>
        <v>161959.09956709956</v>
      </c>
      <c r="F23" s="19">
        <f t="shared" si="1"/>
        <v>168815.79639448569</v>
      </c>
      <c r="G23" s="19">
        <f t="shared" si="1"/>
        <v>163341.99380804953</v>
      </c>
      <c r="H23" s="19">
        <f t="shared" si="1"/>
        <v>168419.27054108217</v>
      </c>
      <c r="I23" s="19">
        <f t="shared" si="1"/>
        <v>171972.27581482354</v>
      </c>
    </row>
    <row r="24" spans="1:10" x14ac:dyDescent="0.25">
      <c r="A24" s="18" t="s">
        <v>86</v>
      </c>
      <c r="B24" s="19">
        <f>B17*C$9</f>
        <v>75354.280195392726</v>
      </c>
      <c r="C24" s="19">
        <f t="shared" ref="C24:I24" si="2">C17*D$9</f>
        <v>73870.967787817965</v>
      </c>
      <c r="D24" s="19">
        <f t="shared" si="2"/>
        <v>66666.288423580787</v>
      </c>
      <c r="E24" s="19">
        <f t="shared" si="2"/>
        <v>87529.423646932162</v>
      </c>
      <c r="F24" s="19">
        <f t="shared" si="2"/>
        <v>87585.002839248438</v>
      </c>
      <c r="G24" s="19">
        <f t="shared" si="2"/>
        <v>79337.000717741932</v>
      </c>
      <c r="H24" s="19">
        <f t="shared" si="2"/>
        <v>75929.778462151386</v>
      </c>
      <c r="I24" s="19">
        <f t="shared" si="2"/>
        <v>77610.936747081709</v>
      </c>
    </row>
    <row r="25" spans="1:10" x14ac:dyDescent="0.25">
      <c r="A25" s="18" t="s">
        <v>49</v>
      </c>
      <c r="B25" s="19">
        <f t="shared" si="1"/>
        <v>44303.697260143199</v>
      </c>
      <c r="C25" s="19">
        <f t="shared" si="1"/>
        <v>45570.60271593534</v>
      </c>
      <c r="D25" s="19">
        <f t="shared" si="1"/>
        <v>54498.500615039287</v>
      </c>
      <c r="E25" s="19">
        <f t="shared" si="1"/>
        <v>52902.043038961034</v>
      </c>
      <c r="F25" s="19">
        <f t="shared" si="1"/>
        <v>53099.601679745487</v>
      </c>
      <c r="G25" s="19">
        <f t="shared" si="1"/>
        <v>50353.293853457173</v>
      </c>
      <c r="H25" s="19">
        <f t="shared" si="1"/>
        <v>49273.998717434872</v>
      </c>
      <c r="I25" s="19">
        <f t="shared" si="1"/>
        <v>46211.234298039213</v>
      </c>
    </row>
    <row r="26" spans="1:10" x14ac:dyDescent="0.25">
      <c r="A26" s="18" t="s">
        <v>95</v>
      </c>
      <c r="B26" s="19">
        <f t="shared" si="1"/>
        <v>150984.53460620524</v>
      </c>
      <c r="C26" s="19">
        <f t="shared" si="1"/>
        <v>148958.79907621248</v>
      </c>
      <c r="D26" s="19">
        <f t="shared" si="1"/>
        <v>140803.6812570146</v>
      </c>
      <c r="E26" s="19">
        <f t="shared" si="1"/>
        <v>140799.48051948051</v>
      </c>
      <c r="F26" s="19">
        <f t="shared" si="1"/>
        <v>159189.31071049839</v>
      </c>
      <c r="G26" s="19">
        <f t="shared" si="1"/>
        <v>149002.02270381837</v>
      </c>
      <c r="H26" s="19">
        <f t="shared" si="1"/>
        <v>159730.74148296591</v>
      </c>
      <c r="I26" s="19">
        <f t="shared" si="1"/>
        <v>146976.86274509801</v>
      </c>
    </row>
    <row r="28" spans="1:10" x14ac:dyDescent="0.25">
      <c r="C28" s="25"/>
      <c r="D28" s="25"/>
      <c r="E28" s="25"/>
      <c r="F28" s="25"/>
      <c r="G28" s="25"/>
      <c r="H28" s="25"/>
      <c r="I28" s="25"/>
      <c r="J28" s="25"/>
    </row>
  </sheetData>
  <dataValidations count="1">
    <dataValidation type="list" allowBlank="1" showInputMessage="1" showErrorMessage="1" sqref="B6">
      <formula1>$C$2:$J$2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C11" sqref="C11"/>
    </sheetView>
  </sheetViews>
  <sheetFormatPr defaultRowHeight="15" x14ac:dyDescent="0.25"/>
  <cols>
    <col min="1" max="1" width="37.5703125" customWidth="1"/>
    <col min="2" max="9" width="11.140625" style="31" customWidth="1"/>
    <col min="10" max="10" width="14.7109375" customWidth="1"/>
  </cols>
  <sheetData>
    <row r="1" spans="1:10" s="2" customFormat="1" x14ac:dyDescent="0.25">
      <c r="C1" s="2">
        <v>2006</v>
      </c>
      <c r="D1" s="2">
        <v>2007</v>
      </c>
      <c r="E1" s="2">
        <v>2008</v>
      </c>
      <c r="F1" s="2">
        <v>2009</v>
      </c>
      <c r="G1" s="2">
        <v>2010</v>
      </c>
      <c r="H1" s="2">
        <v>2011</v>
      </c>
      <c r="I1" s="2">
        <v>2012</v>
      </c>
      <c r="J1" s="2">
        <v>2013</v>
      </c>
    </row>
    <row r="2" spans="1:10" s="2" customFormat="1" x14ac:dyDescent="0.25">
      <c r="A2" s="2" t="s">
        <v>0</v>
      </c>
      <c r="C2" s="16">
        <f>CPI!B244</f>
        <v>86.6</v>
      </c>
      <c r="D2" s="16">
        <f>CPI!B248</f>
        <v>89.1</v>
      </c>
      <c r="E2" s="16">
        <f>CPI!B252</f>
        <v>92.4</v>
      </c>
      <c r="F2" s="16">
        <f>CPI!B256</f>
        <v>94.3</v>
      </c>
      <c r="G2" s="16">
        <f>CPI!B260</f>
        <v>96.9</v>
      </c>
      <c r="H2" s="16">
        <f>CPI!B264</f>
        <v>99.8</v>
      </c>
      <c r="I2" s="16">
        <f>CPI!B268</f>
        <v>102</v>
      </c>
      <c r="J2" s="16">
        <f>CPI!B272</f>
        <v>104.8</v>
      </c>
    </row>
    <row r="3" spans="1:10" s="2" customFormat="1" hidden="1" x14ac:dyDescent="0.25">
      <c r="A3" s="2" t="s">
        <v>18</v>
      </c>
      <c r="C3" s="13">
        <f>CPI!B242</f>
        <v>85.9</v>
      </c>
      <c r="D3" s="13">
        <f>CPI!B246</f>
        <v>87.7</v>
      </c>
      <c r="E3" s="13">
        <f>CPI!B250</f>
        <v>91.6</v>
      </c>
      <c r="F3" s="13">
        <f>CPI!B254</f>
        <v>92.9</v>
      </c>
      <c r="G3" s="13">
        <f>CPI!B258</f>
        <v>95.8</v>
      </c>
      <c r="H3" s="13">
        <f>CPI!B262</f>
        <v>99.2</v>
      </c>
      <c r="I3" s="13">
        <f>CPI!B266</f>
        <v>100.4</v>
      </c>
      <c r="J3" s="13">
        <f>CPI!B270</f>
        <v>102.8</v>
      </c>
    </row>
    <row r="4" spans="1:10" s="2" customFormat="1" hidden="1" x14ac:dyDescent="0.25">
      <c r="A4" s="2" t="s">
        <v>17</v>
      </c>
      <c r="C4" s="2">
        <f>CPI!B240</f>
        <v>83.8</v>
      </c>
      <c r="D4" s="2">
        <f>CPI!B244</f>
        <v>86.6</v>
      </c>
      <c r="E4" s="2">
        <f>CPI!B248</f>
        <v>89.1</v>
      </c>
      <c r="F4" s="2">
        <f>CPI!B252</f>
        <v>92.4</v>
      </c>
      <c r="G4" s="2">
        <f>CPI!B256</f>
        <v>94.3</v>
      </c>
      <c r="H4" s="2">
        <f>CPI!B260</f>
        <v>96.9</v>
      </c>
      <c r="I4" s="2">
        <f>CPI!B264</f>
        <v>99.8</v>
      </c>
      <c r="J4" s="2">
        <f>CPI!B268</f>
        <v>102</v>
      </c>
    </row>
    <row r="5" spans="1:10" s="2" customFormat="1" x14ac:dyDescent="0.25">
      <c r="A5" s="14" t="str">
        <f>"Convert to real"</f>
        <v>Convert to real</v>
      </c>
      <c r="B5" s="15">
        <v>2013</v>
      </c>
      <c r="C5" s="13"/>
      <c r="D5" s="13"/>
      <c r="E5" s="13"/>
      <c r="F5" s="13"/>
      <c r="G5" s="13"/>
      <c r="H5" s="13"/>
      <c r="I5" s="13"/>
      <c r="J5" s="13"/>
    </row>
    <row r="6" spans="1:10" s="2" customFormat="1" hidden="1" x14ac:dyDescent="0.25">
      <c r="B6" s="2">
        <f>MATCH(Capex_base,C1:P1)</f>
        <v>8</v>
      </c>
      <c r="C6" s="13"/>
      <c r="D6" s="13"/>
      <c r="E6" s="13"/>
      <c r="F6" s="13"/>
      <c r="G6" s="13"/>
      <c r="H6" s="13"/>
      <c r="I6" s="13"/>
      <c r="J6" s="13"/>
    </row>
    <row r="7" spans="1:10" s="2" customFormat="1" hidden="1" x14ac:dyDescent="0.25">
      <c r="B7" s="2">
        <f>INDEX(C1:CZ4,2,$B$6)</f>
        <v>104.8</v>
      </c>
      <c r="C7" s="13"/>
      <c r="D7" s="13"/>
      <c r="E7" s="13"/>
      <c r="F7" s="13"/>
      <c r="G7" s="13"/>
      <c r="H7" s="13"/>
      <c r="I7" s="13"/>
      <c r="J7" s="13"/>
    </row>
    <row r="8" spans="1:10" s="2" customFormat="1" x14ac:dyDescent="0.25">
      <c r="A8" s="2" t="s">
        <v>20</v>
      </c>
      <c r="C8" s="17">
        <f t="shared" ref="C8:J9" si="0">Capex_Base_Index/C3</f>
        <v>1.2200232828870778</v>
      </c>
      <c r="D8" s="17">
        <f t="shared" si="0"/>
        <v>1.194982896237172</v>
      </c>
      <c r="E8" s="17">
        <f t="shared" si="0"/>
        <v>1.1441048034934498</v>
      </c>
      <c r="F8" s="17">
        <f t="shared" si="0"/>
        <v>1.1280947255113023</v>
      </c>
      <c r="G8" s="17">
        <f t="shared" si="0"/>
        <v>1.0939457202505218</v>
      </c>
      <c r="H8" s="17">
        <f t="shared" si="0"/>
        <v>1.0564516129032258</v>
      </c>
      <c r="I8" s="17">
        <f t="shared" si="0"/>
        <v>1.0438247011952191</v>
      </c>
      <c r="J8" s="17">
        <f t="shared" si="0"/>
        <v>1.0194552529182879</v>
      </c>
    </row>
    <row r="9" spans="1:10" s="2" customFormat="1" x14ac:dyDescent="0.25">
      <c r="A9" s="2" t="s">
        <v>19</v>
      </c>
      <c r="C9" s="17">
        <f t="shared" si="0"/>
        <v>1.2505966587112172</v>
      </c>
      <c r="D9" s="17">
        <f t="shared" si="0"/>
        <v>1.210161662817552</v>
      </c>
      <c r="E9" s="17">
        <f t="shared" si="0"/>
        <v>1.1762065095398428</v>
      </c>
      <c r="F9" s="17">
        <f t="shared" si="0"/>
        <v>1.1341991341991342</v>
      </c>
      <c r="G9" s="17">
        <f t="shared" si="0"/>
        <v>1.1113467656415694</v>
      </c>
      <c r="H9" s="17">
        <f t="shared" si="0"/>
        <v>1.0815273477812177</v>
      </c>
      <c r="I9" s="17">
        <f t="shared" si="0"/>
        <v>1.0501002004008015</v>
      </c>
      <c r="J9" s="17">
        <f t="shared" si="0"/>
        <v>1.0274509803921568</v>
      </c>
    </row>
    <row r="10" spans="1:10" s="2" customFormat="1" x14ac:dyDescent="0.25"/>
    <row r="11" spans="1:10" x14ac:dyDescent="0.25">
      <c r="J11" s="31"/>
    </row>
    <row r="12" spans="1:10" x14ac:dyDescent="0.25">
      <c r="A12" t="s">
        <v>55</v>
      </c>
      <c r="J12" s="31"/>
    </row>
    <row r="13" spans="1:10" x14ac:dyDescent="0.25">
      <c r="A13" s="18" t="s">
        <v>94</v>
      </c>
      <c r="B13" s="18" t="s">
        <v>21</v>
      </c>
      <c r="C13" s="19">
        <f>'[2]SD 4. Assets (RAB)'!D$13</f>
        <v>-45791.849417636906</v>
      </c>
      <c r="D13" s="19">
        <f>'[2]SD 4. Assets (RAB)'!E$13</f>
        <v>-50958.501088076984</v>
      </c>
      <c r="E13" s="19">
        <f>'[2]SD 4. Assets (RAB)'!F$13</f>
        <v>-48204.850280116312</v>
      </c>
      <c r="F13" s="19">
        <f>'[2]SD 4. Assets (RAB)'!G$13</f>
        <v>-55008.877124563965</v>
      </c>
      <c r="G13" s="19">
        <f>'[2]SD 4. Assets (RAB)'!H$13</f>
        <v>-60040.104570401381</v>
      </c>
      <c r="H13" s="19">
        <f>'[2]SD 4. Assets (RAB)'!I$13</f>
        <v>-63337.177692221783</v>
      </c>
      <c r="I13" s="19">
        <f>'[2]SD 4. Assets (RAB)'!J$13</f>
        <v>-66722.89939335885</v>
      </c>
      <c r="J13" s="19">
        <f>'[2]SD 4. Assets (RAB)'!K$13</f>
        <v>-73303.01352783374</v>
      </c>
    </row>
    <row r="14" spans="1:10" x14ac:dyDescent="0.25">
      <c r="A14" s="18" t="s">
        <v>26</v>
      </c>
      <c r="B14" s="18" t="s">
        <v>21</v>
      </c>
      <c r="C14" s="19">
        <f>'[2]SD 4. Assets (RAB)'!L$13</f>
        <v>-132496.74622431587</v>
      </c>
      <c r="D14" s="19">
        <f>'[2]SD 4. Assets (RAB)'!M$13</f>
        <v>-140357.26629175912</v>
      </c>
      <c r="E14" s="19">
        <f>'[2]SD 4. Assets (RAB)'!N$13</f>
        <v>-156999.72982458232</v>
      </c>
      <c r="F14" s="19">
        <f>'[2]SD 4. Assets (RAB)'!O$13</f>
        <v>-182601.09296048834</v>
      </c>
      <c r="G14" s="19">
        <f>'[2]SD 4. Assets (RAB)'!P$13</f>
        <v>-191974.42283243482</v>
      </c>
      <c r="H14" s="19">
        <f>'[2]SD 4. Assets (RAB)'!Q$13</f>
        <v>-209895.4904502311</v>
      </c>
      <c r="I14" s="19">
        <f>'[2]SD 4. Assets (RAB)'!R$13</f>
        <v>-224992.70041557745</v>
      </c>
      <c r="J14" s="19">
        <f>'[2]SD 4. Assets (RAB)'!S$13</f>
        <v>-212080.91622801078</v>
      </c>
    </row>
    <row r="15" spans="1:10" x14ac:dyDescent="0.25">
      <c r="A15" s="18" t="s">
        <v>86</v>
      </c>
      <c r="B15" s="18" t="s">
        <v>21</v>
      </c>
      <c r="C15" s="19">
        <f>'[2]SD 4. Assets (RAB)'!T$13</f>
        <v>-86280.945999999996</v>
      </c>
      <c r="D15" s="19">
        <f>'[2]SD 4. Assets (RAB)'!U$13</f>
        <v>-91719.03</v>
      </c>
      <c r="E15" s="19">
        <f>'[2]SD 4. Assets (RAB)'!V$13</f>
        <v>-103392.598</v>
      </c>
      <c r="F15" s="19">
        <f>'[2]SD 4. Assets (RAB)'!W$13</f>
        <v>-107125.821</v>
      </c>
      <c r="G15" s="19">
        <f>'[2]SD 4. Assets (RAB)'!X$13</f>
        <v>-112873.439</v>
      </c>
      <c r="H15" s="19">
        <f>'[2]SD 4. Assets (RAB)'!Y$13</f>
        <v>-118888.912</v>
      </c>
      <c r="I15" s="19">
        <f>'[2]SD 4. Assets (RAB)'!Z$13</f>
        <v>-123748.05100000001</v>
      </c>
      <c r="J15" s="19">
        <f>'[2]SD 4. Assets (RAB)'!AA$13</f>
        <v>-129632.00900000001</v>
      </c>
    </row>
    <row r="16" spans="1:10" x14ac:dyDescent="0.25">
      <c r="A16" s="18" t="s">
        <v>49</v>
      </c>
      <c r="B16" s="18" t="s">
        <v>21</v>
      </c>
      <c r="C16" s="19">
        <f>'[2]SD 4. Assets (RAB)'!AB$13</f>
        <v>-34117</v>
      </c>
      <c r="D16" s="19">
        <f>'[2]SD 4. Assets (RAB)'!AC$13</f>
        <v>-33914</v>
      </c>
      <c r="E16" s="19">
        <f>'[2]SD 4. Assets (RAB)'!AD$13</f>
        <v>-37777</v>
      </c>
      <c r="F16" s="19">
        <f>'[2]SD 4. Assets (RAB)'!AE$13</f>
        <v>-41311</v>
      </c>
      <c r="G16" s="19">
        <f>'[2]SD 4. Assets (RAB)'!AF$13</f>
        <v>-49841</v>
      </c>
      <c r="H16" s="19">
        <f>'[2]SD 4. Assets (RAB)'!AG$13</f>
        <v>-54231</v>
      </c>
      <c r="I16" s="19">
        <f>'[2]SD 4. Assets (RAB)'!AH$13</f>
        <v>-54880</v>
      </c>
      <c r="J16" s="19">
        <f>'[2]SD 4. Assets (RAB)'!AI$13</f>
        <v>-54578</v>
      </c>
    </row>
    <row r="17" spans="1:11" x14ac:dyDescent="0.25">
      <c r="A17" s="18" t="s">
        <v>95</v>
      </c>
      <c r="B17" s="18" t="s">
        <v>21</v>
      </c>
      <c r="C17" s="19">
        <f>'[2]SD 4. Assets (RAB)'!AJ$13</f>
        <v>-121720.69285763716</v>
      </c>
      <c r="D17" s="19">
        <f>'[2]SD 4. Assets (RAB)'!AK$13</f>
        <v>-130837</v>
      </c>
      <c r="E17" s="19">
        <f>'[2]SD 4. Assets (RAB)'!AL$13</f>
        <v>-138414</v>
      </c>
      <c r="F17" s="19">
        <f>'[2]SD 4. Assets (RAB)'!AM$13</f>
        <v>-155347.27373057668</v>
      </c>
      <c r="G17" s="19">
        <f>'[2]SD 4. Assets (RAB)'!AN$13</f>
        <v>-178956.02871101134</v>
      </c>
      <c r="H17" s="19">
        <f>'[2]SD 4. Assets (RAB)'!AO$13</f>
        <v>-181714.94605466677</v>
      </c>
      <c r="I17" s="19">
        <f>'[2]SD 4. Assets (RAB)'!AP$13</f>
        <v>-184338.2857749275</v>
      </c>
      <c r="J17" s="19">
        <f>'[2]SD 4. Assets (RAB)'!AQ$13</f>
        <v>-199415.56154466461</v>
      </c>
      <c r="K17" s="2"/>
    </row>
    <row r="19" spans="1:11" x14ac:dyDescent="0.25">
      <c r="A19" t="s">
        <v>56</v>
      </c>
    </row>
    <row r="20" spans="1:11" x14ac:dyDescent="0.25">
      <c r="A20" s="18" t="s">
        <v>94</v>
      </c>
      <c r="B20" s="18" t="s">
        <v>21</v>
      </c>
      <c r="C20" s="19">
        <f>C13*C$9</f>
        <v>-57267.133877903907</v>
      </c>
      <c r="D20" s="19">
        <f t="shared" ref="D20:J20" si="1">D13*D$9</f>
        <v>-61668.024411437276</v>
      </c>
      <c r="E20" s="19">
        <f t="shared" si="1"/>
        <v>-56698.85869086632</v>
      </c>
      <c r="F20" s="19">
        <f t="shared" si="1"/>
        <v>-62391.02080794701</v>
      </c>
      <c r="G20" s="19">
        <f t="shared" si="1"/>
        <v>-66725.376023097182</v>
      </c>
      <c r="H20" s="19">
        <f t="shared" si="1"/>
        <v>-68500.889805416329</v>
      </c>
      <c r="I20" s="19">
        <f t="shared" si="1"/>
        <v>-70065.730024288641</v>
      </c>
      <c r="J20" s="19">
        <f t="shared" si="1"/>
        <v>-75315.253114872306</v>
      </c>
    </row>
    <row r="21" spans="1:11" x14ac:dyDescent="0.25">
      <c r="A21" s="18" t="s">
        <v>26</v>
      </c>
      <c r="B21" s="18" t="s">
        <v>21</v>
      </c>
      <c r="C21" s="19">
        <f>C14*C$9</f>
        <v>-165699.9881182375</v>
      </c>
      <c r="D21" s="19">
        <f t="shared" ref="D21:J21" si="2">D14*D$9</f>
        <v>-169854.98276416116</v>
      </c>
      <c r="E21" s="19">
        <f t="shared" si="2"/>
        <v>-184664.10421567032</v>
      </c>
      <c r="F21" s="19">
        <f t="shared" si="2"/>
        <v>-207106.00153960151</v>
      </c>
      <c r="G21" s="19">
        <f t="shared" si="2"/>
        <v>-213350.15390073351</v>
      </c>
      <c r="H21" s="19">
        <f t="shared" si="2"/>
        <v>-227007.71309787635</v>
      </c>
      <c r="I21" s="19">
        <f t="shared" si="2"/>
        <v>-236264.87979511538</v>
      </c>
      <c r="J21" s="19">
        <f t="shared" si="2"/>
        <v>-217902.74530093654</v>
      </c>
    </row>
    <row r="22" spans="1:11" x14ac:dyDescent="0.25">
      <c r="A22" s="18" t="s">
        <v>86</v>
      </c>
      <c r="B22" s="18" t="s">
        <v>21</v>
      </c>
      <c r="C22" s="19">
        <f>C15*C$8</f>
        <v>-105264.76298952269</v>
      </c>
      <c r="D22" s="19">
        <f t="shared" ref="D22:J22" si="3">D15*D$8</f>
        <v>-109602.67210946407</v>
      </c>
      <c r="E22" s="19">
        <f t="shared" si="3"/>
        <v>-118291.96801746725</v>
      </c>
      <c r="F22" s="19">
        <f t="shared" si="3"/>
        <v>-120848.0736361679</v>
      </c>
      <c r="G22" s="19">
        <f t="shared" si="3"/>
        <v>-123477.41552400833</v>
      </c>
      <c r="H22" s="19">
        <f t="shared" si="3"/>
        <v>-125600.38283870967</v>
      </c>
      <c r="I22" s="19">
        <f t="shared" si="3"/>
        <v>-129171.27235856574</v>
      </c>
      <c r="J22" s="19">
        <f t="shared" si="3"/>
        <v>-132154.03252140078</v>
      </c>
    </row>
    <row r="23" spans="1:11" x14ac:dyDescent="0.25">
      <c r="A23" s="18" t="s">
        <v>49</v>
      </c>
      <c r="B23" s="18" t="s">
        <v>21</v>
      </c>
      <c r="C23" s="19">
        <f>C16*C$9</f>
        <v>-42666.606205250595</v>
      </c>
      <c r="D23" s="19">
        <f t="shared" ref="D23:J23" si="4">D16*D$9</f>
        <v>-41041.422632794456</v>
      </c>
      <c r="E23" s="19">
        <f t="shared" si="4"/>
        <v>-44433.553310886644</v>
      </c>
      <c r="F23" s="19">
        <f t="shared" si="4"/>
        <v>-46854.900432900431</v>
      </c>
      <c r="G23" s="19">
        <f t="shared" si="4"/>
        <v>-55390.634146341465</v>
      </c>
      <c r="H23" s="19">
        <f t="shared" si="4"/>
        <v>-58652.309597523221</v>
      </c>
      <c r="I23" s="19">
        <f t="shared" si="4"/>
        <v>-57629.498997995986</v>
      </c>
      <c r="J23" s="19">
        <f t="shared" si="4"/>
        <v>-56076.21960784313</v>
      </c>
    </row>
    <row r="24" spans="1:11" x14ac:dyDescent="0.25">
      <c r="A24" s="18" t="s">
        <v>95</v>
      </c>
      <c r="B24" s="18" t="s">
        <v>21</v>
      </c>
      <c r="C24" s="19">
        <f>C17*C$9</f>
        <v>-152223.49178377533</v>
      </c>
      <c r="D24" s="19">
        <f t="shared" ref="D24:J24" si="5">D17*D$9</f>
        <v>-158333.92147806005</v>
      </c>
      <c r="E24" s="19">
        <f t="shared" si="5"/>
        <v>-162803.44781144781</v>
      </c>
      <c r="F24" s="19">
        <f t="shared" si="5"/>
        <v>-176194.74336541598</v>
      </c>
      <c r="G24" s="19">
        <f t="shared" si="5"/>
        <v>-198882.2037000423</v>
      </c>
      <c r="H24" s="19">
        <f t="shared" si="5"/>
        <v>-196529.6836587108</v>
      </c>
      <c r="I24" s="19">
        <f t="shared" si="5"/>
        <v>-193573.67083379158</v>
      </c>
      <c r="J24" s="19">
        <f t="shared" si="5"/>
        <v>-204889.71421451814</v>
      </c>
    </row>
  </sheetData>
  <dataValidations count="1">
    <dataValidation type="list" allowBlank="1" showInputMessage="1" showErrorMessage="1" sqref="B5">
      <formula1>$C$1:$J$1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2:W29"/>
  <sheetViews>
    <sheetView workbookViewId="0">
      <selection activeCell="E13" sqref="E13"/>
    </sheetView>
  </sheetViews>
  <sheetFormatPr defaultRowHeight="15" x14ac:dyDescent="0.25"/>
  <cols>
    <col min="1" max="1" width="46.42578125" bestFit="1" customWidth="1"/>
    <col min="2" max="4" width="10.140625" bestFit="1" customWidth="1"/>
    <col min="5" max="9" width="11.7109375" bestFit="1" customWidth="1"/>
    <col min="10" max="10" width="11.85546875" customWidth="1"/>
  </cols>
  <sheetData>
    <row r="2" spans="1:23" x14ac:dyDescent="0.25">
      <c r="A2" s="2"/>
      <c r="C2" s="2">
        <v>2006</v>
      </c>
      <c r="D2" s="2">
        <v>2007</v>
      </c>
      <c r="E2" s="2">
        <v>2008</v>
      </c>
      <c r="F2" s="2">
        <v>2009</v>
      </c>
      <c r="G2" s="2">
        <v>2010</v>
      </c>
      <c r="H2" s="2">
        <v>2011</v>
      </c>
      <c r="I2" s="2">
        <v>2012</v>
      </c>
      <c r="J2" s="2">
        <v>2013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s="2" customFormat="1" x14ac:dyDescent="0.25">
      <c r="A3" s="2" t="s">
        <v>0</v>
      </c>
      <c r="C3" s="16">
        <f>CPI!B244</f>
        <v>86.6</v>
      </c>
      <c r="D3" s="16">
        <f>CPI!B248</f>
        <v>89.1</v>
      </c>
      <c r="E3" s="16">
        <f>CPI!B252</f>
        <v>92.4</v>
      </c>
      <c r="F3" s="16">
        <f>CPI!B256</f>
        <v>94.3</v>
      </c>
      <c r="G3" s="16">
        <f>CPI!B260</f>
        <v>96.9</v>
      </c>
      <c r="H3" s="16">
        <f>CPI!B264</f>
        <v>99.8</v>
      </c>
      <c r="I3" s="16">
        <f>CPI!B268</f>
        <v>102</v>
      </c>
      <c r="J3" s="16">
        <f>CPI!B272</f>
        <v>104.8</v>
      </c>
    </row>
    <row r="4" spans="1:23" hidden="1" x14ac:dyDescent="0.25">
      <c r="A4" s="2" t="s">
        <v>18</v>
      </c>
      <c r="C4" s="13">
        <f>CPI!B242</f>
        <v>85.9</v>
      </c>
      <c r="D4" s="13">
        <f>CPI!B246</f>
        <v>87.7</v>
      </c>
      <c r="E4" s="13">
        <f>CPI!B250</f>
        <v>91.6</v>
      </c>
      <c r="F4" s="13">
        <f>CPI!B254</f>
        <v>92.9</v>
      </c>
      <c r="G4" s="13">
        <f>CPI!B258</f>
        <v>95.8</v>
      </c>
      <c r="H4" s="13">
        <f>CPI!B262</f>
        <v>99.2</v>
      </c>
      <c r="I4" s="13">
        <f>CPI!B266</f>
        <v>100.4</v>
      </c>
      <c r="J4" s="13">
        <f>CPI!B270</f>
        <v>102.8</v>
      </c>
    </row>
    <row r="5" spans="1:23" s="2" customFormat="1" hidden="1" x14ac:dyDescent="0.25">
      <c r="A5" s="2" t="s">
        <v>17</v>
      </c>
      <c r="C5" s="2">
        <f>CPI!B240</f>
        <v>83.8</v>
      </c>
      <c r="D5" s="2">
        <f>CPI!B244</f>
        <v>86.6</v>
      </c>
      <c r="E5" s="2">
        <f>CPI!B248</f>
        <v>89.1</v>
      </c>
      <c r="F5" s="2">
        <f>CPI!B252</f>
        <v>92.4</v>
      </c>
      <c r="G5" s="2">
        <f>CPI!B256</f>
        <v>94.3</v>
      </c>
      <c r="H5" s="2">
        <f>CPI!B260</f>
        <v>96.9</v>
      </c>
      <c r="I5" s="2">
        <f>CPI!B264</f>
        <v>99.8</v>
      </c>
      <c r="J5" s="2">
        <f>CPI!B268</f>
        <v>102</v>
      </c>
    </row>
    <row r="6" spans="1:23" s="2" customFormat="1" x14ac:dyDescent="0.25">
      <c r="A6" s="14" t="str">
        <f>"Convert to real"</f>
        <v>Convert to real</v>
      </c>
      <c r="B6" s="15">
        <v>2013</v>
      </c>
      <c r="C6" s="13"/>
      <c r="D6" s="13"/>
      <c r="E6" s="13"/>
      <c r="F6" s="13"/>
      <c r="G6" s="13"/>
      <c r="H6" s="13"/>
      <c r="I6" s="13"/>
      <c r="J6" s="13"/>
    </row>
    <row r="7" spans="1:23" s="2" customFormat="1" hidden="1" x14ac:dyDescent="0.25">
      <c r="B7" s="2">
        <f>MATCH(Capex_base,C2:P2)</f>
        <v>8</v>
      </c>
      <c r="C7" s="13"/>
      <c r="D7" s="13"/>
      <c r="E7" s="13"/>
      <c r="F7" s="13"/>
      <c r="G7" s="13"/>
      <c r="H7" s="13"/>
      <c r="I7" s="13"/>
      <c r="J7" s="13"/>
    </row>
    <row r="8" spans="1:23" s="2" customFormat="1" hidden="1" x14ac:dyDescent="0.25">
      <c r="B8" s="2">
        <f>INDEX(C2:CZ5,2,$B$7)</f>
        <v>104.8</v>
      </c>
      <c r="C8" s="13"/>
      <c r="D8" s="13"/>
      <c r="E8" s="13"/>
      <c r="F8" s="13"/>
      <c r="G8" s="13"/>
      <c r="H8" s="13"/>
      <c r="I8" s="13"/>
      <c r="J8" s="13"/>
    </row>
    <row r="9" spans="1:23" x14ac:dyDescent="0.25">
      <c r="A9" s="2" t="s">
        <v>20</v>
      </c>
      <c r="C9" s="17">
        <f>Capex_Base_Index/C4</f>
        <v>1.2200232828870778</v>
      </c>
      <c r="D9" s="17">
        <f t="shared" ref="C9:J10" si="0">Capex_Base_Index/D4</f>
        <v>1.194982896237172</v>
      </c>
      <c r="E9" s="17">
        <f t="shared" si="0"/>
        <v>1.1441048034934498</v>
      </c>
      <c r="F9" s="17">
        <f t="shared" si="0"/>
        <v>1.1280947255113023</v>
      </c>
      <c r="G9" s="17">
        <f t="shared" si="0"/>
        <v>1.0939457202505218</v>
      </c>
      <c r="H9" s="17">
        <f t="shared" si="0"/>
        <v>1.0564516129032258</v>
      </c>
      <c r="I9" s="17">
        <f t="shared" si="0"/>
        <v>1.0438247011952191</v>
      </c>
      <c r="J9" s="17">
        <f t="shared" si="0"/>
        <v>1.0194552529182879</v>
      </c>
    </row>
    <row r="10" spans="1:23" x14ac:dyDescent="0.25">
      <c r="A10" s="2" t="s">
        <v>19</v>
      </c>
      <c r="C10" s="17">
        <f t="shared" si="0"/>
        <v>1.2505966587112172</v>
      </c>
      <c r="D10" s="17">
        <f t="shared" si="0"/>
        <v>1.210161662817552</v>
      </c>
      <c r="E10" s="17">
        <f t="shared" si="0"/>
        <v>1.1762065095398428</v>
      </c>
      <c r="F10" s="17">
        <f t="shared" si="0"/>
        <v>1.1341991341991342</v>
      </c>
      <c r="G10" s="17">
        <f t="shared" si="0"/>
        <v>1.1113467656415694</v>
      </c>
      <c r="H10" s="17">
        <f t="shared" si="0"/>
        <v>1.0815273477812177</v>
      </c>
      <c r="I10" s="17">
        <f t="shared" si="0"/>
        <v>1.0501002004008015</v>
      </c>
      <c r="J10" s="17">
        <f t="shared" si="0"/>
        <v>1.0274509803921568</v>
      </c>
    </row>
    <row r="11" spans="1:23" s="2" customFormat="1" x14ac:dyDescent="0.25"/>
    <row r="12" spans="1:23" s="2" customFormat="1" x14ac:dyDescent="0.25"/>
    <row r="13" spans="1:23" x14ac:dyDescent="0.25">
      <c r="A13" s="2"/>
      <c r="C13" s="2"/>
      <c r="D13" s="2"/>
      <c r="E13" s="2"/>
      <c r="F13" s="2"/>
      <c r="G13" s="2"/>
      <c r="H13" s="2"/>
      <c r="I13" s="2"/>
      <c r="J13" s="2"/>
    </row>
    <row r="14" spans="1:23" x14ac:dyDescent="0.25">
      <c r="A14" s="24" t="s">
        <v>25</v>
      </c>
    </row>
    <row r="16" spans="1:23" s="2" customFormat="1" x14ac:dyDescent="0.25">
      <c r="A16" s="24" t="s">
        <v>28</v>
      </c>
    </row>
    <row r="17" spans="1:9" x14ac:dyDescent="0.25">
      <c r="A17" s="24" t="s">
        <v>1</v>
      </c>
    </row>
    <row r="18" spans="1:9" x14ac:dyDescent="0.25">
      <c r="A18" s="18" t="s">
        <v>94</v>
      </c>
      <c r="B18" s="19">
        <f>'[2]SD 4. Assets (RAB)'!D15</f>
        <v>89258.11425374214</v>
      </c>
      <c r="C18" s="19">
        <f>'[2]SD 4. Assets (RAB)'!E15</f>
        <v>80842.987365847715</v>
      </c>
      <c r="D18" s="19">
        <f>'[2]SD 4. Assets (RAB)'!F15</f>
        <v>162293.47653741398</v>
      </c>
      <c r="E18" s="19">
        <f>'[2]SD 4. Assets (RAB)'!G15</f>
        <v>59106.056239456964</v>
      </c>
      <c r="F18" s="19">
        <f>'[2]SD 4. Assets (RAB)'!H15</f>
        <v>20345.625267704796</v>
      </c>
      <c r="G18" s="19">
        <f>'[2]SD 4. Assets (RAB)'!I15</f>
        <v>97061.100193905717</v>
      </c>
      <c r="H18" s="19">
        <f>'[2]SD 4. Assets (RAB)'!J15</f>
        <v>315713.09947788186</v>
      </c>
      <c r="I18" s="19">
        <f>'[2]SD 4. Assets (RAB)'!K15</f>
        <v>178283.85468255344</v>
      </c>
    </row>
    <row r="19" spans="1:9" x14ac:dyDescent="0.25">
      <c r="A19" s="18" t="s">
        <v>26</v>
      </c>
      <c r="B19" s="19">
        <f>'[2]SD 4. Assets (RAB)'!L15</f>
        <v>269318.53261280397</v>
      </c>
      <c r="C19" s="19">
        <f>'[2]SD 4. Assets (RAB)'!M15</f>
        <v>256570.90166529323</v>
      </c>
      <c r="D19" s="19">
        <f>'[2]SD 4. Assets (RAB)'!N15</f>
        <v>678189.56935022678</v>
      </c>
      <c r="E19" s="19">
        <f>'[2]SD 4. Assets (RAB)'!O15</f>
        <v>671491.83669466269</v>
      </c>
      <c r="F19" s="19">
        <f>'[2]SD 4. Assets (RAB)'!P15</f>
        <v>473251.6947943017</v>
      </c>
      <c r="G19" s="19">
        <f>'[2]SD 4. Assets (RAB)'!Q15</f>
        <v>463875.87787008594</v>
      </c>
      <c r="H19" s="19">
        <f>'[2]SD 4. Assets (RAB)'!R15</f>
        <v>503875.60955456615</v>
      </c>
      <c r="I19" s="19">
        <f>'[2]SD 4. Assets (RAB)'!S15</f>
        <v>504179.01052687335</v>
      </c>
    </row>
    <row r="20" spans="1:9" x14ac:dyDescent="0.25">
      <c r="A20" s="18" t="s">
        <v>86</v>
      </c>
      <c r="B20" s="19">
        <f>'[2]SD 4. Assets (RAB)'!T15</f>
        <v>60055.487000000001</v>
      </c>
      <c r="C20" s="19">
        <f>'[2]SD 4. Assets (RAB)'!U15</f>
        <v>81707.709000000003</v>
      </c>
      <c r="D20" s="19">
        <f>'[2]SD 4. Assets (RAB)'!V15</f>
        <v>109142.72199999999</v>
      </c>
      <c r="E20" s="19">
        <f>'[2]SD 4. Assets (RAB)'!W15</f>
        <v>41643.434000000001</v>
      </c>
      <c r="F20" s="19">
        <f>'[2]SD 4. Assets (RAB)'!X15</f>
        <v>86552.108999999997</v>
      </c>
      <c r="G20" s="19">
        <f>'[2]SD 4. Assets (RAB)'!Y15</f>
        <v>110822.41800000001</v>
      </c>
      <c r="H20" s="19">
        <f>'[2]SD 4. Assets (RAB)'!Z15</f>
        <v>124792.08900000001</v>
      </c>
      <c r="I20" s="19">
        <f>'[2]SD 4. Assets (RAB)'!AA15</f>
        <v>166090.78399999999</v>
      </c>
    </row>
    <row r="21" spans="1:9" x14ac:dyDescent="0.25">
      <c r="A21" s="18" t="s">
        <v>49</v>
      </c>
      <c r="B21" s="19">
        <f>'[2]SD 4. Assets (RAB)'!AB15</f>
        <v>67649</v>
      </c>
      <c r="C21" s="19">
        <f>'[2]SD 4. Assets (RAB)'!AC15</f>
        <v>97870</v>
      </c>
      <c r="D21" s="19">
        <f>'[2]SD 4. Assets (RAB)'!AD15</f>
        <v>59619</v>
      </c>
      <c r="E21" s="19">
        <f>'[2]SD 4. Assets (RAB)'!AE15</f>
        <v>82109</v>
      </c>
      <c r="F21" s="19">
        <f>'[2]SD 4. Assets (RAB)'!AF15</f>
        <v>49873</v>
      </c>
      <c r="G21" s="19">
        <f>'[2]SD 4. Assets (RAB)'!AG15</f>
        <v>222178</v>
      </c>
      <c r="H21" s="19">
        <f>'[2]SD 4. Assets (RAB)'!AH15</f>
        <v>105301</v>
      </c>
      <c r="I21" s="19">
        <f>'[2]SD 4. Assets (RAB)'!AI15</f>
        <v>87448</v>
      </c>
    </row>
    <row r="22" spans="1:9" x14ac:dyDescent="0.25">
      <c r="A22" s="18" t="s">
        <v>95</v>
      </c>
      <c r="B22" s="19">
        <f>'[2]SD 4. Assets (RAB)'!AJ15</f>
        <v>162036</v>
      </c>
      <c r="C22" s="19">
        <f>'[2]SD 4. Assets (RAB)'!AK15</f>
        <v>225936</v>
      </c>
      <c r="D22" s="19">
        <f>'[2]SD 4. Assets (RAB)'!AL15</f>
        <v>337001</v>
      </c>
      <c r="E22" s="19">
        <f>'[2]SD 4. Assets (RAB)'!AM15</f>
        <v>549433.30268145294</v>
      </c>
      <c r="F22" s="19">
        <f>'[2]SD 4. Assets (RAB)'!AN15</f>
        <v>240632.34056820587</v>
      </c>
      <c r="G22" s="19">
        <f>'[2]SD 4. Assets (RAB)'!AO15</f>
        <v>370580.90669528913</v>
      </c>
      <c r="H22" s="19">
        <f>'[2]SD 4. Assets (RAB)'!AP15</f>
        <v>377519.62609399756</v>
      </c>
      <c r="I22" s="19">
        <f>'[2]SD 4. Assets (RAB)'!AQ15</f>
        <v>386404.8127500806</v>
      </c>
    </row>
    <row r="23" spans="1:9" x14ac:dyDescent="0.25">
      <c r="A23" s="2"/>
    </row>
    <row r="24" spans="1:9" x14ac:dyDescent="0.25">
      <c r="A24" s="24" t="str">
        <f>"Real $"&amp;Capex_base&amp;""</f>
        <v>Real $2013</v>
      </c>
    </row>
    <row r="25" spans="1:9" x14ac:dyDescent="0.25">
      <c r="A25" s="18" t="s">
        <v>94</v>
      </c>
      <c r="B25" s="19">
        <f t="shared" ref="B25:I25" si="1">B18*C$10</f>
        <v>111625.89944859399</v>
      </c>
      <c r="C25" s="19">
        <f t="shared" si="1"/>
        <v>97833.084017792615</v>
      </c>
      <c r="D25" s="19">
        <f t="shared" si="1"/>
        <v>190890.64355915808</v>
      </c>
      <c r="E25" s="19">
        <f t="shared" si="1"/>
        <v>67038.037812717419</v>
      </c>
      <c r="F25" s="19">
        <f t="shared" si="1"/>
        <v>22611.044836219116</v>
      </c>
      <c r="G25" s="19">
        <f t="shared" si="1"/>
        <v>104974.23426544189</v>
      </c>
      <c r="H25" s="19">
        <f t="shared" si="1"/>
        <v>331530.38903088192</v>
      </c>
      <c r="I25" s="19">
        <f t="shared" si="1"/>
        <v>183177.92128168236</v>
      </c>
    </row>
    <row r="26" spans="1:9" x14ac:dyDescent="0.25">
      <c r="A26" s="18" t="s">
        <v>26</v>
      </c>
      <c r="B26" s="19">
        <f t="shared" ref="B26:I28" si="2">B19*C$10</f>
        <v>336808.85701458063</v>
      </c>
      <c r="C26" s="19">
        <f t="shared" si="2"/>
        <v>310492.26898986986</v>
      </c>
      <c r="D26" s="19">
        <f t="shared" si="2"/>
        <v>797690.98617175943</v>
      </c>
      <c r="E26" s="19">
        <f t="shared" si="2"/>
        <v>761605.45980087284</v>
      </c>
      <c r="F26" s="19">
        <f t="shared" si="2"/>
        <v>525946.74034403835</v>
      </c>
      <c r="G26" s="19">
        <f t="shared" si="2"/>
        <v>501694.44789251813</v>
      </c>
      <c r="H26" s="19">
        <f t="shared" si="2"/>
        <v>529119.87857032591</v>
      </c>
      <c r="I26" s="19">
        <f t="shared" si="2"/>
        <v>518019.21865898353</v>
      </c>
    </row>
    <row r="27" spans="1:9" x14ac:dyDescent="0.25">
      <c r="A27" s="18" t="s">
        <v>86</v>
      </c>
      <c r="B27" s="19">
        <f>B20*C$9</f>
        <v>73269.092405122225</v>
      </c>
      <c r="C27" s="19">
        <f t="shared" ref="C27:I27" si="3">C20*D$9</f>
        <v>97639.314745724056</v>
      </c>
      <c r="D27" s="19">
        <f t="shared" si="3"/>
        <v>124870.71250655022</v>
      </c>
      <c r="E27" s="19">
        <f t="shared" si="3"/>
        <v>46977.738247578032</v>
      </c>
      <c r="F27" s="19">
        <f t="shared" si="3"/>
        <v>94683.309219206669</v>
      </c>
      <c r="G27" s="19">
        <f t="shared" si="3"/>
        <v>117078.52224193548</v>
      </c>
      <c r="H27" s="19">
        <f t="shared" si="3"/>
        <v>130261.06501195219</v>
      </c>
      <c r="I27" s="19">
        <f t="shared" si="3"/>
        <v>169322.12221011671</v>
      </c>
    </row>
    <row r="28" spans="1:9" x14ac:dyDescent="0.25">
      <c r="A28" s="18" t="s">
        <v>49</v>
      </c>
      <c r="B28" s="19">
        <f t="shared" si="2"/>
        <v>84601.613365155135</v>
      </c>
      <c r="C28" s="19">
        <f t="shared" si="2"/>
        <v>118438.52193995382</v>
      </c>
      <c r="D28" s="19">
        <f>D21*E$10</f>
        <v>70124.255892255896</v>
      </c>
      <c r="E28" s="19">
        <f t="shared" si="2"/>
        <v>93127.956709956707</v>
      </c>
      <c r="F28" s="19">
        <f t="shared" si="2"/>
        <v>55426.19724284199</v>
      </c>
      <c r="G28" s="19">
        <f t="shared" si="2"/>
        <v>240291.58307533539</v>
      </c>
      <c r="H28" s="19">
        <f t="shared" si="2"/>
        <v>110576.60120240481</v>
      </c>
      <c r="I28" s="19">
        <f t="shared" si="2"/>
        <v>89848.533333333326</v>
      </c>
    </row>
    <row r="29" spans="1:9" x14ac:dyDescent="0.25">
      <c r="A29" s="18" t="s">
        <v>95</v>
      </c>
      <c r="B29" s="19">
        <f>B22*C$10</f>
        <v>202641.68019093078</v>
      </c>
      <c r="C29" s="19">
        <f>C22*D$10</f>
        <v>273419.08545034641</v>
      </c>
      <c r="D29" s="19">
        <f>D22*E$10</f>
        <v>396382.76992143656</v>
      </c>
      <c r="E29" s="19">
        <f>E22*F$10</f>
        <v>623166.77620147483</v>
      </c>
      <c r="F29" s="19">
        <f>F22*G$10</f>
        <v>267425.97339923622</v>
      </c>
      <c r="G29" s="19">
        <f>G22*H$10</f>
        <v>400793.38515651494</v>
      </c>
      <c r="H29" s="19">
        <f>H22*I$10</f>
        <v>396433.4350165425</v>
      </c>
      <c r="I29" s="19">
        <f>I22*J$10</f>
        <v>397012.00368831807</v>
      </c>
    </row>
  </sheetData>
  <dataValidations count="1">
    <dataValidation type="list" allowBlank="1" showInputMessage="1" showErrorMessage="1" sqref="B6">
      <formula1>$C$2:$J$2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workbookViewId="0">
      <selection activeCell="E40" sqref="E40"/>
    </sheetView>
  </sheetViews>
  <sheetFormatPr defaultRowHeight="15" x14ac:dyDescent="0.25"/>
  <cols>
    <col min="1" max="1" width="46.42578125" style="2" bestFit="1" customWidth="1"/>
    <col min="2" max="4" width="10.140625" style="2" bestFit="1" customWidth="1"/>
    <col min="5" max="9" width="11.7109375" style="2" bestFit="1" customWidth="1"/>
    <col min="10" max="10" width="11.85546875" style="2" customWidth="1"/>
    <col min="11" max="16384" width="9.140625" style="2"/>
  </cols>
  <sheetData>
    <row r="2" spans="1:10" x14ac:dyDescent="0.25">
      <c r="A2" s="2" t="s">
        <v>57</v>
      </c>
      <c r="B2" s="32">
        <f>AVERAGE([3]WACC!$C$22:$J$22)</f>
        <v>6.0917429206479495E-2</v>
      </c>
    </row>
    <row r="5" spans="1:10" x14ac:dyDescent="0.25">
      <c r="A5" s="30" t="s">
        <v>59</v>
      </c>
    </row>
    <row r="6" spans="1:10" x14ac:dyDescent="0.25">
      <c r="A6" s="24" t="s">
        <v>58</v>
      </c>
      <c r="B6" s="2">
        <v>2006</v>
      </c>
      <c r="C6" s="2">
        <v>2007</v>
      </c>
      <c r="D6" s="2">
        <v>2008</v>
      </c>
      <c r="E6" s="2">
        <v>2009</v>
      </c>
      <c r="F6" s="2">
        <v>2010</v>
      </c>
      <c r="G6" s="2">
        <v>2011</v>
      </c>
      <c r="H6" s="2">
        <v>2012</v>
      </c>
      <c r="I6" s="2">
        <v>2013</v>
      </c>
    </row>
    <row r="7" spans="1:10" x14ac:dyDescent="0.25">
      <c r="A7" s="18" t="s">
        <v>94</v>
      </c>
      <c r="B7" s="19">
        <f>RAB!C21*'Asset cost'!$B$2-Depreciation!C20</f>
        <v>134097.67724038381</v>
      </c>
      <c r="C7" s="19">
        <f>RAB!D21*'Asset cost'!$B$2-Depreciation!D20</f>
        <v>140726.03708364067</v>
      </c>
      <c r="D7" s="19">
        <f>RAB!E21*'Asset cost'!$B$2-Depreciation!E20</f>
        <v>141280.35052927604</v>
      </c>
      <c r="E7" s="19">
        <f>RAB!F21*'Asset cost'!$B$2-Depreciation!F20</f>
        <v>150720.90407137561</v>
      </c>
      <c r="F7" s="19">
        <f>RAB!G21*'Asset cost'!$B$2-Depreciation!G20</f>
        <v>154390.11094271895</v>
      </c>
      <c r="G7" s="19">
        <f>RAB!H21*'Asset cost'!$B$2-Depreciation!H20</f>
        <v>156223.87368572876</v>
      </c>
      <c r="H7" s="19">
        <f>RAB!I21*'Asset cost'!$B$2-Depreciation!I20</f>
        <v>166310.30216548411</v>
      </c>
      <c r="I7" s="19">
        <f>RAB!J21*'Asset cost'!$B$2-Depreciation!J20</f>
        <v>182524.69168345578</v>
      </c>
    </row>
    <row r="8" spans="1:10" x14ac:dyDescent="0.25">
      <c r="A8" s="18" t="s">
        <v>26</v>
      </c>
      <c r="B8" s="19">
        <f>RAB!C22*'Asset cost'!$B$2-Depreciation!C21</f>
        <v>387100.65279797907</v>
      </c>
      <c r="C8" s="19">
        <f>RAB!D22*'Asset cost'!$B$2-Depreciation!D21</f>
        <v>399193.63628540299</v>
      </c>
      <c r="D8" s="19">
        <f>RAB!E22*'Asset cost'!$B$2-Depreciation!E21</f>
        <v>440338.57353656972</v>
      </c>
      <c r="E8" s="19">
        <f>RAB!F22*'Asset cost'!$B$2-Depreciation!F21</f>
        <v>496389.9637090452</v>
      </c>
      <c r="F8" s="19">
        <f>RAB!G22*'Asset cost'!$B$2-Depreciation!G21</f>
        <v>530293.39206228103</v>
      </c>
      <c r="G8" s="19">
        <f>RAB!H22*'Asset cost'!$B$2-Depreciation!H21</f>
        <v>562560.10798312619</v>
      </c>
      <c r="H8" s="19">
        <f>RAB!I22*'Asset cost'!$B$2-Depreciation!I21</f>
        <v>586662.52226567944</v>
      </c>
      <c r="I8" s="19">
        <f>RAB!J22*'Asset cost'!$B$2-Depreciation!J21</f>
        <v>582143.72314692312</v>
      </c>
    </row>
    <row r="9" spans="1:10" x14ac:dyDescent="0.25">
      <c r="A9" s="18" t="s">
        <v>86</v>
      </c>
      <c r="B9" s="19">
        <f>RAB!C23*'Asset cost'!$B$2-Depreciation!C22</f>
        <v>245727.71059211026</v>
      </c>
      <c r="C9" s="19">
        <f>RAB!D23*'Asset cost'!$B$2-Depreciation!D22</f>
        <v>250069.0139573848</v>
      </c>
      <c r="D9" s="19">
        <f>RAB!E23*'Asset cost'!$B$2-Depreciation!E22</f>
        <v>258191.98558013671</v>
      </c>
      <c r="E9" s="19">
        <f>RAB!F23*'Asset cost'!$B$2-Depreciation!F22</f>
        <v>270740.03442880762</v>
      </c>
      <c r="F9" s="19">
        <f>RAB!G23*'Asset cost'!$B$2-Depreciation!G22</f>
        <v>269956.20587386354</v>
      </c>
      <c r="G9" s="19">
        <f>RAB!H23*'Asset cost'!$B$2-Depreciation!H22</f>
        <v>269301.88646552776</v>
      </c>
      <c r="H9" s="19">
        <f>RAB!I23*'Asset cost'!$B$2-Depreciation!I22</f>
        <v>274972.84223399742</v>
      </c>
      <c r="I9" s="19">
        <f>RAB!J23*'Asset cost'!$B$2-Depreciation!J22</f>
        <v>279389.94163523038</v>
      </c>
    </row>
    <row r="10" spans="1:10" x14ac:dyDescent="0.25">
      <c r="A10" s="18" t="s">
        <v>49</v>
      </c>
      <c r="B10" s="19">
        <f>RAB!C24*'Asset cost'!$B$2-Depreciation!C23</f>
        <v>93434.779677304425</v>
      </c>
      <c r="C10" s="19">
        <f>RAB!D24*'Asset cost'!$B$2-Depreciation!D23</f>
        <v>94730.068079371733</v>
      </c>
      <c r="D10" s="19">
        <f>RAB!E24*'Asset cost'!$B$2-Depreciation!E23</f>
        <v>100886.82039436069</v>
      </c>
      <c r="E10" s="19">
        <f>RAB!F24*'Asset cost'!$B$2-Depreciation!F23</f>
        <v>105240.47733700571</v>
      </c>
      <c r="F10" s="19">
        <f>RAB!G24*'Asset cost'!$B$2-Depreciation!G23</f>
        <v>116002.31754824112</v>
      </c>
      <c r="G10" s="19">
        <f>RAB!H24*'Asset cost'!$B$2-Depreciation!H23</f>
        <v>124993.63986195158</v>
      </c>
      <c r="H10" s="19">
        <f>RAB!I24*'Asset cost'!$B$2-Depreciation!I23</f>
        <v>130540.99477890579</v>
      </c>
      <c r="I10" s="19">
        <f>RAB!J24*'Asset cost'!$B$2-Depreciation!J23</f>
        <v>131486.25973809289</v>
      </c>
    </row>
    <row r="11" spans="1:10" x14ac:dyDescent="0.25">
      <c r="A11" s="18" t="s">
        <v>95</v>
      </c>
      <c r="B11" s="19">
        <f>RAB!C25*'Asset cost'!$B$2-Depreciation!C24</f>
        <v>393447.81633997295</v>
      </c>
      <c r="C11" s="19">
        <f>RAB!D25*'Asset cost'!$B$2-Depreciation!D24</f>
        <v>402595.17394600157</v>
      </c>
      <c r="D11" s="19">
        <f>RAB!E25*'Asset cost'!$B$2-Depreciation!E24</f>
        <v>418355.61237661121</v>
      </c>
      <c r="E11" s="19">
        <f>RAB!F25*'Asset cost'!$B$2-Depreciation!F24</f>
        <v>450934.55034769932</v>
      </c>
      <c r="F11" s="19">
        <f>RAB!G25*'Asset cost'!$B$2-Depreciation!G24</f>
        <v>490399.3725825022</v>
      </c>
      <c r="G11" s="19">
        <f>RAB!H25*'Asset cost'!$B$2-Depreciation!H24</f>
        <v>496934.70208908257</v>
      </c>
      <c r="H11" s="19">
        <f>RAB!I25*'Asset cost'!$B$2-Depreciation!I24</f>
        <v>504040.79400520772</v>
      </c>
      <c r="I11" s="19">
        <f>RAB!J25*'Asset cost'!$B$2-Depreciation!J24</f>
        <v>526307.40482619777</v>
      </c>
    </row>
    <row r="13" spans="1:10" x14ac:dyDescent="0.25">
      <c r="A13" s="30" t="s">
        <v>35</v>
      </c>
      <c r="C13" s="25"/>
      <c r="D13" s="25"/>
      <c r="E13" s="25"/>
      <c r="F13" s="25"/>
      <c r="G13" s="25"/>
      <c r="H13" s="25"/>
      <c r="I13" s="25"/>
      <c r="J13" s="25"/>
    </row>
    <row r="14" spans="1:10" x14ac:dyDescent="0.25">
      <c r="A14" s="24" t="s">
        <v>58</v>
      </c>
      <c r="B14" s="2">
        <v>2006</v>
      </c>
      <c r="C14" s="2">
        <v>2007</v>
      </c>
      <c r="D14" s="2">
        <v>2008</v>
      </c>
      <c r="E14" s="2">
        <v>2009</v>
      </c>
      <c r="F14" s="2">
        <v>2010</v>
      </c>
      <c r="G14" s="2">
        <v>2011</v>
      </c>
      <c r="H14" s="2">
        <v>2012</v>
      </c>
      <c r="I14" s="2">
        <v>2013</v>
      </c>
      <c r="J14" s="25"/>
    </row>
    <row r="15" spans="1:10" x14ac:dyDescent="0.25">
      <c r="A15" s="18" t="s">
        <v>94</v>
      </c>
      <c r="B15" s="19">
        <f>B7+Opex!B22</f>
        <v>194665.32401842676</v>
      </c>
      <c r="C15" s="19">
        <f>C7+Opex!C22</f>
        <v>204779.89389657369</v>
      </c>
      <c r="D15" s="19">
        <f>D7+Opex!D22</f>
        <v>199437.4532543041</v>
      </c>
      <c r="E15" s="19">
        <f>E7+Opex!E22</f>
        <v>212935.12917960071</v>
      </c>
      <c r="F15" s="19">
        <f>F7+Opex!F22</f>
        <v>218367.01020040718</v>
      </c>
      <c r="G15" s="19">
        <f>G7+Opex!G22</f>
        <v>225841.78906240576</v>
      </c>
      <c r="H15" s="19">
        <f>H7+Opex!H22</f>
        <v>242530.7751113759</v>
      </c>
      <c r="I15" s="19">
        <f>I7+Opex!I22</f>
        <v>254987.72697757342</v>
      </c>
    </row>
    <row r="16" spans="1:10" x14ac:dyDescent="0.25">
      <c r="A16" s="18" t="s">
        <v>26</v>
      </c>
      <c r="B16" s="19">
        <f>B8+Opex!B23</f>
        <v>535647.77451635618</v>
      </c>
      <c r="C16" s="19">
        <f>C8+Opex!C23</f>
        <v>554415.02196669625</v>
      </c>
      <c r="D16" s="19">
        <f>D8+Opex!D23</f>
        <v>609844.04603937559</v>
      </c>
      <c r="E16" s="19">
        <f>E8+Opex!E23</f>
        <v>658349.06327614479</v>
      </c>
      <c r="F16" s="19">
        <f>F8+Opex!F23</f>
        <v>699109.18845676677</v>
      </c>
      <c r="G16" s="19">
        <f>G8+Opex!G23</f>
        <v>725902.10179117578</v>
      </c>
      <c r="H16" s="19">
        <f>H8+Opex!H23</f>
        <v>755081.79280676157</v>
      </c>
      <c r="I16" s="19">
        <f>I8+Opex!I23</f>
        <v>754115.99896174669</v>
      </c>
    </row>
    <row r="17" spans="1:9" x14ac:dyDescent="0.25">
      <c r="A17" s="18" t="s">
        <v>86</v>
      </c>
      <c r="B17" s="19">
        <f>B9+Opex!B24</f>
        <v>321081.99078750296</v>
      </c>
      <c r="C17" s="19">
        <f>C9+Opex!C24</f>
        <v>323939.98174520279</v>
      </c>
      <c r="D17" s="19">
        <f>D9+Opex!D24</f>
        <v>324858.27400371747</v>
      </c>
      <c r="E17" s="19">
        <f>E9+Opex!E24</f>
        <v>358269.45807573979</v>
      </c>
      <c r="F17" s="19">
        <f>F9+Opex!F24</f>
        <v>357541.20871311199</v>
      </c>
      <c r="G17" s="19">
        <f>G9+Opex!G24</f>
        <v>348638.88718326972</v>
      </c>
      <c r="H17" s="19">
        <f>H9+Opex!H24</f>
        <v>350902.62069614884</v>
      </c>
      <c r="I17" s="19">
        <f>I9+Opex!I24</f>
        <v>357000.87838231208</v>
      </c>
    </row>
    <row r="18" spans="1:9" x14ac:dyDescent="0.25">
      <c r="A18" s="18" t="s">
        <v>49</v>
      </c>
      <c r="B18" s="19">
        <f>B10+Opex!B25</f>
        <v>137738.47693744762</v>
      </c>
      <c r="C18" s="19">
        <f>C10+Opex!C25</f>
        <v>140300.67079530709</v>
      </c>
      <c r="D18" s="19">
        <f>D10+Opex!D25</f>
        <v>155385.32100939998</v>
      </c>
      <c r="E18" s="19">
        <f>E10+Opex!E25</f>
        <v>158142.52037596673</v>
      </c>
      <c r="F18" s="19">
        <f>F10+Opex!F25</f>
        <v>169101.9192279866</v>
      </c>
      <c r="G18" s="19">
        <f>G10+Opex!G25</f>
        <v>175346.93371540876</v>
      </c>
      <c r="H18" s="19">
        <f>H10+Opex!H25</f>
        <v>179814.99349634067</v>
      </c>
      <c r="I18" s="19">
        <f>I10+Opex!I25</f>
        <v>177697.49403613212</v>
      </c>
    </row>
    <row r="19" spans="1:9" x14ac:dyDescent="0.25">
      <c r="A19" s="18" t="s">
        <v>95</v>
      </c>
      <c r="B19" s="19">
        <f>B11+Opex!B26</f>
        <v>544432.35094617819</v>
      </c>
      <c r="C19" s="19">
        <f>C11+Opex!C26</f>
        <v>551553.97302221402</v>
      </c>
      <c r="D19" s="19">
        <f>D11+Opex!D26</f>
        <v>559159.29363362584</v>
      </c>
      <c r="E19" s="19">
        <f>E11+Opex!E26</f>
        <v>591734.03086717986</v>
      </c>
      <c r="F19" s="19">
        <f>F11+Opex!F26</f>
        <v>649588.68329300056</v>
      </c>
      <c r="G19" s="19">
        <f>G11+Opex!G26</f>
        <v>645936.72479290096</v>
      </c>
      <c r="H19" s="19">
        <f>H11+Opex!H26</f>
        <v>663771.5354881736</v>
      </c>
      <c r="I19" s="19">
        <f>I11+Opex!I26</f>
        <v>673284.26757129584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B273"/>
  <sheetViews>
    <sheetView workbookViewId="0">
      <selection activeCell="E9" sqref="E9"/>
    </sheetView>
  </sheetViews>
  <sheetFormatPr defaultRowHeight="15" x14ac:dyDescent="0.25"/>
  <cols>
    <col min="1" max="1" width="24.85546875" style="8" customWidth="1"/>
    <col min="2" max="2" width="23.85546875" style="8" bestFit="1" customWidth="1"/>
  </cols>
  <sheetData>
    <row r="1" spans="1:2" ht="34.5" customHeight="1" x14ac:dyDescent="0.25">
      <c r="A1" s="1"/>
      <c r="B1" s="9" t="s">
        <v>11</v>
      </c>
    </row>
    <row r="2" spans="1:2" x14ac:dyDescent="0.25">
      <c r="A2" s="5" t="s">
        <v>2</v>
      </c>
      <c r="B2" s="10" t="s">
        <v>12</v>
      </c>
    </row>
    <row r="3" spans="1:2" x14ac:dyDescent="0.25">
      <c r="A3" s="5" t="s">
        <v>3</v>
      </c>
      <c r="B3" s="10" t="s">
        <v>13</v>
      </c>
    </row>
    <row r="4" spans="1:2" x14ac:dyDescent="0.25">
      <c r="A4" s="5" t="s">
        <v>4</v>
      </c>
      <c r="B4" s="10" t="s">
        <v>14</v>
      </c>
    </row>
    <row r="5" spans="1:2" x14ac:dyDescent="0.25">
      <c r="A5" s="5" t="s">
        <v>5</v>
      </c>
      <c r="B5" s="10" t="s">
        <v>15</v>
      </c>
    </row>
    <row r="6" spans="1:2" x14ac:dyDescent="0.25">
      <c r="A6" s="5" t="s">
        <v>6</v>
      </c>
      <c r="B6" s="8">
        <v>3</v>
      </c>
    </row>
    <row r="7" spans="1:2" x14ac:dyDescent="0.25">
      <c r="A7" s="6" t="s">
        <v>7</v>
      </c>
      <c r="B7" s="11">
        <v>17777</v>
      </c>
    </row>
    <row r="8" spans="1:2" x14ac:dyDescent="0.25">
      <c r="A8" s="6" t="s">
        <v>8</v>
      </c>
      <c r="B8" s="11">
        <v>41699</v>
      </c>
    </row>
    <row r="9" spans="1:2" x14ac:dyDescent="0.25">
      <c r="A9" s="5" t="s">
        <v>9</v>
      </c>
      <c r="B9" s="8">
        <v>263</v>
      </c>
    </row>
    <row r="10" spans="1:2" x14ac:dyDescent="0.25">
      <c r="A10" s="5" t="s">
        <v>10</v>
      </c>
      <c r="B10" s="10" t="s">
        <v>16</v>
      </c>
    </row>
    <row r="11" spans="1:2" x14ac:dyDescent="0.25">
      <c r="A11" s="7">
        <v>17777</v>
      </c>
      <c r="B11" s="12">
        <v>3.7</v>
      </c>
    </row>
    <row r="12" spans="1:2" x14ac:dyDescent="0.25">
      <c r="A12" s="7">
        <v>17868</v>
      </c>
      <c r="B12" s="12">
        <v>3.8</v>
      </c>
    </row>
    <row r="13" spans="1:2" x14ac:dyDescent="0.25">
      <c r="A13" s="7">
        <v>17958</v>
      </c>
      <c r="B13" s="12">
        <v>3.9</v>
      </c>
    </row>
    <row r="14" spans="1:2" x14ac:dyDescent="0.25">
      <c r="A14" s="7">
        <v>18050</v>
      </c>
      <c r="B14" s="12">
        <v>4</v>
      </c>
    </row>
    <row r="15" spans="1:2" x14ac:dyDescent="0.25">
      <c r="A15" s="7">
        <v>18142</v>
      </c>
      <c r="B15" s="12">
        <v>4.0999999999999996</v>
      </c>
    </row>
    <row r="16" spans="1:2" x14ac:dyDescent="0.25">
      <c r="A16" s="7">
        <v>18233</v>
      </c>
      <c r="B16" s="12">
        <v>4.0999999999999996</v>
      </c>
    </row>
    <row r="17" spans="1:2" x14ac:dyDescent="0.25">
      <c r="A17" s="7">
        <v>18323</v>
      </c>
      <c r="B17" s="12">
        <v>4.2</v>
      </c>
    </row>
    <row r="18" spans="1:2" x14ac:dyDescent="0.25">
      <c r="A18" s="7">
        <v>18415</v>
      </c>
      <c r="B18" s="12">
        <v>4.3</v>
      </c>
    </row>
    <row r="19" spans="1:2" x14ac:dyDescent="0.25">
      <c r="A19" s="7">
        <v>18507</v>
      </c>
      <c r="B19" s="12">
        <v>4.4000000000000004</v>
      </c>
    </row>
    <row r="20" spans="1:2" x14ac:dyDescent="0.25">
      <c r="A20" s="7">
        <v>18598</v>
      </c>
      <c r="B20" s="12">
        <v>4.5999999999999996</v>
      </c>
    </row>
    <row r="21" spans="1:2" x14ac:dyDescent="0.25">
      <c r="A21" s="7">
        <v>18688</v>
      </c>
      <c r="B21" s="12">
        <v>4.8</v>
      </c>
    </row>
    <row r="22" spans="1:2" x14ac:dyDescent="0.25">
      <c r="A22" s="7">
        <v>18780</v>
      </c>
      <c r="B22" s="12">
        <v>5.0999999999999996</v>
      </c>
    </row>
    <row r="23" spans="1:2" x14ac:dyDescent="0.25">
      <c r="A23" s="7">
        <v>18872</v>
      </c>
      <c r="B23" s="12">
        <v>5.3</v>
      </c>
    </row>
    <row r="24" spans="1:2" x14ac:dyDescent="0.25">
      <c r="A24" s="7">
        <v>18963</v>
      </c>
      <c r="B24" s="12">
        <v>5.7</v>
      </c>
    </row>
    <row r="25" spans="1:2" x14ac:dyDescent="0.25">
      <c r="A25" s="7">
        <v>19054</v>
      </c>
      <c r="B25" s="12">
        <v>5.9</v>
      </c>
    </row>
    <row r="26" spans="1:2" x14ac:dyDescent="0.25">
      <c r="A26" s="7">
        <v>19146</v>
      </c>
      <c r="B26" s="12">
        <v>6.1</v>
      </c>
    </row>
    <row r="27" spans="1:2" x14ac:dyDescent="0.25">
      <c r="A27" s="7">
        <v>19238</v>
      </c>
      <c r="B27" s="12">
        <v>6.2</v>
      </c>
    </row>
    <row r="28" spans="1:2" x14ac:dyDescent="0.25">
      <c r="A28" s="7">
        <v>19329</v>
      </c>
      <c r="B28" s="12">
        <v>6.3</v>
      </c>
    </row>
    <row r="29" spans="1:2" x14ac:dyDescent="0.25">
      <c r="A29" s="7">
        <v>19419</v>
      </c>
      <c r="B29" s="12">
        <v>6.3</v>
      </c>
    </row>
    <row r="30" spans="1:2" x14ac:dyDescent="0.25">
      <c r="A30" s="7">
        <v>19511</v>
      </c>
      <c r="B30" s="12">
        <v>6.4</v>
      </c>
    </row>
    <row r="31" spans="1:2" x14ac:dyDescent="0.25">
      <c r="A31" s="7">
        <v>19603</v>
      </c>
      <c r="B31" s="12">
        <v>6.5</v>
      </c>
    </row>
    <row r="32" spans="1:2" x14ac:dyDescent="0.25">
      <c r="A32" s="7">
        <v>19694</v>
      </c>
      <c r="B32" s="12">
        <v>6.4</v>
      </c>
    </row>
    <row r="33" spans="1:2" x14ac:dyDescent="0.25">
      <c r="A33" s="7">
        <v>19784</v>
      </c>
      <c r="B33" s="12">
        <v>6.5</v>
      </c>
    </row>
    <row r="34" spans="1:2" x14ac:dyDescent="0.25">
      <c r="A34" s="7">
        <v>19876</v>
      </c>
      <c r="B34" s="12">
        <v>6.5</v>
      </c>
    </row>
    <row r="35" spans="1:2" x14ac:dyDescent="0.25">
      <c r="A35" s="7">
        <v>19968</v>
      </c>
      <c r="B35" s="12">
        <v>6.5</v>
      </c>
    </row>
    <row r="36" spans="1:2" x14ac:dyDescent="0.25">
      <c r="A36" s="7">
        <v>20059</v>
      </c>
      <c r="B36" s="12">
        <v>6.5</v>
      </c>
    </row>
    <row r="37" spans="1:2" x14ac:dyDescent="0.25">
      <c r="A37" s="7">
        <v>20149</v>
      </c>
      <c r="B37" s="12">
        <v>6.5</v>
      </c>
    </row>
    <row r="38" spans="1:2" x14ac:dyDescent="0.25">
      <c r="A38" s="7">
        <v>20241</v>
      </c>
      <c r="B38" s="12">
        <v>6.6</v>
      </c>
    </row>
    <row r="39" spans="1:2" x14ac:dyDescent="0.25">
      <c r="A39" s="7">
        <v>20333</v>
      </c>
      <c r="B39" s="12">
        <v>6.6</v>
      </c>
    </row>
    <row r="40" spans="1:2" x14ac:dyDescent="0.25">
      <c r="A40" s="7">
        <v>20424</v>
      </c>
      <c r="B40" s="12">
        <v>6.7</v>
      </c>
    </row>
    <row r="41" spans="1:2" x14ac:dyDescent="0.25">
      <c r="A41" s="7">
        <v>20515</v>
      </c>
      <c r="B41" s="12">
        <v>6.7</v>
      </c>
    </row>
    <row r="42" spans="1:2" x14ac:dyDescent="0.25">
      <c r="A42" s="7">
        <v>20607</v>
      </c>
      <c r="B42" s="12">
        <v>7</v>
      </c>
    </row>
    <row r="43" spans="1:2" x14ac:dyDescent="0.25">
      <c r="A43" s="7">
        <v>20699</v>
      </c>
      <c r="B43" s="12">
        <v>7.1</v>
      </c>
    </row>
    <row r="44" spans="1:2" x14ac:dyDescent="0.25">
      <c r="A44" s="7">
        <v>20790</v>
      </c>
      <c r="B44" s="12">
        <v>7.1</v>
      </c>
    </row>
    <row r="45" spans="1:2" x14ac:dyDescent="0.25">
      <c r="A45" s="7">
        <v>20880</v>
      </c>
      <c r="B45" s="12">
        <v>7.1</v>
      </c>
    </row>
    <row r="46" spans="1:2" x14ac:dyDescent="0.25">
      <c r="A46" s="7">
        <v>20972</v>
      </c>
      <c r="B46" s="12">
        <v>7.2</v>
      </c>
    </row>
    <row r="47" spans="1:2" x14ac:dyDescent="0.25">
      <c r="A47" s="7">
        <v>21064</v>
      </c>
      <c r="B47" s="12">
        <v>7.2</v>
      </c>
    </row>
    <row r="48" spans="1:2" x14ac:dyDescent="0.25">
      <c r="A48" s="7">
        <v>21155</v>
      </c>
      <c r="B48" s="12">
        <v>7.2</v>
      </c>
    </row>
    <row r="49" spans="1:2" x14ac:dyDescent="0.25">
      <c r="A49" s="7">
        <v>21245</v>
      </c>
      <c r="B49" s="12">
        <v>7.2</v>
      </c>
    </row>
    <row r="50" spans="1:2" x14ac:dyDescent="0.25">
      <c r="A50" s="7">
        <v>21337</v>
      </c>
      <c r="B50" s="12">
        <v>7.2</v>
      </c>
    </row>
    <row r="51" spans="1:2" x14ac:dyDescent="0.25">
      <c r="A51" s="7">
        <v>21429</v>
      </c>
      <c r="B51" s="12">
        <v>7.2</v>
      </c>
    </row>
    <row r="52" spans="1:2" x14ac:dyDescent="0.25">
      <c r="A52" s="7">
        <v>21520</v>
      </c>
      <c r="B52" s="12">
        <v>7.3</v>
      </c>
    </row>
    <row r="53" spans="1:2" x14ac:dyDescent="0.25">
      <c r="A53" s="7">
        <v>21610</v>
      </c>
      <c r="B53" s="12">
        <v>7.3</v>
      </c>
    </row>
    <row r="54" spans="1:2" x14ac:dyDescent="0.25">
      <c r="A54" s="7">
        <v>21702</v>
      </c>
      <c r="B54" s="12">
        <v>7.3</v>
      </c>
    </row>
    <row r="55" spans="1:2" x14ac:dyDescent="0.25">
      <c r="A55" s="7">
        <v>21794</v>
      </c>
      <c r="B55" s="12">
        <v>7.4</v>
      </c>
    </row>
    <row r="56" spans="1:2" x14ac:dyDescent="0.25">
      <c r="A56" s="7">
        <v>21885</v>
      </c>
      <c r="B56" s="12">
        <v>7.5</v>
      </c>
    </row>
    <row r="57" spans="1:2" x14ac:dyDescent="0.25">
      <c r="A57" s="7">
        <v>21976</v>
      </c>
      <c r="B57" s="12">
        <v>7.5</v>
      </c>
    </row>
    <row r="58" spans="1:2" x14ac:dyDescent="0.25">
      <c r="A58" s="7">
        <v>22068</v>
      </c>
      <c r="B58" s="12">
        <v>7.6</v>
      </c>
    </row>
    <row r="59" spans="1:2" x14ac:dyDescent="0.25">
      <c r="A59" s="7">
        <v>22160</v>
      </c>
      <c r="B59" s="12">
        <v>7.7</v>
      </c>
    </row>
    <row r="60" spans="1:2" x14ac:dyDescent="0.25">
      <c r="A60" s="7">
        <v>22251</v>
      </c>
      <c r="B60" s="12">
        <v>7.8</v>
      </c>
    </row>
    <row r="61" spans="1:2" x14ac:dyDescent="0.25">
      <c r="A61" s="7">
        <v>22341</v>
      </c>
      <c r="B61" s="12">
        <v>7.8</v>
      </c>
    </row>
    <row r="62" spans="1:2" x14ac:dyDescent="0.25">
      <c r="A62" s="7">
        <v>22433</v>
      </c>
      <c r="B62" s="12">
        <v>7.9</v>
      </c>
    </row>
    <row r="63" spans="1:2" x14ac:dyDescent="0.25">
      <c r="A63" s="7">
        <v>22525</v>
      </c>
      <c r="B63" s="12">
        <v>7.8</v>
      </c>
    </row>
    <row r="64" spans="1:2" x14ac:dyDescent="0.25">
      <c r="A64" s="7">
        <v>22616</v>
      </c>
      <c r="B64" s="12">
        <v>7.8</v>
      </c>
    </row>
    <row r="65" spans="1:2" x14ac:dyDescent="0.25">
      <c r="A65" s="7">
        <v>22706</v>
      </c>
      <c r="B65" s="12">
        <v>7.8</v>
      </c>
    </row>
    <row r="66" spans="1:2" x14ac:dyDescent="0.25">
      <c r="A66" s="7">
        <v>22798</v>
      </c>
      <c r="B66" s="12">
        <v>7.8</v>
      </c>
    </row>
    <row r="67" spans="1:2" x14ac:dyDescent="0.25">
      <c r="A67" s="7">
        <v>22890</v>
      </c>
      <c r="B67" s="12">
        <v>7.8</v>
      </c>
    </row>
    <row r="68" spans="1:2" x14ac:dyDescent="0.25">
      <c r="A68" s="7">
        <v>22981</v>
      </c>
      <c r="B68" s="12">
        <v>7.8</v>
      </c>
    </row>
    <row r="69" spans="1:2" x14ac:dyDescent="0.25">
      <c r="A69" s="7">
        <v>23071</v>
      </c>
      <c r="B69" s="12">
        <v>7.8</v>
      </c>
    </row>
    <row r="70" spans="1:2" x14ac:dyDescent="0.25">
      <c r="A70" s="7">
        <v>23163</v>
      </c>
      <c r="B70" s="12">
        <v>7.8</v>
      </c>
    </row>
    <row r="71" spans="1:2" x14ac:dyDescent="0.25">
      <c r="A71" s="7">
        <v>23255</v>
      </c>
      <c r="B71" s="12">
        <v>7.9</v>
      </c>
    </row>
    <row r="72" spans="1:2" x14ac:dyDescent="0.25">
      <c r="A72" s="7">
        <v>23346</v>
      </c>
      <c r="B72" s="12">
        <v>7.9</v>
      </c>
    </row>
    <row r="73" spans="1:2" x14ac:dyDescent="0.25">
      <c r="A73" s="7">
        <v>23437</v>
      </c>
      <c r="B73" s="12">
        <v>8</v>
      </c>
    </row>
    <row r="74" spans="1:2" x14ac:dyDescent="0.25">
      <c r="A74" s="7">
        <v>23529</v>
      </c>
      <c r="B74" s="12">
        <v>8</v>
      </c>
    </row>
    <row r="75" spans="1:2" x14ac:dyDescent="0.25">
      <c r="A75" s="7">
        <v>23621</v>
      </c>
      <c r="B75" s="12">
        <v>8.1</v>
      </c>
    </row>
    <row r="76" spans="1:2" x14ac:dyDescent="0.25">
      <c r="A76" s="7">
        <v>23712</v>
      </c>
      <c r="B76" s="12">
        <v>8.1999999999999993</v>
      </c>
    </row>
    <row r="77" spans="1:2" x14ac:dyDescent="0.25">
      <c r="A77" s="7">
        <v>23802</v>
      </c>
      <c r="B77" s="12">
        <v>8.1999999999999993</v>
      </c>
    </row>
    <row r="78" spans="1:2" x14ac:dyDescent="0.25">
      <c r="A78" s="7">
        <v>23894</v>
      </c>
      <c r="B78" s="12">
        <v>8.3000000000000007</v>
      </c>
    </row>
    <row r="79" spans="1:2" x14ac:dyDescent="0.25">
      <c r="A79" s="7">
        <v>23986</v>
      </c>
      <c r="B79" s="12">
        <v>8.4</v>
      </c>
    </row>
    <row r="80" spans="1:2" x14ac:dyDescent="0.25">
      <c r="A80" s="7">
        <v>24077</v>
      </c>
      <c r="B80" s="12">
        <v>8.5</v>
      </c>
    </row>
    <row r="81" spans="1:2" x14ac:dyDescent="0.25">
      <c r="A81" s="7">
        <v>24167</v>
      </c>
      <c r="B81" s="12">
        <v>8.6</v>
      </c>
    </row>
    <row r="82" spans="1:2" x14ac:dyDescent="0.25">
      <c r="A82" s="7">
        <v>24259</v>
      </c>
      <c r="B82" s="12">
        <v>8.6</v>
      </c>
    </row>
    <row r="83" spans="1:2" x14ac:dyDescent="0.25">
      <c r="A83" s="7">
        <v>24351</v>
      </c>
      <c r="B83" s="12">
        <v>8.6</v>
      </c>
    </row>
    <row r="84" spans="1:2" x14ac:dyDescent="0.25">
      <c r="A84" s="7">
        <v>24442</v>
      </c>
      <c r="B84" s="12">
        <v>8.6999999999999993</v>
      </c>
    </row>
    <row r="85" spans="1:2" x14ac:dyDescent="0.25">
      <c r="A85" s="7">
        <v>24532</v>
      </c>
      <c r="B85" s="12">
        <v>8.8000000000000007</v>
      </c>
    </row>
    <row r="86" spans="1:2" x14ac:dyDescent="0.25">
      <c r="A86" s="7">
        <v>24624</v>
      </c>
      <c r="B86" s="12">
        <v>8.9</v>
      </c>
    </row>
    <row r="87" spans="1:2" x14ac:dyDescent="0.25">
      <c r="A87" s="7">
        <v>24716</v>
      </c>
      <c r="B87" s="12">
        <v>9</v>
      </c>
    </row>
    <row r="88" spans="1:2" x14ac:dyDescent="0.25">
      <c r="A88" s="7">
        <v>24807</v>
      </c>
      <c r="B88" s="12">
        <v>9</v>
      </c>
    </row>
    <row r="89" spans="1:2" x14ac:dyDescent="0.25">
      <c r="A89" s="7">
        <v>24898</v>
      </c>
      <c r="B89" s="12">
        <v>9.1</v>
      </c>
    </row>
    <row r="90" spans="1:2" x14ac:dyDescent="0.25">
      <c r="A90" s="7">
        <v>24990</v>
      </c>
      <c r="B90" s="12">
        <v>9.1</v>
      </c>
    </row>
    <row r="91" spans="1:2" x14ac:dyDescent="0.25">
      <c r="A91" s="7">
        <v>25082</v>
      </c>
      <c r="B91" s="12">
        <v>9.1999999999999993</v>
      </c>
    </row>
    <row r="92" spans="1:2" x14ac:dyDescent="0.25">
      <c r="A92" s="7">
        <v>25173</v>
      </c>
      <c r="B92" s="12">
        <v>9.1999999999999993</v>
      </c>
    </row>
    <row r="93" spans="1:2" x14ac:dyDescent="0.25">
      <c r="A93" s="7">
        <v>25263</v>
      </c>
      <c r="B93" s="12">
        <v>9.4</v>
      </c>
    </row>
    <row r="94" spans="1:2" x14ac:dyDescent="0.25">
      <c r="A94" s="7">
        <v>25355</v>
      </c>
      <c r="B94" s="12">
        <v>9.4</v>
      </c>
    </row>
    <row r="95" spans="1:2" x14ac:dyDescent="0.25">
      <c r="A95" s="7">
        <v>25447</v>
      </c>
      <c r="B95" s="12">
        <v>9.5</v>
      </c>
    </row>
    <row r="96" spans="1:2" x14ac:dyDescent="0.25">
      <c r="A96" s="7">
        <v>25538</v>
      </c>
      <c r="B96" s="12">
        <v>9.5</v>
      </c>
    </row>
    <row r="97" spans="1:2" x14ac:dyDescent="0.25">
      <c r="A97" s="7">
        <v>25628</v>
      </c>
      <c r="B97" s="12">
        <v>9.6</v>
      </c>
    </row>
    <row r="98" spans="1:2" x14ac:dyDescent="0.25">
      <c r="A98" s="7">
        <v>25720</v>
      </c>
      <c r="B98" s="12">
        <v>9.6999999999999993</v>
      </c>
    </row>
    <row r="99" spans="1:2" x14ac:dyDescent="0.25">
      <c r="A99" s="7">
        <v>25812</v>
      </c>
      <c r="B99" s="12">
        <v>9.8000000000000007</v>
      </c>
    </row>
    <row r="100" spans="1:2" x14ac:dyDescent="0.25">
      <c r="A100" s="7">
        <v>25903</v>
      </c>
      <c r="B100" s="12">
        <v>10</v>
      </c>
    </row>
    <row r="101" spans="1:2" x14ac:dyDescent="0.25">
      <c r="A101" s="7">
        <v>25993</v>
      </c>
      <c r="B101" s="12">
        <v>10.1</v>
      </c>
    </row>
    <row r="102" spans="1:2" x14ac:dyDescent="0.25">
      <c r="A102" s="7">
        <v>26085</v>
      </c>
      <c r="B102" s="12">
        <v>10.199999999999999</v>
      </c>
    </row>
    <row r="103" spans="1:2" x14ac:dyDescent="0.25">
      <c r="A103" s="7">
        <v>26177</v>
      </c>
      <c r="B103" s="12">
        <v>10.5</v>
      </c>
    </row>
    <row r="104" spans="1:2" x14ac:dyDescent="0.25">
      <c r="A104" s="7">
        <v>26268</v>
      </c>
      <c r="B104" s="12">
        <v>10.7</v>
      </c>
    </row>
    <row r="105" spans="1:2" x14ac:dyDescent="0.25">
      <c r="A105" s="7">
        <v>26359</v>
      </c>
      <c r="B105" s="12">
        <v>10.8</v>
      </c>
    </row>
    <row r="106" spans="1:2" x14ac:dyDescent="0.25">
      <c r="A106" s="7">
        <v>26451</v>
      </c>
      <c r="B106" s="12">
        <v>10.9</v>
      </c>
    </row>
    <row r="107" spans="1:2" x14ac:dyDescent="0.25">
      <c r="A107" s="7">
        <v>26543</v>
      </c>
      <c r="B107" s="12">
        <v>11.1</v>
      </c>
    </row>
    <row r="108" spans="1:2" x14ac:dyDescent="0.25">
      <c r="A108" s="7">
        <v>26634</v>
      </c>
      <c r="B108" s="12">
        <v>11.2</v>
      </c>
    </row>
    <row r="109" spans="1:2" x14ac:dyDescent="0.25">
      <c r="A109" s="7">
        <v>26724</v>
      </c>
      <c r="B109" s="12">
        <v>11.4</v>
      </c>
    </row>
    <row r="110" spans="1:2" x14ac:dyDescent="0.25">
      <c r="A110" s="7">
        <v>26816</v>
      </c>
      <c r="B110" s="12">
        <v>11.8</v>
      </c>
    </row>
    <row r="111" spans="1:2" x14ac:dyDescent="0.25">
      <c r="A111" s="7">
        <v>26908</v>
      </c>
      <c r="B111" s="12">
        <v>12.2</v>
      </c>
    </row>
    <row r="112" spans="1:2" x14ac:dyDescent="0.25">
      <c r="A112" s="7">
        <v>26999</v>
      </c>
      <c r="B112" s="12">
        <v>12.6</v>
      </c>
    </row>
    <row r="113" spans="1:2" x14ac:dyDescent="0.25">
      <c r="A113" s="7">
        <v>27089</v>
      </c>
      <c r="B113" s="12">
        <v>13</v>
      </c>
    </row>
    <row r="114" spans="1:2" x14ac:dyDescent="0.25">
      <c r="A114" s="7">
        <v>27181</v>
      </c>
      <c r="B114" s="12">
        <v>13.5</v>
      </c>
    </row>
    <row r="115" spans="1:2" x14ac:dyDescent="0.25">
      <c r="A115" s="7">
        <v>27273</v>
      </c>
      <c r="B115" s="12">
        <v>14.2</v>
      </c>
    </row>
    <row r="116" spans="1:2" x14ac:dyDescent="0.25">
      <c r="A116" s="7">
        <v>27364</v>
      </c>
      <c r="B116" s="12">
        <v>14.7</v>
      </c>
    </row>
    <row r="117" spans="1:2" x14ac:dyDescent="0.25">
      <c r="A117" s="7">
        <v>27454</v>
      </c>
      <c r="B117" s="12">
        <v>15.3</v>
      </c>
    </row>
    <row r="118" spans="1:2" x14ac:dyDescent="0.25">
      <c r="A118" s="7">
        <v>27546</v>
      </c>
      <c r="B118" s="12">
        <v>15.8</v>
      </c>
    </row>
    <row r="119" spans="1:2" x14ac:dyDescent="0.25">
      <c r="A119" s="7">
        <v>27638</v>
      </c>
      <c r="B119" s="12">
        <v>15.9</v>
      </c>
    </row>
    <row r="120" spans="1:2" x14ac:dyDescent="0.25">
      <c r="A120" s="7">
        <v>27729</v>
      </c>
      <c r="B120" s="12">
        <v>16.8</v>
      </c>
    </row>
    <row r="121" spans="1:2" x14ac:dyDescent="0.25">
      <c r="A121" s="7">
        <v>27820</v>
      </c>
      <c r="B121" s="12">
        <v>17.3</v>
      </c>
    </row>
    <row r="122" spans="1:2" x14ac:dyDescent="0.25">
      <c r="A122" s="7">
        <v>27912</v>
      </c>
      <c r="B122" s="12">
        <v>17.7</v>
      </c>
    </row>
    <row r="123" spans="1:2" x14ac:dyDescent="0.25">
      <c r="A123" s="7">
        <v>28004</v>
      </c>
      <c r="B123" s="12">
        <v>18.100000000000001</v>
      </c>
    </row>
    <row r="124" spans="1:2" x14ac:dyDescent="0.25">
      <c r="A124" s="7">
        <v>28095</v>
      </c>
      <c r="B124" s="12">
        <v>19.2</v>
      </c>
    </row>
    <row r="125" spans="1:2" x14ac:dyDescent="0.25">
      <c r="A125" s="7">
        <v>28185</v>
      </c>
      <c r="B125" s="12">
        <v>19.600000000000001</v>
      </c>
    </row>
    <row r="126" spans="1:2" x14ac:dyDescent="0.25">
      <c r="A126" s="7">
        <v>28277</v>
      </c>
      <c r="B126" s="12">
        <v>20.100000000000001</v>
      </c>
    </row>
    <row r="127" spans="1:2" x14ac:dyDescent="0.25">
      <c r="A127" s="7">
        <v>28369</v>
      </c>
      <c r="B127" s="12">
        <v>20.5</v>
      </c>
    </row>
    <row r="128" spans="1:2" x14ac:dyDescent="0.25">
      <c r="A128" s="7">
        <v>28460</v>
      </c>
      <c r="B128" s="12">
        <v>21</v>
      </c>
    </row>
    <row r="129" spans="1:2" x14ac:dyDescent="0.25">
      <c r="A129" s="7">
        <v>28550</v>
      </c>
      <c r="B129" s="12">
        <v>21.3</v>
      </c>
    </row>
    <row r="130" spans="1:2" x14ac:dyDescent="0.25">
      <c r="A130" s="7">
        <v>28642</v>
      </c>
      <c r="B130" s="12">
        <v>21.7</v>
      </c>
    </row>
    <row r="131" spans="1:2" x14ac:dyDescent="0.25">
      <c r="A131" s="7">
        <v>28734</v>
      </c>
      <c r="B131" s="12">
        <v>22.1</v>
      </c>
    </row>
    <row r="132" spans="1:2" x14ac:dyDescent="0.25">
      <c r="A132" s="7">
        <v>28825</v>
      </c>
      <c r="B132" s="12">
        <v>22.6</v>
      </c>
    </row>
    <row r="133" spans="1:2" x14ac:dyDescent="0.25">
      <c r="A133" s="7">
        <v>28915</v>
      </c>
      <c r="B133" s="12">
        <v>23</v>
      </c>
    </row>
    <row r="134" spans="1:2" x14ac:dyDescent="0.25">
      <c r="A134" s="7">
        <v>29007</v>
      </c>
      <c r="B134" s="12">
        <v>23.6</v>
      </c>
    </row>
    <row r="135" spans="1:2" x14ac:dyDescent="0.25">
      <c r="A135" s="7">
        <v>29099</v>
      </c>
      <c r="B135" s="12">
        <v>24.2</v>
      </c>
    </row>
    <row r="136" spans="1:2" x14ac:dyDescent="0.25">
      <c r="A136" s="7">
        <v>29190</v>
      </c>
      <c r="B136" s="12">
        <v>24.9</v>
      </c>
    </row>
    <row r="137" spans="1:2" x14ac:dyDescent="0.25">
      <c r="A137" s="7">
        <v>29281</v>
      </c>
      <c r="B137" s="12">
        <v>25.4</v>
      </c>
    </row>
    <row r="138" spans="1:2" x14ac:dyDescent="0.25">
      <c r="A138" s="7">
        <v>29373</v>
      </c>
      <c r="B138" s="12">
        <v>26.2</v>
      </c>
    </row>
    <row r="139" spans="1:2" x14ac:dyDescent="0.25">
      <c r="A139" s="7">
        <v>29465</v>
      </c>
      <c r="B139" s="12">
        <v>26.6</v>
      </c>
    </row>
    <row r="140" spans="1:2" x14ac:dyDescent="0.25">
      <c r="A140" s="7">
        <v>29556</v>
      </c>
      <c r="B140" s="12">
        <v>27.2</v>
      </c>
    </row>
    <row r="141" spans="1:2" x14ac:dyDescent="0.25">
      <c r="A141" s="7">
        <v>29646</v>
      </c>
      <c r="B141" s="12">
        <v>27.8</v>
      </c>
    </row>
    <row r="142" spans="1:2" x14ac:dyDescent="0.25">
      <c r="A142" s="7">
        <v>29738</v>
      </c>
      <c r="B142" s="12">
        <v>28.4</v>
      </c>
    </row>
    <row r="143" spans="1:2" x14ac:dyDescent="0.25">
      <c r="A143" s="7">
        <v>29830</v>
      </c>
      <c r="B143" s="12">
        <v>29</v>
      </c>
    </row>
    <row r="144" spans="1:2" x14ac:dyDescent="0.25">
      <c r="A144" s="7">
        <v>29921</v>
      </c>
      <c r="B144" s="12">
        <v>30.2</v>
      </c>
    </row>
    <row r="145" spans="1:2" x14ac:dyDescent="0.25">
      <c r="A145" s="7">
        <v>30011</v>
      </c>
      <c r="B145" s="12">
        <v>30.8</v>
      </c>
    </row>
    <row r="146" spans="1:2" x14ac:dyDescent="0.25">
      <c r="A146" s="7">
        <v>30103</v>
      </c>
      <c r="B146" s="12">
        <v>31.5</v>
      </c>
    </row>
    <row r="147" spans="1:2" x14ac:dyDescent="0.25">
      <c r="A147" s="7">
        <v>30195</v>
      </c>
      <c r="B147" s="12">
        <v>32.6</v>
      </c>
    </row>
    <row r="148" spans="1:2" x14ac:dyDescent="0.25">
      <c r="A148" s="7">
        <v>30286</v>
      </c>
      <c r="B148" s="12">
        <v>33.6</v>
      </c>
    </row>
    <row r="149" spans="1:2" x14ac:dyDescent="0.25">
      <c r="A149" s="7">
        <v>30376</v>
      </c>
      <c r="B149" s="12">
        <v>34.299999999999997</v>
      </c>
    </row>
    <row r="150" spans="1:2" x14ac:dyDescent="0.25">
      <c r="A150" s="7">
        <v>30468</v>
      </c>
      <c r="B150" s="12">
        <v>35</v>
      </c>
    </row>
    <row r="151" spans="1:2" x14ac:dyDescent="0.25">
      <c r="A151" s="7">
        <v>30560</v>
      </c>
      <c r="B151" s="12">
        <v>35.6</v>
      </c>
    </row>
    <row r="152" spans="1:2" x14ac:dyDescent="0.25">
      <c r="A152" s="7">
        <v>30651</v>
      </c>
      <c r="B152" s="12">
        <v>36.5</v>
      </c>
    </row>
    <row r="153" spans="1:2" x14ac:dyDescent="0.25">
      <c r="A153" s="7">
        <v>30742</v>
      </c>
      <c r="B153" s="12">
        <v>36.299999999999997</v>
      </c>
    </row>
    <row r="154" spans="1:2" x14ac:dyDescent="0.25">
      <c r="A154" s="7">
        <v>30834</v>
      </c>
      <c r="B154" s="12">
        <v>36.4</v>
      </c>
    </row>
    <row r="155" spans="1:2" x14ac:dyDescent="0.25">
      <c r="A155" s="7">
        <v>30926</v>
      </c>
      <c r="B155" s="12">
        <v>36.9</v>
      </c>
    </row>
    <row r="156" spans="1:2" x14ac:dyDescent="0.25">
      <c r="A156" s="7">
        <v>31017</v>
      </c>
      <c r="B156" s="12">
        <v>37.4</v>
      </c>
    </row>
    <row r="157" spans="1:2" x14ac:dyDescent="0.25">
      <c r="A157" s="7">
        <v>31107</v>
      </c>
      <c r="B157" s="12">
        <v>37.9</v>
      </c>
    </row>
    <row r="158" spans="1:2" x14ac:dyDescent="0.25">
      <c r="A158" s="7">
        <v>31199</v>
      </c>
      <c r="B158" s="12">
        <v>38.799999999999997</v>
      </c>
    </row>
    <row r="159" spans="1:2" x14ac:dyDescent="0.25">
      <c r="A159" s="7">
        <v>31291</v>
      </c>
      <c r="B159" s="12">
        <v>39.700000000000003</v>
      </c>
    </row>
    <row r="160" spans="1:2" x14ac:dyDescent="0.25">
      <c r="A160" s="7">
        <v>31382</v>
      </c>
      <c r="B160" s="12">
        <v>40.5</v>
      </c>
    </row>
    <row r="161" spans="1:2" x14ac:dyDescent="0.25">
      <c r="A161" s="7">
        <v>31472</v>
      </c>
      <c r="B161" s="12">
        <v>41.4</v>
      </c>
    </row>
    <row r="162" spans="1:2" x14ac:dyDescent="0.25">
      <c r="A162" s="7">
        <v>31564</v>
      </c>
      <c r="B162" s="12">
        <v>42.1</v>
      </c>
    </row>
    <row r="163" spans="1:2" x14ac:dyDescent="0.25">
      <c r="A163" s="7">
        <v>31656</v>
      </c>
      <c r="B163" s="12">
        <v>43.2</v>
      </c>
    </row>
    <row r="164" spans="1:2" x14ac:dyDescent="0.25">
      <c r="A164" s="7">
        <v>31747</v>
      </c>
      <c r="B164" s="12">
        <v>44.4</v>
      </c>
    </row>
    <row r="165" spans="1:2" x14ac:dyDescent="0.25">
      <c r="A165" s="7">
        <v>31837</v>
      </c>
      <c r="B165" s="12">
        <v>45.3</v>
      </c>
    </row>
    <row r="166" spans="1:2" x14ac:dyDescent="0.25">
      <c r="A166" s="7">
        <v>31929</v>
      </c>
      <c r="B166" s="12">
        <v>46</v>
      </c>
    </row>
    <row r="167" spans="1:2" x14ac:dyDescent="0.25">
      <c r="A167" s="7">
        <v>32021</v>
      </c>
      <c r="B167" s="12">
        <v>46.8</v>
      </c>
    </row>
    <row r="168" spans="1:2" x14ac:dyDescent="0.25">
      <c r="A168" s="7">
        <v>32112</v>
      </c>
      <c r="B168" s="12">
        <v>47.6</v>
      </c>
    </row>
    <row r="169" spans="1:2" x14ac:dyDescent="0.25">
      <c r="A169" s="7">
        <v>32203</v>
      </c>
      <c r="B169" s="12">
        <v>48.4</v>
      </c>
    </row>
    <row r="170" spans="1:2" x14ac:dyDescent="0.25">
      <c r="A170" s="7">
        <v>32295</v>
      </c>
      <c r="B170" s="12">
        <v>49.3</v>
      </c>
    </row>
    <row r="171" spans="1:2" x14ac:dyDescent="0.25">
      <c r="A171" s="7">
        <v>32387</v>
      </c>
      <c r="B171" s="12">
        <v>50.2</v>
      </c>
    </row>
    <row r="172" spans="1:2" x14ac:dyDescent="0.25">
      <c r="A172" s="7">
        <v>32478</v>
      </c>
      <c r="B172" s="12">
        <v>51.2</v>
      </c>
    </row>
    <row r="173" spans="1:2" x14ac:dyDescent="0.25">
      <c r="A173" s="7">
        <v>32568</v>
      </c>
      <c r="B173" s="12">
        <v>51.7</v>
      </c>
    </row>
    <row r="174" spans="1:2" x14ac:dyDescent="0.25">
      <c r="A174" s="7">
        <v>32660</v>
      </c>
      <c r="B174" s="12">
        <v>53</v>
      </c>
    </row>
    <row r="175" spans="1:2" x14ac:dyDescent="0.25">
      <c r="A175" s="7">
        <v>32752</v>
      </c>
      <c r="B175" s="12">
        <v>54.2</v>
      </c>
    </row>
    <row r="176" spans="1:2" x14ac:dyDescent="0.25">
      <c r="A176" s="7">
        <v>32843</v>
      </c>
      <c r="B176" s="12">
        <v>55.2</v>
      </c>
    </row>
    <row r="177" spans="1:2" x14ac:dyDescent="0.25">
      <c r="A177" s="7">
        <v>32933</v>
      </c>
      <c r="B177" s="12">
        <v>56.2</v>
      </c>
    </row>
    <row r="178" spans="1:2" x14ac:dyDescent="0.25">
      <c r="A178" s="7">
        <v>33025</v>
      </c>
      <c r="B178" s="12">
        <v>57.1</v>
      </c>
    </row>
    <row r="179" spans="1:2" x14ac:dyDescent="0.25">
      <c r="A179" s="7">
        <v>33117</v>
      </c>
      <c r="B179" s="12">
        <v>57.5</v>
      </c>
    </row>
    <row r="180" spans="1:2" x14ac:dyDescent="0.25">
      <c r="A180" s="7">
        <v>33208</v>
      </c>
      <c r="B180" s="12">
        <v>59</v>
      </c>
    </row>
    <row r="181" spans="1:2" x14ac:dyDescent="0.25">
      <c r="A181" s="7">
        <v>33298</v>
      </c>
      <c r="B181" s="12">
        <v>58.9</v>
      </c>
    </row>
    <row r="182" spans="1:2" x14ac:dyDescent="0.25">
      <c r="A182" s="7">
        <v>33390</v>
      </c>
      <c r="B182" s="12">
        <v>59</v>
      </c>
    </row>
    <row r="183" spans="1:2" x14ac:dyDescent="0.25">
      <c r="A183" s="7">
        <v>33482</v>
      </c>
      <c r="B183" s="12">
        <v>59.3</v>
      </c>
    </row>
    <row r="184" spans="1:2" x14ac:dyDescent="0.25">
      <c r="A184" s="7">
        <v>33573</v>
      </c>
      <c r="B184" s="12">
        <v>59.9</v>
      </c>
    </row>
    <row r="185" spans="1:2" x14ac:dyDescent="0.25">
      <c r="A185" s="7">
        <v>33664</v>
      </c>
      <c r="B185" s="12">
        <v>59.9</v>
      </c>
    </row>
    <row r="186" spans="1:2" x14ac:dyDescent="0.25">
      <c r="A186" s="7">
        <v>33756</v>
      </c>
      <c r="B186" s="12">
        <v>59.7</v>
      </c>
    </row>
    <row r="187" spans="1:2" x14ac:dyDescent="0.25">
      <c r="A187" s="7">
        <v>33848</v>
      </c>
      <c r="B187" s="12">
        <v>59.8</v>
      </c>
    </row>
    <row r="188" spans="1:2" x14ac:dyDescent="0.25">
      <c r="A188" s="7">
        <v>33939</v>
      </c>
      <c r="B188" s="12">
        <v>60.1</v>
      </c>
    </row>
    <row r="189" spans="1:2" x14ac:dyDescent="0.25">
      <c r="A189" s="7">
        <v>34029</v>
      </c>
      <c r="B189" s="12">
        <v>60.6</v>
      </c>
    </row>
    <row r="190" spans="1:2" x14ac:dyDescent="0.25">
      <c r="A190" s="7">
        <v>34121</v>
      </c>
      <c r="B190" s="12">
        <v>60.8</v>
      </c>
    </row>
    <row r="191" spans="1:2" x14ac:dyDescent="0.25">
      <c r="A191" s="7">
        <v>34213</v>
      </c>
      <c r="B191" s="12">
        <v>61.1</v>
      </c>
    </row>
    <row r="192" spans="1:2" x14ac:dyDescent="0.25">
      <c r="A192" s="7">
        <v>34304</v>
      </c>
      <c r="B192" s="12">
        <v>61.2</v>
      </c>
    </row>
    <row r="193" spans="1:2" x14ac:dyDescent="0.25">
      <c r="A193" s="7">
        <v>34394</v>
      </c>
      <c r="B193" s="12">
        <v>61.5</v>
      </c>
    </row>
    <row r="194" spans="1:2" x14ac:dyDescent="0.25">
      <c r="A194" s="7">
        <v>34486</v>
      </c>
      <c r="B194" s="12">
        <v>61.9</v>
      </c>
    </row>
    <row r="195" spans="1:2" x14ac:dyDescent="0.25">
      <c r="A195" s="7">
        <v>34578</v>
      </c>
      <c r="B195" s="12">
        <v>62.3</v>
      </c>
    </row>
    <row r="196" spans="1:2" x14ac:dyDescent="0.25">
      <c r="A196" s="7">
        <v>34669</v>
      </c>
      <c r="B196" s="12">
        <v>62.8</v>
      </c>
    </row>
    <row r="197" spans="1:2" x14ac:dyDescent="0.25">
      <c r="A197" s="7">
        <v>34759</v>
      </c>
      <c r="B197" s="12">
        <v>63.8</v>
      </c>
    </row>
    <row r="198" spans="1:2" x14ac:dyDescent="0.25">
      <c r="A198" s="7">
        <v>34851</v>
      </c>
      <c r="B198" s="12">
        <v>64.7</v>
      </c>
    </row>
    <row r="199" spans="1:2" x14ac:dyDescent="0.25">
      <c r="A199" s="7">
        <v>34943</v>
      </c>
      <c r="B199" s="12">
        <v>65.5</v>
      </c>
    </row>
    <row r="200" spans="1:2" x14ac:dyDescent="0.25">
      <c r="A200" s="7">
        <v>35034</v>
      </c>
      <c r="B200" s="12">
        <v>66</v>
      </c>
    </row>
    <row r="201" spans="1:2" x14ac:dyDescent="0.25">
      <c r="A201" s="7">
        <v>35125</v>
      </c>
      <c r="B201" s="12">
        <v>66.2</v>
      </c>
    </row>
    <row r="202" spans="1:2" x14ac:dyDescent="0.25">
      <c r="A202" s="7">
        <v>35217</v>
      </c>
      <c r="B202" s="12">
        <v>66.7</v>
      </c>
    </row>
    <row r="203" spans="1:2" x14ac:dyDescent="0.25">
      <c r="A203" s="7">
        <v>35309</v>
      </c>
      <c r="B203" s="12">
        <v>66.900000000000006</v>
      </c>
    </row>
    <row r="204" spans="1:2" x14ac:dyDescent="0.25">
      <c r="A204" s="7">
        <v>35400</v>
      </c>
      <c r="B204" s="12">
        <v>67</v>
      </c>
    </row>
    <row r="205" spans="1:2" x14ac:dyDescent="0.25">
      <c r="A205" s="7">
        <v>35490</v>
      </c>
      <c r="B205" s="12">
        <v>67.099999999999994</v>
      </c>
    </row>
    <row r="206" spans="1:2" x14ac:dyDescent="0.25">
      <c r="A206" s="7">
        <v>35582</v>
      </c>
      <c r="B206" s="12">
        <v>66.900000000000006</v>
      </c>
    </row>
    <row r="207" spans="1:2" x14ac:dyDescent="0.25">
      <c r="A207" s="7">
        <v>35674</v>
      </c>
      <c r="B207" s="12">
        <v>66.599999999999994</v>
      </c>
    </row>
    <row r="208" spans="1:2" x14ac:dyDescent="0.25">
      <c r="A208" s="7">
        <v>35765</v>
      </c>
      <c r="B208" s="12">
        <v>66.8</v>
      </c>
    </row>
    <row r="209" spans="1:2" x14ac:dyDescent="0.25">
      <c r="A209" s="7">
        <v>35855</v>
      </c>
      <c r="B209" s="12">
        <v>67</v>
      </c>
    </row>
    <row r="210" spans="1:2" x14ac:dyDescent="0.25">
      <c r="A210" s="7">
        <v>35947</v>
      </c>
      <c r="B210" s="12">
        <v>67.400000000000006</v>
      </c>
    </row>
    <row r="211" spans="1:2" x14ac:dyDescent="0.25">
      <c r="A211" s="7">
        <v>36039</v>
      </c>
      <c r="B211" s="12">
        <v>67.5</v>
      </c>
    </row>
    <row r="212" spans="1:2" x14ac:dyDescent="0.25">
      <c r="A212" s="7">
        <v>36130</v>
      </c>
      <c r="B212" s="12">
        <v>67.8</v>
      </c>
    </row>
    <row r="213" spans="1:2" x14ac:dyDescent="0.25">
      <c r="A213" s="7">
        <v>36220</v>
      </c>
      <c r="B213" s="12">
        <v>67.8</v>
      </c>
    </row>
    <row r="214" spans="1:2" x14ac:dyDescent="0.25">
      <c r="A214" s="7">
        <v>36312</v>
      </c>
      <c r="B214" s="12">
        <v>68.099999999999994</v>
      </c>
    </row>
    <row r="215" spans="1:2" x14ac:dyDescent="0.25">
      <c r="A215" s="7">
        <v>36404</v>
      </c>
      <c r="B215" s="12">
        <v>68.7</v>
      </c>
    </row>
    <row r="216" spans="1:2" x14ac:dyDescent="0.25">
      <c r="A216" s="7">
        <v>36495</v>
      </c>
      <c r="B216" s="12">
        <v>69.099999999999994</v>
      </c>
    </row>
    <row r="217" spans="1:2" x14ac:dyDescent="0.25">
      <c r="A217" s="7">
        <v>36586</v>
      </c>
      <c r="B217" s="12">
        <v>69.7</v>
      </c>
    </row>
    <row r="218" spans="1:2" x14ac:dyDescent="0.25">
      <c r="A218" s="7">
        <v>36678</v>
      </c>
      <c r="B218" s="12">
        <v>70.2</v>
      </c>
    </row>
    <row r="219" spans="1:2" x14ac:dyDescent="0.25">
      <c r="A219" s="7">
        <v>36770</v>
      </c>
      <c r="B219" s="12">
        <v>72.900000000000006</v>
      </c>
    </row>
    <row r="220" spans="1:2" x14ac:dyDescent="0.25">
      <c r="A220" s="7">
        <v>36861</v>
      </c>
      <c r="B220" s="12">
        <v>73.099999999999994</v>
      </c>
    </row>
    <row r="221" spans="1:2" x14ac:dyDescent="0.25">
      <c r="A221" s="7">
        <v>36951</v>
      </c>
      <c r="B221" s="12">
        <v>73.900000000000006</v>
      </c>
    </row>
    <row r="222" spans="1:2" x14ac:dyDescent="0.25">
      <c r="A222" s="7">
        <v>37043</v>
      </c>
      <c r="B222" s="12">
        <v>74.5</v>
      </c>
    </row>
    <row r="223" spans="1:2" x14ac:dyDescent="0.25">
      <c r="A223" s="7">
        <v>37135</v>
      </c>
      <c r="B223" s="12">
        <v>74.7</v>
      </c>
    </row>
    <row r="224" spans="1:2" x14ac:dyDescent="0.25">
      <c r="A224" s="7">
        <v>37226</v>
      </c>
      <c r="B224" s="12">
        <v>75.400000000000006</v>
      </c>
    </row>
    <row r="225" spans="1:2" x14ac:dyDescent="0.25">
      <c r="A225" s="7">
        <v>37316</v>
      </c>
      <c r="B225" s="12">
        <v>76.099999999999994</v>
      </c>
    </row>
    <row r="226" spans="1:2" x14ac:dyDescent="0.25">
      <c r="A226" s="7">
        <v>37408</v>
      </c>
      <c r="B226" s="12">
        <v>76.599999999999994</v>
      </c>
    </row>
    <row r="227" spans="1:2" x14ac:dyDescent="0.25">
      <c r="A227" s="7">
        <v>37500</v>
      </c>
      <c r="B227" s="12">
        <v>77.099999999999994</v>
      </c>
    </row>
    <row r="228" spans="1:2" x14ac:dyDescent="0.25">
      <c r="A228" s="7">
        <v>37591</v>
      </c>
      <c r="B228" s="12">
        <v>77.599999999999994</v>
      </c>
    </row>
    <row r="229" spans="1:2" x14ac:dyDescent="0.25">
      <c r="A229" s="7">
        <v>37681</v>
      </c>
      <c r="B229" s="12">
        <v>78.599999999999994</v>
      </c>
    </row>
    <row r="230" spans="1:2" x14ac:dyDescent="0.25">
      <c r="A230" s="7">
        <v>37773</v>
      </c>
      <c r="B230" s="12">
        <v>78.599999999999994</v>
      </c>
    </row>
    <row r="231" spans="1:2" x14ac:dyDescent="0.25">
      <c r="A231" s="7">
        <v>37865</v>
      </c>
      <c r="B231" s="12">
        <v>79.099999999999994</v>
      </c>
    </row>
    <row r="232" spans="1:2" x14ac:dyDescent="0.25">
      <c r="A232" s="7">
        <v>37956</v>
      </c>
      <c r="B232" s="12">
        <v>79.5</v>
      </c>
    </row>
    <row r="233" spans="1:2" x14ac:dyDescent="0.25">
      <c r="A233" s="7">
        <v>38047</v>
      </c>
      <c r="B233" s="12">
        <v>80.2</v>
      </c>
    </row>
    <row r="234" spans="1:2" x14ac:dyDescent="0.25">
      <c r="A234" s="7">
        <v>38139</v>
      </c>
      <c r="B234" s="12">
        <v>80.599999999999994</v>
      </c>
    </row>
    <row r="235" spans="1:2" x14ac:dyDescent="0.25">
      <c r="A235" s="7">
        <v>38231</v>
      </c>
      <c r="B235" s="12">
        <v>80.900000000000006</v>
      </c>
    </row>
    <row r="236" spans="1:2" x14ac:dyDescent="0.25">
      <c r="A236" s="7">
        <v>38322</v>
      </c>
      <c r="B236" s="12">
        <v>81.5</v>
      </c>
    </row>
    <row r="237" spans="1:2" x14ac:dyDescent="0.25">
      <c r="A237" s="7">
        <v>38412</v>
      </c>
      <c r="B237" s="12">
        <v>82.1</v>
      </c>
    </row>
    <row r="238" spans="1:2" x14ac:dyDescent="0.25">
      <c r="A238" s="7">
        <v>38504</v>
      </c>
      <c r="B238" s="12">
        <v>82.6</v>
      </c>
    </row>
    <row r="239" spans="1:2" x14ac:dyDescent="0.25">
      <c r="A239" s="7">
        <v>38596</v>
      </c>
      <c r="B239" s="12">
        <v>83.4</v>
      </c>
    </row>
    <row r="240" spans="1:2" x14ac:dyDescent="0.25">
      <c r="A240" s="7">
        <v>38687</v>
      </c>
      <c r="B240" s="12">
        <v>83.8</v>
      </c>
    </row>
    <row r="241" spans="1:2" x14ac:dyDescent="0.25">
      <c r="A241" s="7">
        <v>38777</v>
      </c>
      <c r="B241" s="12">
        <v>84.5</v>
      </c>
    </row>
    <row r="242" spans="1:2" x14ac:dyDescent="0.25">
      <c r="A242" s="7">
        <v>38869</v>
      </c>
      <c r="B242" s="12">
        <v>85.9</v>
      </c>
    </row>
    <row r="243" spans="1:2" x14ac:dyDescent="0.25">
      <c r="A243" s="7">
        <v>38961</v>
      </c>
      <c r="B243" s="12">
        <v>86.7</v>
      </c>
    </row>
    <row r="244" spans="1:2" x14ac:dyDescent="0.25">
      <c r="A244" s="7">
        <v>39052</v>
      </c>
      <c r="B244" s="12">
        <v>86.6</v>
      </c>
    </row>
    <row r="245" spans="1:2" x14ac:dyDescent="0.25">
      <c r="A245" s="7">
        <v>39142</v>
      </c>
      <c r="B245" s="12">
        <v>86.6</v>
      </c>
    </row>
    <row r="246" spans="1:2" x14ac:dyDescent="0.25">
      <c r="A246" s="7">
        <v>39234</v>
      </c>
      <c r="B246" s="12">
        <v>87.7</v>
      </c>
    </row>
    <row r="247" spans="1:2" x14ac:dyDescent="0.25">
      <c r="A247" s="7">
        <v>39326</v>
      </c>
      <c r="B247" s="12">
        <v>88.3</v>
      </c>
    </row>
    <row r="248" spans="1:2" x14ac:dyDescent="0.25">
      <c r="A248" s="7">
        <v>39417</v>
      </c>
      <c r="B248" s="12">
        <v>89.1</v>
      </c>
    </row>
    <row r="249" spans="1:2" x14ac:dyDescent="0.25">
      <c r="A249" s="7">
        <v>39508</v>
      </c>
      <c r="B249" s="12">
        <v>90.3</v>
      </c>
    </row>
    <row r="250" spans="1:2" x14ac:dyDescent="0.25">
      <c r="A250" s="7">
        <v>39600</v>
      </c>
      <c r="B250" s="12">
        <v>91.6</v>
      </c>
    </row>
    <row r="251" spans="1:2" x14ac:dyDescent="0.25">
      <c r="A251" s="7">
        <v>39692</v>
      </c>
      <c r="B251" s="12">
        <v>92.7</v>
      </c>
    </row>
    <row r="252" spans="1:2" x14ac:dyDescent="0.25">
      <c r="A252" s="7">
        <v>39783</v>
      </c>
      <c r="B252" s="12">
        <v>92.4</v>
      </c>
    </row>
    <row r="253" spans="1:2" x14ac:dyDescent="0.25">
      <c r="A253" s="7">
        <v>39873</v>
      </c>
      <c r="B253" s="12">
        <v>92.5</v>
      </c>
    </row>
    <row r="254" spans="1:2" x14ac:dyDescent="0.25">
      <c r="A254" s="7">
        <v>39965</v>
      </c>
      <c r="B254" s="12">
        <v>92.9</v>
      </c>
    </row>
    <row r="255" spans="1:2" x14ac:dyDescent="0.25">
      <c r="A255" s="7">
        <v>40057</v>
      </c>
      <c r="B255" s="12">
        <v>93.8</v>
      </c>
    </row>
    <row r="256" spans="1:2" x14ac:dyDescent="0.25">
      <c r="A256" s="7">
        <v>40148</v>
      </c>
      <c r="B256" s="12">
        <v>94.3</v>
      </c>
    </row>
    <row r="257" spans="1:2" x14ac:dyDescent="0.25">
      <c r="A257" s="7">
        <v>40238</v>
      </c>
      <c r="B257" s="12">
        <v>95.2</v>
      </c>
    </row>
    <row r="258" spans="1:2" x14ac:dyDescent="0.25">
      <c r="A258" s="7">
        <v>40330</v>
      </c>
      <c r="B258" s="12">
        <v>95.8</v>
      </c>
    </row>
    <row r="259" spans="1:2" x14ac:dyDescent="0.25">
      <c r="A259" s="7">
        <v>40422</v>
      </c>
      <c r="B259" s="12">
        <v>96.5</v>
      </c>
    </row>
    <row r="260" spans="1:2" x14ac:dyDescent="0.25">
      <c r="A260" s="7">
        <v>40513</v>
      </c>
      <c r="B260" s="12">
        <v>96.9</v>
      </c>
    </row>
    <row r="261" spans="1:2" x14ac:dyDescent="0.25">
      <c r="A261" s="7">
        <v>40603</v>
      </c>
      <c r="B261" s="12">
        <v>98.3</v>
      </c>
    </row>
    <row r="262" spans="1:2" x14ac:dyDescent="0.25">
      <c r="A262" s="7">
        <v>40695</v>
      </c>
      <c r="B262" s="12">
        <v>99.2</v>
      </c>
    </row>
    <row r="263" spans="1:2" x14ac:dyDescent="0.25">
      <c r="A263" s="7">
        <v>40787</v>
      </c>
      <c r="B263" s="12">
        <v>99.8</v>
      </c>
    </row>
    <row r="264" spans="1:2" x14ac:dyDescent="0.25">
      <c r="A264" s="7">
        <v>40878</v>
      </c>
      <c r="B264" s="12">
        <v>99.8</v>
      </c>
    </row>
    <row r="265" spans="1:2" x14ac:dyDescent="0.25">
      <c r="A265" s="7">
        <v>40969</v>
      </c>
      <c r="B265" s="12">
        <v>99.9</v>
      </c>
    </row>
    <row r="266" spans="1:2" x14ac:dyDescent="0.25">
      <c r="A266" s="7">
        <v>41061</v>
      </c>
      <c r="B266" s="12">
        <v>100.4</v>
      </c>
    </row>
    <row r="267" spans="1:2" x14ac:dyDescent="0.25">
      <c r="A267" s="7">
        <v>41153</v>
      </c>
      <c r="B267" s="12">
        <v>101.8</v>
      </c>
    </row>
    <row r="268" spans="1:2" x14ac:dyDescent="0.25">
      <c r="A268" s="7">
        <v>41244</v>
      </c>
      <c r="B268" s="12">
        <v>102</v>
      </c>
    </row>
    <row r="269" spans="1:2" x14ac:dyDescent="0.25">
      <c r="A269" s="7">
        <v>41334</v>
      </c>
      <c r="B269" s="12">
        <v>102.4</v>
      </c>
    </row>
    <row r="270" spans="1:2" x14ac:dyDescent="0.25">
      <c r="A270" s="7">
        <v>41426</v>
      </c>
      <c r="B270" s="12">
        <v>102.8</v>
      </c>
    </row>
    <row r="271" spans="1:2" x14ac:dyDescent="0.25">
      <c r="A271" s="7">
        <v>41518</v>
      </c>
      <c r="B271" s="12">
        <v>104</v>
      </c>
    </row>
    <row r="272" spans="1:2" x14ac:dyDescent="0.25">
      <c r="A272" s="7">
        <v>41609</v>
      </c>
      <c r="B272" s="12">
        <v>104.8</v>
      </c>
    </row>
    <row r="273" spans="1:2" x14ac:dyDescent="0.25">
      <c r="A273" s="7">
        <v>41699</v>
      </c>
      <c r="B273" s="12">
        <v>105.4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89"/>
  <sheetViews>
    <sheetView workbookViewId="0">
      <selection activeCell="J1" sqref="J1"/>
    </sheetView>
  </sheetViews>
  <sheetFormatPr defaultRowHeight="15" x14ac:dyDescent="0.25"/>
  <cols>
    <col min="1" max="1" width="18.140625" bestFit="1" customWidth="1"/>
    <col min="2" max="2" width="10.28515625" bestFit="1" customWidth="1"/>
    <col min="3" max="9" width="10.140625" bestFit="1" customWidth="1"/>
    <col min="10" max="11" width="9.5703125" bestFit="1" customWidth="1"/>
  </cols>
  <sheetData>
    <row r="1" spans="1:9" x14ac:dyDescent="0.25">
      <c r="A1" s="24" t="s">
        <v>29</v>
      </c>
    </row>
    <row r="3" spans="1:9" x14ac:dyDescent="0.25">
      <c r="A3" s="24" t="s">
        <v>22</v>
      </c>
      <c r="B3" s="18">
        <v>2006</v>
      </c>
      <c r="C3" s="18">
        <v>2007</v>
      </c>
      <c r="D3" s="18">
        <v>2008</v>
      </c>
      <c r="E3" s="18">
        <v>2009</v>
      </c>
      <c r="F3" s="18">
        <v>2010</v>
      </c>
      <c r="G3" s="18">
        <v>2011</v>
      </c>
      <c r="H3" s="18">
        <v>2012</v>
      </c>
      <c r="I3" s="18">
        <v>2013</v>
      </c>
    </row>
    <row r="4" spans="1:9" x14ac:dyDescent="0.25">
      <c r="A4" s="18" t="s">
        <v>94</v>
      </c>
      <c r="B4" s="19">
        <f>'[2]SD 8. Operating environment'!D20</f>
        <v>4643</v>
      </c>
      <c r="C4" s="19">
        <f>'[2]SD 8. Operating environment'!E20</f>
        <v>4555</v>
      </c>
      <c r="D4" s="19">
        <f>'[2]SD 8. Operating environment'!F20</f>
        <v>4555</v>
      </c>
      <c r="E4" s="19">
        <f>'[2]SD 8. Operating environment'!G20</f>
        <v>4540</v>
      </c>
      <c r="F4" s="19">
        <f>'[2]SD 8. Operating environment'!H20</f>
        <v>4538</v>
      </c>
      <c r="G4" s="19">
        <f>'[2]SD 8. Operating environment'!I20</f>
        <v>4542</v>
      </c>
      <c r="H4" s="19">
        <f>'[2]SD 8. Operating environment'!J20</f>
        <v>4543</v>
      </c>
      <c r="I4" s="19">
        <f>'[2]SD 8. Operating environment'!K20</f>
        <v>4543</v>
      </c>
    </row>
    <row r="5" spans="1:9" x14ac:dyDescent="0.25">
      <c r="A5" s="18" t="s">
        <v>26</v>
      </c>
      <c r="B5" s="19">
        <f>'[2]SD 8. Operating environment'!L20</f>
        <v>8393</v>
      </c>
      <c r="C5" s="19">
        <f>'[2]SD 8. Operating environment'!M20</f>
        <v>8387</v>
      </c>
      <c r="D5" s="19">
        <f>'[2]SD 8. Operating environment'!N20</f>
        <v>8643</v>
      </c>
      <c r="E5" s="19">
        <f>'[2]SD 8. Operating environment'!O20</f>
        <v>8878</v>
      </c>
      <c r="F5" s="19">
        <f>'[2]SD 8. Operating environment'!P20</f>
        <v>9096</v>
      </c>
      <c r="G5" s="19">
        <f>'[2]SD 8. Operating environment'!Q20</f>
        <v>9294</v>
      </c>
      <c r="H5" s="19">
        <f>'[2]SD 8. Operating environment'!R20</f>
        <v>9290</v>
      </c>
      <c r="I5" s="19">
        <f>'[2]SD 8. Operating environment'!S20</f>
        <v>9505</v>
      </c>
    </row>
    <row r="6" spans="1:9" x14ac:dyDescent="0.25">
      <c r="A6" s="18" t="s">
        <v>86</v>
      </c>
      <c r="B6" s="19">
        <f>'[2]SD 8. Operating environment'!T20</f>
        <v>5029</v>
      </c>
      <c r="C6" s="19">
        <f>'[2]SD 8. Operating environment'!U20</f>
        <v>5029</v>
      </c>
      <c r="D6" s="19">
        <f>'[2]SD 8. Operating environment'!V20</f>
        <v>5029</v>
      </c>
      <c r="E6" s="19">
        <f>'[2]SD 8. Operating environment'!W20</f>
        <v>5029</v>
      </c>
      <c r="F6" s="19">
        <f>'[2]SD 8. Operating environment'!X20</f>
        <v>5029</v>
      </c>
      <c r="G6" s="19">
        <f>'[2]SD 8. Operating environment'!Y20</f>
        <v>5029</v>
      </c>
      <c r="H6" s="19">
        <f>'[2]SD 8. Operating environment'!Z20</f>
        <v>5029</v>
      </c>
      <c r="I6" s="19">
        <f>'[2]SD 8. Operating environment'!AA20</f>
        <v>5029</v>
      </c>
    </row>
    <row r="7" spans="1:9" x14ac:dyDescent="0.25">
      <c r="A7" s="18" t="s">
        <v>49</v>
      </c>
      <c r="B7" s="19">
        <f>'[2]SD 8. Operating environment'!AB20</f>
        <v>2261</v>
      </c>
      <c r="C7" s="19">
        <f>'[2]SD 8. Operating environment'!AC20</f>
        <v>2326</v>
      </c>
      <c r="D7" s="19">
        <f>'[2]SD 8. Operating environment'!AD20</f>
        <v>2326</v>
      </c>
      <c r="E7" s="19">
        <f>'[2]SD 8. Operating environment'!AE20</f>
        <v>2265</v>
      </c>
      <c r="F7" s="19">
        <f>'[2]SD 8. Operating environment'!AF20</f>
        <v>2265</v>
      </c>
      <c r="G7" s="19">
        <f>'[2]SD 8. Operating environment'!AG20</f>
        <v>2365</v>
      </c>
      <c r="H7" s="19">
        <f>'[2]SD 8. Operating environment'!AH20</f>
        <v>2353</v>
      </c>
      <c r="I7" s="19">
        <f>'[2]SD 8. Operating environment'!AI20</f>
        <v>2348</v>
      </c>
    </row>
    <row r="8" spans="1:9" x14ac:dyDescent="0.25">
      <c r="A8" s="18" t="s">
        <v>95</v>
      </c>
      <c r="B8" s="19">
        <f>'[2]SD 8. Operating environment'!AJ20</f>
        <v>10381.867</v>
      </c>
      <c r="C8" s="19">
        <f>'[2]SD 8. Operating environment'!AK20</f>
        <v>10520</v>
      </c>
      <c r="D8" s="19">
        <f>'[2]SD 8. Operating environment'!AL20</f>
        <v>10562.36</v>
      </c>
      <c r="E8" s="19">
        <f>'[2]SD 8. Operating environment'!AM20</f>
        <v>10562.84</v>
      </c>
      <c r="F8" s="19">
        <f>'[2]SD 8. Operating environment'!AN20</f>
        <v>10882.06</v>
      </c>
      <c r="G8" s="19">
        <f>'[2]SD 8. Operating environment'!AO20</f>
        <v>11004.81</v>
      </c>
      <c r="H8" s="19">
        <f>'[2]SD 8. Operating environment'!AP20</f>
        <v>11122.07</v>
      </c>
      <c r="I8" s="19">
        <f>'[2]SD 8. Operating environment'!AQ20</f>
        <v>11391.57</v>
      </c>
    </row>
    <row r="10" spans="1:9" x14ac:dyDescent="0.25">
      <c r="A10" s="24" t="s">
        <v>23</v>
      </c>
    </row>
    <row r="11" spans="1:9" x14ac:dyDescent="0.25">
      <c r="A11" s="18" t="s">
        <v>94</v>
      </c>
      <c r="B11" s="19">
        <f>'[4]Physical data'!$C$32</f>
        <v>778839</v>
      </c>
      <c r="C11" s="19">
        <f>'[4]Physical data'!$C$32</f>
        <v>778839</v>
      </c>
      <c r="D11" s="19">
        <f>'[4]Physical data'!$C$32</f>
        <v>778839</v>
      </c>
      <c r="E11" s="19">
        <f>'[4]Physical data'!$C$32</f>
        <v>778839</v>
      </c>
      <c r="F11" s="19">
        <f>'[4]Physical data'!$C$32</f>
        <v>778839</v>
      </c>
      <c r="G11" s="19">
        <f>'[4]Physical data'!$C$32</f>
        <v>778839</v>
      </c>
      <c r="H11" s="19">
        <f>'[4]Physical data'!$C$32</f>
        <v>778839</v>
      </c>
      <c r="I11" s="19">
        <f>'[4]Physical data'!$C$32</f>
        <v>778839</v>
      </c>
    </row>
    <row r="12" spans="1:9" x14ac:dyDescent="0.25">
      <c r="A12" s="18" t="s">
        <v>26</v>
      </c>
      <c r="B12" s="19">
        <f>'[4]Physical data'!$C$27+'[4]Physical data'!$C$28</f>
        <v>1836193.5623809525</v>
      </c>
      <c r="C12" s="19">
        <f>'[4]Physical data'!$C$27+'[4]Physical data'!$C$28</f>
        <v>1836193.5623809525</v>
      </c>
      <c r="D12" s="19">
        <f>'[4]Physical data'!$C$27+'[4]Physical data'!$C$28</f>
        <v>1836193.5623809525</v>
      </c>
      <c r="E12" s="19">
        <f>'[4]Physical data'!$C$27+'[4]Physical data'!$C$28</f>
        <v>1836193.5623809525</v>
      </c>
      <c r="F12" s="19">
        <f>'[4]Physical data'!$C$27+'[4]Physical data'!$C$28</f>
        <v>1836193.5623809525</v>
      </c>
      <c r="G12" s="19">
        <f>'[4]Physical data'!$C$27+'[4]Physical data'!$C$28</f>
        <v>1836193.5623809525</v>
      </c>
      <c r="H12" s="19">
        <f>'[4]Physical data'!$C$27+'[4]Physical data'!$C$28</f>
        <v>1836193.5623809525</v>
      </c>
      <c r="I12" s="19">
        <f>'[4]Physical data'!$C$27+'[4]Physical data'!$C$28</f>
        <v>1836193.5623809525</v>
      </c>
    </row>
    <row r="13" spans="1:9" x14ac:dyDescent="0.25">
      <c r="A13" s="18" t="s">
        <v>86</v>
      </c>
      <c r="B13" s="19">
        <f>'[4]Physical data'!C25+'[4]Physical data'!C31+'[4]Physical data'!C33+'[4]Physical data'!C35+'[4]Physical data'!C30</f>
        <v>2470249.5154752722</v>
      </c>
      <c r="C13" s="19">
        <f>'[4]Physical data'!D25+'[4]Physical data'!D31+'[4]Physical data'!D33+'[4]Physical data'!D35+'[4]Physical data'!D30</f>
        <v>2509726.8842807254</v>
      </c>
      <c r="D13" s="19">
        <f>'[4]Physical data'!E25+'[4]Physical data'!E31+'[4]Physical data'!E33+'[4]Physical data'!E35+'[4]Physical data'!E30</f>
        <v>2545782.2358691012</v>
      </c>
      <c r="E13" s="19">
        <f>'[4]Physical data'!F25+'[4]Physical data'!F31+'[4]Physical data'!F33+'[4]Physical data'!F35+'[4]Physical data'!F30</f>
        <v>2578966.0261047892</v>
      </c>
      <c r="F13" s="19">
        <f>'[4]Physical data'!G25+'[4]Physical data'!G31+'[4]Physical data'!G33+'[4]Physical data'!G35+'[4]Physical data'!G30</f>
        <v>2614510.1593668936</v>
      </c>
      <c r="G13" s="19">
        <f>'[4]Physical data'!H25+'[4]Physical data'!H31+'[4]Physical data'!H33+'[4]Physical data'!H35+'[4]Physical data'!H30</f>
        <v>2654853.9193332456</v>
      </c>
      <c r="H13" s="19">
        <f>'[4]Physical data'!I25+'[4]Physical data'!I31+'[4]Physical data'!I33+'[4]Physical data'!I35+'[4]Physical data'!I30</f>
        <v>2695849.7355016307</v>
      </c>
      <c r="I13" s="19">
        <f>'[4]Physical data'!J25+'[4]Physical data'!J31+'[4]Physical data'!J33+'[4]Physical data'!J35+'[4]Physical data'!J30</f>
        <v>2733294.232565715</v>
      </c>
    </row>
    <row r="14" spans="1:9" x14ac:dyDescent="0.25">
      <c r="A14" s="18" t="s">
        <v>49</v>
      </c>
      <c r="B14" s="19">
        <f>'[4]Physical data'!C34</f>
        <v>250642.52420131132</v>
      </c>
      <c r="C14" s="19">
        <f>'[4]Physical data'!D34</f>
        <v>255484.38545676047</v>
      </c>
      <c r="D14" s="19">
        <f>'[4]Physical data'!E34</f>
        <v>260424.25945125124</v>
      </c>
      <c r="E14" s="19">
        <f>'[4]Physical data'!F34</f>
        <v>265464.13023523602</v>
      </c>
      <c r="F14" s="19">
        <f>'[4]Physical data'!G34</f>
        <v>270606.02202186675</v>
      </c>
      <c r="G14" s="19">
        <f>'[4]Physical data'!H34</f>
        <v>275852</v>
      </c>
      <c r="H14" s="19">
        <f>'[4]Physical data'!I34</f>
        <v>278392</v>
      </c>
      <c r="I14" s="19">
        <f>'[4]Physical data'!J34</f>
        <v>279868</v>
      </c>
    </row>
    <row r="15" spans="1:9" x14ac:dyDescent="0.25">
      <c r="A15" s="18" t="s">
        <v>95</v>
      </c>
      <c r="B15" s="19">
        <f>'[4]Physical data'!C24+'[4]Physical data'!C26+'[4]Physical data'!C29+'[4]Physical data'!C23</f>
        <v>3349280.793301953</v>
      </c>
      <c r="C15" s="19">
        <f>'[4]Physical data'!D24+'[4]Physical data'!D26+'[4]Physical data'!D29+'[4]Physical data'!D23</f>
        <v>3382886.3052992523</v>
      </c>
      <c r="D15" s="19">
        <f>'[4]Physical data'!E24+'[4]Physical data'!E26+'[4]Physical data'!E29+'[4]Physical data'!E23</f>
        <v>3417292.5367964176</v>
      </c>
      <c r="E15" s="19">
        <f>'[4]Physical data'!F24+'[4]Physical data'!F26+'[4]Physical data'!F29+'[4]Physical data'!F23</f>
        <v>3447420.2077966202</v>
      </c>
      <c r="F15" s="19">
        <f>'[4]Physical data'!G24+'[4]Physical data'!G26+'[4]Physical data'!G29+'[4]Physical data'!G23</f>
        <v>3473076.7927215537</v>
      </c>
      <c r="G15" s="19">
        <f>'[4]Physical data'!H24+'[4]Physical data'!H26+'[4]Physical data'!H29+'[4]Physical data'!H23</f>
        <v>3507175.7698001973</v>
      </c>
      <c r="H15" s="19">
        <f>'[4]Physical data'!I24+'[4]Physical data'!I26+'[4]Physical data'!I29+'[4]Physical data'!I23</f>
        <v>3536976.1883934513</v>
      </c>
      <c r="I15" s="19">
        <f>'[4]Physical data'!J24+'[4]Physical data'!J26+'[4]Physical data'!J29+'[4]Physical data'!J23</f>
        <v>3575936.3238990037</v>
      </c>
    </row>
    <row r="17" spans="1:9" x14ac:dyDescent="0.25">
      <c r="A17" s="24" t="s">
        <v>30</v>
      </c>
    </row>
    <row r="18" spans="1:9" x14ac:dyDescent="0.25">
      <c r="A18" s="18" t="s">
        <v>94</v>
      </c>
      <c r="B18" s="19">
        <f>'[2]SD 5. Operational data'!D17*1000</f>
        <v>15101074.258214997</v>
      </c>
      <c r="C18" s="19">
        <f>'[2]SD 5. Operational data'!E17*1000</f>
        <v>13989610</v>
      </c>
      <c r="D18" s="19">
        <f>'[2]SD 5. Operational data'!F17*1000</f>
        <v>13083325.236576969</v>
      </c>
      <c r="E18" s="19">
        <f>'[2]SD 5. Operational data'!G17*1000</f>
        <v>13513587.369959038</v>
      </c>
      <c r="F18" s="19">
        <f>'[2]SD 5. Operational data'!H17*1000</f>
        <v>13846707.414743055</v>
      </c>
      <c r="G18" s="19">
        <f>'[2]SD 5. Operational data'!I17*1000</f>
        <v>13881537.225071985</v>
      </c>
      <c r="H18" s="19">
        <f>'[2]SD 5. Operational data'!J17*1000</f>
        <v>14062879.897383038</v>
      </c>
      <c r="I18" s="19">
        <f>'[2]SD 5. Operational data'!K17*1000</f>
        <v>14283594.450350931</v>
      </c>
    </row>
    <row r="19" spans="1:9" x14ac:dyDescent="0.25">
      <c r="A19" s="18" t="s">
        <v>26</v>
      </c>
      <c r="B19" s="19">
        <f>'[2]SD 5. Operational data'!L17*1000</f>
        <v>51045963.444256991</v>
      </c>
      <c r="C19" s="19">
        <f>'[2]SD 5. Operational data'!M17*1000</f>
        <v>51964465.679886967</v>
      </c>
      <c r="D19" s="19">
        <f>'[2]SD 5. Operational data'!N17*1000</f>
        <v>51187327.595034994</v>
      </c>
      <c r="E19" s="19">
        <f>'[2]SD 5. Operational data'!O17*1000</f>
        <v>52191948.260312036</v>
      </c>
      <c r="F19" s="19">
        <f>'[2]SD 5. Operational data'!P17*1000</f>
        <v>52848520.626357004</v>
      </c>
      <c r="G19" s="19">
        <f>'[2]SD 5. Operational data'!Q17*1000</f>
        <v>51917071.191967987</v>
      </c>
      <c r="H19" s="19">
        <f>'[2]SD 5. Operational data'!R17*1000</f>
        <v>50878576.976755999</v>
      </c>
      <c r="I19" s="19">
        <f>'[2]SD 5. Operational data'!S17*1000</f>
        <v>49333938.670690008</v>
      </c>
    </row>
    <row r="20" spans="1:9" x14ac:dyDescent="0.25">
      <c r="A20" s="18" t="s">
        <v>86</v>
      </c>
      <c r="B20" s="19">
        <f>'[2]SD 5. Operational data'!T17*1000</f>
        <v>45186299.678676002</v>
      </c>
      <c r="C20" s="19">
        <f>'[2]SD 5. Operational data'!U17*1000</f>
        <v>45956437.073729999</v>
      </c>
      <c r="D20" s="19">
        <f>'[2]SD 5. Operational data'!V17*1000</f>
        <v>45046718.030759998</v>
      </c>
      <c r="E20" s="19">
        <f>'[2]SD 5. Operational data'!W17*1000</f>
        <v>47419179.046665005</v>
      </c>
      <c r="F20" s="19">
        <f>'[2]SD 5. Operational data'!X17*1000</f>
        <v>48976636.241105005</v>
      </c>
      <c r="G20" s="19">
        <f>'[2]SD 5. Operational data'!Y17*1000</f>
        <v>48047970.9925</v>
      </c>
      <c r="H20" s="19">
        <f>'[2]SD 5. Operational data'!Z17*1000</f>
        <v>47529361.264941998</v>
      </c>
      <c r="I20" s="19">
        <f>'[2]SD 5. Operational data'!AA17*1000</f>
        <v>49056428.480179004</v>
      </c>
    </row>
    <row r="21" spans="1:9" x14ac:dyDescent="0.25">
      <c r="A21" s="18" t="s">
        <v>49</v>
      </c>
      <c r="B21" s="19">
        <f>'[2]SD 5. Operational data'!AB17*1000</f>
        <v>10530108.800000003</v>
      </c>
      <c r="C21" s="19">
        <f>'[2]SD 5. Operational data'!AC17*1000</f>
        <v>12828493</v>
      </c>
      <c r="D21" s="19">
        <f>'[2]SD 5. Operational data'!AD17*1000</f>
        <v>13500337</v>
      </c>
      <c r="E21" s="19">
        <f>'[2]SD 5. Operational data'!AE17*1000</f>
        <v>13412711</v>
      </c>
      <c r="F21" s="19">
        <f>'[2]SD 5. Operational data'!AF17*1000</f>
        <v>13030212</v>
      </c>
      <c r="G21" s="19">
        <f>'[2]SD 5. Operational data'!AG17*1000</f>
        <v>13108443</v>
      </c>
      <c r="H21" s="19">
        <f>'[2]SD 5. Operational data'!AH17*1000</f>
        <v>12589843</v>
      </c>
      <c r="I21" s="19">
        <f>'[2]SD 5. Operational data'!AI17*1000</f>
        <v>12866188</v>
      </c>
    </row>
    <row r="22" spans="1:9" x14ac:dyDescent="0.25">
      <c r="A22" s="18" t="s">
        <v>95</v>
      </c>
      <c r="B22" s="19">
        <f>'[2]SD 5. Operational data'!AJ17*1000</f>
        <v>72900000</v>
      </c>
      <c r="C22" s="19">
        <f>'[2]SD 5. Operational data'!AK17*1000</f>
        <v>74900000</v>
      </c>
      <c r="D22" s="19">
        <f>'[2]SD 5. Operational data'!AL17*1000</f>
        <v>75800000</v>
      </c>
      <c r="E22" s="19">
        <f>'[2]SD 5. Operational data'!AM17*1000</f>
        <v>74400000</v>
      </c>
      <c r="F22" s="19">
        <f>'[2]SD 5. Operational data'!AN17*1000</f>
        <v>72300000</v>
      </c>
      <c r="G22" s="19">
        <f>'[2]SD 5. Operational data'!AO17*1000</f>
        <v>70800000</v>
      </c>
      <c r="H22" s="19">
        <f>'[2]SD 5. Operational data'!AP17*1000</f>
        <v>68200000</v>
      </c>
      <c r="I22" s="19">
        <f>'[2]SD 5. Operational data'!AQ17*1000</f>
        <v>65200000</v>
      </c>
    </row>
    <row r="24" spans="1:9" x14ac:dyDescent="0.25">
      <c r="A24" s="24" t="s">
        <v>24</v>
      </c>
    </row>
    <row r="25" spans="1:9" x14ac:dyDescent="0.25">
      <c r="A25" s="18" t="s">
        <v>94</v>
      </c>
      <c r="B25" s="19">
        <f>'[2]SD 5. Operational data'!D47</f>
        <v>3647.685676000001</v>
      </c>
      <c r="C25" s="19">
        <f>'[2]SD 5. Operational data'!E47</f>
        <v>3711.8510500000002</v>
      </c>
      <c r="D25" s="19">
        <f>'[2]SD 5. Operational data'!F47</f>
        <v>4000.8580980000002</v>
      </c>
      <c r="E25" s="19">
        <f>'[2]SD 5. Operational data'!G47</f>
        <v>4103.3835280000003</v>
      </c>
      <c r="F25" s="19">
        <f>'[2]SD 5. Operational data'!H47</f>
        <v>4077.1601580000001</v>
      </c>
      <c r="G25" s="19">
        <f>'[2]SD 5. Operational data'!I47</f>
        <v>4203.9085479999985</v>
      </c>
      <c r="H25" s="19">
        <f>'[2]SD 5. Operational data'!J47</f>
        <v>4041.7050799999993</v>
      </c>
      <c r="I25" s="19">
        <f>'[2]SD 5. Operational data'!K47</f>
        <v>4136.1532900000002</v>
      </c>
    </row>
    <row r="26" spans="1:9" x14ac:dyDescent="0.25">
      <c r="A26" s="18" t="s">
        <v>26</v>
      </c>
      <c r="B26" s="19">
        <f>'[2]SD 5. Operational data'!L47</f>
        <v>10304.62587</v>
      </c>
      <c r="C26" s="19">
        <f>'[2]SD 5. Operational data'!M47</f>
        <v>11002.360679999998</v>
      </c>
      <c r="D26" s="19">
        <f>'[2]SD 5. Operational data'!N47</f>
        <v>10937.462759999999</v>
      </c>
      <c r="E26" s="19">
        <f>'[2]SD 5. Operational data'!O47</f>
        <v>11317.645462</v>
      </c>
      <c r="F26" s="19">
        <f>'[2]SD 5. Operational data'!P47</f>
        <v>11517.336420000001</v>
      </c>
      <c r="G26" s="19">
        <f>'[2]SD 5. Operational data'!Q47</f>
        <v>11281.548300000002</v>
      </c>
      <c r="H26" s="19">
        <f>'[2]SD 5. Operational data'!R47</f>
        <v>11025.044147999999</v>
      </c>
      <c r="I26" s="19">
        <f>'[2]SD 5. Operational data'!S47</f>
        <v>10955.697141999999</v>
      </c>
    </row>
    <row r="27" spans="1:9" x14ac:dyDescent="0.25">
      <c r="A27" s="18" t="s">
        <v>86</v>
      </c>
      <c r="B27" s="19">
        <f>'[2]SD 5. Operational data'!T47</f>
        <v>7550.75</v>
      </c>
      <c r="C27" s="19">
        <f>'[2]SD 5. Operational data'!U47</f>
        <v>9063.9500000000007</v>
      </c>
      <c r="D27" s="19">
        <f>'[2]SD 5. Operational data'!V47</f>
        <v>9334.84</v>
      </c>
      <c r="E27" s="19">
        <f>'[2]SD 5. Operational data'!W47</f>
        <v>9731.65</v>
      </c>
      <c r="F27" s="19">
        <f>'[2]SD 5. Operational data'!X47</f>
        <v>9610.64</v>
      </c>
      <c r="G27" s="19">
        <f>'[2]SD 5. Operational data'!Y47</f>
        <v>9307.9</v>
      </c>
      <c r="H27" s="19">
        <f>'[2]SD 5. Operational data'!Z47</f>
        <v>8693.99</v>
      </c>
      <c r="I27" s="19">
        <f>'[2]SD 5. Operational data'!AA47</f>
        <v>9342.1200000000008</v>
      </c>
    </row>
    <row r="28" spans="1:9" x14ac:dyDescent="0.25">
      <c r="A28" s="18" t="s">
        <v>49</v>
      </c>
      <c r="B28" s="19">
        <f>'[2]SD 5. Operational data'!AB47</f>
        <v>2578.681</v>
      </c>
      <c r="C28" s="19">
        <f>'[2]SD 5. Operational data'!AC47</f>
        <v>2592.0160000000001</v>
      </c>
      <c r="D28" s="19">
        <f>'[2]SD 5. Operational data'!AD47</f>
        <v>2535.3510000000001</v>
      </c>
      <c r="E28" s="19">
        <f>'[2]SD 5. Operational data'!AE47</f>
        <v>2563.9070000000002</v>
      </c>
      <c r="F28" s="19">
        <f>'[2]SD 5. Operational data'!AF47</f>
        <v>2553.692</v>
      </c>
      <c r="G28" s="19">
        <f>'[2]SD 5. Operational data'!AG47</f>
        <v>2517.672</v>
      </c>
      <c r="H28" s="19">
        <f>'[2]SD 5. Operational data'!AH47</f>
        <v>2513.8870000000002</v>
      </c>
      <c r="I28" s="19">
        <f>'[2]SD 5. Operational data'!AI47</f>
        <v>2483.2939999999999</v>
      </c>
    </row>
    <row r="29" spans="1:9" x14ac:dyDescent="0.25">
      <c r="A29" s="18" t="s">
        <v>95</v>
      </c>
      <c r="B29" s="19">
        <f>'[2]SD 5. Operational data'!AJ47</f>
        <v>17800</v>
      </c>
      <c r="C29" s="19">
        <f>'[2]SD 5. Operational data'!AK47</f>
        <v>18200</v>
      </c>
      <c r="D29" s="19">
        <f>'[2]SD 5. Operational data'!AL47</f>
        <v>17900</v>
      </c>
      <c r="E29" s="19">
        <f>'[2]SD 5. Operational data'!AM47</f>
        <v>18500</v>
      </c>
      <c r="F29" s="19">
        <f>'[2]SD 5. Operational data'!AN47</f>
        <v>18300</v>
      </c>
      <c r="G29" s="19">
        <f>'[2]SD 5. Operational data'!AO47</f>
        <v>18600</v>
      </c>
      <c r="H29" s="19">
        <f>'[2]SD 5. Operational data'!AP47</f>
        <v>17800</v>
      </c>
      <c r="I29" s="19">
        <f>'[2]SD 5. Operational data'!AQ47</f>
        <v>17100</v>
      </c>
    </row>
    <row r="31" spans="1:9" x14ac:dyDescent="0.25">
      <c r="A31" s="24" t="s">
        <v>38</v>
      </c>
    </row>
    <row r="32" spans="1:9" x14ac:dyDescent="0.25">
      <c r="A32" s="18" t="s">
        <v>94</v>
      </c>
      <c r="B32" s="19">
        <f>'[2]SD 6. Physical assets'!D56+'[2]SD 6. Physical assets'!D57+'[2]SD 6. Physical assets'!D58+'[2]SD 6. Physical assets'!D59</f>
        <v>11511.1</v>
      </c>
      <c r="C32" s="19">
        <f>'[2]SD 6. Physical assets'!E56+'[2]SD 6. Physical assets'!E57+'[2]SD 6. Physical assets'!E58+'[2]SD 6. Physical assets'!E59</f>
        <v>11589.5</v>
      </c>
      <c r="D32" s="19">
        <f>'[2]SD 6. Physical assets'!F56+'[2]SD 6. Physical assets'!F57+'[2]SD 6. Physical assets'!F58+'[2]SD 6. Physical assets'!F59</f>
        <v>12067.1</v>
      </c>
      <c r="E32" s="19">
        <f>'[2]SD 6. Physical assets'!G56+'[2]SD 6. Physical assets'!G57+'[2]SD 6. Physical assets'!G58+'[2]SD 6. Physical assets'!G59</f>
        <v>12530.1</v>
      </c>
      <c r="F32" s="19">
        <f>'[2]SD 6. Physical assets'!H56+'[2]SD 6. Physical assets'!H57+'[2]SD 6. Physical assets'!H58+'[2]SD 6. Physical assets'!H59</f>
        <v>12595.1</v>
      </c>
      <c r="G32" s="19">
        <f>'[2]SD 6. Physical assets'!I56+'[2]SD 6. Physical assets'!I57+'[2]SD 6. Physical assets'!I58+'[2]SD 6. Physical assets'!I59</f>
        <v>13355.1</v>
      </c>
      <c r="H32" s="19">
        <f>'[2]SD 6. Physical assets'!J56+'[2]SD 6. Physical assets'!J57+'[2]SD 6. Physical assets'!J58+'[2]SD 6. Physical assets'!J59</f>
        <v>14000.1</v>
      </c>
      <c r="I32" s="19">
        <f>'[2]SD 6. Physical assets'!K56+'[2]SD 6. Physical assets'!K57+'[2]SD 6. Physical assets'!K58+'[2]SD 6. Physical assets'!K59</f>
        <v>14475.1</v>
      </c>
    </row>
    <row r="33" spans="1:12" x14ac:dyDescent="0.25">
      <c r="A33" s="18" t="s">
        <v>26</v>
      </c>
      <c r="B33" s="19">
        <f>'[2]SD 6. Physical assets'!L56+'[2]SD 6. Physical assets'!L57+'[2]SD 6. Physical assets'!L58+'[2]SD 6. Physical assets'!L59</f>
        <v>8361</v>
      </c>
      <c r="C33" s="19">
        <f>'[2]SD 6. Physical assets'!M56+'[2]SD 6. Physical assets'!M57+'[2]SD 6. Physical assets'!M58+'[2]SD 6. Physical assets'!M59</f>
        <v>9174</v>
      </c>
      <c r="D33" s="19">
        <f>'[2]SD 6. Physical assets'!N56+'[2]SD 6. Physical assets'!N57+'[2]SD 6. Physical assets'!N58+'[2]SD 6. Physical assets'!N59</f>
        <v>9727</v>
      </c>
      <c r="E33" s="19">
        <f>'[2]SD 6. Physical assets'!O56+'[2]SD 6. Physical assets'!O57+'[2]SD 6. Physical assets'!O58+'[2]SD 6. Physical assets'!O59</f>
        <v>10653</v>
      </c>
      <c r="F33" s="19">
        <f>'[2]SD 6. Physical assets'!P56+'[2]SD 6. Physical assets'!P57+'[2]SD 6. Physical assets'!P58+'[2]SD 6. Physical assets'!P59</f>
        <v>11125</v>
      </c>
      <c r="G33" s="19">
        <f>'[2]SD 6. Physical assets'!Q56+'[2]SD 6. Physical assets'!Q57+'[2]SD 6. Physical assets'!Q58+'[2]SD 6. Physical assets'!Q59</f>
        <v>11245</v>
      </c>
      <c r="H33" s="19">
        <f>'[2]SD 6. Physical assets'!R56+'[2]SD 6. Physical assets'!R57+'[2]SD 6. Physical assets'!R58+'[2]SD 6. Physical assets'!R59</f>
        <v>11599</v>
      </c>
      <c r="I33" s="19">
        <f>'[2]SD 6. Physical assets'!S56+'[2]SD 6. Physical assets'!S57+'[2]SD 6. Physical assets'!S58+'[2]SD 6. Physical assets'!S59</f>
        <v>12272</v>
      </c>
    </row>
    <row r="34" spans="1:12" x14ac:dyDescent="0.25">
      <c r="A34" s="18" t="s">
        <v>86</v>
      </c>
      <c r="B34" s="19">
        <f>'[2]SD 6. Physical assets'!T56+'[2]SD 6. Physical assets'!T57+'[2]SD 6. Physical assets'!T58+'[2]SD 6. Physical assets'!T59</f>
        <v>15235.8</v>
      </c>
      <c r="C34" s="19">
        <f>'[2]SD 6. Physical assets'!U56+'[2]SD 6. Physical assets'!U57+'[2]SD 6. Physical assets'!U58+'[2]SD 6. Physical assets'!U59</f>
        <v>15224.5</v>
      </c>
      <c r="D34" s="19">
        <f>'[2]SD 6. Physical assets'!V56+'[2]SD 6. Physical assets'!V57+'[2]SD 6. Physical assets'!V58+'[2]SD 6. Physical assets'!V59</f>
        <v>16169.6</v>
      </c>
      <c r="E34" s="19">
        <f>'[2]SD 6. Physical assets'!W56+'[2]SD 6. Physical assets'!W57+'[2]SD 6. Physical assets'!W58+'[2]SD 6. Physical assets'!W59</f>
        <v>16544.599999999999</v>
      </c>
      <c r="F34" s="19">
        <f>'[2]SD 6. Physical assets'!X56+'[2]SD 6. Physical assets'!X57+'[2]SD 6. Physical assets'!X58+'[2]SD 6. Physical assets'!X59</f>
        <v>17219.599999999999</v>
      </c>
      <c r="G34" s="19">
        <f>'[2]SD 6. Physical assets'!Y56+'[2]SD 6. Physical assets'!Y57+'[2]SD 6. Physical assets'!Y58+'[2]SD 6. Physical assets'!Y59</f>
        <v>17189.599999999999</v>
      </c>
      <c r="H34" s="19">
        <f>'[2]SD 6. Physical assets'!Z56+'[2]SD 6. Physical assets'!Z57+'[2]SD 6. Physical assets'!Z58+'[2]SD 6. Physical assets'!Z59</f>
        <v>17634.599999999999</v>
      </c>
      <c r="I34" s="19">
        <f>'[2]SD 6. Physical assets'!AA56+'[2]SD 6. Physical assets'!AA57+'[2]SD 6. Physical assets'!AA58+'[2]SD 6. Physical assets'!AA59</f>
        <v>17696.300000000003</v>
      </c>
    </row>
    <row r="35" spans="1:12" x14ac:dyDescent="0.25">
      <c r="A35" s="18" t="s">
        <v>49</v>
      </c>
      <c r="B35" s="19">
        <f>'[2]SD 6. Physical assets'!AB56+'[2]SD 6. Physical assets'!AB57+'[2]SD 6. Physical assets'!AB58+'[2]SD 6. Physical assets'!AB59</f>
        <v>4161.2</v>
      </c>
      <c r="C35" s="19">
        <f>'[2]SD 6. Physical assets'!AC56+'[2]SD 6. Physical assets'!AC57+'[2]SD 6. Physical assets'!AC58+'[2]SD 6. Physical assets'!AC59</f>
        <v>4251.2</v>
      </c>
      <c r="D35" s="19">
        <f>'[2]SD 6. Physical assets'!AD56+'[2]SD 6. Physical assets'!AD57+'[2]SD 6. Physical assets'!AD58+'[2]SD 6. Physical assets'!AD59</f>
        <v>4306</v>
      </c>
      <c r="E35" s="19">
        <f>'[2]SD 6. Physical assets'!AE56+'[2]SD 6. Physical assets'!AE57+'[2]SD 6. Physical assets'!AE58+'[2]SD 6. Physical assets'!AE59</f>
        <v>4441</v>
      </c>
      <c r="F35" s="19">
        <f>'[2]SD 6. Physical assets'!AF56+'[2]SD 6. Physical assets'!AF57+'[2]SD 6. Physical assets'!AF58+'[2]SD 6. Physical assets'!AF59</f>
        <v>4466</v>
      </c>
      <c r="G35" s="19">
        <f>'[2]SD 6. Physical assets'!AG56+'[2]SD 6. Physical assets'!AG57+'[2]SD 6. Physical assets'!AG58+'[2]SD 6. Physical assets'!AG59</f>
        <v>4661</v>
      </c>
      <c r="H35" s="19">
        <f>'[2]SD 6. Physical assets'!AH56+'[2]SD 6. Physical assets'!AH57+'[2]SD 6. Physical assets'!AH58+'[2]SD 6. Physical assets'!AH59</f>
        <v>4781</v>
      </c>
      <c r="I35" s="19">
        <f>'[2]SD 6. Physical assets'!AI56+'[2]SD 6. Physical assets'!AI57+'[2]SD 6. Physical assets'!AI58+'[2]SD 6. Physical assets'!AI59</f>
        <v>4951.5</v>
      </c>
    </row>
    <row r="36" spans="1:12" x14ac:dyDescent="0.25">
      <c r="A36" s="18" t="s">
        <v>95</v>
      </c>
      <c r="B36" s="19">
        <f>'[2]SD 6. Physical assets'!AJ56+'[2]SD 6. Physical assets'!AJ57+'[2]SD 6. Physical assets'!AJ58+'[2]SD 6. Physical assets'!AJ59</f>
        <v>27169</v>
      </c>
      <c r="C36" s="19">
        <f>'[2]SD 6. Physical assets'!AK56+'[2]SD 6. Physical assets'!AK57+'[2]SD 6. Physical assets'!AK58+'[2]SD 6. Physical assets'!AK59</f>
        <v>27604</v>
      </c>
      <c r="D36" s="19">
        <f>'[2]SD 6. Physical assets'!AL56+'[2]SD 6. Physical assets'!AL57+'[2]SD 6. Physical assets'!AL58+'[2]SD 6. Physical assets'!AL59</f>
        <v>27014</v>
      </c>
      <c r="E36" s="19">
        <f>'[2]SD 6. Physical assets'!AM56+'[2]SD 6. Physical assets'!AM57+'[2]SD 6. Physical assets'!AM58+'[2]SD 6. Physical assets'!AM59</f>
        <v>28019</v>
      </c>
      <c r="F36" s="19">
        <f>'[2]SD 6. Physical assets'!AN56+'[2]SD 6. Physical assets'!AN57+'[2]SD 6. Physical assets'!AN58+'[2]SD 6. Physical assets'!AN59</f>
        <v>29669</v>
      </c>
      <c r="G36" s="19">
        <f>'[2]SD 6. Physical assets'!AO56+'[2]SD 6. Physical assets'!AO57+'[2]SD 6. Physical assets'!AO58+'[2]SD 6. Physical assets'!AO59</f>
        <v>30539</v>
      </c>
      <c r="H36" s="19">
        <f>'[2]SD 6. Physical assets'!AP56+'[2]SD 6. Physical assets'!AP57+'[2]SD 6. Physical assets'!AP58+'[2]SD 6. Physical assets'!AP59</f>
        <v>31634</v>
      </c>
      <c r="I36" s="19">
        <f>'[2]SD 6. Physical assets'!AQ56+'[2]SD 6. Physical assets'!AQ57+'[2]SD 6. Physical assets'!AQ58+'[2]SD 6. Physical assets'!AQ59</f>
        <v>31995</v>
      </c>
    </row>
    <row r="38" spans="1:12" x14ac:dyDescent="0.25">
      <c r="A38" s="24" t="s">
        <v>82</v>
      </c>
    </row>
    <row r="39" spans="1:12" x14ac:dyDescent="0.25">
      <c r="A39" s="18" t="s">
        <v>94</v>
      </c>
      <c r="B39" s="18">
        <f>'[5]Connection output'!B3</f>
        <v>11561</v>
      </c>
      <c r="C39" s="18">
        <f>'[5]Connection output'!C3</f>
        <v>11759</v>
      </c>
      <c r="D39" s="18">
        <f>'[5]Connection output'!D3</f>
        <v>11891</v>
      </c>
      <c r="E39" s="18">
        <f>'[5]Connection output'!E3</f>
        <v>12089</v>
      </c>
      <c r="F39" s="18">
        <f>'[5]Connection output'!F3</f>
        <v>12353</v>
      </c>
      <c r="G39" s="18">
        <f>'[5]Connection output'!G3</f>
        <v>12551</v>
      </c>
      <c r="H39" s="18">
        <f>'[5]Connection output'!H3</f>
        <v>12749</v>
      </c>
      <c r="I39" s="18">
        <f>'[5]Connection output'!I3</f>
        <v>12749</v>
      </c>
    </row>
    <row r="40" spans="1:12" x14ac:dyDescent="0.25">
      <c r="A40" s="18" t="s">
        <v>26</v>
      </c>
      <c r="B40" s="18">
        <f>'[5]Connection output'!B4</f>
        <v>12468.5</v>
      </c>
      <c r="C40" s="18">
        <f>'[5]Connection output'!C4</f>
        <v>12694</v>
      </c>
      <c r="D40" s="18">
        <f>'[5]Connection output'!D4</f>
        <v>13117.5</v>
      </c>
      <c r="E40" s="18">
        <f>'[5]Connection output'!E4</f>
        <v>13898.5</v>
      </c>
      <c r="F40" s="18">
        <f>'[5]Connection output'!F4</f>
        <v>14580.5</v>
      </c>
      <c r="G40" s="18">
        <f>'[5]Connection output'!G4</f>
        <v>15009.5</v>
      </c>
      <c r="H40" s="18">
        <f>'[5]Connection output'!H4</f>
        <v>15356</v>
      </c>
      <c r="I40" s="18">
        <f>'[5]Connection output'!I4</f>
        <v>16214</v>
      </c>
    </row>
    <row r="41" spans="1:12" x14ac:dyDescent="0.25">
      <c r="A41" s="18" t="s">
        <v>86</v>
      </c>
      <c r="B41" s="18">
        <f>'[5]Connection output'!B5</f>
        <v>9596</v>
      </c>
      <c r="C41" s="18">
        <f>'[5]Connection output'!C5</f>
        <v>9552</v>
      </c>
      <c r="D41" s="18">
        <f>'[5]Connection output'!D5</f>
        <v>9628</v>
      </c>
      <c r="E41" s="18">
        <f>'[5]Connection output'!E5</f>
        <v>11135</v>
      </c>
      <c r="F41" s="18">
        <f>'[5]Connection output'!F5</f>
        <v>11531</v>
      </c>
      <c r="G41" s="18">
        <f>'[5]Connection output'!G5</f>
        <v>11553</v>
      </c>
      <c r="H41" s="18">
        <f>'[5]Connection output'!H5</f>
        <v>12394</v>
      </c>
      <c r="I41" s="18">
        <f>'[5]Connection output'!I5</f>
        <v>12960</v>
      </c>
    </row>
    <row r="42" spans="1:12" x14ac:dyDescent="0.25">
      <c r="A42" s="18" t="s">
        <v>49</v>
      </c>
      <c r="B42" s="18">
        <f>'[5]Connection output'!B6</f>
        <v>5893.8</v>
      </c>
      <c r="C42" s="18">
        <f>'[5]Connection output'!C6</f>
        <v>5882.8</v>
      </c>
      <c r="D42" s="18">
        <f>'[5]Connection output'!D6</f>
        <v>5860.8</v>
      </c>
      <c r="E42" s="18">
        <f>'[5]Connection output'!E6</f>
        <v>5970.8</v>
      </c>
      <c r="F42" s="18">
        <f>'[5]Connection output'!F6</f>
        <v>5860.8</v>
      </c>
      <c r="G42" s="18">
        <f>'[5]Connection output'!G6</f>
        <v>5893.8</v>
      </c>
      <c r="H42" s="18">
        <f>'[5]Connection output'!H6</f>
        <v>5948.8</v>
      </c>
      <c r="I42" s="18">
        <f>'[5]Connection output'!I6</f>
        <v>6058.8</v>
      </c>
    </row>
    <row r="43" spans="1:12" x14ac:dyDescent="0.25">
      <c r="A43" s="18" t="s">
        <v>95</v>
      </c>
      <c r="B43" s="18">
        <f>'[5]Connection output'!B7</f>
        <v>15229</v>
      </c>
      <c r="C43" s="18">
        <f>'[5]Connection output'!C7</f>
        <v>15163</v>
      </c>
      <c r="D43" s="18">
        <f>'[5]Connection output'!D7</f>
        <v>15196</v>
      </c>
      <c r="E43" s="18">
        <f>'[5]Connection output'!E7</f>
        <v>15418.5</v>
      </c>
      <c r="F43" s="18">
        <f>'[5]Connection output'!F7</f>
        <v>16191</v>
      </c>
      <c r="G43" s="18">
        <f>'[5]Connection output'!G7</f>
        <v>16455</v>
      </c>
      <c r="H43" s="18">
        <f>'[5]Connection output'!H7</f>
        <v>16653</v>
      </c>
      <c r="I43" s="18">
        <f>'[5]Connection output'!I7</f>
        <v>16785</v>
      </c>
    </row>
    <row r="45" spans="1:12" x14ac:dyDescent="0.25">
      <c r="A45" s="24" t="s">
        <v>64</v>
      </c>
      <c r="B45" s="2"/>
      <c r="C45" s="2"/>
      <c r="D45" s="2"/>
      <c r="E45" s="2"/>
      <c r="F45" s="2"/>
      <c r="G45" s="2"/>
      <c r="H45" s="2"/>
      <c r="I45" s="2"/>
    </row>
    <row r="46" spans="1:12" x14ac:dyDescent="0.25">
      <c r="A46" s="18" t="s">
        <v>94</v>
      </c>
      <c r="B46" s="33">
        <f>'[6]Reliability metrics'!C3</f>
        <v>77.58</v>
      </c>
      <c r="C46" s="33">
        <f>'[6]Reliability metrics'!D3</f>
        <v>62.69</v>
      </c>
      <c r="D46" s="33">
        <f>'[6]Reliability metrics'!E3</f>
        <v>40.950000000000003</v>
      </c>
      <c r="E46" s="33">
        <f>'[6]Reliability metrics'!F3</f>
        <v>95.14</v>
      </c>
      <c r="F46" s="33">
        <f>'[6]Reliability metrics'!G3</f>
        <v>315.52999999999997</v>
      </c>
      <c r="G46" s="33">
        <f>'[6]Reliability metrics'!H3</f>
        <v>401.76</v>
      </c>
      <c r="H46" s="33">
        <f>'[6]Reliability metrics'!I3</f>
        <v>323.70999999999998</v>
      </c>
      <c r="I46" s="33">
        <f>'[6]Reliability metrics'!J3</f>
        <v>392.52</v>
      </c>
    </row>
    <row r="47" spans="1:12" x14ac:dyDescent="0.25">
      <c r="A47" s="18" t="s">
        <v>26</v>
      </c>
      <c r="B47" s="33">
        <f>'[6]Reliability metrics'!C4</f>
        <v>254.2885</v>
      </c>
      <c r="C47" s="33">
        <f>'[6]Reliability metrics'!D4</f>
        <v>1648.8036669999999</v>
      </c>
      <c r="D47" s="33">
        <f>'[6]Reliability metrics'!E4</f>
        <v>289.31633299999999</v>
      </c>
      <c r="E47" s="33">
        <f>'[6]Reliability metrics'!F4</f>
        <v>1179.671278</v>
      </c>
      <c r="F47" s="33">
        <f>'[6]Reliability metrics'!G4</f>
        <v>100.126167</v>
      </c>
      <c r="G47" s="33">
        <f>'[6]Reliability metrics'!H4</f>
        <v>307.452</v>
      </c>
      <c r="H47" s="33">
        <f>'[6]Reliability metrics'!I4</f>
        <v>84.258667000000003</v>
      </c>
      <c r="I47" s="33">
        <f>'[6]Reliability metrics'!J4</f>
        <v>34.269832999999998</v>
      </c>
      <c r="L47" s="38"/>
    </row>
    <row r="48" spans="1:12" x14ac:dyDescent="0.25">
      <c r="A48" s="18" t="s">
        <v>86</v>
      </c>
      <c r="B48" s="33">
        <f>'[6]Reliability metrics'!C5</f>
        <v>530.55999999999995</v>
      </c>
      <c r="C48" s="33">
        <f>'[6]Reliability metrics'!D5</f>
        <v>109.87</v>
      </c>
      <c r="D48" s="33">
        <f>'[6]Reliability metrics'!E5</f>
        <v>1219.58</v>
      </c>
      <c r="E48" s="33">
        <f>'[6]Reliability metrics'!F5</f>
        <v>6975.47</v>
      </c>
      <c r="F48" s="33">
        <f>'[6]Reliability metrics'!G5</f>
        <v>33.25</v>
      </c>
      <c r="G48" s="33">
        <f>'[6]Reliability metrics'!H5</f>
        <v>4.3</v>
      </c>
      <c r="H48" s="33">
        <f>'[6]Reliability metrics'!I5</f>
        <v>476</v>
      </c>
      <c r="I48" s="33">
        <f>'[6]Reliability metrics'!J5</f>
        <v>206.01</v>
      </c>
    </row>
    <row r="49" spans="1:11" x14ac:dyDescent="0.25">
      <c r="A49" s="18" t="s">
        <v>49</v>
      </c>
      <c r="B49" s="33">
        <f>'[6]Reliability metrics'!C6</f>
        <v>335</v>
      </c>
      <c r="C49" s="33">
        <f>'[6]Reliability metrics'!D6</f>
        <v>150</v>
      </c>
      <c r="D49" s="33">
        <f>'[6]Reliability metrics'!E6</f>
        <v>92</v>
      </c>
      <c r="E49" s="33">
        <f>'[6]Reliability metrics'!F6</f>
        <v>264</v>
      </c>
      <c r="F49" s="33">
        <f>'[6]Reliability metrics'!G6</f>
        <v>192</v>
      </c>
      <c r="G49" s="33">
        <f>'[6]Reliability metrics'!H6</f>
        <v>368</v>
      </c>
      <c r="H49" s="33">
        <f>'[6]Reliability metrics'!I6</f>
        <v>219</v>
      </c>
      <c r="I49" s="33">
        <f>'[6]Reliability metrics'!J6</f>
        <v>535</v>
      </c>
    </row>
    <row r="50" spans="1:11" x14ac:dyDescent="0.25">
      <c r="A50" s="18" t="s">
        <v>95</v>
      </c>
      <c r="B50" s="33">
        <f>'[6]Reliability metrics'!C7</f>
        <v>128.06</v>
      </c>
      <c r="C50" s="33">
        <f>'[6]Reliability metrics'!D7</f>
        <v>335.85</v>
      </c>
      <c r="D50" s="33">
        <f>'[6]Reliability metrics'!E7</f>
        <v>92.57</v>
      </c>
      <c r="E50" s="33">
        <f>'[6]Reliability metrics'!F7</f>
        <v>253.06</v>
      </c>
      <c r="F50" s="33">
        <f>'[6]Reliability metrics'!G7</f>
        <v>521.72</v>
      </c>
      <c r="G50" s="33">
        <f>'[6]Reliability metrics'!H7</f>
        <v>146.82</v>
      </c>
      <c r="H50" s="33">
        <f>'[6]Reliability metrics'!I7</f>
        <v>148.13999999999999</v>
      </c>
      <c r="I50" s="33">
        <f>'[6]Reliability metrics'!J7</f>
        <v>179.42</v>
      </c>
    </row>
    <row r="52" spans="1:11" x14ac:dyDescent="0.25">
      <c r="A52" s="24" t="s">
        <v>64</v>
      </c>
      <c r="B52" s="2"/>
      <c r="C52" s="2"/>
      <c r="D52" s="2"/>
      <c r="E52" s="2"/>
      <c r="F52" s="2"/>
      <c r="G52" s="2"/>
      <c r="H52" s="2"/>
      <c r="I52" s="2"/>
      <c r="J52" t="s">
        <v>77</v>
      </c>
    </row>
    <row r="53" spans="1:11" x14ac:dyDescent="0.25">
      <c r="A53" s="18" t="s">
        <v>94</v>
      </c>
      <c r="B53" s="39">
        <f>B46/B18</f>
        <v>5.1373828559114865E-6</v>
      </c>
      <c r="C53" s="39">
        <f t="shared" ref="C53:I53" si="0">C46/C18</f>
        <v>4.4811828206790607E-6</v>
      </c>
      <c r="D53" s="39">
        <f t="shared" si="0"/>
        <v>3.1299382427271891E-6</v>
      </c>
      <c r="E53" s="39">
        <f t="shared" si="0"/>
        <v>7.0403215219889006E-6</v>
      </c>
      <c r="F53" s="39">
        <f t="shared" si="0"/>
        <v>2.2787366739911365E-5</v>
      </c>
      <c r="G53" s="39">
        <f t="shared" si="0"/>
        <v>2.8942039594459725E-5</v>
      </c>
      <c r="H53" s="39">
        <f t="shared" si="0"/>
        <v>2.3018755927812424E-5</v>
      </c>
      <c r="I53" s="39">
        <f t="shared" si="0"/>
        <v>2.7480477786202913E-5</v>
      </c>
      <c r="J53" s="41">
        <f>AVERAGE(B53:I53)</f>
        <v>1.5252183186211633E-5</v>
      </c>
    </row>
    <row r="54" spans="1:11" x14ac:dyDescent="0.25">
      <c r="A54" s="18" t="s">
        <v>26</v>
      </c>
      <c r="B54" s="39">
        <f t="shared" ref="B54:I57" si="1">B47/B19</f>
        <v>4.9815594190456823E-6</v>
      </c>
      <c r="C54" s="39">
        <f t="shared" si="1"/>
        <v>3.1729445216602606E-5</v>
      </c>
      <c r="D54" s="39">
        <f t="shared" si="1"/>
        <v>5.6521085704826428E-6</v>
      </c>
      <c r="E54" s="39">
        <f t="shared" si="1"/>
        <v>2.260255302439149E-5</v>
      </c>
      <c r="F54" s="39">
        <f t="shared" si="1"/>
        <v>1.8945878865351689E-6</v>
      </c>
      <c r="G54" s="39">
        <f t="shared" si="1"/>
        <v>5.9219827494345527E-6</v>
      </c>
      <c r="H54" s="39">
        <f t="shared" si="1"/>
        <v>1.6560735776571302E-6</v>
      </c>
      <c r="I54" s="39">
        <f t="shared" si="1"/>
        <v>6.9465025342402253E-7</v>
      </c>
      <c r="J54" s="41">
        <f t="shared" ref="J54:J57" si="2">AVERAGE(B54:I54)</f>
        <v>9.391620087196663E-6</v>
      </c>
    </row>
    <row r="55" spans="1:11" x14ac:dyDescent="0.25">
      <c r="A55" s="18" t="s">
        <v>86</v>
      </c>
      <c r="B55" s="39">
        <f t="shared" si="1"/>
        <v>1.1741612032250077E-5</v>
      </c>
      <c r="C55" s="39">
        <f t="shared" si="1"/>
        <v>2.3907423420081623E-6</v>
      </c>
      <c r="D55" s="39">
        <f t="shared" si="1"/>
        <v>2.707367047622013E-5</v>
      </c>
      <c r="E55" s="39">
        <f t="shared" si="1"/>
        <v>1.4710229363387904E-4</v>
      </c>
      <c r="F55" s="39">
        <f t="shared" si="1"/>
        <v>6.7889513351458003E-7</v>
      </c>
      <c r="G55" s="39">
        <f t="shared" si="1"/>
        <v>8.9493893523021063E-8</v>
      </c>
      <c r="H55" s="39">
        <f t="shared" si="1"/>
        <v>1.0014862125889773E-5</v>
      </c>
      <c r="I55" s="39">
        <f t="shared" si="1"/>
        <v>4.1994496212303196E-6</v>
      </c>
      <c r="J55" s="41">
        <f t="shared" si="2"/>
        <v>2.5411377407314389E-5</v>
      </c>
    </row>
    <row r="56" spans="1:11" x14ac:dyDescent="0.25">
      <c r="A56" s="18" t="s">
        <v>49</v>
      </c>
      <c r="B56" s="39">
        <f t="shared" si="1"/>
        <v>3.181353643753424E-5</v>
      </c>
      <c r="C56" s="39">
        <f t="shared" si="1"/>
        <v>1.1692721818533167E-5</v>
      </c>
      <c r="D56" s="39">
        <f t="shared" si="1"/>
        <v>6.8146447010915357E-6</v>
      </c>
      <c r="E56" s="39">
        <f t="shared" si="1"/>
        <v>1.9682821765115196E-5</v>
      </c>
      <c r="F56" s="39">
        <f t="shared" si="1"/>
        <v>1.4734986660232389E-5</v>
      </c>
      <c r="G56" s="39">
        <f t="shared" si="1"/>
        <v>2.8073509569366856E-5</v>
      </c>
      <c r="H56" s="39">
        <f t="shared" si="1"/>
        <v>1.7394974663305969E-5</v>
      </c>
      <c r="I56" s="39">
        <f t="shared" si="1"/>
        <v>4.1581857812119643E-5</v>
      </c>
      <c r="J56" s="41">
        <f t="shared" si="2"/>
        <v>2.1473631678412373E-5</v>
      </c>
    </row>
    <row r="57" spans="1:11" x14ac:dyDescent="0.25">
      <c r="A57" s="18" t="s">
        <v>95</v>
      </c>
      <c r="B57" s="39">
        <f t="shared" si="1"/>
        <v>1.7566529492455419E-6</v>
      </c>
      <c r="C57" s="39">
        <f t="shared" si="1"/>
        <v>4.4839786381842462E-6</v>
      </c>
      <c r="D57" s="39">
        <f t="shared" si="1"/>
        <v>1.221240105540897E-6</v>
      </c>
      <c r="E57" s="39">
        <f t="shared" si="1"/>
        <v>3.4013440860215053E-6</v>
      </c>
      <c r="F57" s="39">
        <f t="shared" si="1"/>
        <v>7.2160442600276633E-6</v>
      </c>
      <c r="G57" s="39">
        <f t="shared" si="1"/>
        <v>2.0737288135593221E-6</v>
      </c>
      <c r="H57" s="39">
        <f t="shared" si="1"/>
        <v>2.1721407624633429E-6</v>
      </c>
      <c r="I57" s="39">
        <f t="shared" si="1"/>
        <v>2.7518404907975457E-6</v>
      </c>
      <c r="J57" s="41">
        <f t="shared" si="2"/>
        <v>3.1346212632300082E-6</v>
      </c>
      <c r="K57" s="40">
        <f>AVERAGE(B53:I57)</f>
        <v>1.4932686724473013E-5</v>
      </c>
    </row>
    <row r="59" spans="1:11" x14ac:dyDescent="0.25">
      <c r="B59" s="24" t="s">
        <v>50</v>
      </c>
      <c r="C59" s="24" t="s">
        <v>93</v>
      </c>
      <c r="D59" s="24" t="s">
        <v>51</v>
      </c>
      <c r="E59" s="24" t="s">
        <v>30</v>
      </c>
      <c r="F59" s="24" t="s">
        <v>24</v>
      </c>
      <c r="G59" s="24" t="s">
        <v>38</v>
      </c>
      <c r="H59" s="24" t="s">
        <v>39</v>
      </c>
    </row>
    <row r="60" spans="1:11" x14ac:dyDescent="0.25">
      <c r="A60" s="18" t="s">
        <v>94</v>
      </c>
      <c r="B60" s="25">
        <f>ROUND(AVERAGE(E4:I4),0)</f>
        <v>4541</v>
      </c>
      <c r="C60" s="25">
        <f>ROUND(AVERAGE(E67:I67),0)</f>
        <v>5513</v>
      </c>
      <c r="D60" s="25">
        <f>ROUND(AVERAGE(E11:I11),0)</f>
        <v>778839</v>
      </c>
      <c r="E60" s="25">
        <f>ROUND(AVERAGE(E18:I18),0)</f>
        <v>13917661</v>
      </c>
      <c r="F60" s="25">
        <f>ROUND(AVERAGE(E25:I25),0)</f>
        <v>4112</v>
      </c>
      <c r="G60" s="25">
        <f>ROUND(AVERAGE(E32:I32),0)</f>
        <v>13391</v>
      </c>
      <c r="H60">
        <f>ROUND(AVERAGE(E39:I39),0)</f>
        <v>12498</v>
      </c>
    </row>
    <row r="61" spans="1:11" x14ac:dyDescent="0.25">
      <c r="A61" s="18" t="s">
        <v>26</v>
      </c>
      <c r="B61" s="25">
        <f>ROUND(AVERAGE(E5:I5),0)</f>
        <v>9213</v>
      </c>
      <c r="C61" s="25">
        <f t="shared" ref="C61:C64" si="3">ROUND(AVERAGE(E68:I68),0)</f>
        <v>13584</v>
      </c>
      <c r="D61" s="25">
        <f>ROUND(AVERAGE(E12:I12),0)</f>
        <v>1836194</v>
      </c>
      <c r="E61" s="25">
        <f>ROUND(AVERAGE(E19:I19),0)</f>
        <v>51434011</v>
      </c>
      <c r="F61" s="25">
        <f>ROUND(AVERAGE(E26:I26),0)</f>
        <v>11219</v>
      </c>
      <c r="G61" s="25">
        <f>ROUND(AVERAGE(E33:I33),0)</f>
        <v>11379</v>
      </c>
      <c r="H61" s="2">
        <f>ROUND(AVERAGE(E40:I40),0)</f>
        <v>15012</v>
      </c>
    </row>
    <row r="62" spans="1:11" x14ac:dyDescent="0.25">
      <c r="A62" s="18" t="s">
        <v>86</v>
      </c>
      <c r="B62" s="25">
        <f>ROUND(AVERAGE(E6:I6),0)</f>
        <v>5029</v>
      </c>
      <c r="C62" s="25">
        <f t="shared" si="3"/>
        <v>6573</v>
      </c>
      <c r="D62" s="25">
        <f>ROUND(AVERAGE(E13:I13),0)</f>
        <v>2655495</v>
      </c>
      <c r="E62" s="25">
        <f>ROUND(AVERAGE(E20:I20),0)</f>
        <v>48205915</v>
      </c>
      <c r="F62" s="25">
        <f>ROUND(AVERAGE(E27:I27),0)</f>
        <v>9337</v>
      </c>
      <c r="G62" s="25">
        <f>ROUND(AVERAGE(E34:I34),0)</f>
        <v>17257</v>
      </c>
      <c r="H62" s="2">
        <f>ROUND(AVERAGE(E41:I41),0)</f>
        <v>11915</v>
      </c>
    </row>
    <row r="63" spans="1:11" x14ac:dyDescent="0.25">
      <c r="A63" s="18" t="s">
        <v>49</v>
      </c>
      <c r="B63" s="25">
        <f>ROUND(AVERAGE(E7:I7),0)</f>
        <v>2319</v>
      </c>
      <c r="C63" s="25">
        <f t="shared" si="3"/>
        <v>3498</v>
      </c>
      <c r="D63" s="25">
        <f>ROUND(AVERAGE(E14:I14),0)</f>
        <v>274036</v>
      </c>
      <c r="E63" s="25">
        <f>ROUND(AVERAGE(E21:I21),0)</f>
        <v>13001479</v>
      </c>
      <c r="F63" s="25">
        <f>ROUND(AVERAGE(E28:I28),0)</f>
        <v>2526</v>
      </c>
      <c r="G63" s="25">
        <f>ROUND(AVERAGE(E35:I35),0)</f>
        <v>4660</v>
      </c>
      <c r="H63" s="2">
        <f>ROUND(AVERAGE(E42:I42),0)</f>
        <v>5947</v>
      </c>
    </row>
    <row r="64" spans="1:11" x14ac:dyDescent="0.25">
      <c r="A64" s="18" t="s">
        <v>95</v>
      </c>
      <c r="B64" s="25">
        <f>ROUND(AVERAGE(E8:I8),0)</f>
        <v>10993</v>
      </c>
      <c r="C64" s="25">
        <f t="shared" si="3"/>
        <v>12696</v>
      </c>
      <c r="D64" s="25">
        <f>ROUND(AVERAGE(E15:I15),0)</f>
        <v>3508117</v>
      </c>
      <c r="E64" s="25">
        <f>ROUND(AVERAGE(E22:I22),0)</f>
        <v>70180000</v>
      </c>
      <c r="F64" s="25">
        <f>ROUND(AVERAGE(E29:I29),0)</f>
        <v>18060</v>
      </c>
      <c r="G64" s="25">
        <f>ROUND(AVERAGE(E36:I36),0)</f>
        <v>30371</v>
      </c>
      <c r="H64" s="2">
        <f>ROUND(AVERAGE(E43:I43),0)</f>
        <v>16301</v>
      </c>
    </row>
    <row r="66" spans="1:9" x14ac:dyDescent="0.25">
      <c r="A66" s="24" t="s">
        <v>87</v>
      </c>
      <c r="B66" s="18">
        <v>2006</v>
      </c>
      <c r="C66" s="18">
        <v>2007</v>
      </c>
      <c r="D66" s="18">
        <v>2008</v>
      </c>
      <c r="E66" s="18">
        <v>2009</v>
      </c>
      <c r="F66" s="18">
        <v>2010</v>
      </c>
      <c r="G66" s="18">
        <v>2011</v>
      </c>
      <c r="H66" s="18">
        <v>2012</v>
      </c>
      <c r="I66" s="18">
        <v>2013</v>
      </c>
    </row>
    <row r="67" spans="1:9" x14ac:dyDescent="0.25">
      <c r="A67" s="18" t="s">
        <v>94</v>
      </c>
      <c r="B67" s="19">
        <f>'[2]SD 6. Physical assets'!D$20+'[2]SD 6. Physical assets'!D$31</f>
        <v>5600.5389999999998</v>
      </c>
      <c r="C67" s="19">
        <f>'[2]SD 6. Physical assets'!E$20+'[2]SD 6. Physical assets'!E$31</f>
        <v>5518.6689999999999</v>
      </c>
      <c r="D67" s="19">
        <f>'[2]SD 6. Physical assets'!F$20+'[2]SD 6. Physical assets'!F$31</f>
        <v>5518.6689999999999</v>
      </c>
      <c r="E67" s="19">
        <f>'[2]SD 6. Physical assets'!G$20+'[2]SD 6. Physical assets'!G$31</f>
        <v>5503.6689999999999</v>
      </c>
      <c r="F67" s="19">
        <f>'[2]SD 6. Physical assets'!H$20+'[2]SD 6. Physical assets'!H$31</f>
        <v>5501.6689999999999</v>
      </c>
      <c r="G67" s="19">
        <f>'[2]SD 6. Physical assets'!I$20+'[2]SD 6. Physical assets'!I$31</f>
        <v>5504.6689999999999</v>
      </c>
      <c r="H67" s="19">
        <f>'[2]SD 6. Physical assets'!J$20+'[2]SD 6. Physical assets'!J$31</f>
        <v>5526.0690000000004</v>
      </c>
      <c r="I67" s="19">
        <f>'[2]SD 6. Physical assets'!K$20+'[2]SD 6. Physical assets'!K$31</f>
        <v>5527.3490000000002</v>
      </c>
    </row>
    <row r="68" spans="1:9" x14ac:dyDescent="0.25">
      <c r="A68" s="18" t="s">
        <v>26</v>
      </c>
      <c r="B68" s="19">
        <f>'[2]SD 6. Physical assets'!L$20+'[2]SD 6. Physical assets'!L$31</f>
        <v>11695</v>
      </c>
      <c r="C68" s="19">
        <f>'[2]SD 6. Physical assets'!M$20+'[2]SD 6. Physical assets'!M$31</f>
        <v>11887</v>
      </c>
      <c r="D68" s="19">
        <f>'[2]SD 6. Physical assets'!N$20+'[2]SD 6. Physical assets'!N$31</f>
        <v>12423</v>
      </c>
      <c r="E68" s="19">
        <f>'[2]SD 6. Physical assets'!O$20+'[2]SD 6. Physical assets'!O$31</f>
        <v>12858</v>
      </c>
      <c r="F68" s="19">
        <f>'[2]SD 6. Physical assets'!P$20+'[2]SD 6. Physical assets'!P$31</f>
        <v>13317</v>
      </c>
      <c r="G68" s="19">
        <f>'[2]SD 6. Physical assets'!Q$20+'[2]SD 6. Physical assets'!Q$31</f>
        <v>13735</v>
      </c>
      <c r="H68" s="19">
        <f>'[2]SD 6. Physical assets'!R$20+'[2]SD 6. Physical assets'!R$31</f>
        <v>13699</v>
      </c>
      <c r="I68" s="19">
        <f>'[2]SD 6. Physical assets'!S$20+'[2]SD 6. Physical assets'!S$31</f>
        <v>14310</v>
      </c>
    </row>
    <row r="69" spans="1:9" x14ac:dyDescent="0.25">
      <c r="A69" s="18" t="s">
        <v>86</v>
      </c>
      <c r="B69" s="19">
        <f>'[2]SD 6. Physical assets'!T$20+'[2]SD 6. Physical assets'!T$31</f>
        <v>6573</v>
      </c>
      <c r="C69" s="19">
        <f>'[2]SD 6. Physical assets'!U$20+'[2]SD 6. Physical assets'!U$31</f>
        <v>6573</v>
      </c>
      <c r="D69" s="19">
        <f>'[2]SD 6. Physical assets'!V$20+'[2]SD 6. Physical assets'!V$31</f>
        <v>6573</v>
      </c>
      <c r="E69" s="19">
        <f>'[2]SD 6. Physical assets'!W$20+'[2]SD 6. Physical assets'!W$31</f>
        <v>6573</v>
      </c>
      <c r="F69" s="19">
        <f>'[2]SD 6. Physical assets'!X$20+'[2]SD 6. Physical assets'!X$31</f>
        <v>6573</v>
      </c>
      <c r="G69" s="19">
        <f>'[2]SD 6. Physical assets'!Y$20+'[2]SD 6. Physical assets'!Y$31</f>
        <v>6573</v>
      </c>
      <c r="H69" s="19">
        <f>'[2]SD 6. Physical assets'!Z$20+'[2]SD 6. Physical assets'!Z$31</f>
        <v>6573</v>
      </c>
      <c r="I69" s="19">
        <f>'[2]SD 6. Physical assets'!AA$20+'[2]SD 6. Physical assets'!AA$31</f>
        <v>6573</v>
      </c>
    </row>
    <row r="70" spans="1:9" x14ac:dyDescent="0.25">
      <c r="A70" s="18" t="s">
        <v>49</v>
      </c>
      <c r="B70" s="19">
        <f>'[2]SD 6. Physical assets'!AB$20+'[2]SD 6. Physical assets'!AB$31</f>
        <v>3581.3</v>
      </c>
      <c r="C70" s="19">
        <f>'[2]SD 6. Physical assets'!AC$20+'[2]SD 6. Physical assets'!AC$31</f>
        <v>3622.3</v>
      </c>
      <c r="D70" s="19">
        <f>'[2]SD 6. Physical assets'!AD$20+'[2]SD 6. Physical assets'!AD$31</f>
        <v>3622.3</v>
      </c>
      <c r="E70" s="19">
        <f>'[2]SD 6. Physical assets'!AE$20+'[2]SD 6. Physical assets'!AE$31</f>
        <v>3520.3</v>
      </c>
      <c r="F70" s="19">
        <f>'[2]SD 6. Physical assets'!AF$20+'[2]SD 6. Physical assets'!AF$31</f>
        <v>3481.3</v>
      </c>
      <c r="G70" s="19">
        <f>'[2]SD 6. Physical assets'!AG$20+'[2]SD 6. Physical assets'!AG$31</f>
        <v>3493.3</v>
      </c>
      <c r="H70" s="19">
        <f>'[2]SD 6. Physical assets'!AH$20+'[2]SD 6. Physical assets'!AH$31</f>
        <v>3493.3</v>
      </c>
      <c r="I70" s="19">
        <f>'[2]SD 6. Physical assets'!AI$20+'[2]SD 6. Physical assets'!AI$31</f>
        <v>3503.19</v>
      </c>
    </row>
    <row r="71" spans="1:9" x14ac:dyDescent="0.25">
      <c r="A71" s="18" t="s">
        <v>95</v>
      </c>
      <c r="B71" s="19">
        <f>'[2]SD 6. Physical assets'!AJ$20+'[2]SD 6. Physical assets'!AJ$31</f>
        <v>12517.231000000002</v>
      </c>
      <c r="C71" s="19">
        <f>'[2]SD 6. Physical assets'!AK$20+'[2]SD 6. Physical assets'!AK$31</f>
        <v>12526.494000000004</v>
      </c>
      <c r="D71" s="19">
        <f>'[2]SD 6. Physical assets'!AL$20+'[2]SD 6. Physical assets'!AL$31</f>
        <v>12523.514000000005</v>
      </c>
      <c r="E71" s="19">
        <f>'[2]SD 6. Physical assets'!AM$20+'[2]SD 6. Physical assets'!AM$31</f>
        <v>12523.349000000004</v>
      </c>
      <c r="F71" s="19">
        <f>'[2]SD 6. Physical assets'!AN$20+'[2]SD 6. Physical assets'!AN$31</f>
        <v>12682.458999999999</v>
      </c>
      <c r="G71" s="19">
        <f>'[2]SD 6. Physical assets'!AO$20+'[2]SD 6. Physical assets'!AO$31</f>
        <v>12681.863000000001</v>
      </c>
      <c r="H71" s="19">
        <f>'[2]SD 6. Physical assets'!AP$20+'[2]SD 6. Physical assets'!AP$31</f>
        <v>12697.207</v>
      </c>
      <c r="I71" s="19">
        <f>'[2]SD 6. Physical assets'!AQ$20+'[2]SD 6. Physical assets'!AQ$31</f>
        <v>12893.617000000002</v>
      </c>
    </row>
    <row r="78" spans="1:9" x14ac:dyDescent="0.2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5">
      <c r="A89" s="2"/>
      <c r="B89" s="2"/>
      <c r="C89" s="2"/>
      <c r="D89" s="2"/>
      <c r="E89" s="2"/>
      <c r="F89" s="2"/>
      <c r="G89" s="2"/>
      <c r="H89" s="2"/>
      <c r="I8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7</vt:i4>
      </vt:variant>
    </vt:vector>
  </HeadingPairs>
  <TitlesOfParts>
    <vt:vector size="17" baseType="lpstr">
      <vt:lpstr>TNSP Charts</vt:lpstr>
      <vt:lpstr>RAB</vt:lpstr>
      <vt:lpstr>TNSP Analysis</vt:lpstr>
      <vt:lpstr>Opex</vt:lpstr>
      <vt:lpstr>Depreciation</vt:lpstr>
      <vt:lpstr>Capex</vt:lpstr>
      <vt:lpstr>Asset cost</vt:lpstr>
      <vt:lpstr>CPI</vt:lpstr>
      <vt:lpstr>Physical data</vt:lpstr>
      <vt:lpstr>Network size table</vt:lpstr>
      <vt:lpstr>'Physical data'!_Ref390772024</vt:lpstr>
      <vt:lpstr>Opex!Capex_base</vt:lpstr>
      <vt:lpstr>RAB!Capex_base</vt:lpstr>
      <vt:lpstr>Capex_base</vt:lpstr>
      <vt:lpstr>Opex!Capex_Base_Index</vt:lpstr>
      <vt:lpstr>RAB!Capex_Base_Index</vt:lpstr>
      <vt:lpstr>Capex_Base_Index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2014-11-21T06:33:39Z</dcterms:created>
  <dcterms:modified xsi:type="dcterms:W3CDTF">2014-11-21T06:33:47Z</dcterms:modified>
</cp:coreProperties>
</file>