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6265" yWindow="90" windowWidth="21090" windowHeight="11310" tabRatio="895" activeTab="4"/>
  </bookViews>
  <sheets>
    <sheet name="Cover Sheet" sheetId="33" r:id="rId1"/>
    <sheet name="Model Information" sheetId="32" r:id="rId2"/>
    <sheet name="Revenue data" sheetId="4" r:id="rId3"/>
    <sheet name="Table of fees" sheetId="17" r:id="rId4"/>
    <sheet name="Cost buildup" sheetId="3" r:id="rId5"/>
    <sheet name="Customer Choice Cost buildup" sheetId="31" r:id="rId6"/>
    <sheet name="Volumes - Report Summary" sheetId="7" r:id="rId7"/>
    <sheet name="Master Data" sheetId="10" r:id="rId8"/>
    <sheet name="Lookups &amp; OH allocation" sheetId="27" r:id="rId9"/>
    <sheet name="Salary Calculation" sheetId="20" r:id="rId10"/>
    <sheet name="Back Office Time" sheetId="13" r:id="rId11"/>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32</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4" hidden="1">'Cost buildup'!$A$3:$AS$104</definedName>
    <definedName name="_xlnm._FilterDatabase" localSheetId="5" hidden="1">'Customer Choice Cost buildup'!$A$3:$AI$28</definedName>
    <definedName name="_xlnm._FilterDatabase" localSheetId="2" hidden="1">'Revenue data'!$A$4:$D$111</definedName>
    <definedName name="_xlnm._FilterDatabase" localSheetId="3" hidden="1">'Table of fees'!$A$3:$L$96</definedName>
    <definedName name="_xlnm._FilterDatabase" localSheetId="6" hidden="1">'Volumes - Report Summary'!$A$6:$AF$126</definedName>
    <definedName name="DME_BeforeCloseCompleted" hidden="1">"False"</definedName>
    <definedName name="DME_Dirty" hidden="1">"False"</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40871.3999652778</definedName>
    <definedName name="IQ_NTM" hidden="1">6000</definedName>
    <definedName name="IQ_TODAY" hidden="1">0</definedName>
    <definedName name="IQ_WEEK" hidden="1">50000</definedName>
    <definedName name="IQ_YTD" hidden="1">3000</definedName>
    <definedName name="IQ_YTDMONTH" hidden="1">130000</definedName>
    <definedName name="Query_from_LNSP_PROD_1" localSheetId="6" hidden="1">'Volumes - Report Summary'!$A$3:$A$4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FALSE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s>
  <calcPr calcId="145621"/>
</workbook>
</file>

<file path=xl/calcChain.xml><?xml version="1.0" encoding="utf-8"?>
<calcChain xmlns="http://schemas.openxmlformats.org/spreadsheetml/2006/main">
  <c r="A81" i="4" l="1"/>
  <c r="A57" i="4"/>
  <c r="M79" i="17" l="1"/>
  <c r="M2" i="17"/>
  <c r="AJ11" i="3"/>
  <c r="D78" i="3"/>
  <c r="D55" i="3"/>
  <c r="U100" i="7" l="1"/>
  <c r="H32" i="10" l="1"/>
  <c r="G33" i="10"/>
  <c r="I32" i="10" l="1"/>
  <c r="D113" i="7" l="1"/>
  <c r="K2" i="17"/>
  <c r="A108" i="4"/>
  <c r="F108" i="4" s="1"/>
  <c r="A107" i="4"/>
  <c r="F107" i="4" s="1"/>
  <c r="A106" i="4"/>
  <c r="A105" i="4"/>
  <c r="B105" i="4" s="1"/>
  <c r="A104" i="4"/>
  <c r="F104" i="4" s="1"/>
  <c r="A103" i="4"/>
  <c r="F103" i="4" s="1"/>
  <c r="A102" i="4"/>
  <c r="A101" i="4"/>
  <c r="B101" i="4" s="1"/>
  <c r="A100" i="4"/>
  <c r="F100" i="4" s="1"/>
  <c r="B103" i="4" l="1"/>
  <c r="B107" i="4"/>
  <c r="F102" i="4"/>
  <c r="F101" i="4"/>
  <c r="B102" i="4"/>
  <c r="B100" i="4"/>
  <c r="B104" i="4"/>
  <c r="B108" i="4"/>
  <c r="F106" i="4"/>
  <c r="F105" i="4"/>
  <c r="B106" i="4"/>
  <c r="H33" i="10"/>
  <c r="W91" i="7" l="1"/>
  <c r="W90" i="7"/>
  <c r="W89" i="7"/>
  <c r="W88" i="7"/>
  <c r="W101" i="7"/>
  <c r="W100" i="7"/>
  <c r="V101" i="7"/>
  <c r="V100" i="7"/>
  <c r="A6" i="4" l="1"/>
  <c r="A7" i="4"/>
  <c r="A8" i="4"/>
  <c r="A9" i="4"/>
  <c r="A10" i="4"/>
  <c r="F10" i="4" s="1"/>
  <c r="A11" i="4"/>
  <c r="F11" i="4" s="1"/>
  <c r="A12" i="4"/>
  <c r="F12" i="4" s="1"/>
  <c r="A13" i="4"/>
  <c r="A14" i="4"/>
  <c r="F14" i="4" s="1"/>
  <c r="A15" i="4"/>
  <c r="A16" i="4"/>
  <c r="B16" i="4" s="1"/>
  <c r="A17" i="4"/>
  <c r="A18" i="4"/>
  <c r="F18" i="4" s="1"/>
  <c r="A19" i="4"/>
  <c r="A20" i="4"/>
  <c r="F20" i="4" s="1"/>
  <c r="A21" i="4"/>
  <c r="A22" i="4"/>
  <c r="A23" i="4"/>
  <c r="F23" i="4" s="1"/>
  <c r="A24" i="4"/>
  <c r="F24" i="4" s="1"/>
  <c r="A25" i="4"/>
  <c r="A26" i="4"/>
  <c r="F26" i="4" s="1"/>
  <c r="A27" i="4"/>
  <c r="F27" i="4" s="1"/>
  <c r="A28" i="4"/>
  <c r="F28" i="4" s="1"/>
  <c r="A29" i="4"/>
  <c r="A30" i="4"/>
  <c r="F30" i="4" s="1"/>
  <c r="A31" i="4"/>
  <c r="F31" i="4" s="1"/>
  <c r="A32" i="4"/>
  <c r="B32" i="4" s="1"/>
  <c r="A33" i="4"/>
  <c r="A34" i="4"/>
  <c r="F34" i="4" s="1"/>
  <c r="A35" i="4"/>
  <c r="A36" i="4"/>
  <c r="F36" i="4" s="1"/>
  <c r="A37" i="4"/>
  <c r="A38" i="4"/>
  <c r="B38" i="4" s="1"/>
  <c r="A39" i="4"/>
  <c r="F39" i="4" s="1"/>
  <c r="A40" i="4"/>
  <c r="F40" i="4" s="1"/>
  <c r="A41" i="4"/>
  <c r="A42" i="4"/>
  <c r="A43" i="4"/>
  <c r="F43" i="4" s="1"/>
  <c r="A44" i="4"/>
  <c r="F44" i="4" s="1"/>
  <c r="A45" i="4"/>
  <c r="A46" i="4"/>
  <c r="A47" i="4"/>
  <c r="F47" i="4" s="1"/>
  <c r="A48" i="4"/>
  <c r="F48" i="4" s="1"/>
  <c r="A49" i="4"/>
  <c r="A50" i="4"/>
  <c r="A51" i="4"/>
  <c r="A52" i="4"/>
  <c r="A53" i="4"/>
  <c r="A54" i="4"/>
  <c r="A55" i="4"/>
  <c r="F55" i="4" s="1"/>
  <c r="A56" i="4"/>
  <c r="A58" i="4"/>
  <c r="F58" i="4" s="1"/>
  <c r="A59" i="4"/>
  <c r="A60" i="4"/>
  <c r="A61" i="4"/>
  <c r="A62" i="4"/>
  <c r="F62" i="4" s="1"/>
  <c r="A63" i="4"/>
  <c r="B63" i="4" s="1"/>
  <c r="A64" i="4"/>
  <c r="A65" i="4"/>
  <c r="A66" i="4"/>
  <c r="F66" i="4" s="1"/>
  <c r="A67" i="4"/>
  <c r="F67" i="4" s="1"/>
  <c r="A68" i="4"/>
  <c r="F68" i="4" s="1"/>
  <c r="A69" i="4"/>
  <c r="A70" i="4"/>
  <c r="A71" i="4"/>
  <c r="A72" i="4"/>
  <c r="A73" i="4"/>
  <c r="A74" i="4"/>
  <c r="A75" i="4"/>
  <c r="F75" i="4" s="1"/>
  <c r="A76" i="4"/>
  <c r="A77" i="4"/>
  <c r="A78" i="4"/>
  <c r="F78" i="4" s="1"/>
  <c r="A79" i="4"/>
  <c r="F79" i="4" s="1"/>
  <c r="A80" i="4"/>
  <c r="B80" i="4" s="1"/>
  <c r="A84" i="4"/>
  <c r="F84" i="4" s="1"/>
  <c r="A85" i="4"/>
  <c r="A86" i="4"/>
  <c r="F86" i="4" s="1"/>
  <c r="A87" i="4"/>
  <c r="F87" i="4" s="1"/>
  <c r="A88" i="4"/>
  <c r="A89" i="4"/>
  <c r="A90" i="4"/>
  <c r="F90" i="4" s="1"/>
  <c r="A91" i="4"/>
  <c r="A92" i="4"/>
  <c r="A93" i="4"/>
  <c r="A94" i="4"/>
  <c r="F94" i="4" s="1"/>
  <c r="A95" i="4"/>
  <c r="A96" i="4"/>
  <c r="B96" i="4" s="1"/>
  <c r="A97" i="4"/>
  <c r="A98" i="4"/>
  <c r="F98" i="4" s="1"/>
  <c r="A99" i="4"/>
  <c r="A5" i="4"/>
  <c r="F7" i="4"/>
  <c r="F8" i="4"/>
  <c r="F15" i="4"/>
  <c r="F16" i="4"/>
  <c r="F19" i="4"/>
  <c r="F35" i="4"/>
  <c r="F42" i="4"/>
  <c r="F46" i="4"/>
  <c r="F74" i="4"/>
  <c r="F76" i="4"/>
  <c r="F88" i="4"/>
  <c r="F91" i="4"/>
  <c r="F92" i="4"/>
  <c r="F95" i="4"/>
  <c r="F96" i="4"/>
  <c r="F99" i="4"/>
  <c r="B11" i="4"/>
  <c r="B14" i="4"/>
  <c r="B15" i="4"/>
  <c r="B18" i="4"/>
  <c r="B19" i="4"/>
  <c r="B30" i="4"/>
  <c r="B31" i="4"/>
  <c r="B35" i="4"/>
  <c r="B42" i="4"/>
  <c r="B46" i="4"/>
  <c r="B58" i="4"/>
  <c r="B74" i="4"/>
  <c r="B76" i="4"/>
  <c r="B78" i="4"/>
  <c r="B87" i="4"/>
  <c r="B88" i="4"/>
  <c r="B91" i="4"/>
  <c r="B92" i="4"/>
  <c r="B95" i="4"/>
  <c r="B99" i="4"/>
  <c r="B7" i="4"/>
  <c r="B8" i="4"/>
  <c r="F3" i="4"/>
  <c r="V123" i="7"/>
  <c r="U123" i="7"/>
  <c r="V122" i="7"/>
  <c r="U122" i="7"/>
  <c r="V113" i="7"/>
  <c r="U101" i="7"/>
  <c r="V91" i="7"/>
  <c r="V90" i="7"/>
  <c r="V89" i="7"/>
  <c r="V88" i="7"/>
  <c r="V59" i="7"/>
  <c r="V58" i="7"/>
  <c r="B98" i="4" l="1"/>
  <c r="F63" i="4"/>
  <c r="B79" i="4"/>
  <c r="B62" i="4"/>
  <c r="B39" i="4"/>
  <c r="B20" i="4"/>
  <c r="B94" i="4"/>
  <c r="B86" i="4"/>
  <c r="B36" i="4"/>
  <c r="B24" i="4"/>
  <c r="B47" i="4"/>
  <c r="B40" i="4"/>
  <c r="B34" i="4"/>
  <c r="F38" i="4"/>
  <c r="B44" i="4"/>
  <c r="F32" i="4"/>
  <c r="F64" i="4"/>
  <c r="B67" i="4"/>
  <c r="B68" i="4"/>
  <c r="F70" i="4"/>
  <c r="F71" i="4"/>
  <c r="B90" i="4"/>
  <c r="B84" i="4"/>
  <c r="B75" i="4"/>
  <c r="B66" i="4"/>
  <c r="B48" i="4"/>
  <c r="B43" i="4"/>
  <c r="B23" i="4"/>
  <c r="B10" i="4"/>
  <c r="F80" i="4"/>
  <c r="F72" i="4"/>
  <c r="B55" i="4"/>
  <c r="F56" i="4"/>
  <c r="F5" i="4"/>
  <c r="B5" i="4"/>
  <c r="B6" i="4"/>
  <c r="F6" i="4"/>
  <c r="B28" i="4"/>
  <c r="B27" i="4"/>
  <c r="B26" i="4"/>
  <c r="B12" i="4"/>
  <c r="B56" i="4"/>
  <c r="F97" i="4"/>
  <c r="B97" i="4"/>
  <c r="F93" i="4"/>
  <c r="B93" i="4"/>
  <c r="F89" i="4"/>
  <c r="B89" i="4"/>
  <c r="F85" i="4"/>
  <c r="B85" i="4"/>
  <c r="F81" i="4"/>
  <c r="B81" i="4"/>
  <c r="F77" i="4"/>
  <c r="B77" i="4"/>
  <c r="F73" i="4"/>
  <c r="B73" i="4"/>
  <c r="F69" i="4"/>
  <c r="F65" i="4"/>
  <c r="F61" i="4"/>
  <c r="B61" i="4"/>
  <c r="F57" i="4"/>
  <c r="B57" i="4"/>
  <c r="F45" i="4"/>
  <c r="B45" i="4"/>
  <c r="F41" i="4"/>
  <c r="B41" i="4"/>
  <c r="F37" i="4"/>
  <c r="B37" i="4"/>
  <c r="F33" i="4"/>
  <c r="B33" i="4"/>
  <c r="F29" i="4"/>
  <c r="B29" i="4"/>
  <c r="F25" i="4"/>
  <c r="B25" i="4"/>
  <c r="F17" i="4"/>
  <c r="B17" i="4"/>
  <c r="F13" i="4"/>
  <c r="B13" i="4"/>
  <c r="F9" i="4"/>
  <c r="B9" i="4"/>
  <c r="M24" i="10"/>
  <c r="L24" i="10"/>
  <c r="K24" i="10"/>
  <c r="J24" i="10"/>
  <c r="I24" i="10"/>
  <c r="H24" i="10"/>
  <c r="G24" i="10"/>
  <c r="F24" i="10"/>
  <c r="E24" i="10"/>
  <c r="D24" i="10"/>
  <c r="C24" i="10"/>
  <c r="L62" i="27" l="1"/>
  <c r="F13" i="20" l="1"/>
  <c r="AK78" i="3"/>
  <c r="AK77" i="3"/>
  <c r="AK76" i="3"/>
  <c r="AK75" i="3"/>
  <c r="AK74" i="3"/>
  <c r="AK73" i="3"/>
  <c r="AK72" i="3"/>
  <c r="AK71" i="3"/>
  <c r="AK70" i="3"/>
  <c r="AK69" i="3"/>
  <c r="AK68" i="3"/>
  <c r="AK67" i="3"/>
  <c r="AK65" i="3"/>
  <c r="AK64" i="3"/>
  <c r="AK63" i="3"/>
  <c r="AK62" i="3"/>
  <c r="AK60" i="3"/>
  <c r="AK59" i="3"/>
  <c r="AK58" i="3"/>
  <c r="AK57" i="3"/>
  <c r="AK55" i="3"/>
  <c r="AK54" i="3"/>
  <c r="AK53" i="3"/>
  <c r="AK52" i="3"/>
  <c r="AK51" i="3"/>
  <c r="AK50" i="3"/>
  <c r="AK49" i="3"/>
  <c r="AK48" i="3"/>
  <c r="AK46" i="3"/>
  <c r="AK45" i="3"/>
  <c r="AK44" i="3"/>
  <c r="AK43" i="3"/>
  <c r="AK42" i="3"/>
  <c r="AK41" i="3"/>
  <c r="AK40" i="3"/>
  <c r="AK38" i="3"/>
  <c r="AK37" i="3"/>
  <c r="AK36" i="3"/>
  <c r="AK35" i="3"/>
  <c r="AK33" i="3"/>
  <c r="AK32" i="3"/>
  <c r="AK31" i="3"/>
  <c r="AK29" i="3"/>
  <c r="AK28" i="3"/>
  <c r="AK27" i="3"/>
  <c r="AK26" i="3"/>
  <c r="AK25" i="3"/>
  <c r="AK23" i="3"/>
  <c r="AK22" i="3"/>
  <c r="AK21" i="3"/>
  <c r="AK20" i="3"/>
  <c r="AK19" i="3"/>
  <c r="AK18" i="3"/>
  <c r="AK17" i="3"/>
  <c r="AK16" i="3"/>
  <c r="AK6" i="3"/>
  <c r="AK7" i="3"/>
  <c r="AK8" i="3"/>
  <c r="AK9" i="3"/>
  <c r="AK10" i="3"/>
  <c r="AK11" i="3"/>
  <c r="AK12" i="3"/>
  <c r="AK13" i="3"/>
  <c r="AK14" i="3"/>
  <c r="AK5" i="3"/>
  <c r="AH28" i="31" l="1"/>
  <c r="P28" i="31"/>
  <c r="AH27" i="31"/>
  <c r="P27" i="31"/>
  <c r="AH26" i="31"/>
  <c r="P26" i="31"/>
  <c r="AH25" i="31"/>
  <c r="S25" i="31"/>
  <c r="P25" i="31"/>
  <c r="AH24" i="31"/>
  <c r="P24" i="31"/>
  <c r="AH23" i="31"/>
  <c r="P23" i="31"/>
  <c r="AH22" i="31"/>
  <c r="P22" i="31"/>
  <c r="D27" i="31"/>
  <c r="G27" i="31" s="1"/>
  <c r="D25" i="31"/>
  <c r="F25" i="31" s="1"/>
  <c r="D28" i="31"/>
  <c r="F28" i="31" s="1"/>
  <c r="S28" i="31" s="1"/>
  <c r="D26" i="31"/>
  <c r="G26" i="31" s="1"/>
  <c r="D24" i="31"/>
  <c r="G24" i="31" s="1"/>
  <c r="D23" i="31"/>
  <c r="F23" i="31" s="1"/>
  <c r="D22" i="31"/>
  <c r="G22" i="31" s="1"/>
  <c r="F24" i="31"/>
  <c r="S24" i="31" s="1"/>
  <c r="G28" i="31" l="1"/>
  <c r="F22" i="31"/>
  <c r="F26" i="31"/>
  <c r="S26" i="31" s="1"/>
  <c r="G23" i="31"/>
  <c r="F27" i="31"/>
  <c r="S27" i="31" s="1"/>
  <c r="G25" i="31"/>
  <c r="R20" i="31" l="1"/>
  <c r="P20" i="31"/>
  <c r="D20" i="31"/>
  <c r="R19" i="31"/>
  <c r="P19" i="31"/>
  <c r="D19" i="31"/>
  <c r="R18" i="31"/>
  <c r="P18" i="31"/>
  <c r="D18" i="31"/>
  <c r="F18" i="31" s="1"/>
  <c r="P17" i="31"/>
  <c r="D17" i="31"/>
  <c r="F17" i="31" s="1"/>
  <c r="P16" i="31"/>
  <c r="D16" i="31"/>
  <c r="P15" i="31"/>
  <c r="D15" i="31"/>
  <c r="R13" i="31"/>
  <c r="P13" i="31"/>
  <c r="D13" i="31"/>
  <c r="F13" i="31" s="1"/>
  <c r="R12" i="31"/>
  <c r="P12" i="31"/>
  <c r="D12" i="31"/>
  <c r="F12" i="31" s="1"/>
  <c r="R11" i="31"/>
  <c r="P11" i="31"/>
  <c r="D11" i="31"/>
  <c r="R10" i="31"/>
  <c r="P10" i="31"/>
  <c r="D10" i="31"/>
  <c r="R9" i="31"/>
  <c r="P9" i="31"/>
  <c r="D9" i="31"/>
  <c r="F9" i="31" s="1"/>
  <c r="R8" i="31"/>
  <c r="P8" i="31"/>
  <c r="D8" i="31"/>
  <c r="F8" i="31" s="1"/>
  <c r="P6" i="31"/>
  <c r="D6" i="31"/>
  <c r="G6" i="31" s="1"/>
  <c r="P5" i="31"/>
  <c r="G5" i="31"/>
  <c r="F5" i="31"/>
  <c r="S5" i="31" s="1"/>
  <c r="AB3" i="31"/>
  <c r="AA3" i="31"/>
  <c r="L79" i="17"/>
  <c r="C102" i="4" l="1"/>
  <c r="C93" i="4"/>
  <c r="C100" i="4"/>
  <c r="C104" i="4"/>
  <c r="C108" i="4"/>
  <c r="C101" i="4"/>
  <c r="C105" i="4"/>
  <c r="C86" i="4"/>
  <c r="C106" i="4"/>
  <c r="C103" i="4"/>
  <c r="C107" i="4"/>
  <c r="G13" i="31"/>
  <c r="G9" i="31"/>
  <c r="N25" i="31"/>
  <c r="U25" i="31" s="1"/>
  <c r="N26" i="31"/>
  <c r="U26" i="31" s="1"/>
  <c r="M25" i="31"/>
  <c r="N22" i="31"/>
  <c r="M26" i="31"/>
  <c r="L25" i="31"/>
  <c r="M22" i="31"/>
  <c r="L26" i="31"/>
  <c r="L22" i="31"/>
  <c r="M28" i="31"/>
  <c r="L27" i="31"/>
  <c r="M24" i="31"/>
  <c r="L23" i="31"/>
  <c r="L28" i="31"/>
  <c r="L24" i="31"/>
  <c r="N27" i="31"/>
  <c r="U27" i="31" s="1"/>
  <c r="N23" i="31"/>
  <c r="N28" i="31"/>
  <c r="U28" i="31" s="1"/>
  <c r="M27" i="31"/>
  <c r="N24" i="31"/>
  <c r="U24" i="31" s="1"/>
  <c r="M23" i="31"/>
  <c r="L6" i="31"/>
  <c r="M6" i="31"/>
  <c r="G8" i="31"/>
  <c r="G18" i="31"/>
  <c r="F10" i="31"/>
  <c r="F15" i="31"/>
  <c r="F19" i="31"/>
  <c r="F6" i="31"/>
  <c r="S6" i="31" s="1"/>
  <c r="G12" i="31"/>
  <c r="G17" i="31"/>
  <c r="G10" i="31"/>
  <c r="F11" i="31"/>
  <c r="G15" i="31"/>
  <c r="F16" i="31"/>
  <c r="G19" i="31"/>
  <c r="F20" i="31"/>
  <c r="G11" i="31"/>
  <c r="G16" i="31"/>
  <c r="G20" i="31"/>
  <c r="U59" i="7"/>
  <c r="U58" i="7"/>
  <c r="U91" i="7"/>
  <c r="U90" i="7"/>
  <c r="U89" i="7"/>
  <c r="U88" i="7"/>
  <c r="G107" i="4" l="1"/>
  <c r="H107" i="4" s="1"/>
  <c r="D107" i="4"/>
  <c r="G105" i="4"/>
  <c r="H105" i="4" s="1"/>
  <c r="D105" i="4"/>
  <c r="G100" i="4"/>
  <c r="H100" i="4" s="1"/>
  <c r="D100" i="4"/>
  <c r="G103" i="4"/>
  <c r="H103" i="4" s="1"/>
  <c r="D103" i="4"/>
  <c r="G101" i="4"/>
  <c r="H101" i="4" s="1"/>
  <c r="D101" i="4"/>
  <c r="G106" i="4"/>
  <c r="H106" i="4" s="1"/>
  <c r="D106" i="4"/>
  <c r="G108" i="4"/>
  <c r="H108" i="4" s="1"/>
  <c r="D108" i="4"/>
  <c r="G102" i="4"/>
  <c r="H102" i="4" s="1"/>
  <c r="D102" i="4"/>
  <c r="G104" i="4"/>
  <c r="H104" i="4" s="1"/>
  <c r="D104" i="4"/>
  <c r="B71" i="4"/>
  <c r="B72" i="4"/>
  <c r="B69" i="4"/>
  <c r="B64" i="4"/>
  <c r="B70" i="4"/>
  <c r="B65" i="4"/>
  <c r="N6" i="31"/>
  <c r="U6" i="31" s="1"/>
  <c r="X6" i="31" s="1"/>
  <c r="Z6" i="31" s="1"/>
  <c r="X26" i="31"/>
  <c r="Z26" i="31" s="1"/>
  <c r="X24" i="31"/>
  <c r="Z24" i="31" s="1"/>
  <c r="X25" i="31"/>
  <c r="Z25" i="31" s="1"/>
  <c r="X28" i="31"/>
  <c r="Z28" i="31" s="1"/>
  <c r="X27" i="31"/>
  <c r="Z27" i="31" s="1"/>
  <c r="AH6" i="31" l="1"/>
  <c r="AH12" i="31"/>
  <c r="AH8" i="31"/>
  <c r="AH10" i="31"/>
  <c r="AH19" i="31"/>
  <c r="AH13" i="31"/>
  <c r="P64" i="3" l="1"/>
  <c r="P65" i="3"/>
  <c r="P78" i="3"/>
  <c r="F10" i="3"/>
  <c r="G10" i="3"/>
  <c r="F11" i="3"/>
  <c r="G11" i="3"/>
  <c r="F12" i="3"/>
  <c r="G12" i="3"/>
  <c r="F13" i="3"/>
  <c r="G13" i="3"/>
  <c r="F14" i="3"/>
  <c r="G14" i="3"/>
  <c r="F20" i="3"/>
  <c r="G20" i="3"/>
  <c r="F21" i="3"/>
  <c r="G21" i="3"/>
  <c r="G64" i="3"/>
  <c r="F64" i="3"/>
  <c r="F54" i="3"/>
  <c r="G54" i="3"/>
  <c r="P77" i="3"/>
  <c r="F77" i="3"/>
  <c r="G77" i="3"/>
  <c r="F78" i="3"/>
  <c r="G78" i="3"/>
  <c r="G76" i="3" l="1"/>
  <c r="F76" i="3"/>
  <c r="G75" i="3"/>
  <c r="F75" i="3"/>
  <c r="G74" i="3"/>
  <c r="F74" i="3"/>
  <c r="G73" i="3"/>
  <c r="F73" i="3"/>
  <c r="G72" i="3"/>
  <c r="F72" i="3"/>
  <c r="G71" i="3"/>
  <c r="F71" i="3"/>
  <c r="P70" i="3"/>
  <c r="G70" i="3"/>
  <c r="F70" i="3"/>
  <c r="P69" i="3"/>
  <c r="G69" i="3"/>
  <c r="F69" i="3"/>
  <c r="P68" i="3"/>
  <c r="G68" i="3"/>
  <c r="F68" i="3"/>
  <c r="P67" i="3"/>
  <c r="G67" i="3"/>
  <c r="F67" i="3"/>
  <c r="G65" i="3"/>
  <c r="F65" i="3"/>
  <c r="I3" i="17" l="1"/>
  <c r="I82" i="17" s="1"/>
  <c r="J3" i="17"/>
  <c r="J84" i="17" l="1"/>
  <c r="J86" i="17"/>
  <c r="J88" i="17"/>
  <c r="J95" i="17"/>
  <c r="J82" i="17"/>
  <c r="J89" i="17"/>
  <c r="AJ178" i="7"/>
  <c r="AJ141" i="7" l="1"/>
  <c r="AJ129" i="7"/>
  <c r="AJ160" i="7" l="1"/>
  <c r="AI182" i="7" l="1"/>
  <c r="AI181" i="7" l="1"/>
  <c r="AI133" i="7"/>
  <c r="AI145" i="7"/>
  <c r="AI146" i="7"/>
  <c r="AI134" i="7"/>
  <c r="AJ169" i="7" l="1"/>
  <c r="AI154" i="7"/>
  <c r="AI157" i="7"/>
  <c r="AI156" i="7"/>
  <c r="AI153" i="7"/>
  <c r="P63" i="3" l="1"/>
  <c r="P62" i="3"/>
  <c r="P60" i="3"/>
  <c r="P58" i="3"/>
  <c r="P57" i="3"/>
  <c r="P55" i="3"/>
  <c r="P43" i="3"/>
  <c r="P46" i="3"/>
  <c r="P45" i="3"/>
  <c r="P44" i="3"/>
  <c r="P42" i="3"/>
  <c r="P41" i="3"/>
  <c r="P40" i="3"/>
  <c r="P38" i="3"/>
  <c r="P37" i="3"/>
  <c r="P36" i="3"/>
  <c r="P35" i="3"/>
  <c r="P59" i="3"/>
  <c r="P33" i="3"/>
  <c r="P32" i="3"/>
  <c r="P31" i="3"/>
  <c r="P29" i="3"/>
  <c r="P28" i="3"/>
  <c r="P27" i="3"/>
  <c r="P26" i="3"/>
  <c r="P25" i="3"/>
  <c r="P23" i="3"/>
  <c r="P22" i="3"/>
  <c r="P21" i="3"/>
  <c r="P20" i="3"/>
  <c r="P19" i="3"/>
  <c r="P18" i="3"/>
  <c r="P17" i="3"/>
  <c r="P16" i="3"/>
  <c r="P14" i="3"/>
  <c r="P13" i="3"/>
  <c r="P12" i="3"/>
  <c r="P11" i="3"/>
  <c r="P10" i="3"/>
  <c r="P9" i="3"/>
  <c r="P8" i="3"/>
  <c r="P7" i="3"/>
  <c r="P6" i="3"/>
  <c r="P5" i="3"/>
  <c r="C5" i="20" l="1"/>
  <c r="D53" i="27" l="1"/>
  <c r="D55" i="27" s="1"/>
  <c r="H10" i="27" s="1"/>
  <c r="G19" i="27" l="1"/>
  <c r="G23" i="27" s="1"/>
  <c r="E3" i="17" l="1"/>
  <c r="E82" i="17" l="1"/>
  <c r="E85" i="17"/>
  <c r="E87" i="17"/>
  <c r="E89" i="17"/>
  <c r="E92" i="17"/>
  <c r="E94" i="17"/>
  <c r="E96" i="17"/>
  <c r="E81" i="17"/>
  <c r="E84" i="17"/>
  <c r="E86" i="17"/>
  <c r="E88" i="17"/>
  <c r="E91" i="17"/>
  <c r="E93" i="17"/>
  <c r="E95" i="17"/>
  <c r="E40" i="17"/>
  <c r="E41" i="17"/>
  <c r="E42" i="17"/>
  <c r="E43" i="17"/>
  <c r="E26" i="17"/>
  <c r="E27" i="17"/>
  <c r="E28" i="17"/>
  <c r="E29" i="17"/>
  <c r="E44" i="17"/>
  <c r="E45" i="17"/>
  <c r="E46" i="17"/>
  <c r="E35" i="17"/>
  <c r="E36" i="17"/>
  <c r="E37" i="17"/>
  <c r="E38" i="17"/>
  <c r="E55" i="17"/>
  <c r="E63" i="17"/>
  <c r="E64" i="17"/>
  <c r="E65" i="17"/>
  <c r="E59" i="17"/>
  <c r="E62" i="17"/>
  <c r="E67" i="17"/>
  <c r="E68" i="17"/>
  <c r="E69" i="17"/>
  <c r="E70" i="17"/>
  <c r="E57" i="17"/>
  <c r="E58" i="17"/>
  <c r="E77" i="17"/>
  <c r="E32" i="17"/>
  <c r="E60" i="17"/>
  <c r="E78" i="17"/>
  <c r="E31" i="17"/>
  <c r="E14" i="17"/>
  <c r="E33" i="17"/>
  <c r="E25" i="17"/>
  <c r="E22" i="17"/>
  <c r="E17" i="17"/>
  <c r="E12" i="17"/>
  <c r="E8" i="17"/>
  <c r="E10" i="17"/>
  <c r="E6" i="17"/>
  <c r="E7" i="17"/>
  <c r="E21" i="17"/>
  <c r="E19" i="17"/>
  <c r="E16" i="17"/>
  <c r="E18" i="17"/>
  <c r="E11" i="17"/>
  <c r="E13" i="17"/>
  <c r="E23" i="17"/>
  <c r="E20" i="17"/>
  <c r="E9" i="17"/>
  <c r="E5" i="17"/>
  <c r="G63" i="3" l="1"/>
  <c r="F63" i="3"/>
  <c r="G62" i="3"/>
  <c r="F62" i="3"/>
  <c r="G60" i="3"/>
  <c r="F60" i="3"/>
  <c r="G58" i="3"/>
  <c r="F58" i="3"/>
  <c r="G57" i="3"/>
  <c r="F57" i="3"/>
  <c r="G48" i="3"/>
  <c r="F48" i="3"/>
  <c r="F49" i="3"/>
  <c r="G49" i="3"/>
  <c r="F50" i="3"/>
  <c r="G50" i="3"/>
  <c r="F51" i="3"/>
  <c r="G51" i="3"/>
  <c r="F52" i="3"/>
  <c r="G52" i="3"/>
  <c r="F53" i="3"/>
  <c r="G53" i="3"/>
  <c r="F55" i="3"/>
  <c r="G55" i="3"/>
  <c r="G43" i="3" l="1"/>
  <c r="F43" i="3"/>
  <c r="AB3" i="3"/>
  <c r="H3" i="17" s="1"/>
  <c r="AA3" i="3"/>
  <c r="G30" i="10"/>
  <c r="H30" i="10"/>
  <c r="I30" i="10"/>
  <c r="J30" i="10"/>
  <c r="K30" i="10"/>
  <c r="L30" i="10"/>
  <c r="M30" i="10"/>
  <c r="N30" i="10"/>
  <c r="O30" i="10"/>
  <c r="P30" i="10"/>
  <c r="F30" i="10"/>
  <c r="F28" i="10"/>
  <c r="G31" i="10"/>
  <c r="H31" i="10"/>
  <c r="E31" i="10"/>
  <c r="D31" i="10" s="1"/>
  <c r="C31" i="10" s="1"/>
  <c r="B31" i="10" s="1"/>
  <c r="I31" i="10"/>
  <c r="J31" i="10" s="1"/>
  <c r="K31" i="10" s="1"/>
  <c r="L31" i="10" s="1"/>
  <c r="M31" i="10" s="1"/>
  <c r="N31" i="10" s="1"/>
  <c r="O31" i="10" s="1"/>
  <c r="P31" i="10" s="1"/>
  <c r="G40" i="3"/>
  <c r="F40" i="3"/>
  <c r="G44" i="3"/>
  <c r="G45" i="3"/>
  <c r="G46" i="3"/>
  <c r="F46" i="3"/>
  <c r="F44" i="3"/>
  <c r="F45" i="3"/>
  <c r="G41" i="3"/>
  <c r="G42" i="3"/>
  <c r="F41" i="3"/>
  <c r="F37" i="3"/>
  <c r="G37" i="3"/>
  <c r="F38" i="3"/>
  <c r="G38" i="3"/>
  <c r="G36" i="3"/>
  <c r="F36" i="3"/>
  <c r="E26" i="13"/>
  <c r="F25" i="20"/>
  <c r="F36" i="20" s="1"/>
  <c r="C21" i="20" s="1"/>
  <c r="F6" i="3"/>
  <c r="F7" i="3"/>
  <c r="F8" i="3"/>
  <c r="F9" i="3"/>
  <c r="F16" i="3"/>
  <c r="F17" i="3"/>
  <c r="F18" i="3"/>
  <c r="F19" i="3"/>
  <c r="F22" i="3"/>
  <c r="F23" i="3"/>
  <c r="F25" i="3"/>
  <c r="F26" i="3"/>
  <c r="F27" i="3"/>
  <c r="F28" i="3"/>
  <c r="F29" i="3"/>
  <c r="F31" i="3"/>
  <c r="F32" i="3"/>
  <c r="F33" i="3"/>
  <c r="F59" i="3"/>
  <c r="F35" i="3"/>
  <c r="F42" i="3"/>
  <c r="F5" i="3"/>
  <c r="G5" i="3"/>
  <c r="F23" i="20"/>
  <c r="F18" i="20"/>
  <c r="C16" i="20"/>
  <c r="F7" i="20"/>
  <c r="P2" i="20"/>
  <c r="K2" i="20"/>
  <c r="G6" i="3"/>
  <c r="G7" i="3"/>
  <c r="G8" i="3"/>
  <c r="G9" i="3"/>
  <c r="G16" i="3"/>
  <c r="G17" i="3"/>
  <c r="G18" i="3"/>
  <c r="G19" i="3"/>
  <c r="G22" i="3"/>
  <c r="G23" i="3"/>
  <c r="G25" i="3"/>
  <c r="G26" i="3"/>
  <c r="G27" i="3"/>
  <c r="G28" i="3"/>
  <c r="G29" i="3"/>
  <c r="G31" i="3"/>
  <c r="G32" i="3"/>
  <c r="G33" i="3"/>
  <c r="G59" i="3"/>
  <c r="G35" i="3"/>
  <c r="F3" i="17"/>
  <c r="D3" i="17"/>
  <c r="D82" i="17" s="1"/>
  <c r="B2" i="10"/>
  <c r="C22" i="10" s="1"/>
  <c r="D3" i="10"/>
  <c r="M25" i="10"/>
  <c r="L25" i="10"/>
  <c r="K25" i="10"/>
  <c r="J25" i="10"/>
  <c r="I25" i="10"/>
  <c r="H25" i="10"/>
  <c r="G25" i="10"/>
  <c r="F25" i="10"/>
  <c r="E25" i="10"/>
  <c r="D25" i="10"/>
  <c r="C19" i="10"/>
  <c r="D19" i="10"/>
  <c r="E19" i="10" s="1"/>
  <c r="F19" i="10" s="1"/>
  <c r="G19" i="10" s="1"/>
  <c r="H19" i="10" s="1"/>
  <c r="I19" i="10" s="1"/>
  <c r="J19" i="10" s="1"/>
  <c r="K19" i="10" s="1"/>
  <c r="L19" i="10" s="1"/>
  <c r="M19" i="10" s="1"/>
  <c r="M18" i="10"/>
  <c r="P28" i="10" s="1"/>
  <c r="L18" i="10"/>
  <c r="O28" i="10" s="1"/>
  <c r="K18" i="10"/>
  <c r="N28" i="10" s="1"/>
  <c r="J18" i="10"/>
  <c r="I18" i="10"/>
  <c r="H18" i="10"/>
  <c r="G18" i="10"/>
  <c r="F18" i="10"/>
  <c r="I28" i="10" s="1"/>
  <c r="E18" i="10"/>
  <c r="D18" i="10"/>
  <c r="B13" i="10"/>
  <c r="D13" i="10"/>
  <c r="B12" i="10"/>
  <c r="L22" i="10" s="1"/>
  <c r="B11" i="10"/>
  <c r="K22" i="10"/>
  <c r="B10" i="10"/>
  <c r="G10" i="10" s="1"/>
  <c r="B9" i="10"/>
  <c r="D9" i="10" s="1"/>
  <c r="B8" i="10"/>
  <c r="F8" i="10" s="1"/>
  <c r="B7" i="10"/>
  <c r="G22" i="10" s="1"/>
  <c r="G23" i="10" s="1"/>
  <c r="B6" i="10"/>
  <c r="G6" i="10" s="1"/>
  <c r="B5" i="10"/>
  <c r="G5" i="10" s="1"/>
  <c r="B4" i="10"/>
  <c r="D22" i="10" s="1"/>
  <c r="G3" i="10"/>
  <c r="F3" i="10"/>
  <c r="E3" i="10"/>
  <c r="F2" i="10"/>
  <c r="F5" i="10"/>
  <c r="D8" i="10"/>
  <c r="D4" i="10"/>
  <c r="H4" i="10" s="1"/>
  <c r="D20" i="10" s="1"/>
  <c r="G28" i="10"/>
  <c r="K28" i="10"/>
  <c r="E4" i="10"/>
  <c r="H5" i="10" s="1"/>
  <c r="E20" i="10" s="1"/>
  <c r="H28" i="10"/>
  <c r="L28" i="10"/>
  <c r="M28" i="10"/>
  <c r="J28" i="10"/>
  <c r="F6" i="10"/>
  <c r="E12" i="10"/>
  <c r="H13" i="10" s="1"/>
  <c r="M20" i="10" s="1"/>
  <c r="P29" i="10" s="1"/>
  <c r="J22" i="10"/>
  <c r="F4" i="10"/>
  <c r="D6" i="10"/>
  <c r="F7" i="10"/>
  <c r="D10" i="10"/>
  <c r="E6" i="10"/>
  <c r="D12" i="10"/>
  <c r="F22" i="10"/>
  <c r="F23" i="10" s="1"/>
  <c r="D2" i="10"/>
  <c r="G9" i="10"/>
  <c r="G11" i="10"/>
  <c r="D5" i="10"/>
  <c r="E2" i="10"/>
  <c r="G4" i="10"/>
  <c r="E5" i="10"/>
  <c r="E9" i="10"/>
  <c r="H10" i="10" s="1"/>
  <c r="J20" i="10" s="1"/>
  <c r="M29" i="10" s="1"/>
  <c r="E11" i="10"/>
  <c r="H12" i="10" s="1"/>
  <c r="L20" i="10" s="1"/>
  <c r="O29" i="10" s="1"/>
  <c r="G12" i="10"/>
  <c r="E13" i="10"/>
  <c r="F11" i="10"/>
  <c r="F13" i="10"/>
  <c r="E22" i="10"/>
  <c r="I22" i="10"/>
  <c r="M22" i="10"/>
  <c r="G13" i="10"/>
  <c r="G2" i="10"/>
  <c r="D7" i="10"/>
  <c r="D11" i="10"/>
  <c r="J23" i="10"/>
  <c r="K23" i="10"/>
  <c r="C5" i="4" l="1"/>
  <c r="G5" i="4" s="1"/>
  <c r="H5" i="4" s="1"/>
  <c r="F32" i="20"/>
  <c r="C35" i="4"/>
  <c r="G35" i="4" s="1"/>
  <c r="H35" i="4" s="1"/>
  <c r="C40" i="4"/>
  <c r="G40" i="4" s="1"/>
  <c r="H40" i="4" s="1"/>
  <c r="C68" i="4"/>
  <c r="G68" i="4" s="1"/>
  <c r="H68" i="4" s="1"/>
  <c r="C25" i="4"/>
  <c r="G25" i="4" s="1"/>
  <c r="H25" i="4" s="1"/>
  <c r="C48" i="4"/>
  <c r="G48" i="4" s="1"/>
  <c r="H48" i="4" s="1"/>
  <c r="C16" i="4"/>
  <c r="G16" i="4" s="1"/>
  <c r="H16" i="4" s="1"/>
  <c r="C31" i="4"/>
  <c r="G31" i="4" s="1"/>
  <c r="H31" i="4" s="1"/>
  <c r="C58" i="4"/>
  <c r="G58" i="4" s="1"/>
  <c r="H58" i="4" s="1"/>
  <c r="C63" i="4"/>
  <c r="G63" i="4" s="1"/>
  <c r="H63" i="4" s="1"/>
  <c r="G93" i="4"/>
  <c r="H93" i="4" s="1"/>
  <c r="G86" i="4"/>
  <c r="H86" i="4" s="1"/>
  <c r="D23" i="10"/>
  <c r="E23" i="10"/>
  <c r="E7" i="10"/>
  <c r="H8" i="10" s="1"/>
  <c r="H20" i="10" s="1"/>
  <c r="K29" i="10" s="1"/>
  <c r="G7" i="10"/>
  <c r="E10" i="10"/>
  <c r="H11" i="10" s="1"/>
  <c r="K20" i="10" s="1"/>
  <c r="N29" i="10" s="1"/>
  <c r="H6" i="10"/>
  <c r="F20" i="10" s="1"/>
  <c r="I29" i="10" s="1"/>
  <c r="F10" i="10"/>
  <c r="H7" i="10"/>
  <c r="G20" i="10" s="1"/>
  <c r="J29" i="10" s="1"/>
  <c r="H29" i="10"/>
  <c r="B3" i="4"/>
  <c r="AM2" i="3"/>
  <c r="AJ5" i="3" s="1"/>
  <c r="G29" i="10"/>
  <c r="M23" i="10"/>
  <c r="L23" i="10"/>
  <c r="H22" i="10"/>
  <c r="H23" i="10" s="1"/>
  <c r="F9" i="10"/>
  <c r="F12" i="10"/>
  <c r="C17" i="20"/>
  <c r="C18" i="20" s="1"/>
  <c r="C20" i="20" s="1"/>
  <c r="C22" i="20" s="1"/>
  <c r="C41" i="27" s="1"/>
  <c r="C6" i="20"/>
  <c r="C7" i="20" s="1"/>
  <c r="C9" i="20" s="1"/>
  <c r="G43" i="27"/>
  <c r="I43" i="27" s="1"/>
  <c r="L43" i="27" s="1"/>
  <c r="S14" i="3" s="1"/>
  <c r="F14" i="17" s="1"/>
  <c r="G42" i="27"/>
  <c r="E8" i="10"/>
  <c r="H9" i="10" s="1"/>
  <c r="I20" i="10" s="1"/>
  <c r="L29" i="10" s="1"/>
  <c r="B1" i="10"/>
  <c r="G8" i="10"/>
  <c r="C71" i="27"/>
  <c r="C70" i="27"/>
  <c r="C69" i="27"/>
  <c r="C10" i="20"/>
  <c r="C11" i="20" s="1"/>
  <c r="C42" i="27" s="1"/>
  <c r="F81" i="17"/>
  <c r="F82" i="17"/>
  <c r="S23" i="31"/>
  <c r="U23" i="31" s="1"/>
  <c r="L20" i="31"/>
  <c r="N18" i="31"/>
  <c r="D94" i="17" s="1"/>
  <c r="M17" i="31"/>
  <c r="L16" i="31"/>
  <c r="N13" i="31"/>
  <c r="D89" i="17" s="1"/>
  <c r="L11" i="31"/>
  <c r="N9" i="31"/>
  <c r="D85" i="17" s="1"/>
  <c r="M8" i="31"/>
  <c r="N19" i="31"/>
  <c r="D95" i="17" s="1"/>
  <c r="M18" i="31"/>
  <c r="L17" i="31"/>
  <c r="N15" i="31"/>
  <c r="D91" i="17" s="1"/>
  <c r="M13" i="31"/>
  <c r="L12" i="31"/>
  <c r="N10" i="31"/>
  <c r="D86" i="17" s="1"/>
  <c r="M9" i="31"/>
  <c r="L8" i="31"/>
  <c r="N20" i="31"/>
  <c r="D96" i="17" s="1"/>
  <c r="M19" i="31"/>
  <c r="L18" i="31"/>
  <c r="N16" i="31"/>
  <c r="D92" i="17" s="1"/>
  <c r="M15" i="31"/>
  <c r="L13" i="31"/>
  <c r="N11" i="31"/>
  <c r="D87" i="17" s="1"/>
  <c r="M10" i="31"/>
  <c r="L9" i="31"/>
  <c r="M20" i="31"/>
  <c r="L19" i="31"/>
  <c r="N17" i="31"/>
  <c r="D93" i="17" s="1"/>
  <c r="M16" i="31"/>
  <c r="L15" i="31"/>
  <c r="N12" i="31"/>
  <c r="D88" i="17" s="1"/>
  <c r="M11" i="31"/>
  <c r="L10" i="31"/>
  <c r="N8" i="31"/>
  <c r="D84" i="17" s="1"/>
  <c r="M12" i="31"/>
  <c r="S16" i="31"/>
  <c r="S15" i="31"/>
  <c r="S18" i="31"/>
  <c r="S17" i="31"/>
  <c r="G3" i="17"/>
  <c r="S57" i="3"/>
  <c r="F57" i="17" s="1"/>
  <c r="S9" i="3"/>
  <c r="F9" i="17" s="1"/>
  <c r="S8" i="3"/>
  <c r="F8" i="17" s="1"/>
  <c r="S17" i="3"/>
  <c r="F17" i="17" s="1"/>
  <c r="S23" i="3"/>
  <c r="H13" i="27"/>
  <c r="D5" i="4" l="1"/>
  <c r="I42" i="27"/>
  <c r="L42" i="27" s="1"/>
  <c r="G13" i="27"/>
  <c r="I13" i="27" s="1"/>
  <c r="S25" i="3"/>
  <c r="F25" i="17" s="1"/>
  <c r="S11" i="3"/>
  <c r="F11" i="17" s="1"/>
  <c r="S60" i="3"/>
  <c r="F60" i="17" s="1"/>
  <c r="S43" i="3"/>
  <c r="F43" i="17" s="1"/>
  <c r="S18" i="3"/>
  <c r="F18" i="17" s="1"/>
  <c r="S28" i="3"/>
  <c r="F28" i="17" s="1"/>
  <c r="S22" i="3"/>
  <c r="F22" i="17" s="1"/>
  <c r="S50" i="3"/>
  <c r="F50" i="17" s="1"/>
  <c r="S27" i="3"/>
  <c r="F27" i="17" s="1"/>
  <c r="S16" i="3"/>
  <c r="F16" i="17" s="1"/>
  <c r="S29" i="3"/>
  <c r="F29" i="17" s="1"/>
  <c r="S6" i="3"/>
  <c r="F6" i="17" s="1"/>
  <c r="S51" i="3"/>
  <c r="F51" i="17" s="1"/>
  <c r="S12" i="31"/>
  <c r="S11" i="31"/>
  <c r="F87" i="17" s="1"/>
  <c r="N8" i="3"/>
  <c r="M5" i="3"/>
  <c r="N7" i="3"/>
  <c r="D7" i="17" s="1"/>
  <c r="N6" i="3"/>
  <c r="D6" i="17" s="1"/>
  <c r="N5" i="3"/>
  <c r="S19" i="3"/>
  <c r="F19" i="17" s="1"/>
  <c r="S20" i="3"/>
  <c r="F20" i="17" s="1"/>
  <c r="S26" i="3"/>
  <c r="F26" i="17" s="1"/>
  <c r="S5" i="3"/>
  <c r="S7" i="3"/>
  <c r="F7" i="17" s="1"/>
  <c r="S55" i="3"/>
  <c r="F55" i="17" s="1"/>
  <c r="S58" i="3"/>
  <c r="F58" i="17" s="1"/>
  <c r="S9" i="31"/>
  <c r="S20" i="31"/>
  <c r="F96" i="17" s="1"/>
  <c r="S21" i="3"/>
  <c r="F21" i="17" s="1"/>
  <c r="S8" i="31"/>
  <c r="F84" i="17" s="1"/>
  <c r="S13" i="31"/>
  <c r="S19" i="31"/>
  <c r="S37" i="3"/>
  <c r="F37" i="17" s="1"/>
  <c r="S10" i="31"/>
  <c r="F86" i="17" s="1"/>
  <c r="D86" i="4"/>
  <c r="D93" i="4"/>
  <c r="L5" i="3"/>
  <c r="L68" i="3"/>
  <c r="N52" i="3"/>
  <c r="D52" i="17" s="1"/>
  <c r="L41" i="3"/>
  <c r="M32" i="3"/>
  <c r="N23" i="3"/>
  <c r="N14" i="3"/>
  <c r="L8" i="3"/>
  <c r="L77" i="3"/>
  <c r="N71" i="3"/>
  <c r="D71" i="17" s="1"/>
  <c r="M65" i="3"/>
  <c r="L59" i="3"/>
  <c r="N53" i="3"/>
  <c r="D53" i="17" s="1"/>
  <c r="M48" i="3"/>
  <c r="L42" i="3"/>
  <c r="N35" i="3"/>
  <c r="M28" i="3"/>
  <c r="L22" i="3"/>
  <c r="N16" i="3"/>
  <c r="M10" i="3"/>
  <c r="N76" i="3"/>
  <c r="D76" i="17" s="1"/>
  <c r="M71" i="3"/>
  <c r="L65" i="3"/>
  <c r="N58" i="3"/>
  <c r="D58" i="17" s="1"/>
  <c r="M53" i="3"/>
  <c r="L48" i="3"/>
  <c r="N41" i="3"/>
  <c r="M35" i="3"/>
  <c r="L28" i="3"/>
  <c r="N21" i="3"/>
  <c r="M16" i="3"/>
  <c r="L10" i="3"/>
  <c r="M76" i="3"/>
  <c r="L71" i="3"/>
  <c r="N64" i="3"/>
  <c r="D64" i="17" s="1"/>
  <c r="M58" i="3"/>
  <c r="L53" i="3"/>
  <c r="N46" i="3"/>
  <c r="M41" i="3"/>
  <c r="L35" i="3"/>
  <c r="N27" i="3"/>
  <c r="M21" i="3"/>
  <c r="L16" i="3"/>
  <c r="N9" i="3"/>
  <c r="N78" i="3"/>
  <c r="D78" i="17" s="1"/>
  <c r="M64" i="3"/>
  <c r="N48" i="3"/>
  <c r="D48" i="17" s="1"/>
  <c r="N38" i="3"/>
  <c r="L31" i="3"/>
  <c r="L21" i="3"/>
  <c r="M13" i="3"/>
  <c r="N75" i="3"/>
  <c r="D75" i="17" s="1"/>
  <c r="M70" i="3"/>
  <c r="L64" i="3"/>
  <c r="N57" i="3"/>
  <c r="D57" i="17" s="1"/>
  <c r="M52" i="3"/>
  <c r="L46" i="3"/>
  <c r="N40" i="3"/>
  <c r="M33" i="3"/>
  <c r="L27" i="3"/>
  <c r="N20" i="3"/>
  <c r="M14" i="3"/>
  <c r="L9" i="3"/>
  <c r="M5" i="31"/>
  <c r="M75" i="3"/>
  <c r="L70" i="3"/>
  <c r="N63" i="3"/>
  <c r="D63" i="17" s="1"/>
  <c r="M57" i="3"/>
  <c r="L52" i="3"/>
  <c r="N45" i="3"/>
  <c r="M40" i="3"/>
  <c r="L33" i="3"/>
  <c r="N26" i="3"/>
  <c r="M20" i="3"/>
  <c r="L14" i="3"/>
  <c r="D8" i="17"/>
  <c r="L5" i="31"/>
  <c r="L75" i="3"/>
  <c r="N69" i="3"/>
  <c r="D69" i="17" s="1"/>
  <c r="M63" i="3"/>
  <c r="L57" i="3"/>
  <c r="N51" i="3"/>
  <c r="D51" i="17" s="1"/>
  <c r="M45" i="3"/>
  <c r="L40" i="3"/>
  <c r="N32" i="3"/>
  <c r="M26" i="3"/>
  <c r="L20" i="3"/>
  <c r="N13" i="3"/>
  <c r="M8" i="3"/>
  <c r="L76" i="3"/>
  <c r="L58" i="3"/>
  <c r="M46" i="3"/>
  <c r="M37" i="3"/>
  <c r="M27" i="3"/>
  <c r="N19" i="3"/>
  <c r="U19" i="3" s="1"/>
  <c r="X19" i="3" s="1"/>
  <c r="L12" i="3"/>
  <c r="M74" i="3"/>
  <c r="L69" i="3"/>
  <c r="N62" i="3"/>
  <c r="D62" i="17" s="1"/>
  <c r="L51" i="3"/>
  <c r="N44" i="3"/>
  <c r="M38" i="3"/>
  <c r="L32" i="3"/>
  <c r="N25" i="3"/>
  <c r="M19" i="3"/>
  <c r="L13" i="3"/>
  <c r="L74" i="3"/>
  <c r="N68" i="3"/>
  <c r="D68" i="17" s="1"/>
  <c r="M62" i="3"/>
  <c r="N50" i="3"/>
  <c r="D50" i="17" s="1"/>
  <c r="M44" i="3"/>
  <c r="L38" i="3"/>
  <c r="N31" i="3"/>
  <c r="M25" i="3"/>
  <c r="L19" i="3"/>
  <c r="N12" i="3"/>
  <c r="M7" i="3"/>
  <c r="N73" i="3"/>
  <c r="D73" i="17" s="1"/>
  <c r="M68" i="3"/>
  <c r="L62" i="3"/>
  <c r="N55" i="3"/>
  <c r="D55" i="17" s="1"/>
  <c r="M50" i="3"/>
  <c r="L44" i="3"/>
  <c r="N37" i="3"/>
  <c r="M31" i="3"/>
  <c r="L25" i="3"/>
  <c r="N18" i="3"/>
  <c r="M12" i="3"/>
  <c r="L7" i="3"/>
  <c r="N5" i="31"/>
  <c r="U5" i="31" s="1"/>
  <c r="X5" i="31" s="1"/>
  <c r="Z5" i="31" s="1"/>
  <c r="I81" i="17" s="1"/>
  <c r="N70" i="3"/>
  <c r="D70" i="17" s="1"/>
  <c r="M55" i="3"/>
  <c r="N43" i="3"/>
  <c r="N33" i="3"/>
  <c r="L26" i="3"/>
  <c r="M18" i="3"/>
  <c r="M9" i="3"/>
  <c r="M78" i="3"/>
  <c r="L73" i="3"/>
  <c r="N67" i="3"/>
  <c r="D67" i="17" s="1"/>
  <c r="M60" i="3"/>
  <c r="L55" i="3"/>
  <c r="N49" i="3"/>
  <c r="D49" i="17" s="1"/>
  <c r="M43" i="3"/>
  <c r="L37" i="3"/>
  <c r="N29" i="3"/>
  <c r="M23" i="3"/>
  <c r="L18" i="3"/>
  <c r="N11" i="3"/>
  <c r="D11" i="17" s="1"/>
  <c r="M6" i="3"/>
  <c r="L78" i="3"/>
  <c r="N72" i="3"/>
  <c r="D72" i="17" s="1"/>
  <c r="M67" i="3"/>
  <c r="L60" i="3"/>
  <c r="N54" i="3"/>
  <c r="D54" i="17" s="1"/>
  <c r="M49" i="3"/>
  <c r="L43" i="3"/>
  <c r="N36" i="3"/>
  <c r="M29" i="3"/>
  <c r="L23" i="3"/>
  <c r="N17" i="3"/>
  <c r="D17" i="17" s="1"/>
  <c r="M11" i="3"/>
  <c r="L6" i="3"/>
  <c r="N77" i="3"/>
  <c r="D77" i="17" s="1"/>
  <c r="M72" i="3"/>
  <c r="L67" i="3"/>
  <c r="N59" i="3"/>
  <c r="D59" i="17" s="1"/>
  <c r="M54" i="3"/>
  <c r="L49" i="3"/>
  <c r="N42" i="3"/>
  <c r="D42" i="17" s="1"/>
  <c r="M36" i="3"/>
  <c r="L29" i="3"/>
  <c r="N22" i="3"/>
  <c r="M17" i="3"/>
  <c r="L11" i="3"/>
  <c r="D5" i="17"/>
  <c r="N10" i="3"/>
  <c r="D10" i="17" s="1"/>
  <c r="L17" i="3"/>
  <c r="M22" i="3"/>
  <c r="N28" i="3"/>
  <c r="D28" i="17" s="1"/>
  <c r="L36" i="3"/>
  <c r="M42" i="3"/>
  <c r="L50" i="3"/>
  <c r="N60" i="3"/>
  <c r="D60" i="17" s="1"/>
  <c r="M73" i="3"/>
  <c r="S22" i="31"/>
  <c r="U22" i="31" s="1"/>
  <c r="X22" i="31" s="1"/>
  <c r="Z22" i="31" s="1"/>
  <c r="I23" i="10"/>
  <c r="AJ65" i="3"/>
  <c r="AJ77" i="3"/>
  <c r="AJ68" i="3"/>
  <c r="AJ72" i="3"/>
  <c r="AJ44" i="3"/>
  <c r="AJ40" i="3"/>
  <c r="AJ14" i="3"/>
  <c r="AJ41" i="3"/>
  <c r="AJ26" i="3"/>
  <c r="AJ9" i="3"/>
  <c r="AJ10" i="3"/>
  <c r="AJ8" i="3"/>
  <c r="AJ45" i="3"/>
  <c r="AJ16" i="3"/>
  <c r="AJ7" i="3"/>
  <c r="AJ19" i="3"/>
  <c r="AJ64" i="3"/>
  <c r="AJ67" i="3"/>
  <c r="AJ71" i="3"/>
  <c r="AJ36" i="3"/>
  <c r="AJ59" i="3"/>
  <c r="AJ38" i="3"/>
  <c r="AJ22" i="3"/>
  <c r="AJ63" i="3"/>
  <c r="AJ35" i="3"/>
  <c r="AJ6" i="3"/>
  <c r="AJ37" i="3"/>
  <c r="AJ60" i="3"/>
  <c r="AJ78" i="3"/>
  <c r="AJ70" i="3"/>
  <c r="AJ76" i="3"/>
  <c r="AJ74" i="3"/>
  <c r="AJ43" i="3"/>
  <c r="AJ32" i="3"/>
  <c r="AJ55" i="3"/>
  <c r="AJ31" i="3"/>
  <c r="AJ18" i="3"/>
  <c r="AJ33" i="3"/>
  <c r="AJ25" i="3"/>
  <c r="AJ62" i="3"/>
  <c r="AJ28" i="3"/>
  <c r="AJ23" i="3"/>
  <c r="AJ54" i="3"/>
  <c r="AJ69" i="3"/>
  <c r="AJ75" i="3"/>
  <c r="AJ73" i="3"/>
  <c r="AJ42" i="3"/>
  <c r="AJ27" i="3"/>
  <c r="AJ46" i="3"/>
  <c r="AJ29" i="3"/>
  <c r="AJ13" i="3"/>
  <c r="AJ12" i="3"/>
  <c r="AJ17" i="3"/>
  <c r="S59" i="3"/>
  <c r="F59" i="17" s="1"/>
  <c r="G1" i="10"/>
  <c r="D1" i="10"/>
  <c r="E1" i="10"/>
  <c r="H2" i="10" s="1"/>
  <c r="C20" i="10" s="1"/>
  <c r="F1" i="10"/>
  <c r="C64" i="27"/>
  <c r="C67" i="27"/>
  <c r="C66" i="27"/>
  <c r="C62" i="27"/>
  <c r="C65" i="27"/>
  <c r="P51" i="3" s="1"/>
  <c r="E51" i="17" s="1"/>
  <c r="J32" i="10"/>
  <c r="K32" i="10" s="1"/>
  <c r="L32" i="10" s="1"/>
  <c r="M32" i="10" s="1"/>
  <c r="N32" i="10" s="1"/>
  <c r="O32" i="10" s="1"/>
  <c r="P32" i="10" s="1"/>
  <c r="C63" i="27"/>
  <c r="G41" i="27"/>
  <c r="L54" i="3"/>
  <c r="M59" i="3"/>
  <c r="N65" i="3"/>
  <c r="D65" i="17" s="1"/>
  <c r="L72" i="3"/>
  <c r="M77" i="3"/>
  <c r="L45" i="3"/>
  <c r="M51" i="3"/>
  <c r="L63" i="3"/>
  <c r="M69" i="3"/>
  <c r="N74" i="3"/>
  <c r="D74" i="17" s="1"/>
  <c r="G81" i="17"/>
  <c r="U12" i="31"/>
  <c r="X12" i="31" s="1"/>
  <c r="Z12" i="31" s="1"/>
  <c r="I88" i="17" s="1"/>
  <c r="F88" i="17"/>
  <c r="U18" i="31"/>
  <c r="X18" i="31" s="1"/>
  <c r="Z18" i="31" s="1"/>
  <c r="I94" i="17" s="1"/>
  <c r="F94" i="17"/>
  <c r="U9" i="31"/>
  <c r="X9" i="31" s="1"/>
  <c r="Z9" i="31" s="1"/>
  <c r="I85" i="17" s="1"/>
  <c r="F85" i="17"/>
  <c r="U8" i="31"/>
  <c r="X8" i="31" s="1"/>
  <c r="Z8" i="31" s="1"/>
  <c r="I84" i="17" s="1"/>
  <c r="U13" i="31"/>
  <c r="X13" i="31" s="1"/>
  <c r="Z13" i="31" s="1"/>
  <c r="I89" i="17" s="1"/>
  <c r="F89" i="17"/>
  <c r="U19" i="31"/>
  <c r="X19" i="31" s="1"/>
  <c r="Z19" i="31" s="1"/>
  <c r="I95" i="17" s="1"/>
  <c r="F95" i="17"/>
  <c r="X23" i="31"/>
  <c r="Z23" i="31" s="1"/>
  <c r="U17" i="31"/>
  <c r="X17" i="31" s="1"/>
  <c r="Z17" i="31" s="1"/>
  <c r="I93" i="17" s="1"/>
  <c r="F93" i="17"/>
  <c r="U15" i="31"/>
  <c r="X15" i="31" s="1"/>
  <c r="Z15" i="31" s="1"/>
  <c r="I91" i="17" s="1"/>
  <c r="F91" i="17"/>
  <c r="U16" i="31"/>
  <c r="X16" i="31" s="1"/>
  <c r="Z16" i="31" s="1"/>
  <c r="I92" i="17" s="1"/>
  <c r="F92" i="17"/>
  <c r="U20" i="31"/>
  <c r="X20" i="31" s="1"/>
  <c r="Z20" i="31" s="1"/>
  <c r="I96" i="17" s="1"/>
  <c r="D16" i="4"/>
  <c r="D58" i="4"/>
  <c r="D68" i="4"/>
  <c r="D63" i="4"/>
  <c r="D12" i="17"/>
  <c r="D27" i="17"/>
  <c r="D19" i="17"/>
  <c r="D20" i="17"/>
  <c r="D35" i="17"/>
  <c r="D46" i="17"/>
  <c r="D18" i="17"/>
  <c r="D32" i="17"/>
  <c r="D16" i="17"/>
  <c r="D25" i="17"/>
  <c r="D31" i="17"/>
  <c r="D14" i="17"/>
  <c r="D45" i="17"/>
  <c r="D26" i="17"/>
  <c r="D37" i="17"/>
  <c r="F23" i="17"/>
  <c r="D40" i="17"/>
  <c r="D41" i="17"/>
  <c r="D21" i="17"/>
  <c r="D23" i="17"/>
  <c r="U5" i="3"/>
  <c r="X5" i="3" s="1"/>
  <c r="U60" i="3"/>
  <c r="X60" i="3" s="1"/>
  <c r="U59" i="3"/>
  <c r="X59" i="3" s="1"/>
  <c r="U23" i="3"/>
  <c r="X23" i="3" s="1"/>
  <c r="U17" i="3"/>
  <c r="X17" i="3" s="1"/>
  <c r="U16" i="3"/>
  <c r="X16" i="3" s="1"/>
  <c r="U27" i="3"/>
  <c r="X27" i="3" s="1"/>
  <c r="F5" i="17"/>
  <c r="U28" i="3"/>
  <c r="X28" i="3" s="1"/>
  <c r="U37" i="3"/>
  <c r="X37" i="3" s="1"/>
  <c r="U14" i="3"/>
  <c r="X14" i="3" s="1"/>
  <c r="U51" i="3"/>
  <c r="X51" i="3" s="1"/>
  <c r="U21" i="3"/>
  <c r="X21" i="3" s="1"/>
  <c r="U11" i="3"/>
  <c r="X11" i="3" s="1"/>
  <c r="U20" i="3"/>
  <c r="X20" i="3" s="1"/>
  <c r="U18" i="3"/>
  <c r="X18" i="3" s="1"/>
  <c r="U8" i="3"/>
  <c r="X8" i="3" s="1"/>
  <c r="U6" i="3" l="1"/>
  <c r="X6" i="3" s="1"/>
  <c r="U55" i="3"/>
  <c r="X55" i="3" s="1"/>
  <c r="D29" i="17"/>
  <c r="D33" i="17"/>
  <c r="U7" i="3"/>
  <c r="X7" i="3" s="1"/>
  <c r="U25" i="3"/>
  <c r="X25" i="3" s="1"/>
  <c r="D36" i="17"/>
  <c r="S41" i="3"/>
  <c r="S53" i="3"/>
  <c r="F53" i="17" s="1"/>
  <c r="S70" i="3"/>
  <c r="S68" i="3"/>
  <c r="F68" i="17" s="1"/>
  <c r="S40" i="3"/>
  <c r="S77" i="3"/>
  <c r="F77" i="17" s="1"/>
  <c r="S35" i="3"/>
  <c r="F35" i="17" s="1"/>
  <c r="S67" i="3"/>
  <c r="F67" i="17" s="1"/>
  <c r="S74" i="3"/>
  <c r="F74" i="17" s="1"/>
  <c r="S32" i="3"/>
  <c r="S10" i="3"/>
  <c r="F10" i="17" s="1"/>
  <c r="S69" i="3"/>
  <c r="F69" i="17" s="1"/>
  <c r="S45" i="3"/>
  <c r="F45" i="17" s="1"/>
  <c r="S72" i="3"/>
  <c r="F72" i="17" s="1"/>
  <c r="S63" i="3"/>
  <c r="F63" i="17" s="1"/>
  <c r="S64" i="3"/>
  <c r="F64" i="17" s="1"/>
  <c r="S12" i="3"/>
  <c r="F12" i="17" s="1"/>
  <c r="S75" i="3"/>
  <c r="F75" i="17" s="1"/>
  <c r="S42" i="3"/>
  <c r="F42" i="17" s="1"/>
  <c r="S78" i="3"/>
  <c r="F78" i="17" s="1"/>
  <c r="S49" i="3"/>
  <c r="F49" i="17" s="1"/>
  <c r="S54" i="3"/>
  <c r="F54" i="17" s="1"/>
  <c r="S48" i="3"/>
  <c r="F48" i="17" s="1"/>
  <c r="S71" i="3"/>
  <c r="F71" i="17" s="1"/>
  <c r="S33" i="3"/>
  <c r="F33" i="17" s="1"/>
  <c r="S46" i="3"/>
  <c r="S76" i="3"/>
  <c r="F76" i="17" s="1"/>
  <c r="S44" i="3"/>
  <c r="F44" i="17" s="1"/>
  <c r="S36" i="3"/>
  <c r="S65" i="3"/>
  <c r="F65" i="17" s="1"/>
  <c r="S62" i="3"/>
  <c r="F62" i="17" s="1"/>
  <c r="S13" i="3"/>
  <c r="F13" i="17" s="1"/>
  <c r="S31" i="3"/>
  <c r="S73" i="3"/>
  <c r="F73" i="17" s="1"/>
  <c r="S52" i="3"/>
  <c r="F52" i="17" s="1"/>
  <c r="S38" i="3"/>
  <c r="F38" i="17" s="1"/>
  <c r="U22" i="3"/>
  <c r="X22" i="3" s="1"/>
  <c r="U58" i="3"/>
  <c r="X58" i="3" s="1"/>
  <c r="D9" i="17"/>
  <c r="D38" i="17"/>
  <c r="U10" i="31"/>
  <c r="X10" i="31" s="1"/>
  <c r="Z10" i="31" s="1"/>
  <c r="I86" i="17" s="1"/>
  <c r="U26" i="3"/>
  <c r="X26" i="3" s="1"/>
  <c r="D43" i="17"/>
  <c r="U9" i="3"/>
  <c r="X9" i="3" s="1"/>
  <c r="U43" i="3"/>
  <c r="X43" i="3" s="1"/>
  <c r="U57" i="3"/>
  <c r="X57" i="3" s="1"/>
  <c r="U29" i="3"/>
  <c r="X29" i="3" s="1"/>
  <c r="D22" i="17"/>
  <c r="U11" i="31"/>
  <c r="X11" i="31" s="1"/>
  <c r="Z11" i="31" s="1"/>
  <c r="I87" i="17" s="1"/>
  <c r="U68" i="3"/>
  <c r="X68" i="3" s="1"/>
  <c r="D13" i="17"/>
  <c r="U33" i="3"/>
  <c r="X33" i="3" s="1"/>
  <c r="U45" i="3"/>
  <c r="X45" i="3" s="1"/>
  <c r="D81" i="17"/>
  <c r="D44" i="17"/>
  <c r="P54" i="3"/>
  <c r="P76" i="3"/>
  <c r="P53" i="3"/>
  <c r="AM13" i="3"/>
  <c r="AM42" i="3"/>
  <c r="AM54" i="3"/>
  <c r="AM25" i="3"/>
  <c r="AM55" i="3"/>
  <c r="AM76" i="3"/>
  <c r="AM11" i="3"/>
  <c r="AM63" i="3"/>
  <c r="AM36" i="3"/>
  <c r="AM5" i="3"/>
  <c r="AM10" i="3"/>
  <c r="AM14" i="3"/>
  <c r="AM68" i="3"/>
  <c r="P74" i="3"/>
  <c r="E74" i="17" s="1"/>
  <c r="P73" i="3"/>
  <c r="P50" i="3"/>
  <c r="AM29" i="3"/>
  <c r="AM73" i="3"/>
  <c r="AM23" i="3"/>
  <c r="AM33" i="3"/>
  <c r="AM32" i="3"/>
  <c r="AM70" i="3"/>
  <c r="AM37" i="3"/>
  <c r="AM22" i="3"/>
  <c r="AM64" i="3"/>
  <c r="AM16" i="3"/>
  <c r="AM9" i="3"/>
  <c r="AM40" i="3"/>
  <c r="AM77" i="3"/>
  <c r="P72" i="3"/>
  <c r="P48" i="3"/>
  <c r="AM17" i="3"/>
  <c r="AM46" i="3"/>
  <c r="AM75" i="3"/>
  <c r="AM28" i="3"/>
  <c r="AM18" i="3"/>
  <c r="AM43" i="3"/>
  <c r="AM78" i="3"/>
  <c r="AM6" i="3"/>
  <c r="AM38" i="3"/>
  <c r="AM71" i="3"/>
  <c r="AM19" i="3"/>
  <c r="AM45" i="3"/>
  <c r="AM26" i="3"/>
  <c r="AM44" i="3"/>
  <c r="AM65" i="3"/>
  <c r="P71" i="3"/>
  <c r="P49" i="3"/>
  <c r="P75" i="3"/>
  <c r="P52" i="3"/>
  <c r="F29" i="10"/>
  <c r="AM12" i="3"/>
  <c r="AM27" i="3"/>
  <c r="AM69" i="3"/>
  <c r="AM62" i="3"/>
  <c r="AM31" i="3"/>
  <c r="AM74" i="3"/>
  <c r="AM60" i="3"/>
  <c r="AM35" i="3"/>
  <c r="AM59" i="3"/>
  <c r="AM67" i="3"/>
  <c r="AM7" i="3"/>
  <c r="AM8" i="3"/>
  <c r="AM41" i="3"/>
  <c r="AM72" i="3"/>
  <c r="AA37" i="3"/>
  <c r="G37" i="17" s="1"/>
  <c r="AA28" i="31"/>
  <c r="AB28" i="31" s="1"/>
  <c r="AE28" i="31" s="1"/>
  <c r="AA24" i="31"/>
  <c r="AB24" i="31" s="1"/>
  <c r="AE24" i="31" s="1"/>
  <c r="AA25" i="31"/>
  <c r="AB25" i="31" s="1"/>
  <c r="AE25" i="31" s="1"/>
  <c r="AA26" i="31"/>
  <c r="AB26" i="31" s="1"/>
  <c r="AE26" i="31" s="1"/>
  <c r="AA22" i="31"/>
  <c r="AB22" i="31" s="1"/>
  <c r="AE22" i="31" s="1"/>
  <c r="AA27" i="31"/>
  <c r="AB27" i="31" s="1"/>
  <c r="AE27" i="31" s="1"/>
  <c r="AA23" i="31"/>
  <c r="AB23" i="31" s="1"/>
  <c r="AE23" i="31" s="1"/>
  <c r="AA18" i="3"/>
  <c r="G18" i="17" s="1"/>
  <c r="AA19" i="3"/>
  <c r="G19" i="17" s="1"/>
  <c r="AA13" i="3"/>
  <c r="G13" i="17" s="1"/>
  <c r="AA46" i="3"/>
  <c r="G46" i="17" s="1"/>
  <c r="AA8" i="31"/>
  <c r="AA6" i="31"/>
  <c r="AA9" i="31"/>
  <c r="AA13" i="31"/>
  <c r="AA11" i="31"/>
  <c r="AA19" i="31"/>
  <c r="AA17" i="31"/>
  <c r="AA15" i="31"/>
  <c r="AA10" i="31"/>
  <c r="AA12" i="31"/>
  <c r="AA18" i="31"/>
  <c r="AA20" i="31"/>
  <c r="AA16" i="31"/>
  <c r="AA28" i="3"/>
  <c r="G28" i="17" s="1"/>
  <c r="AA8" i="3"/>
  <c r="G8" i="17" s="1"/>
  <c r="AA31" i="3"/>
  <c r="G31" i="17" s="1"/>
  <c r="AA14" i="3"/>
  <c r="G14" i="17" s="1"/>
  <c r="AA12" i="3"/>
  <c r="G12" i="17" s="1"/>
  <c r="AA23" i="3"/>
  <c r="AA44" i="3"/>
  <c r="G44" i="17" s="1"/>
  <c r="AA32" i="3"/>
  <c r="G32" i="17" s="1"/>
  <c r="AA29" i="3"/>
  <c r="G29" i="17" s="1"/>
  <c r="AA22" i="3"/>
  <c r="G22" i="17" s="1"/>
  <c r="AA36" i="3"/>
  <c r="G36" i="17" s="1"/>
  <c r="AA43" i="3"/>
  <c r="G43" i="17" s="1"/>
  <c r="AA21" i="3"/>
  <c r="G21" i="17" s="1"/>
  <c r="AA20" i="3"/>
  <c r="G20" i="17" s="1"/>
  <c r="AA26" i="3"/>
  <c r="G26" i="17" s="1"/>
  <c r="AA17" i="3"/>
  <c r="G17" i="17" s="1"/>
  <c r="AA42" i="3"/>
  <c r="G42" i="17" s="1"/>
  <c r="AA6" i="3"/>
  <c r="G6" i="17" s="1"/>
  <c r="AA33" i="3"/>
  <c r="G33" i="17" s="1"/>
  <c r="AA38" i="3"/>
  <c r="G38" i="17" s="1"/>
  <c r="AA7" i="3"/>
  <c r="G7" i="17" s="1"/>
  <c r="AA78" i="3"/>
  <c r="AA64" i="3"/>
  <c r="AA65" i="3"/>
  <c r="AA54" i="3"/>
  <c r="AA77" i="3"/>
  <c r="AA74" i="3"/>
  <c r="AA68" i="3"/>
  <c r="AA67" i="3"/>
  <c r="AA70" i="3"/>
  <c r="AA73" i="3"/>
  <c r="AA71" i="3"/>
  <c r="AA75" i="3"/>
  <c r="AA72" i="3"/>
  <c r="AA69" i="3"/>
  <c r="AA76" i="3"/>
  <c r="AA40" i="3"/>
  <c r="G40" i="17" s="1"/>
  <c r="AA35" i="3"/>
  <c r="G35" i="17" s="1"/>
  <c r="AA25" i="3"/>
  <c r="G25" i="17" s="1"/>
  <c r="AA41" i="3"/>
  <c r="G41" i="17" s="1"/>
  <c r="AA59" i="3"/>
  <c r="G59" i="17" s="1"/>
  <c r="AA27" i="3"/>
  <c r="G27" i="17" s="1"/>
  <c r="AA11" i="3"/>
  <c r="G11" i="17" s="1"/>
  <c r="AA45" i="3"/>
  <c r="G45" i="17" s="1"/>
  <c r="AA55" i="3"/>
  <c r="AA62" i="3"/>
  <c r="G62" i="17" s="1"/>
  <c r="AA10" i="3"/>
  <c r="G10" i="17" s="1"/>
  <c r="AA57" i="3"/>
  <c r="G57" i="17" s="1"/>
  <c r="AA60" i="3"/>
  <c r="AA48" i="3"/>
  <c r="G48" i="17" s="1"/>
  <c r="AA58" i="3"/>
  <c r="G58" i="17" s="1"/>
  <c r="AA52" i="3"/>
  <c r="G52" i="17" s="1"/>
  <c r="AA53" i="3"/>
  <c r="G53" i="17" s="1"/>
  <c r="AA50" i="3"/>
  <c r="G50" i="17" s="1"/>
  <c r="AA51" i="3"/>
  <c r="G51" i="17" s="1"/>
  <c r="AA49" i="3"/>
  <c r="G49" i="17" s="1"/>
  <c r="AA9" i="3"/>
  <c r="G9" i="17" s="1"/>
  <c r="AA63" i="3"/>
  <c r="G63" i="17" s="1"/>
  <c r="AA5" i="3"/>
  <c r="AA16" i="3"/>
  <c r="G16" i="17" s="1"/>
  <c r="U62" i="3" l="1"/>
  <c r="X62" i="3" s="1"/>
  <c r="U78" i="3"/>
  <c r="X78" i="3" s="1"/>
  <c r="U64" i="3"/>
  <c r="X64" i="3" s="1"/>
  <c r="U10" i="3"/>
  <c r="X10" i="3" s="1"/>
  <c r="U69" i="3"/>
  <c r="X69" i="3" s="1"/>
  <c r="U67" i="3"/>
  <c r="X67" i="3" s="1"/>
  <c r="U77" i="3"/>
  <c r="X77" i="3" s="1"/>
  <c r="U38" i="3"/>
  <c r="X38" i="3" s="1"/>
  <c r="U13" i="3"/>
  <c r="X13" i="3" s="1"/>
  <c r="U63" i="3"/>
  <c r="X63" i="3" s="1"/>
  <c r="U35" i="3"/>
  <c r="X35" i="3" s="1"/>
  <c r="U74" i="3"/>
  <c r="X74" i="3" s="1"/>
  <c r="U65" i="3"/>
  <c r="X65" i="3" s="1"/>
  <c r="U12" i="3"/>
  <c r="X12" i="3" s="1"/>
  <c r="U42" i="3"/>
  <c r="X42" i="3" s="1"/>
  <c r="F32" i="17"/>
  <c r="U32" i="3"/>
  <c r="X32" i="3" s="1"/>
  <c r="U70" i="3"/>
  <c r="X70" i="3" s="1"/>
  <c r="F70" i="17"/>
  <c r="F40" i="17"/>
  <c r="U40" i="3"/>
  <c r="X40" i="3" s="1"/>
  <c r="F41" i="17"/>
  <c r="U41" i="3"/>
  <c r="X41" i="3" s="1"/>
  <c r="F46" i="17"/>
  <c r="U46" i="3"/>
  <c r="X46" i="3" s="1"/>
  <c r="F31" i="17"/>
  <c r="U31" i="3"/>
  <c r="X31" i="3" s="1"/>
  <c r="F36" i="17"/>
  <c r="U36" i="3"/>
  <c r="X36" i="3" s="1"/>
  <c r="U44" i="3"/>
  <c r="X44" i="3" s="1"/>
  <c r="E49" i="17"/>
  <c r="U49" i="3"/>
  <c r="X49" i="3" s="1"/>
  <c r="E48" i="17"/>
  <c r="U48" i="3"/>
  <c r="X48" i="3" s="1"/>
  <c r="E71" i="17"/>
  <c r="U71" i="3"/>
  <c r="X71" i="3" s="1"/>
  <c r="E72" i="17"/>
  <c r="U72" i="3"/>
  <c r="X72" i="3" s="1"/>
  <c r="E53" i="17"/>
  <c r="U53" i="3"/>
  <c r="X53" i="3" s="1"/>
  <c r="E52" i="17"/>
  <c r="U52" i="3"/>
  <c r="X52" i="3" s="1"/>
  <c r="E50" i="17"/>
  <c r="U50" i="3"/>
  <c r="X50" i="3" s="1"/>
  <c r="E76" i="17"/>
  <c r="U76" i="3"/>
  <c r="X76" i="3" s="1"/>
  <c r="E75" i="17"/>
  <c r="U75" i="3"/>
  <c r="X75" i="3" s="1"/>
  <c r="E73" i="17"/>
  <c r="U73" i="3"/>
  <c r="X73" i="3" s="1"/>
  <c r="E54" i="17"/>
  <c r="U54" i="3"/>
  <c r="X54" i="3" s="1"/>
  <c r="AB10" i="31"/>
  <c r="AE10" i="31" s="1"/>
  <c r="G86" i="17"/>
  <c r="AB8" i="31"/>
  <c r="H84" i="17" s="1"/>
  <c r="G84" i="17"/>
  <c r="AI27" i="31"/>
  <c r="AB12" i="31"/>
  <c r="AE12" i="31" s="1"/>
  <c r="G88" i="17"/>
  <c r="AB19" i="31"/>
  <c r="AE19" i="31" s="1"/>
  <c r="G95" i="17"/>
  <c r="AB6" i="31"/>
  <c r="G82" i="17"/>
  <c r="AI25" i="31"/>
  <c r="AB20" i="31"/>
  <c r="AE20" i="31" s="1"/>
  <c r="G96" i="17"/>
  <c r="AB15" i="31"/>
  <c r="AE15" i="31" s="1"/>
  <c r="G91" i="17"/>
  <c r="AB13" i="31"/>
  <c r="AE13" i="31" s="1"/>
  <c r="G89" i="17"/>
  <c r="AI23" i="31"/>
  <c r="AI28" i="31"/>
  <c r="AB16" i="31"/>
  <c r="AE16" i="31" s="1"/>
  <c r="G92" i="17"/>
  <c r="AB11" i="31"/>
  <c r="AE11" i="31" s="1"/>
  <c r="G87" i="17"/>
  <c r="AI24" i="31"/>
  <c r="AB18" i="31"/>
  <c r="H94" i="17" s="1"/>
  <c r="G94" i="17"/>
  <c r="AB17" i="31"/>
  <c r="AE17" i="31" s="1"/>
  <c r="G93" i="17"/>
  <c r="AB9" i="31"/>
  <c r="H85" i="17" s="1"/>
  <c r="G85" i="17"/>
  <c r="AI22" i="31"/>
  <c r="AI26" i="31"/>
  <c r="AE5" i="31"/>
  <c r="AH5" i="31" s="1"/>
  <c r="H81" i="17"/>
  <c r="AH16" i="31"/>
  <c r="J92" i="17" s="1"/>
  <c r="G73" i="17"/>
  <c r="G67" i="17"/>
  <c r="G65" i="17"/>
  <c r="G64" i="17"/>
  <c r="G78" i="17"/>
  <c r="G69" i="17"/>
  <c r="G70" i="17"/>
  <c r="G72" i="17"/>
  <c r="G75" i="17"/>
  <c r="G77" i="17"/>
  <c r="G55" i="17"/>
  <c r="G76" i="17"/>
  <c r="G71" i="17"/>
  <c r="G68" i="17"/>
  <c r="G54" i="17"/>
  <c r="G60" i="17"/>
  <c r="G74" i="17"/>
  <c r="G5" i="17"/>
  <c r="G23" i="17"/>
  <c r="H91" i="17" l="1"/>
  <c r="AI5" i="31"/>
  <c r="J81" i="17"/>
  <c r="H92" i="17"/>
  <c r="H95" i="17"/>
  <c r="H86" i="17"/>
  <c r="H93" i="17"/>
  <c r="AE8" i="31"/>
  <c r="AI8" i="31" s="1"/>
  <c r="C87" i="4" s="1"/>
  <c r="G87" i="4" s="1"/>
  <c r="H87" i="4" s="1"/>
  <c r="H88" i="17"/>
  <c r="H89" i="17"/>
  <c r="AE9" i="31"/>
  <c r="AE18" i="31"/>
  <c r="H87" i="17"/>
  <c r="H96" i="17"/>
  <c r="AI16" i="31"/>
  <c r="AI10" i="31"/>
  <c r="C89" i="4" s="1"/>
  <c r="G89" i="4" s="1"/>
  <c r="H89" i="4" s="1"/>
  <c r="AH9" i="31"/>
  <c r="J85" i="17" s="1"/>
  <c r="AE6" i="31"/>
  <c r="H82" i="17"/>
  <c r="AH11" i="31"/>
  <c r="AI12" i="31"/>
  <c r="AI13" i="31"/>
  <c r="C92" i="4" s="1"/>
  <c r="G92" i="4" s="1"/>
  <c r="H92" i="4" s="1"/>
  <c r="AI19" i="31"/>
  <c r="AH18" i="31"/>
  <c r="AH20" i="31"/>
  <c r="AH17" i="31"/>
  <c r="AH15" i="31"/>
  <c r="C84" i="4" l="1"/>
  <c r="G84" i="4" s="1"/>
  <c r="H84" i="4" s="1"/>
  <c r="C98" i="4"/>
  <c r="G98" i="4" s="1"/>
  <c r="H98" i="4" s="1"/>
  <c r="C91" i="4"/>
  <c r="G91" i="4" s="1"/>
  <c r="H91" i="4" s="1"/>
  <c r="C95" i="4"/>
  <c r="G95" i="4" s="1"/>
  <c r="H95" i="4" s="1"/>
  <c r="AI11" i="31"/>
  <c r="J87" i="17"/>
  <c r="AI15" i="31"/>
  <c r="J91" i="17"/>
  <c r="AI20" i="31"/>
  <c r="C99" i="4" s="1"/>
  <c r="G99" i="4" s="1"/>
  <c r="H99" i="4" s="1"/>
  <c r="J96" i="17"/>
  <c r="AI17" i="31"/>
  <c r="J93" i="17"/>
  <c r="AI18" i="31"/>
  <c r="J94" i="17"/>
  <c r="AI9" i="31"/>
  <c r="AI6" i="31"/>
  <c r="C85" i="4" s="1"/>
  <c r="G85" i="4" s="1"/>
  <c r="H85" i="4" s="1"/>
  <c r="C88" i="4" l="1"/>
  <c r="G88" i="4" s="1"/>
  <c r="H88" i="4" s="1"/>
  <c r="C97" i="4"/>
  <c r="G97" i="4" s="1"/>
  <c r="H97" i="4" s="1"/>
  <c r="C90" i="4"/>
  <c r="G90" i="4" s="1"/>
  <c r="H90" i="4" s="1"/>
  <c r="C96" i="4"/>
  <c r="G96" i="4" s="1"/>
  <c r="H96" i="4" s="1"/>
  <c r="C94" i="4"/>
  <c r="G94" i="4" s="1"/>
  <c r="H94" i="4" s="1"/>
  <c r="D35" i="4"/>
  <c r="D40" i="4" l="1"/>
  <c r="D31" i="4" l="1"/>
  <c r="D48" i="4" l="1"/>
  <c r="AK167" i="7" l="1"/>
  <c r="AJ134" i="7" s="1"/>
  <c r="AK166" i="7"/>
  <c r="AJ181" i="7" l="1"/>
  <c r="AJ133" i="7"/>
  <c r="AK133" i="7" s="1"/>
  <c r="D114" i="7" s="1"/>
  <c r="AJ146" i="7"/>
  <c r="AJ154" i="7" s="1"/>
  <c r="AK154" i="7" s="1"/>
  <c r="D117" i="7" s="1"/>
  <c r="V117" i="7" s="1"/>
  <c r="F52" i="4" s="1"/>
  <c r="AJ182" i="7"/>
  <c r="U47" i="7" s="1"/>
  <c r="AK169" i="7"/>
  <c r="U46" i="7"/>
  <c r="D27" i="7"/>
  <c r="D28" i="7"/>
  <c r="AJ145" i="7"/>
  <c r="AJ153" i="7" s="1"/>
  <c r="AK134" i="7"/>
  <c r="D115" i="7" s="1"/>
  <c r="U115" i="7" s="1"/>
  <c r="AJ157" i="7" l="1"/>
  <c r="AK157" i="7" s="1"/>
  <c r="D119" i="7" s="1"/>
  <c r="AJ21" i="3"/>
  <c r="AM21" i="3" s="1"/>
  <c r="V28" i="7"/>
  <c r="W28" i="7"/>
  <c r="U28" i="7"/>
  <c r="V27" i="7"/>
  <c r="W27" i="7"/>
  <c r="U27" i="7"/>
  <c r="V46" i="7"/>
  <c r="F59" i="4"/>
  <c r="B59" i="4"/>
  <c r="V115" i="7"/>
  <c r="F50" i="4" s="1"/>
  <c r="U119" i="7"/>
  <c r="V119" i="7"/>
  <c r="F54" i="4" s="1"/>
  <c r="AJ58" i="3"/>
  <c r="AM58" i="3" s="1"/>
  <c r="B60" i="4"/>
  <c r="V47" i="7"/>
  <c r="U117" i="7"/>
  <c r="AJ183" i="7"/>
  <c r="AN138" i="7" s="1"/>
  <c r="AJ57" i="3"/>
  <c r="AK153" i="7"/>
  <c r="D116" i="7" s="1"/>
  <c r="V116" i="7" s="1"/>
  <c r="F51" i="4" s="1"/>
  <c r="AJ156" i="7"/>
  <c r="AJ49" i="3"/>
  <c r="AJ53" i="3"/>
  <c r="AJ147" i="7"/>
  <c r="AJ135" i="7"/>
  <c r="AJ20" i="3"/>
  <c r="F21" i="4" l="1"/>
  <c r="B21" i="4"/>
  <c r="B22" i="4"/>
  <c r="F22" i="4"/>
  <c r="F60" i="4"/>
  <c r="W47" i="7"/>
  <c r="AJ162" i="7"/>
  <c r="W46" i="7"/>
  <c r="B50" i="4"/>
  <c r="B54" i="4"/>
  <c r="AJ51" i="3"/>
  <c r="AM51" i="3" s="1"/>
  <c r="B52" i="4"/>
  <c r="U116" i="7"/>
  <c r="AM20" i="3"/>
  <c r="AM53" i="3"/>
  <c r="AM57" i="3"/>
  <c r="AM49" i="3"/>
  <c r="AJ158" i="7"/>
  <c r="AK156" i="7"/>
  <c r="D118" i="7" s="1"/>
  <c r="AJ136" i="7"/>
  <c r="B51" i="4" l="1"/>
  <c r="U114" i="7"/>
  <c r="V114" i="7"/>
  <c r="F49" i="4" s="1"/>
  <c r="AJ50" i="3"/>
  <c r="AM50" i="3" s="1"/>
  <c r="U118" i="7"/>
  <c r="V118" i="7"/>
  <c r="F53" i="4" s="1"/>
  <c r="AJ48" i="3"/>
  <c r="AK160" i="7"/>
  <c r="B49" i="4" l="1"/>
  <c r="B53" i="4"/>
  <c r="AJ52" i="3"/>
  <c r="F110" i="4"/>
  <c r="AM48" i="3"/>
  <c r="AM52" i="3" l="1"/>
  <c r="AJ2" i="3"/>
  <c r="B110" i="4"/>
  <c r="C53" i="27"/>
  <c r="V54" i="3" l="1"/>
  <c r="AL54" i="3" s="1"/>
  <c r="V57" i="3"/>
  <c r="V25" i="3"/>
  <c r="Z25" i="3" s="1"/>
  <c r="AB25" i="3" s="1"/>
  <c r="V49" i="3"/>
  <c r="AL49" i="3" s="1"/>
  <c r="V77" i="3"/>
  <c r="AL77" i="3" s="1"/>
  <c r="V51" i="3"/>
  <c r="AL51" i="3" s="1"/>
  <c r="V78" i="3"/>
  <c r="AL78" i="3" s="1"/>
  <c r="V44" i="3"/>
  <c r="Z44" i="3" s="1"/>
  <c r="V58" i="3"/>
  <c r="Z58" i="3" s="1"/>
  <c r="V60" i="3"/>
  <c r="Z60" i="3" s="1"/>
  <c r="V7" i="3"/>
  <c r="Z7" i="3" s="1"/>
  <c r="I7" i="17" s="1"/>
  <c r="V46" i="3"/>
  <c r="Z46" i="3" s="1"/>
  <c r="I46" i="17" s="1"/>
  <c r="V38" i="3"/>
  <c r="Z38" i="3" s="1"/>
  <c r="V6" i="3"/>
  <c r="AL6" i="3" s="1"/>
  <c r="V33" i="3"/>
  <c r="Z33" i="3" s="1"/>
  <c r="I33" i="17" s="1"/>
  <c r="V45" i="3"/>
  <c r="Z45" i="3" s="1"/>
  <c r="AB45" i="3" s="1"/>
  <c r="V32" i="3"/>
  <c r="AL32" i="3" s="1"/>
  <c r="V40" i="3"/>
  <c r="Z40" i="3" s="1"/>
  <c r="V20" i="3"/>
  <c r="Z20" i="3" s="1"/>
  <c r="V11" i="3"/>
  <c r="Z11" i="3" s="1"/>
  <c r="V68" i="3"/>
  <c r="AL68" i="3" s="1"/>
  <c r="V67" i="3"/>
  <c r="AL67" i="3" s="1"/>
  <c r="V8" i="3"/>
  <c r="AL8" i="3" s="1"/>
  <c r="V29" i="3"/>
  <c r="AL29" i="3" s="1"/>
  <c r="V17" i="3"/>
  <c r="AL17" i="3" s="1"/>
  <c r="V12" i="3"/>
  <c r="AL12" i="3" s="1"/>
  <c r="V13" i="3"/>
  <c r="AL13" i="3" s="1"/>
  <c r="V31" i="3"/>
  <c r="AL31" i="3" s="1"/>
  <c r="V37" i="3"/>
  <c r="Z37" i="3" s="1"/>
  <c r="V21" i="3"/>
  <c r="AL21" i="3" s="1"/>
  <c r="V26" i="3"/>
  <c r="Z26" i="3" s="1"/>
  <c r="AB26" i="3" s="1"/>
  <c r="V42" i="3"/>
  <c r="Z42" i="3" s="1"/>
  <c r="V5" i="3"/>
  <c r="Z5" i="3" s="1"/>
  <c r="V53" i="3"/>
  <c r="Z53" i="3" s="1"/>
  <c r="V55" i="3"/>
  <c r="Z55" i="3" s="1"/>
  <c r="V18" i="3"/>
  <c r="Z18" i="3" s="1"/>
  <c r="V36" i="3"/>
  <c r="AL36" i="3" s="1"/>
  <c r="V50" i="3"/>
  <c r="AL50" i="3" s="1"/>
  <c r="V35" i="3"/>
  <c r="AL35" i="3" s="1"/>
  <c r="V19" i="3"/>
  <c r="Z19" i="3" s="1"/>
  <c r="AB19" i="3" s="1"/>
  <c r="V69" i="3"/>
  <c r="Z69" i="3" s="1"/>
  <c r="V43" i="3"/>
  <c r="AL43" i="3" s="1"/>
  <c r="V16" i="3"/>
  <c r="AL16" i="3" s="1"/>
  <c r="V27" i="3"/>
  <c r="Z27" i="3" s="1"/>
  <c r="AB27" i="3" s="1"/>
  <c r="V59" i="3"/>
  <c r="Z59" i="3" s="1"/>
  <c r="I59" i="17" s="1"/>
  <c r="V48" i="3"/>
  <c r="Z48" i="3" s="1"/>
  <c r="V9" i="3"/>
  <c r="AL9" i="3" s="1"/>
  <c r="V76" i="3"/>
  <c r="Z76" i="3" s="1"/>
  <c r="V41" i="3"/>
  <c r="AL41" i="3" s="1"/>
  <c r="V75" i="3"/>
  <c r="AL75" i="3" s="1"/>
  <c r="V71" i="3"/>
  <c r="Z71" i="3" s="1"/>
  <c r="V52" i="3"/>
  <c r="V74" i="3"/>
  <c r="AL74" i="3" s="1"/>
  <c r="V62" i="3"/>
  <c r="Z62" i="3" s="1"/>
  <c r="V72" i="3"/>
  <c r="AL72" i="3" s="1"/>
  <c r="V23" i="3"/>
  <c r="AL23" i="3" s="1"/>
  <c r="V10" i="3"/>
  <c r="Z10" i="3" s="1"/>
  <c r="V70" i="3"/>
  <c r="Z70" i="3" s="1"/>
  <c r="V22" i="3"/>
  <c r="AL22" i="3" s="1"/>
  <c r="V73" i="3"/>
  <c r="AL73" i="3" s="1"/>
  <c r="V28" i="3"/>
  <c r="V63" i="3"/>
  <c r="AL63" i="3" s="1"/>
  <c r="V64" i="3"/>
  <c r="Z64" i="3" s="1"/>
  <c r="V65" i="3"/>
  <c r="AL65" i="3" s="1"/>
  <c r="C55" i="27"/>
  <c r="V14" i="3"/>
  <c r="AL14" i="3" s="1"/>
  <c r="AL45" i="3"/>
  <c r="D87" i="4"/>
  <c r="Z54" i="3"/>
  <c r="D92" i="4"/>
  <c r="D90" i="4"/>
  <c r="AB53" i="3"/>
  <c r="AL44" i="3"/>
  <c r="D88" i="4"/>
  <c r="D91" i="4"/>
  <c r="D97" i="4"/>
  <c r="D89" i="4"/>
  <c r="D98" i="4"/>
  <c r="D95" i="4"/>
  <c r="D85" i="4"/>
  <c r="D84" i="4"/>
  <c r="I25" i="17" l="1"/>
  <c r="AL7" i="3"/>
  <c r="Z78" i="3"/>
  <c r="I45" i="17"/>
  <c r="AL53" i="3"/>
  <c r="Z49" i="3"/>
  <c r="I49" i="17" s="1"/>
  <c r="AB7" i="3"/>
  <c r="H7" i="17" s="1"/>
  <c r="I27" i="17"/>
  <c r="AB33" i="3"/>
  <c r="AE33" i="3" s="1"/>
  <c r="Z67" i="3"/>
  <c r="I67" i="17" s="1"/>
  <c r="I19" i="17"/>
  <c r="AL25" i="3"/>
  <c r="AL19" i="3"/>
  <c r="AL27" i="3"/>
  <c r="Z21" i="3"/>
  <c r="AB21" i="3" s="1"/>
  <c r="AL33" i="3"/>
  <c r="Z36" i="3"/>
  <c r="AB36" i="3" s="1"/>
  <c r="AL20" i="3"/>
  <c r="Z12" i="3"/>
  <c r="AB12" i="3" s="1"/>
  <c r="H12" i="17" s="1"/>
  <c r="AL76" i="3"/>
  <c r="Z73" i="3"/>
  <c r="I73" i="17" s="1"/>
  <c r="H26" i="17"/>
  <c r="AB18" i="3"/>
  <c r="AE18" i="3" s="1"/>
  <c r="I5" i="17"/>
  <c r="AB37" i="3"/>
  <c r="H37" i="17" s="1"/>
  <c r="I40" i="17"/>
  <c r="AB60" i="3"/>
  <c r="H60" i="17" s="1"/>
  <c r="AE53" i="3"/>
  <c r="AF53" i="3" s="1"/>
  <c r="AH53" i="3" s="1"/>
  <c r="H27" i="17"/>
  <c r="I54" i="17"/>
  <c r="I48" i="17"/>
  <c r="I55" i="17"/>
  <c r="AB42" i="3"/>
  <c r="H42" i="17" s="1"/>
  <c r="I11" i="17"/>
  <c r="AB38" i="3"/>
  <c r="AE38" i="3" s="1"/>
  <c r="AF38" i="3" s="1"/>
  <c r="AH38" i="3" s="1"/>
  <c r="I58" i="17"/>
  <c r="H25" i="17"/>
  <c r="Z65" i="3"/>
  <c r="I65" i="17" s="1"/>
  <c r="AB10" i="3"/>
  <c r="H10" i="17" s="1"/>
  <c r="AB59" i="3"/>
  <c r="I53" i="17"/>
  <c r="I26" i="17"/>
  <c r="AB46" i="3"/>
  <c r="H46" i="17" s="1"/>
  <c r="AB44" i="3"/>
  <c r="AE44" i="3" s="1"/>
  <c r="AF44" i="3" s="1"/>
  <c r="AH44" i="3" s="1"/>
  <c r="H19" i="17"/>
  <c r="H45" i="17"/>
  <c r="AL5" i="3"/>
  <c r="I10" i="17"/>
  <c r="AL69" i="3"/>
  <c r="AL26" i="3"/>
  <c r="AL10" i="3"/>
  <c r="Z74" i="3"/>
  <c r="Z41" i="3"/>
  <c r="AL59" i="3"/>
  <c r="I44" i="17"/>
  <c r="AL46" i="3"/>
  <c r="Z8" i="3"/>
  <c r="Z13" i="3"/>
  <c r="AL60" i="3"/>
  <c r="I37" i="17"/>
  <c r="Z6" i="3"/>
  <c r="AL38" i="3"/>
  <c r="AB40" i="3"/>
  <c r="H40" i="17" s="1"/>
  <c r="Z51" i="3"/>
  <c r="Z68" i="3"/>
  <c r="I60" i="17"/>
  <c r="Z17" i="3"/>
  <c r="AB17" i="3" s="1"/>
  <c r="AL40" i="3"/>
  <c r="Z29" i="3"/>
  <c r="AB58" i="3"/>
  <c r="Z75" i="3"/>
  <c r="Z63" i="3"/>
  <c r="Z32" i="3"/>
  <c r="AL70" i="3"/>
  <c r="AB11" i="3"/>
  <c r="AL62" i="3"/>
  <c r="AL11" i="3"/>
  <c r="AB48" i="3"/>
  <c r="AB55" i="3"/>
  <c r="Z31" i="3"/>
  <c r="Z50" i="3"/>
  <c r="Z77" i="3"/>
  <c r="AB77" i="3" s="1"/>
  <c r="AB49" i="3"/>
  <c r="Z14" i="3"/>
  <c r="AL55" i="3"/>
  <c r="Z43" i="3"/>
  <c r="I42" i="17"/>
  <c r="AL42" i="3"/>
  <c r="AL48" i="3"/>
  <c r="AL58" i="3"/>
  <c r="Z9" i="3"/>
  <c r="I20" i="17"/>
  <c r="AB20" i="3"/>
  <c r="I18" i="17"/>
  <c r="AB5" i="3"/>
  <c r="AL64" i="3"/>
  <c r="AL18" i="3"/>
  <c r="Z72" i="3"/>
  <c r="AL71" i="3"/>
  <c r="Z16" i="3"/>
  <c r="Z22" i="3"/>
  <c r="Z35" i="3"/>
  <c r="I38" i="17" s="1"/>
  <c r="AL37" i="3"/>
  <c r="Z57" i="3"/>
  <c r="AL57" i="3"/>
  <c r="Z52" i="3"/>
  <c r="AL52" i="3"/>
  <c r="Z23" i="3"/>
  <c r="Z28" i="3"/>
  <c r="AL28" i="3"/>
  <c r="AE27" i="3"/>
  <c r="AF27" i="3" s="1"/>
  <c r="D99" i="4"/>
  <c r="AB54" i="3"/>
  <c r="AE26" i="3"/>
  <c r="AF26" i="3" s="1"/>
  <c r="AH26" i="3" s="1"/>
  <c r="H53" i="17"/>
  <c r="AE25" i="3"/>
  <c r="AF25" i="3" s="1"/>
  <c r="I64" i="17"/>
  <c r="AB64" i="3"/>
  <c r="AE45" i="3"/>
  <c r="AF45" i="3" s="1"/>
  <c r="AH45" i="3" s="1"/>
  <c r="AE19" i="3"/>
  <c r="AF19" i="3" s="1"/>
  <c r="AH19" i="3" s="1"/>
  <c r="I78" i="17"/>
  <c r="D96" i="4"/>
  <c r="D94" i="4"/>
  <c r="I62" i="17"/>
  <c r="AB62" i="3"/>
  <c r="I71" i="17"/>
  <c r="AB71" i="3"/>
  <c r="I76" i="17"/>
  <c r="AB76" i="3"/>
  <c r="I70" i="17"/>
  <c r="AB70" i="3"/>
  <c r="I69" i="17"/>
  <c r="AB69" i="3"/>
  <c r="AB78" i="3"/>
  <c r="K88" i="17"/>
  <c r="K95" i="17"/>
  <c r="K84" i="17"/>
  <c r="K92" i="17"/>
  <c r="K86" i="17"/>
  <c r="K85" i="17"/>
  <c r="L92" i="17" l="1"/>
  <c r="M92" i="17"/>
  <c r="L84" i="17"/>
  <c r="M84" i="17"/>
  <c r="L85" i="17"/>
  <c r="M85" i="17"/>
  <c r="L95" i="17"/>
  <c r="M95" i="17"/>
  <c r="L86" i="17"/>
  <c r="M86" i="17"/>
  <c r="L88" i="17"/>
  <c r="M88" i="17"/>
  <c r="I36" i="17"/>
  <c r="AE7" i="3"/>
  <c r="I12" i="17"/>
  <c r="I21" i="17"/>
  <c r="AF33" i="3"/>
  <c r="AH33" i="3" s="1"/>
  <c r="J33" i="17" s="1"/>
  <c r="AB73" i="3"/>
  <c r="H73" i="17" s="1"/>
  <c r="AB67" i="3"/>
  <c r="H67" i="17" s="1"/>
  <c r="AB65" i="3"/>
  <c r="H65" i="17" s="1"/>
  <c r="H33" i="17"/>
  <c r="AE21" i="3"/>
  <c r="AF21" i="3" s="1"/>
  <c r="H21" i="17"/>
  <c r="AE10" i="3"/>
  <c r="J53" i="17"/>
  <c r="AE12" i="3"/>
  <c r="AF12" i="3" s="1"/>
  <c r="H59" i="17"/>
  <c r="AI53" i="3"/>
  <c r="C54" i="4" s="1"/>
  <c r="G54" i="4" s="1"/>
  <c r="H54" i="4" s="1"/>
  <c r="AE54" i="3"/>
  <c r="AF54" i="3" s="1"/>
  <c r="AH54" i="3" s="1"/>
  <c r="AB22" i="3"/>
  <c r="AE22" i="3" s="1"/>
  <c r="AE5" i="3"/>
  <c r="AB9" i="3"/>
  <c r="AE9" i="3" s="1"/>
  <c r="AF9" i="3" s="1"/>
  <c r="H49" i="17"/>
  <c r="AE55" i="3"/>
  <c r="AF55" i="3" s="1"/>
  <c r="AH55" i="3" s="1"/>
  <c r="AE11" i="3"/>
  <c r="AF11" i="3" s="1"/>
  <c r="AB75" i="3"/>
  <c r="AB51" i="3"/>
  <c r="H51" i="17" s="1"/>
  <c r="I74" i="17"/>
  <c r="I23" i="17"/>
  <c r="I72" i="17"/>
  <c r="I77" i="17"/>
  <c r="AE48" i="3"/>
  <c r="AF48" i="3" s="1"/>
  <c r="AH48" i="3" s="1"/>
  <c r="H58" i="17"/>
  <c r="I17" i="17"/>
  <c r="AE40" i="3"/>
  <c r="H44" i="17"/>
  <c r="AE59" i="3"/>
  <c r="AE60" i="3"/>
  <c r="AE37" i="3"/>
  <c r="H18" i="17"/>
  <c r="I50" i="17"/>
  <c r="AB32" i="3"/>
  <c r="H17" i="17"/>
  <c r="AB35" i="3"/>
  <c r="AE35" i="3" s="1"/>
  <c r="AF35" i="3" s="1"/>
  <c r="AH35" i="3" s="1"/>
  <c r="AB16" i="3"/>
  <c r="AE16" i="3" s="1"/>
  <c r="AF16" i="3" s="1"/>
  <c r="I14" i="17"/>
  <c r="I31" i="17"/>
  <c r="AB63" i="3"/>
  <c r="H63" i="17" s="1"/>
  <c r="I29" i="17"/>
  <c r="I68" i="17"/>
  <c r="I6" i="17"/>
  <c r="I8" i="17"/>
  <c r="AB41" i="3"/>
  <c r="AE41" i="3" s="1"/>
  <c r="AF41" i="3" s="1"/>
  <c r="AH41" i="3" s="1"/>
  <c r="AE46" i="3"/>
  <c r="H38" i="17"/>
  <c r="AE42" i="3"/>
  <c r="AB8" i="3"/>
  <c r="H8" i="17" s="1"/>
  <c r="I41" i="17"/>
  <c r="AB74" i="3"/>
  <c r="AE74" i="3" s="1"/>
  <c r="H5" i="17"/>
  <c r="I75" i="17"/>
  <c r="H11" i="17"/>
  <c r="I13" i="17"/>
  <c r="AB13" i="3"/>
  <c r="H32" i="17"/>
  <c r="AB29" i="3"/>
  <c r="AB14" i="3"/>
  <c r="AB68" i="3"/>
  <c r="AB6" i="3"/>
  <c r="H48" i="17"/>
  <c r="I51" i="17"/>
  <c r="I63" i="17"/>
  <c r="AB31" i="3"/>
  <c r="AE31" i="3" s="1"/>
  <c r="AE58" i="3"/>
  <c r="AB50" i="3"/>
  <c r="I32" i="17"/>
  <c r="AE49" i="3"/>
  <c r="AF49" i="3" s="1"/>
  <c r="AH49" i="3" s="1"/>
  <c r="I9" i="17"/>
  <c r="I22" i="17"/>
  <c r="H55" i="17"/>
  <c r="AB43" i="3"/>
  <c r="I43" i="17"/>
  <c r="AB72" i="3"/>
  <c r="D57" i="27"/>
  <c r="D58" i="27" s="1"/>
  <c r="H20" i="17"/>
  <c r="AE20" i="3"/>
  <c r="I16" i="17"/>
  <c r="I35" i="17"/>
  <c r="AB23" i="3"/>
  <c r="AB57" i="3"/>
  <c r="I57" i="17"/>
  <c r="I52" i="17"/>
  <c r="AB52" i="3"/>
  <c r="AB28" i="3"/>
  <c r="I28" i="17"/>
  <c r="AI44" i="3"/>
  <c r="AE17" i="3"/>
  <c r="AH27" i="3"/>
  <c r="J44" i="17"/>
  <c r="H54" i="17"/>
  <c r="K89" i="17"/>
  <c r="K87" i="17"/>
  <c r="AI45" i="3"/>
  <c r="K96" i="17"/>
  <c r="AI38" i="3"/>
  <c r="J45" i="17"/>
  <c r="K45" i="17" s="1"/>
  <c r="M45" i="17" s="1"/>
  <c r="AH25" i="3"/>
  <c r="K91" i="17"/>
  <c r="M91" i="17" s="1"/>
  <c r="K93" i="17"/>
  <c r="M93" i="17" s="1"/>
  <c r="J38" i="17"/>
  <c r="AE64" i="3"/>
  <c r="H64" i="17"/>
  <c r="AF18" i="3"/>
  <c r="H36" i="17"/>
  <c r="AE36" i="3"/>
  <c r="AE62" i="3"/>
  <c r="H62" i="17"/>
  <c r="AE73" i="3"/>
  <c r="AE71" i="3"/>
  <c r="H71" i="17"/>
  <c r="AE76" i="3"/>
  <c r="H76" i="17"/>
  <c r="AE70" i="3"/>
  <c r="H70" i="17"/>
  <c r="AE69" i="3"/>
  <c r="H69" i="17"/>
  <c r="AE78" i="3"/>
  <c r="H78" i="17"/>
  <c r="AE77" i="3"/>
  <c r="H77" i="17"/>
  <c r="AF7" i="3"/>
  <c r="K94" i="17"/>
  <c r="M94" i="17" s="1"/>
  <c r="K82" i="17"/>
  <c r="K81" i="17"/>
  <c r="AI26" i="3"/>
  <c r="C27" i="4" s="1"/>
  <c r="J26" i="17"/>
  <c r="J19" i="17"/>
  <c r="AI19" i="3"/>
  <c r="C20" i="4" s="1"/>
  <c r="G20" i="4" s="1"/>
  <c r="H20" i="4" s="1"/>
  <c r="L81" i="17" l="1"/>
  <c r="M81" i="17"/>
  <c r="L87" i="17"/>
  <c r="M87" i="17"/>
  <c r="L82" i="17"/>
  <c r="M82" i="17"/>
  <c r="L89" i="17"/>
  <c r="M89" i="17"/>
  <c r="L96" i="17"/>
  <c r="M96" i="17"/>
  <c r="K38" i="17"/>
  <c r="M38" i="17" s="1"/>
  <c r="K19" i="17"/>
  <c r="M19" i="17" s="1"/>
  <c r="K44" i="17"/>
  <c r="M44" i="17" s="1"/>
  <c r="K33" i="17"/>
  <c r="M33" i="17" s="1"/>
  <c r="K26" i="17"/>
  <c r="M26" i="17" s="1"/>
  <c r="K53" i="17"/>
  <c r="M53" i="17" s="1"/>
  <c r="D54" i="4"/>
  <c r="AE67" i="3"/>
  <c r="AE65" i="3"/>
  <c r="AF65" i="3" s="1"/>
  <c r="AH65" i="3" s="1"/>
  <c r="AI33" i="3"/>
  <c r="C34" i="4" s="1"/>
  <c r="AF10" i="3"/>
  <c r="AH10" i="3" s="1"/>
  <c r="H74" i="17"/>
  <c r="AF5" i="3"/>
  <c r="AH5" i="3" s="1"/>
  <c r="AF22" i="3"/>
  <c r="H75" i="17"/>
  <c r="AI41" i="3"/>
  <c r="AE75" i="3"/>
  <c r="AI55" i="3"/>
  <c r="C56" i="4" s="1"/>
  <c r="G56" i="4" s="1"/>
  <c r="H56" i="4" s="1"/>
  <c r="J41" i="17"/>
  <c r="H23" i="17"/>
  <c r="H31" i="17"/>
  <c r="AF42" i="3"/>
  <c r="H41" i="17"/>
  <c r="K41" i="17" s="1"/>
  <c r="M41" i="17" s="1"/>
  <c r="H16" i="17"/>
  <c r="AE32" i="3"/>
  <c r="AF60" i="3"/>
  <c r="AH60" i="3" s="1"/>
  <c r="AE50" i="3"/>
  <c r="AE68" i="3"/>
  <c r="AE8" i="3"/>
  <c r="J55" i="17"/>
  <c r="K55" i="17" s="1"/>
  <c r="M55" i="17" s="1"/>
  <c r="H9" i="17"/>
  <c r="H22" i="17"/>
  <c r="H14" i="17"/>
  <c r="AF46" i="3"/>
  <c r="AE63" i="3"/>
  <c r="H35" i="17"/>
  <c r="AF37" i="3"/>
  <c r="J35" i="17"/>
  <c r="H72" i="17"/>
  <c r="AE6" i="3"/>
  <c r="H29" i="17"/>
  <c r="AF59" i="3"/>
  <c r="AH59" i="3" s="1"/>
  <c r="AI59" i="3" s="1"/>
  <c r="AF40" i="3"/>
  <c r="AE51" i="3"/>
  <c r="D27" i="4"/>
  <c r="G27" i="4"/>
  <c r="H27" i="4" s="1"/>
  <c r="AE14" i="3"/>
  <c r="AF14" i="3" s="1"/>
  <c r="AE72" i="3"/>
  <c r="AE29" i="3"/>
  <c r="AF29" i="3" s="1"/>
  <c r="H13" i="17"/>
  <c r="AE13" i="3"/>
  <c r="AF58" i="3"/>
  <c r="AH58" i="3" s="1"/>
  <c r="AE23" i="3"/>
  <c r="H6" i="17"/>
  <c r="H68" i="17"/>
  <c r="H50" i="17"/>
  <c r="AH16" i="3"/>
  <c r="H43" i="17"/>
  <c r="AE43" i="3"/>
  <c r="AF20" i="3"/>
  <c r="AI35" i="3"/>
  <c r="C36" i="4" s="1"/>
  <c r="AE57" i="3"/>
  <c r="H57" i="17"/>
  <c r="H52" i="17"/>
  <c r="AE52" i="3"/>
  <c r="H28" i="17"/>
  <c r="AE28" i="3"/>
  <c r="C45" i="4"/>
  <c r="C46" i="4"/>
  <c r="C39" i="4"/>
  <c r="AF17" i="3"/>
  <c r="J27" i="17"/>
  <c r="AI27" i="3"/>
  <c r="AI25" i="3"/>
  <c r="C26" i="4" s="1"/>
  <c r="J25" i="17"/>
  <c r="L45" i="17"/>
  <c r="AF31" i="3"/>
  <c r="AI49" i="3"/>
  <c r="C50" i="4" s="1"/>
  <c r="J49" i="17"/>
  <c r="K49" i="17" s="1"/>
  <c r="M49" i="17" s="1"/>
  <c r="AF64" i="3"/>
  <c r="AH64" i="3" s="1"/>
  <c r="AI54" i="3"/>
  <c r="C55" i="4" s="1"/>
  <c r="J54" i="17"/>
  <c r="K54" i="17" s="1"/>
  <c r="M54" i="17" s="1"/>
  <c r="L94" i="17"/>
  <c r="L93" i="17"/>
  <c r="L91" i="17"/>
  <c r="AH18" i="3"/>
  <c r="AF36" i="3"/>
  <c r="AH12" i="3"/>
  <c r="AI48" i="3"/>
  <c r="C49" i="4" s="1"/>
  <c r="J48" i="17"/>
  <c r="AF78" i="3"/>
  <c r="AH78" i="3" s="1"/>
  <c r="AF62" i="3"/>
  <c r="AH62" i="3" s="1"/>
  <c r="AF76" i="3"/>
  <c r="AH76" i="3" s="1"/>
  <c r="AF71" i="3"/>
  <c r="AH71" i="3" s="1"/>
  <c r="AF74" i="3"/>
  <c r="AH74" i="3" s="1"/>
  <c r="AF73" i="3"/>
  <c r="AH73" i="3" s="1"/>
  <c r="AF70" i="3"/>
  <c r="AH70" i="3" s="1"/>
  <c r="AF69" i="3"/>
  <c r="AH69" i="3" s="1"/>
  <c r="AF67" i="3"/>
  <c r="AH67" i="3" s="1"/>
  <c r="AF77" i="3"/>
  <c r="AH77" i="3" s="1"/>
  <c r="AH11" i="3"/>
  <c r="AH21" i="3"/>
  <c r="AH7" i="3"/>
  <c r="AH9" i="3"/>
  <c r="D25" i="4"/>
  <c r="D20" i="4"/>
  <c r="L38" i="17" l="1"/>
  <c r="L33" i="17"/>
  <c r="L19" i="17"/>
  <c r="K25" i="17"/>
  <c r="M25" i="17" s="1"/>
  <c r="K48" i="17"/>
  <c r="M48" i="17" s="1"/>
  <c r="L53" i="17"/>
  <c r="L26" i="17"/>
  <c r="K27" i="17"/>
  <c r="M27" i="17" s="1"/>
  <c r="K35" i="17"/>
  <c r="M35" i="17" s="1"/>
  <c r="G34" i="4"/>
  <c r="H34" i="4" s="1"/>
  <c r="D34" i="4"/>
  <c r="AF75" i="3"/>
  <c r="AH75" i="3" s="1"/>
  <c r="AI75" i="3" s="1"/>
  <c r="C42" i="4"/>
  <c r="D42" i="4" s="1"/>
  <c r="L44" i="17"/>
  <c r="AH22" i="3"/>
  <c r="J22" i="17" s="1"/>
  <c r="D56" i="4"/>
  <c r="L41" i="17"/>
  <c r="AF68" i="3"/>
  <c r="AH68" i="3" s="1"/>
  <c r="AI68" i="3" s="1"/>
  <c r="C70" i="4" s="1"/>
  <c r="AF72" i="3"/>
  <c r="AH72" i="3" s="1"/>
  <c r="AI72" i="3" s="1"/>
  <c r="L55" i="17"/>
  <c r="C61" i="4"/>
  <c r="AI12" i="3"/>
  <c r="C13" i="4" s="1"/>
  <c r="J58" i="17"/>
  <c r="AH46" i="3"/>
  <c r="AF8" i="3"/>
  <c r="J60" i="17"/>
  <c r="K60" i="17" s="1"/>
  <c r="M60" i="17" s="1"/>
  <c r="AI78" i="3"/>
  <c r="C80" i="4" s="1"/>
  <c r="AF63" i="3"/>
  <c r="AH63" i="3" s="1"/>
  <c r="AF50" i="3"/>
  <c r="AH50" i="3" s="1"/>
  <c r="AI16" i="3"/>
  <c r="C17" i="4" s="1"/>
  <c r="G17" i="4" s="1"/>
  <c r="H17" i="4" s="1"/>
  <c r="AF51" i="3"/>
  <c r="AH51" i="3" s="1"/>
  <c r="AI51" i="3" s="1"/>
  <c r="J59" i="17"/>
  <c r="K59" i="17" s="1"/>
  <c r="M59" i="17" s="1"/>
  <c r="AF6" i="3"/>
  <c r="AH37" i="3"/>
  <c r="AF32" i="3"/>
  <c r="AI10" i="3"/>
  <c r="C11" i="4" s="1"/>
  <c r="G11" i="4" s="1"/>
  <c r="H11" i="4" s="1"/>
  <c r="AH40" i="3"/>
  <c r="AI60" i="3"/>
  <c r="AH42" i="3"/>
  <c r="D39" i="4"/>
  <c r="G39" i="4"/>
  <c r="H39" i="4" s="1"/>
  <c r="D36" i="4"/>
  <c r="G36" i="4"/>
  <c r="H36" i="4" s="1"/>
  <c r="D46" i="4"/>
  <c r="G46" i="4"/>
  <c r="H46" i="4" s="1"/>
  <c r="D55" i="4"/>
  <c r="G55" i="4"/>
  <c r="H55" i="4" s="1"/>
  <c r="D45" i="4"/>
  <c r="G45" i="4"/>
  <c r="H45" i="4" s="1"/>
  <c r="D49" i="4"/>
  <c r="G49" i="4"/>
  <c r="H49" i="4" s="1"/>
  <c r="D50" i="4"/>
  <c r="G50" i="4"/>
  <c r="H50" i="4" s="1"/>
  <c r="D26" i="4"/>
  <c r="G26" i="4"/>
  <c r="H26" i="4" s="1"/>
  <c r="AF23" i="3"/>
  <c r="J16" i="17"/>
  <c r="K16" i="17" s="1"/>
  <c r="M16" i="17" s="1"/>
  <c r="AI58" i="3"/>
  <c r="AF13" i="3"/>
  <c r="AF43" i="3"/>
  <c r="AH20" i="3"/>
  <c r="AH17" i="3"/>
  <c r="AF57" i="3"/>
  <c r="AH57" i="3" s="1"/>
  <c r="AF52" i="3"/>
  <c r="AH52" i="3" s="1"/>
  <c r="AF28" i="3"/>
  <c r="C28" i="4"/>
  <c r="AH31" i="3"/>
  <c r="L49" i="17"/>
  <c r="J64" i="17"/>
  <c r="K64" i="17" s="1"/>
  <c r="M64" i="17" s="1"/>
  <c r="J65" i="17"/>
  <c r="K65" i="17" s="1"/>
  <c r="M65" i="17" s="1"/>
  <c r="AI64" i="3"/>
  <c r="C66" i="4" s="1"/>
  <c r="AI65" i="3"/>
  <c r="C67" i="4" s="1"/>
  <c r="L54" i="17"/>
  <c r="AH14" i="3"/>
  <c r="AI18" i="3"/>
  <c r="C19" i="4" s="1"/>
  <c r="G19" i="4" s="1"/>
  <c r="H19" i="4" s="1"/>
  <c r="J18" i="17"/>
  <c r="J62" i="17"/>
  <c r="K62" i="17" s="1"/>
  <c r="M62" i="17" s="1"/>
  <c r="C57" i="4"/>
  <c r="AH29" i="3"/>
  <c r="J12" i="17"/>
  <c r="AH36" i="3"/>
  <c r="J10" i="17"/>
  <c r="J67" i="17"/>
  <c r="K67" i="17" s="1"/>
  <c r="M67" i="17" s="1"/>
  <c r="J70" i="17"/>
  <c r="J73" i="17"/>
  <c r="K73" i="17" s="1"/>
  <c r="M73" i="17" s="1"/>
  <c r="J74" i="17"/>
  <c r="K74" i="17" s="1"/>
  <c r="M74" i="17" s="1"/>
  <c r="J69" i="17"/>
  <c r="J71" i="17"/>
  <c r="J77" i="17"/>
  <c r="K77" i="17" s="1"/>
  <c r="M77" i="17" s="1"/>
  <c r="J76" i="17"/>
  <c r="J78" i="17"/>
  <c r="AI73" i="3"/>
  <c r="AI62" i="3"/>
  <c r="C64" i="4" s="1"/>
  <c r="AI71" i="3"/>
  <c r="AI74" i="3"/>
  <c r="C76" i="4" s="1"/>
  <c r="AI76" i="3"/>
  <c r="C78" i="4" s="1"/>
  <c r="AI70" i="3"/>
  <c r="C72" i="4" s="1"/>
  <c r="AI69" i="3"/>
  <c r="C71" i="4" s="1"/>
  <c r="AI67" i="3"/>
  <c r="AI77" i="3"/>
  <c r="C79" i="4" s="1"/>
  <c r="J21" i="17"/>
  <c r="AI21" i="3"/>
  <c r="C22" i="4" s="1"/>
  <c r="J11" i="17"/>
  <c r="AI11" i="3"/>
  <c r="C12" i="4" s="1"/>
  <c r="J7" i="17"/>
  <c r="AI7" i="3"/>
  <c r="C8" i="4" s="1"/>
  <c r="J9" i="17"/>
  <c r="K9" i="17" s="1"/>
  <c r="M9" i="17" s="1"/>
  <c r="AI9" i="3"/>
  <c r="C10" i="4" s="1"/>
  <c r="G10" i="4" s="1"/>
  <c r="H10" i="4" s="1"/>
  <c r="J5" i="17"/>
  <c r="AI5" i="3"/>
  <c r="C6" i="4" s="1"/>
  <c r="J72" i="17" l="1"/>
  <c r="K72" i="17" s="1"/>
  <c r="M72" i="17" s="1"/>
  <c r="L25" i="17"/>
  <c r="L9" i="17"/>
  <c r="K11" i="17"/>
  <c r="M11" i="17" s="1"/>
  <c r="K78" i="17"/>
  <c r="M78" i="17" s="1"/>
  <c r="K12" i="17"/>
  <c r="M12" i="17" s="1"/>
  <c r="K18" i="17"/>
  <c r="M18" i="17" s="1"/>
  <c r="K76" i="17"/>
  <c r="M76" i="17" s="1"/>
  <c r="K5" i="17"/>
  <c r="M5" i="17" s="1"/>
  <c r="K10" i="17"/>
  <c r="M10" i="17" s="1"/>
  <c r="K7" i="17"/>
  <c r="M7" i="17" s="1"/>
  <c r="K21" i="17"/>
  <c r="M21" i="17" s="1"/>
  <c r="K71" i="17"/>
  <c r="M71" i="17" s="1"/>
  <c r="L16" i="17"/>
  <c r="K22" i="17"/>
  <c r="M22" i="17" s="1"/>
  <c r="L35" i="17"/>
  <c r="L27" i="17"/>
  <c r="L48" i="17"/>
  <c r="K58" i="17"/>
  <c r="M58" i="17" s="1"/>
  <c r="K69" i="17"/>
  <c r="M69" i="17" s="1"/>
  <c r="K70" i="17"/>
  <c r="M70" i="17" s="1"/>
  <c r="J75" i="17"/>
  <c r="K75" i="17" s="1"/>
  <c r="M75" i="17" s="1"/>
  <c r="G42" i="4"/>
  <c r="H42" i="4" s="1"/>
  <c r="J68" i="17"/>
  <c r="AI22" i="3"/>
  <c r="G6" i="4"/>
  <c r="H6" i="4" s="1"/>
  <c r="D6" i="4"/>
  <c r="D17" i="4"/>
  <c r="D11" i="4"/>
  <c r="AH32" i="3"/>
  <c r="AH6" i="3"/>
  <c r="L60" i="17"/>
  <c r="AH8" i="3"/>
  <c r="C52" i="4"/>
  <c r="D61" i="4"/>
  <c r="G61" i="4"/>
  <c r="H61" i="4" s="1"/>
  <c r="J57" i="17"/>
  <c r="K57" i="17" s="1"/>
  <c r="M57" i="17" s="1"/>
  <c r="C62" i="4"/>
  <c r="L59" i="17"/>
  <c r="J51" i="17"/>
  <c r="K51" i="17" s="1"/>
  <c r="M51" i="17" s="1"/>
  <c r="J50" i="17"/>
  <c r="K50" i="17" s="1"/>
  <c r="M50" i="17" s="1"/>
  <c r="AI50" i="3"/>
  <c r="AI17" i="3"/>
  <c r="C18" i="4" s="1"/>
  <c r="D18" i="4" s="1"/>
  <c r="J42" i="17"/>
  <c r="K42" i="17" s="1"/>
  <c r="M42" i="17" s="1"/>
  <c r="AI42" i="3"/>
  <c r="J40" i="17"/>
  <c r="K40" i="17" s="1"/>
  <c r="M40" i="17" s="1"/>
  <c r="AI40" i="3"/>
  <c r="J37" i="17"/>
  <c r="K37" i="17" s="1"/>
  <c r="M37" i="17" s="1"/>
  <c r="AI37" i="3"/>
  <c r="J63" i="17"/>
  <c r="K63" i="17" s="1"/>
  <c r="M63" i="17" s="1"/>
  <c r="AI63" i="3"/>
  <c r="J46" i="17"/>
  <c r="K46" i="17" s="1"/>
  <c r="M46" i="17" s="1"/>
  <c r="AI46" i="3"/>
  <c r="D71" i="4"/>
  <c r="G71" i="4"/>
  <c r="H71" i="4" s="1"/>
  <c r="D57" i="4"/>
  <c r="G57" i="4"/>
  <c r="H57" i="4" s="1"/>
  <c r="D28" i="4"/>
  <c r="G28" i="4"/>
  <c r="H28" i="4" s="1"/>
  <c r="D8" i="4"/>
  <c r="G8" i="4"/>
  <c r="H8" i="4" s="1"/>
  <c r="D22" i="4"/>
  <c r="G22" i="4"/>
  <c r="H22" i="4" s="1"/>
  <c r="D72" i="4"/>
  <c r="G72" i="4"/>
  <c r="H72" i="4" s="1"/>
  <c r="D13" i="4"/>
  <c r="G13" i="4"/>
  <c r="H13" i="4" s="1"/>
  <c r="D79" i="4"/>
  <c r="G79" i="4"/>
  <c r="H79" i="4" s="1"/>
  <c r="D70" i="4"/>
  <c r="G70" i="4"/>
  <c r="H70" i="4" s="1"/>
  <c r="D78" i="4"/>
  <c r="G78" i="4"/>
  <c r="H78" i="4" s="1"/>
  <c r="D67" i="4"/>
  <c r="G67" i="4"/>
  <c r="H67" i="4" s="1"/>
  <c r="D12" i="4"/>
  <c r="G12" i="4"/>
  <c r="H12" i="4" s="1"/>
  <c r="D76" i="4"/>
  <c r="G76" i="4"/>
  <c r="H76" i="4" s="1"/>
  <c r="D64" i="4"/>
  <c r="G64" i="4"/>
  <c r="H64" i="4" s="1"/>
  <c r="D66" i="4"/>
  <c r="G66" i="4"/>
  <c r="H66" i="4" s="1"/>
  <c r="D80" i="4"/>
  <c r="G80" i="4"/>
  <c r="H80" i="4" s="1"/>
  <c r="J17" i="17"/>
  <c r="AH23" i="3"/>
  <c r="C60" i="4"/>
  <c r="AH13" i="3"/>
  <c r="AH43" i="3"/>
  <c r="AI20" i="3"/>
  <c r="J20" i="17"/>
  <c r="K20" i="17" s="1"/>
  <c r="M20" i="17" s="1"/>
  <c r="AI57" i="3"/>
  <c r="AI52" i="3"/>
  <c r="J52" i="17"/>
  <c r="K52" i="17" s="1"/>
  <c r="M52" i="17" s="1"/>
  <c r="AH28" i="3"/>
  <c r="C74" i="4"/>
  <c r="C73" i="4"/>
  <c r="C77" i="4"/>
  <c r="C75" i="4"/>
  <c r="C81" i="4"/>
  <c r="C69" i="4"/>
  <c r="J31" i="17"/>
  <c r="K31" i="17" s="1"/>
  <c r="M31" i="17" s="1"/>
  <c r="AI31" i="3"/>
  <c r="C32" i="4" s="1"/>
  <c r="L62" i="17"/>
  <c r="L65" i="17"/>
  <c r="L64" i="17"/>
  <c r="J14" i="17"/>
  <c r="K14" i="17" s="1"/>
  <c r="M14" i="17" s="1"/>
  <c r="AI14" i="3"/>
  <c r="C15" i="4" s="1"/>
  <c r="L74" i="17"/>
  <c r="L67" i="17"/>
  <c r="L77" i="17"/>
  <c r="L72" i="17"/>
  <c r="L75" i="17"/>
  <c r="L73" i="17"/>
  <c r="J36" i="17"/>
  <c r="AI36" i="3"/>
  <c r="C37" i="4" s="1"/>
  <c r="AI29" i="3"/>
  <c r="C30" i="4" s="1"/>
  <c r="J29" i="17"/>
  <c r="D10" i="4"/>
  <c r="D19" i="4"/>
  <c r="L21" i="17" l="1"/>
  <c r="L71" i="17"/>
  <c r="L7" i="17"/>
  <c r="L22" i="17"/>
  <c r="L5" i="17"/>
  <c r="L18" i="17"/>
  <c r="L78" i="17"/>
  <c r="K17" i="17"/>
  <c r="M17" i="17" s="1"/>
  <c r="L10" i="17"/>
  <c r="L76" i="17"/>
  <c r="L12" i="17"/>
  <c r="L11" i="17"/>
  <c r="K36" i="17"/>
  <c r="M36" i="17" s="1"/>
  <c r="K29" i="17"/>
  <c r="M29" i="17" s="1"/>
  <c r="L58" i="17"/>
  <c r="K68" i="17"/>
  <c r="M68" i="17" s="1"/>
  <c r="L69" i="17"/>
  <c r="L70" i="17"/>
  <c r="C23" i="4"/>
  <c r="G23" i="4" s="1"/>
  <c r="H23" i="4" s="1"/>
  <c r="G18" i="4"/>
  <c r="H18" i="4" s="1"/>
  <c r="C47" i="4"/>
  <c r="L63" i="17"/>
  <c r="C38" i="4"/>
  <c r="L40" i="17"/>
  <c r="AI6" i="3"/>
  <c r="J6" i="17"/>
  <c r="K6" i="17" s="1"/>
  <c r="M6" i="17" s="1"/>
  <c r="L46" i="17"/>
  <c r="L37" i="17"/>
  <c r="L50" i="17"/>
  <c r="AI8" i="3"/>
  <c r="J8" i="17"/>
  <c r="K8" i="17" s="1"/>
  <c r="M8" i="17" s="1"/>
  <c r="C43" i="4"/>
  <c r="D62" i="4"/>
  <c r="G62" i="4"/>
  <c r="H62" i="4" s="1"/>
  <c r="C65" i="4"/>
  <c r="C41" i="4"/>
  <c r="L42" i="17"/>
  <c r="C51" i="4"/>
  <c r="L51" i="17"/>
  <c r="D52" i="4"/>
  <c r="G52" i="4"/>
  <c r="H52" i="4" s="1"/>
  <c r="J32" i="17"/>
  <c r="K32" i="17" s="1"/>
  <c r="M32" i="17" s="1"/>
  <c r="AI32" i="3"/>
  <c r="D81" i="4"/>
  <c r="G81" i="4"/>
  <c r="H81" i="4" s="1"/>
  <c r="D74" i="4"/>
  <c r="G74" i="4"/>
  <c r="H74" i="4" s="1"/>
  <c r="D30" i="4"/>
  <c r="G30" i="4"/>
  <c r="H30" i="4" s="1"/>
  <c r="D77" i="4"/>
  <c r="G77" i="4"/>
  <c r="H77" i="4" s="1"/>
  <c r="D60" i="4"/>
  <c r="G60" i="4"/>
  <c r="H60" i="4" s="1"/>
  <c r="D32" i="4"/>
  <c r="G32" i="4"/>
  <c r="H32" i="4" s="1"/>
  <c r="D75" i="4"/>
  <c r="G75" i="4"/>
  <c r="H75" i="4" s="1"/>
  <c r="D73" i="4"/>
  <c r="G73" i="4"/>
  <c r="H73" i="4" s="1"/>
  <c r="D15" i="4"/>
  <c r="G15" i="4"/>
  <c r="H15" i="4" s="1"/>
  <c r="D69" i="4"/>
  <c r="G69" i="4"/>
  <c r="H69" i="4" s="1"/>
  <c r="D37" i="4"/>
  <c r="G37" i="4"/>
  <c r="H37" i="4" s="1"/>
  <c r="AI23" i="3"/>
  <c r="J23" i="17"/>
  <c r="K23" i="17" s="1"/>
  <c r="M23" i="17" s="1"/>
  <c r="AI13" i="3"/>
  <c r="J13" i="17"/>
  <c r="K13" i="17" s="1"/>
  <c r="M13" i="17" s="1"/>
  <c r="J43" i="17"/>
  <c r="K43" i="17" s="1"/>
  <c r="M43" i="17" s="1"/>
  <c r="AI43" i="3"/>
  <c r="L20" i="17"/>
  <c r="C21" i="4"/>
  <c r="C59" i="4"/>
  <c r="L52" i="17"/>
  <c r="C53" i="4"/>
  <c r="AI28" i="3"/>
  <c r="J28" i="17"/>
  <c r="K28" i="17" s="1"/>
  <c r="M28" i="17" s="1"/>
  <c r="L31" i="17"/>
  <c r="L14" i="17"/>
  <c r="L29" i="17" l="1"/>
  <c r="L17" i="17"/>
  <c r="L36" i="17"/>
  <c r="L57" i="17"/>
  <c r="L68" i="17"/>
  <c r="D23" i="4"/>
  <c r="D51" i="4"/>
  <c r="G51" i="4"/>
  <c r="H51" i="4" s="1"/>
  <c r="C33" i="4"/>
  <c r="D43" i="4"/>
  <c r="G43" i="4"/>
  <c r="H43" i="4" s="1"/>
  <c r="D47" i="4"/>
  <c r="G47" i="4"/>
  <c r="H47" i="4" s="1"/>
  <c r="D65" i="4"/>
  <c r="G65" i="4"/>
  <c r="H65" i="4" s="1"/>
  <c r="C9" i="4"/>
  <c r="L32" i="17"/>
  <c r="D41" i="4"/>
  <c r="G41" i="4"/>
  <c r="H41" i="4" s="1"/>
  <c r="L6" i="17"/>
  <c r="L8" i="17"/>
  <c r="C7" i="4"/>
  <c r="G38" i="4"/>
  <c r="H38" i="4" s="1"/>
  <c r="D38" i="4"/>
  <c r="D53" i="4"/>
  <c r="G53" i="4"/>
  <c r="H53" i="4" s="1"/>
  <c r="D21" i="4"/>
  <c r="G21" i="4"/>
  <c r="H21" i="4" s="1"/>
  <c r="D59" i="4"/>
  <c r="G59" i="4"/>
  <c r="H59" i="4" s="1"/>
  <c r="L23" i="17"/>
  <c r="C24" i="4"/>
  <c r="L13" i="17"/>
  <c r="C14" i="4"/>
  <c r="C44" i="4"/>
  <c r="L43" i="17"/>
  <c r="L28" i="17"/>
  <c r="C29" i="4"/>
  <c r="G7" i="4" l="1"/>
  <c r="H7" i="4" s="1"/>
  <c r="D7" i="4"/>
  <c r="G9" i="4"/>
  <c r="H9" i="4" s="1"/>
  <c r="D9" i="4"/>
  <c r="G33" i="4"/>
  <c r="H33" i="4" s="1"/>
  <c r="D33" i="4"/>
  <c r="D24" i="4"/>
  <c r="G24" i="4"/>
  <c r="H24" i="4" s="1"/>
  <c r="D14" i="4"/>
  <c r="G14" i="4"/>
  <c r="H14" i="4" s="1"/>
  <c r="D44" i="4"/>
  <c r="G44" i="4"/>
  <c r="H44" i="4" s="1"/>
  <c r="D29" i="4"/>
  <c r="G29" i="4"/>
  <c r="H29" i="4" s="1"/>
  <c r="D110" i="4" l="1"/>
  <c r="H110" i="4"/>
</calcChain>
</file>

<file path=xl/comments1.xml><?xml version="1.0" encoding="utf-8"?>
<comments xmlns="http://schemas.openxmlformats.org/spreadsheetml/2006/main">
  <authors>
    <author>shuttz</author>
  </authors>
  <commentList>
    <comment ref="K3" authorId="0">
      <text>
        <r>
          <rPr>
            <sz val="9"/>
            <color indexed="81"/>
            <rFont val="Tahoma"/>
            <family val="2"/>
          </rPr>
          <t>can be used if a % of different staff complete the job. Or over time rates</t>
        </r>
      </text>
    </comment>
    <comment ref="R3" authorId="0">
      <text>
        <r>
          <rPr>
            <sz val="9"/>
            <color indexed="81"/>
            <rFont val="Tahoma"/>
            <family val="2"/>
          </rPr>
          <t>If different to total labour</t>
        </r>
      </text>
    </comment>
    <comment ref="R5" authorId="0">
      <text>
        <r>
          <rPr>
            <sz val="9"/>
            <color indexed="81"/>
            <rFont val="Tahoma"/>
            <family val="2"/>
          </rPr>
          <t>only use if time is different to the total time for task and travel.</t>
        </r>
      </text>
    </comment>
    <comment ref="R6" authorId="0">
      <text>
        <r>
          <rPr>
            <sz val="9"/>
            <color indexed="81"/>
            <rFont val="Tahoma"/>
            <family val="2"/>
          </rPr>
          <t>only use if time is different to the total time for task and travel.</t>
        </r>
      </text>
    </comment>
    <comment ref="R7" authorId="0">
      <text>
        <r>
          <rPr>
            <sz val="9"/>
            <color indexed="81"/>
            <rFont val="Tahoma"/>
            <family val="2"/>
          </rPr>
          <t>only use if time is different to the total time for task and travel.</t>
        </r>
      </text>
    </comment>
    <comment ref="R8" authorId="0">
      <text>
        <r>
          <rPr>
            <sz val="9"/>
            <color indexed="81"/>
            <rFont val="Tahoma"/>
            <family val="2"/>
          </rPr>
          <t>only use if time is different to the total time for task and travel.</t>
        </r>
      </text>
    </comment>
    <comment ref="R9" authorId="0">
      <text>
        <r>
          <rPr>
            <sz val="9"/>
            <color indexed="81"/>
            <rFont val="Tahoma"/>
            <family val="2"/>
          </rPr>
          <t>only use if time is different to the total time for task and travel.</t>
        </r>
      </text>
    </comment>
    <comment ref="R10" authorId="0">
      <text>
        <r>
          <rPr>
            <sz val="9"/>
            <color indexed="81"/>
            <rFont val="Tahoma"/>
            <family val="2"/>
          </rPr>
          <t>only use if time is different to the total time for task and travel.</t>
        </r>
      </text>
    </comment>
    <comment ref="R11" authorId="0">
      <text>
        <r>
          <rPr>
            <sz val="9"/>
            <color indexed="81"/>
            <rFont val="Tahoma"/>
            <family val="2"/>
          </rPr>
          <t>only use if time is different to the total time for task and travel.</t>
        </r>
      </text>
    </comment>
    <comment ref="R12" authorId="0">
      <text>
        <r>
          <rPr>
            <sz val="9"/>
            <color indexed="81"/>
            <rFont val="Tahoma"/>
            <family val="2"/>
          </rPr>
          <t>only use if time is different to the total time for task and travel.</t>
        </r>
      </text>
    </comment>
    <comment ref="R13" authorId="0">
      <text>
        <r>
          <rPr>
            <sz val="9"/>
            <color indexed="81"/>
            <rFont val="Tahoma"/>
            <family val="2"/>
          </rPr>
          <t>only use if time is different to the total time for task and travel.</t>
        </r>
      </text>
    </comment>
    <comment ref="R14" authorId="0">
      <text>
        <r>
          <rPr>
            <sz val="9"/>
            <color indexed="81"/>
            <rFont val="Tahoma"/>
            <family val="2"/>
          </rPr>
          <t>only use if time is different to the total time for task and travel.</t>
        </r>
      </text>
    </comment>
    <comment ref="R16" authorId="0">
      <text>
        <r>
          <rPr>
            <sz val="9"/>
            <color indexed="81"/>
            <rFont val="Tahoma"/>
            <family val="2"/>
          </rPr>
          <t>only use if time is different to the total time for task and travel.</t>
        </r>
      </text>
    </comment>
    <comment ref="R17" authorId="0">
      <text>
        <r>
          <rPr>
            <sz val="9"/>
            <color indexed="81"/>
            <rFont val="Tahoma"/>
            <family val="2"/>
          </rPr>
          <t>only use if time is different to the total time for task and travel.</t>
        </r>
      </text>
    </comment>
    <comment ref="R18" authorId="0">
      <text>
        <r>
          <rPr>
            <sz val="9"/>
            <color indexed="81"/>
            <rFont val="Tahoma"/>
            <family val="2"/>
          </rPr>
          <t>only use if time is different to the total time for task and travel.</t>
        </r>
      </text>
    </comment>
    <comment ref="R19" authorId="0">
      <text>
        <r>
          <rPr>
            <sz val="9"/>
            <color indexed="81"/>
            <rFont val="Tahoma"/>
            <family val="2"/>
          </rPr>
          <t>only use if time is different to the total time for task and travel.</t>
        </r>
      </text>
    </comment>
    <comment ref="R20" authorId="0">
      <text>
        <r>
          <rPr>
            <sz val="9"/>
            <color indexed="81"/>
            <rFont val="Tahoma"/>
            <family val="2"/>
          </rPr>
          <t>only use if time is different to the total time for task and travel.</t>
        </r>
      </text>
    </comment>
    <comment ref="R21" authorId="0">
      <text>
        <r>
          <rPr>
            <sz val="9"/>
            <color indexed="81"/>
            <rFont val="Tahoma"/>
            <family val="2"/>
          </rPr>
          <t>only use if time is different to the total time for task and travel.</t>
        </r>
      </text>
    </comment>
    <comment ref="R22" authorId="0">
      <text>
        <r>
          <rPr>
            <sz val="9"/>
            <color indexed="81"/>
            <rFont val="Tahoma"/>
            <family val="2"/>
          </rPr>
          <t>only use if time is different to the total time for task and travel.</t>
        </r>
      </text>
    </comment>
    <comment ref="R23" authorId="0">
      <text>
        <r>
          <rPr>
            <sz val="9"/>
            <color indexed="81"/>
            <rFont val="Tahoma"/>
            <family val="2"/>
          </rPr>
          <t>only use if time is different to the total time for task and travel.</t>
        </r>
      </text>
    </comment>
    <comment ref="R25" authorId="0">
      <text>
        <r>
          <rPr>
            <sz val="9"/>
            <color indexed="81"/>
            <rFont val="Tahoma"/>
            <family val="2"/>
          </rPr>
          <t>only use if time is different to the total time for task and travel.</t>
        </r>
      </text>
    </comment>
    <comment ref="R26" authorId="0">
      <text>
        <r>
          <rPr>
            <sz val="9"/>
            <color indexed="81"/>
            <rFont val="Tahoma"/>
            <family val="2"/>
          </rPr>
          <t>only use if time is different to the total time for task and travel.</t>
        </r>
      </text>
    </comment>
    <comment ref="R27" authorId="0">
      <text>
        <r>
          <rPr>
            <sz val="9"/>
            <color indexed="81"/>
            <rFont val="Tahoma"/>
            <family val="2"/>
          </rPr>
          <t>only use if time is different to the total time for task and travel.</t>
        </r>
      </text>
    </comment>
    <comment ref="R28" authorId="0">
      <text>
        <r>
          <rPr>
            <sz val="9"/>
            <color indexed="81"/>
            <rFont val="Tahoma"/>
            <family val="2"/>
          </rPr>
          <t>only use if time is different to the total time for task and travel.</t>
        </r>
      </text>
    </comment>
    <comment ref="R29" authorId="0">
      <text>
        <r>
          <rPr>
            <sz val="9"/>
            <color indexed="81"/>
            <rFont val="Tahoma"/>
            <family val="2"/>
          </rPr>
          <t>only use if time is different to the total time for task and travel.</t>
        </r>
      </text>
    </comment>
    <comment ref="R31" authorId="0">
      <text>
        <r>
          <rPr>
            <sz val="9"/>
            <color indexed="81"/>
            <rFont val="Tahoma"/>
            <family val="2"/>
          </rPr>
          <t>only use if time is different to the total time for task and travel.</t>
        </r>
      </text>
    </comment>
    <comment ref="R32" authorId="0">
      <text>
        <r>
          <rPr>
            <sz val="9"/>
            <color indexed="81"/>
            <rFont val="Tahoma"/>
            <family val="2"/>
          </rPr>
          <t>only use if time is different to the total time for task and travel.</t>
        </r>
      </text>
    </comment>
    <comment ref="R33" authorId="0">
      <text>
        <r>
          <rPr>
            <sz val="9"/>
            <color indexed="81"/>
            <rFont val="Tahoma"/>
            <family val="2"/>
          </rPr>
          <t>only use if time is different to the total time for task and travel.</t>
        </r>
      </text>
    </comment>
    <comment ref="R35" authorId="0">
      <text>
        <r>
          <rPr>
            <sz val="9"/>
            <color indexed="81"/>
            <rFont val="Tahoma"/>
            <family val="2"/>
          </rPr>
          <t>only use if time is different to the total time for task and travel.</t>
        </r>
      </text>
    </comment>
    <comment ref="R36" authorId="0">
      <text>
        <r>
          <rPr>
            <sz val="9"/>
            <color indexed="81"/>
            <rFont val="Tahoma"/>
            <family val="2"/>
          </rPr>
          <t>only use if time is different to the total time for task and travel.</t>
        </r>
      </text>
    </comment>
    <comment ref="R37" authorId="0">
      <text>
        <r>
          <rPr>
            <sz val="9"/>
            <color indexed="81"/>
            <rFont val="Tahoma"/>
            <family val="2"/>
          </rPr>
          <t>only use if time is different to the total time for task and travel.</t>
        </r>
      </text>
    </comment>
    <comment ref="R38" authorId="0">
      <text>
        <r>
          <rPr>
            <sz val="9"/>
            <color indexed="81"/>
            <rFont val="Tahoma"/>
            <family val="2"/>
          </rPr>
          <t>only use if time is different to the total time for task and travel.</t>
        </r>
      </text>
    </comment>
    <comment ref="R40" authorId="0">
      <text>
        <r>
          <rPr>
            <sz val="9"/>
            <color indexed="81"/>
            <rFont val="Tahoma"/>
            <family val="2"/>
          </rPr>
          <t>only use if time is different to the total time for task and travel.</t>
        </r>
      </text>
    </comment>
    <comment ref="R41" authorId="0">
      <text>
        <r>
          <rPr>
            <sz val="9"/>
            <color indexed="81"/>
            <rFont val="Tahoma"/>
            <family val="2"/>
          </rPr>
          <t>only use if time is different to the total time for task and travel.</t>
        </r>
      </text>
    </comment>
    <comment ref="R42" authorId="0">
      <text>
        <r>
          <rPr>
            <sz val="9"/>
            <color indexed="81"/>
            <rFont val="Tahoma"/>
            <family val="2"/>
          </rPr>
          <t>only use if time is different to the total time for task and travel.</t>
        </r>
      </text>
    </comment>
    <comment ref="R43" authorId="0">
      <text>
        <r>
          <rPr>
            <sz val="9"/>
            <color indexed="81"/>
            <rFont val="Tahoma"/>
            <family val="2"/>
          </rPr>
          <t>only use if time is different to the total time for task and travel.</t>
        </r>
      </text>
    </comment>
    <comment ref="R44" authorId="0">
      <text>
        <r>
          <rPr>
            <sz val="9"/>
            <color indexed="81"/>
            <rFont val="Tahoma"/>
            <family val="2"/>
          </rPr>
          <t>only use if time is different to the total time for task and travel.</t>
        </r>
      </text>
    </comment>
    <comment ref="R45" authorId="0">
      <text>
        <r>
          <rPr>
            <sz val="9"/>
            <color indexed="81"/>
            <rFont val="Tahoma"/>
            <family val="2"/>
          </rPr>
          <t>only use if time is different to the total time for task and travel.</t>
        </r>
      </text>
    </comment>
    <comment ref="R46" authorId="0">
      <text>
        <r>
          <rPr>
            <sz val="9"/>
            <color indexed="81"/>
            <rFont val="Tahoma"/>
            <family val="2"/>
          </rPr>
          <t>only use if time is different to the total time for task and travel.</t>
        </r>
      </text>
    </comment>
    <comment ref="R48" authorId="0">
      <text>
        <r>
          <rPr>
            <sz val="9"/>
            <color indexed="81"/>
            <rFont val="Tahoma"/>
            <family val="2"/>
          </rPr>
          <t>only use if time is different to the total time for task and travel.</t>
        </r>
      </text>
    </comment>
    <comment ref="R49" authorId="0">
      <text>
        <r>
          <rPr>
            <sz val="9"/>
            <color indexed="81"/>
            <rFont val="Tahoma"/>
            <family val="2"/>
          </rPr>
          <t>only use if time is different to the total time for task and travel.</t>
        </r>
      </text>
    </comment>
    <comment ref="R50" authorId="0">
      <text>
        <r>
          <rPr>
            <sz val="9"/>
            <color indexed="81"/>
            <rFont val="Tahoma"/>
            <family val="2"/>
          </rPr>
          <t>only use if time is different to the total time for task and travel.</t>
        </r>
      </text>
    </comment>
    <comment ref="R51" authorId="0">
      <text>
        <r>
          <rPr>
            <sz val="9"/>
            <color indexed="81"/>
            <rFont val="Tahoma"/>
            <family val="2"/>
          </rPr>
          <t>only use if time is different to the total time for task and travel.</t>
        </r>
      </text>
    </comment>
    <comment ref="R52" authorId="0">
      <text>
        <r>
          <rPr>
            <sz val="9"/>
            <color indexed="81"/>
            <rFont val="Tahoma"/>
            <family val="2"/>
          </rPr>
          <t>only use if time is different to the total time for task and travel.</t>
        </r>
      </text>
    </comment>
    <comment ref="R53" authorId="0">
      <text>
        <r>
          <rPr>
            <sz val="9"/>
            <color indexed="81"/>
            <rFont val="Tahoma"/>
            <family val="2"/>
          </rPr>
          <t>only use if time is different to the total time for task and travel.</t>
        </r>
      </text>
    </comment>
    <comment ref="R54" authorId="0">
      <text>
        <r>
          <rPr>
            <sz val="9"/>
            <color indexed="81"/>
            <rFont val="Tahoma"/>
            <family val="2"/>
          </rPr>
          <t>only use if time is different to the total time for task and travel.</t>
        </r>
      </text>
    </comment>
    <comment ref="R55" authorId="0">
      <text>
        <r>
          <rPr>
            <sz val="9"/>
            <color indexed="81"/>
            <rFont val="Tahoma"/>
            <family val="2"/>
          </rPr>
          <t>only use if time is different to the total time for task and travel.</t>
        </r>
      </text>
    </comment>
    <comment ref="R57" authorId="0">
      <text>
        <r>
          <rPr>
            <sz val="9"/>
            <color indexed="81"/>
            <rFont val="Tahoma"/>
            <family val="2"/>
          </rPr>
          <t>only use if time is different to the total time for task and travel.</t>
        </r>
      </text>
    </comment>
    <comment ref="R58" authorId="0">
      <text>
        <r>
          <rPr>
            <sz val="9"/>
            <color indexed="81"/>
            <rFont val="Tahoma"/>
            <family val="2"/>
          </rPr>
          <t>only use if time is different to the total time for task and travel.</t>
        </r>
      </text>
    </comment>
    <comment ref="R59" authorId="0">
      <text>
        <r>
          <rPr>
            <sz val="9"/>
            <color indexed="81"/>
            <rFont val="Tahoma"/>
            <family val="2"/>
          </rPr>
          <t>only use if time is different to the total time for task and travel.</t>
        </r>
      </text>
    </comment>
    <comment ref="R60" authorId="0">
      <text>
        <r>
          <rPr>
            <sz val="9"/>
            <color indexed="81"/>
            <rFont val="Tahoma"/>
            <family val="2"/>
          </rPr>
          <t>only use if time is different to the total time for task and travel.</t>
        </r>
      </text>
    </comment>
    <comment ref="R62" authorId="0">
      <text>
        <r>
          <rPr>
            <sz val="9"/>
            <color indexed="81"/>
            <rFont val="Tahoma"/>
            <family val="2"/>
          </rPr>
          <t>only use if time is different to the total time for task and travel.</t>
        </r>
      </text>
    </comment>
    <comment ref="R63" authorId="0">
      <text>
        <r>
          <rPr>
            <sz val="9"/>
            <color indexed="81"/>
            <rFont val="Tahoma"/>
            <family val="2"/>
          </rPr>
          <t>only use if time is different to the total time for task and travel.</t>
        </r>
      </text>
    </comment>
    <comment ref="R64" authorId="0">
      <text>
        <r>
          <rPr>
            <sz val="9"/>
            <color indexed="81"/>
            <rFont val="Tahoma"/>
            <family val="2"/>
          </rPr>
          <t>only use if time is different to the total time for task and travel.</t>
        </r>
      </text>
    </comment>
    <comment ref="R65" authorId="0">
      <text>
        <r>
          <rPr>
            <sz val="9"/>
            <color indexed="81"/>
            <rFont val="Tahoma"/>
            <family val="2"/>
          </rPr>
          <t>only use if time is different to the total time for task and travel.</t>
        </r>
      </text>
    </comment>
    <comment ref="C67" authorId="0">
      <text>
        <r>
          <rPr>
            <sz val="9"/>
            <color indexed="81"/>
            <rFont val="Tahoma"/>
            <family val="2"/>
          </rPr>
          <t xml:space="preserve">• new consumer mains - overhead supply
• new consumer mains – underground to pole
• changeover new consumer mains to new private pole
• changeover overhead service to new point of attachment
</t>
        </r>
      </text>
    </comment>
    <comment ref="R67" authorId="0">
      <text>
        <r>
          <rPr>
            <sz val="9"/>
            <color indexed="81"/>
            <rFont val="Tahoma"/>
            <family val="2"/>
          </rPr>
          <t>only use if time is different to the total time for task and travel.</t>
        </r>
      </text>
    </comment>
    <comment ref="C68" authorId="0">
      <text>
        <r>
          <rPr>
            <sz val="9"/>
            <color indexed="81"/>
            <rFont val="Tahoma"/>
            <family val="2"/>
          </rPr>
          <t xml:space="preserve">• new consumer mains – overhead supply
• new consumer mains – underground to pole
• changeover new consumer mains to new private pole
• changeover overhead service to new point of attachment
</t>
        </r>
      </text>
    </comment>
    <comment ref="R68" authorId="0">
      <text>
        <r>
          <rPr>
            <sz val="9"/>
            <color indexed="81"/>
            <rFont val="Tahoma"/>
            <family val="2"/>
          </rPr>
          <t>only use if time is different to the total time for task and travel.</t>
        </r>
      </text>
    </comment>
    <comment ref="R69" authorId="0">
      <text>
        <r>
          <rPr>
            <sz val="9"/>
            <color indexed="81"/>
            <rFont val="Tahoma"/>
            <family val="2"/>
          </rPr>
          <t>only use if time is different to the total time for task and travel.</t>
        </r>
      </text>
    </comment>
    <comment ref="R70" authorId="0">
      <text>
        <r>
          <rPr>
            <sz val="9"/>
            <color indexed="81"/>
            <rFont val="Tahoma"/>
            <family val="2"/>
          </rPr>
          <t>only use if time is different to the total time for task and travel.</t>
        </r>
      </text>
    </comment>
    <comment ref="R71" authorId="0">
      <text>
        <r>
          <rPr>
            <sz val="9"/>
            <color indexed="81"/>
            <rFont val="Tahoma"/>
            <family val="2"/>
          </rPr>
          <t>only use if time is different to the total time for task and travel.</t>
        </r>
      </text>
    </comment>
    <comment ref="R72" authorId="0">
      <text>
        <r>
          <rPr>
            <sz val="9"/>
            <color indexed="81"/>
            <rFont val="Tahoma"/>
            <family val="2"/>
          </rPr>
          <t>only use if time is different to the total time for task and travel.</t>
        </r>
      </text>
    </comment>
    <comment ref="R73" authorId="0">
      <text>
        <r>
          <rPr>
            <sz val="9"/>
            <color indexed="81"/>
            <rFont val="Tahoma"/>
            <family val="2"/>
          </rPr>
          <t>only use if time is different to the total time for task and travel.</t>
        </r>
      </text>
    </comment>
    <comment ref="R74" authorId="0">
      <text>
        <r>
          <rPr>
            <sz val="9"/>
            <color indexed="81"/>
            <rFont val="Tahoma"/>
            <family val="2"/>
          </rPr>
          <t>only use if time is different to the total time for task and travel.</t>
        </r>
      </text>
    </comment>
    <comment ref="R75" authorId="0">
      <text>
        <r>
          <rPr>
            <sz val="9"/>
            <color indexed="81"/>
            <rFont val="Tahoma"/>
            <family val="2"/>
          </rPr>
          <t>only use if time is different to the total time for task and travel.</t>
        </r>
      </text>
    </comment>
    <comment ref="R76" authorId="0">
      <text>
        <r>
          <rPr>
            <sz val="9"/>
            <color indexed="81"/>
            <rFont val="Tahoma"/>
            <family val="2"/>
          </rPr>
          <t>only use if time is different to the total time for task and travel.</t>
        </r>
      </text>
    </comment>
    <comment ref="R77" authorId="0">
      <text>
        <r>
          <rPr>
            <sz val="9"/>
            <color indexed="81"/>
            <rFont val="Tahoma"/>
            <family val="2"/>
          </rPr>
          <t>only use if time is different to the total time for task and travel.</t>
        </r>
      </text>
    </comment>
    <comment ref="R78" authorId="0">
      <text>
        <r>
          <rPr>
            <sz val="9"/>
            <color indexed="81"/>
            <rFont val="Tahoma"/>
            <family val="2"/>
          </rPr>
          <t>only use if time is different to the total time for task and travel.</t>
        </r>
      </text>
    </comment>
  </commentList>
</comments>
</file>

<file path=xl/comments2.xml><?xml version="1.0" encoding="utf-8"?>
<comments xmlns="http://schemas.openxmlformats.org/spreadsheetml/2006/main">
  <authors>
    <author>shuttz</author>
  </authors>
  <commentList>
    <comment ref="R3" authorId="0">
      <text>
        <r>
          <rPr>
            <sz val="9"/>
            <color indexed="81"/>
            <rFont val="Tahoma"/>
            <family val="2"/>
          </rPr>
          <t>If different to total labour</t>
        </r>
      </text>
    </comment>
    <comment ref="R5" authorId="0">
      <text>
        <r>
          <rPr>
            <sz val="9"/>
            <color indexed="81"/>
            <rFont val="Tahoma"/>
            <family val="2"/>
          </rPr>
          <t>only use if time is different to the total time for task and travel.</t>
        </r>
      </text>
    </comment>
    <comment ref="AA5" authorId="0">
      <text>
        <r>
          <rPr>
            <sz val="9"/>
            <color indexed="81"/>
            <rFont val="Tahoma"/>
            <family val="2"/>
          </rPr>
          <t>Leave Blank as $200 is flat</t>
        </r>
      </text>
    </comment>
    <comment ref="AB5" authorId="0">
      <text>
        <r>
          <rPr>
            <sz val="9"/>
            <color indexed="81"/>
            <rFont val="Tahoma"/>
            <family val="2"/>
          </rPr>
          <t>Leave Blank as $200 is flat</t>
        </r>
      </text>
    </comment>
    <comment ref="AJ5" authorId="0">
      <text>
        <r>
          <rPr>
            <sz val="9"/>
            <color indexed="81"/>
            <rFont val="Tahoma"/>
            <family val="2"/>
          </rPr>
          <t>Leave Blank as $200 is flat</t>
        </r>
      </text>
    </comment>
    <comment ref="R6" authorId="0">
      <text>
        <r>
          <rPr>
            <sz val="9"/>
            <color indexed="81"/>
            <rFont val="Tahoma"/>
            <family val="2"/>
          </rPr>
          <t>only use if time is different to the total time for task and travel.</t>
        </r>
      </text>
    </comment>
    <comment ref="R15" authorId="0">
      <text>
        <r>
          <rPr>
            <sz val="9"/>
            <color indexed="81"/>
            <rFont val="Tahoma"/>
            <family val="2"/>
          </rPr>
          <t>only use if time is different to the total time for task and travel.</t>
        </r>
      </text>
    </comment>
    <comment ref="R16" authorId="0">
      <text>
        <r>
          <rPr>
            <sz val="9"/>
            <color indexed="81"/>
            <rFont val="Tahoma"/>
            <family val="2"/>
          </rPr>
          <t>only use if time is different to the total time for task and travel.</t>
        </r>
      </text>
    </comment>
    <comment ref="R17" authorId="0">
      <text>
        <r>
          <rPr>
            <sz val="9"/>
            <color indexed="81"/>
            <rFont val="Tahoma"/>
            <family val="2"/>
          </rPr>
          <t>only use if time is different to the total time for task and travel.</t>
        </r>
      </text>
    </comment>
    <comment ref="R22" authorId="0">
      <text>
        <r>
          <rPr>
            <sz val="9"/>
            <color indexed="81"/>
            <rFont val="Tahoma"/>
            <family val="2"/>
          </rPr>
          <t>only use if time is different to the total time for task and travel.</t>
        </r>
      </text>
    </comment>
    <comment ref="R23" authorId="0">
      <text>
        <r>
          <rPr>
            <sz val="9"/>
            <color indexed="81"/>
            <rFont val="Tahoma"/>
            <family val="2"/>
          </rPr>
          <t>only use if time is different to the total time for task and travel.</t>
        </r>
      </text>
    </comment>
    <comment ref="R24" authorId="0">
      <text>
        <r>
          <rPr>
            <sz val="9"/>
            <color indexed="81"/>
            <rFont val="Tahoma"/>
            <family val="2"/>
          </rPr>
          <t>only use if time is different to the total time for task and travel.</t>
        </r>
      </text>
    </comment>
    <comment ref="R25" authorId="0">
      <text>
        <r>
          <rPr>
            <sz val="9"/>
            <color indexed="81"/>
            <rFont val="Tahoma"/>
            <family val="2"/>
          </rPr>
          <t>only use if time is different to the total time for task and travel.</t>
        </r>
      </text>
    </comment>
    <comment ref="R26" authorId="0">
      <text>
        <r>
          <rPr>
            <sz val="9"/>
            <color indexed="81"/>
            <rFont val="Tahoma"/>
            <family val="2"/>
          </rPr>
          <t>only use if time is different to the total time for task and travel.</t>
        </r>
      </text>
    </comment>
    <comment ref="R27" authorId="0">
      <text>
        <r>
          <rPr>
            <sz val="9"/>
            <color indexed="81"/>
            <rFont val="Tahoma"/>
            <family val="2"/>
          </rPr>
          <t>only use if time is different to the total time for task and travel.</t>
        </r>
      </text>
    </comment>
    <comment ref="R28" authorId="0">
      <text>
        <r>
          <rPr>
            <sz val="9"/>
            <color indexed="81"/>
            <rFont val="Tahoma"/>
            <family val="2"/>
          </rPr>
          <t>only use if time is different to the total time for task and travel.</t>
        </r>
      </text>
    </comment>
  </commentList>
</comments>
</file>

<file path=xl/comments3.xml><?xml version="1.0" encoding="utf-8"?>
<comments xmlns="http://schemas.openxmlformats.org/spreadsheetml/2006/main">
  <authors>
    <author>shuttz</author>
  </authors>
  <commentList>
    <comment ref="C8" authorId="0">
      <text>
        <r>
          <rPr>
            <sz val="9"/>
            <color indexed="81"/>
            <rFont val="Tahoma"/>
            <family val="2"/>
          </rPr>
          <t>From the On-cost review rate review</t>
        </r>
      </text>
    </comment>
    <comment ref="C19" authorId="0">
      <text>
        <r>
          <rPr>
            <sz val="9"/>
            <color indexed="81"/>
            <rFont val="Tahoma"/>
            <family val="2"/>
          </rPr>
          <t>From the On-cost review rate review</t>
        </r>
      </text>
    </comment>
    <comment ref="P37" authorId="0">
      <text>
        <r>
          <rPr>
            <sz val="9"/>
            <color indexed="81"/>
            <rFont val="Tahoma"/>
            <family val="2"/>
          </rPr>
          <t>Annualised salary included for PT employee</t>
        </r>
      </text>
    </comment>
  </commentList>
</comments>
</file>

<file path=xl/connections.xml><?xml version="1.0" encoding="utf-8"?>
<connections xmlns="http://schemas.openxmlformats.org/spreadsheetml/2006/main">
  <connection id="1" name="Last refreshed" type="1" refreshedVersion="3" deleted="1" background="1" saveData="1">
    <dbPr connection="" command=""/>
  </connection>
</connections>
</file>

<file path=xl/sharedStrings.xml><?xml version="1.0" encoding="utf-8"?>
<sst xmlns="http://schemas.openxmlformats.org/spreadsheetml/2006/main" count="1504" uniqueCount="489">
  <si>
    <t>Service type</t>
  </si>
  <si>
    <t>Service group</t>
  </si>
  <si>
    <t>De-energistion, re-energisation and special reads</t>
  </si>
  <si>
    <t>Site visit - no appointment</t>
  </si>
  <si>
    <t>Site visit - non-scheduled visit</t>
  </si>
  <si>
    <t>Site visit - same day premium service</t>
  </si>
  <si>
    <t>Site visit - after hours</t>
  </si>
  <si>
    <t>Site visit - credit actions or site issues</t>
  </si>
  <si>
    <t>Site visit - rectification of illegal connection</t>
  </si>
  <si>
    <t>Date Last Refreshed</t>
  </si>
  <si>
    <t>All Sheets</t>
  </si>
  <si>
    <t>Column1</t>
  </si>
  <si>
    <t>Column2</t>
  </si>
  <si>
    <t>Source</t>
  </si>
  <si>
    <t>Index</t>
  </si>
  <si>
    <t>Report Name</t>
  </si>
  <si>
    <t>2010-11</t>
  </si>
  <si>
    <t>2011-12</t>
  </si>
  <si>
    <t>2012-13</t>
  </si>
  <si>
    <t>2013-14</t>
  </si>
  <si>
    <t>2015-16</t>
  </si>
  <si>
    <t>2016-17</t>
  </si>
  <si>
    <t>2017-18</t>
  </si>
  <si>
    <t>2018-19</t>
  </si>
  <si>
    <t>2019-20</t>
  </si>
  <si>
    <t>SOM</t>
  </si>
  <si>
    <t>No 1</t>
  </si>
  <si>
    <t>No 2</t>
  </si>
  <si>
    <t>No 3</t>
  </si>
  <si>
    <t>No 4</t>
  </si>
  <si>
    <t>No 5</t>
  </si>
  <si>
    <t>No 6</t>
  </si>
  <si>
    <t>No 7</t>
  </si>
  <si>
    <t>Meter alteration</t>
  </si>
  <si>
    <t>Transfer of retailer</t>
  </si>
  <si>
    <t>No 10</t>
  </si>
  <si>
    <t>Tariff alteration - single phase</t>
  </si>
  <si>
    <t>No 11</t>
  </si>
  <si>
    <t>No 12</t>
  </si>
  <si>
    <t>Adjust time clock</t>
  </si>
  <si>
    <t>No 13</t>
  </si>
  <si>
    <t>Install pulse outputs</t>
  </si>
  <si>
    <t>No 14</t>
  </si>
  <si>
    <t>Remove meter</t>
  </si>
  <si>
    <t>No 15</t>
  </si>
  <si>
    <t>Meter alteration - after hours visit</t>
  </si>
  <si>
    <t>No 17</t>
  </si>
  <si>
    <t>Meter alteration Wasted Visit</t>
  </si>
  <si>
    <t>Meter test</t>
  </si>
  <si>
    <t>No 18</t>
  </si>
  <si>
    <t>Meter test - single phase</t>
  </si>
  <si>
    <t>No 19</t>
  </si>
  <si>
    <t>Meter test - multi phase</t>
  </si>
  <si>
    <t>No 20</t>
  </si>
  <si>
    <t>No 21</t>
  </si>
  <si>
    <t>Meter test - after hours</t>
  </si>
  <si>
    <t>No 23</t>
  </si>
  <si>
    <t>Supply establishment</t>
  </si>
  <si>
    <t>Supply abolishment</t>
  </si>
  <si>
    <t>No 31</t>
  </si>
  <si>
    <t>Remove service &amp; meters</t>
  </si>
  <si>
    <t>No 32</t>
  </si>
  <si>
    <t>Supply abolishment - after hours</t>
  </si>
  <si>
    <t>No 34</t>
  </si>
  <si>
    <t>Supply abolishment - wasted visit</t>
  </si>
  <si>
    <t>Renewable energy connections</t>
  </si>
  <si>
    <t>Gentrack</t>
  </si>
  <si>
    <t>No 35</t>
  </si>
  <si>
    <t>Renewable energy connection</t>
  </si>
  <si>
    <t>Renewable energy connection - after hours</t>
  </si>
  <si>
    <t>Temporary builders connection</t>
  </si>
  <si>
    <t>No 39</t>
  </si>
  <si>
    <t>No 40</t>
  </si>
  <si>
    <t>No 43</t>
  </si>
  <si>
    <t>No 44</t>
  </si>
  <si>
    <t>Truck tee-up</t>
  </si>
  <si>
    <t>No 56</t>
  </si>
  <si>
    <t>No 58</t>
  </si>
  <si>
    <t>Open turret</t>
  </si>
  <si>
    <t>Addition/alteration to connection point</t>
  </si>
  <si>
    <t>No 64</t>
  </si>
  <si>
    <t>Data download</t>
  </si>
  <si>
    <t>No 66</t>
  </si>
  <si>
    <t>Alteration to unmetered supply</t>
  </si>
  <si>
    <t>Miscellaneous services</t>
  </si>
  <si>
    <t>Task time (mins)</t>
  </si>
  <si>
    <t>Vehicle Cost</t>
  </si>
  <si>
    <t>Tee-up (each additional 15 min block)</t>
  </si>
  <si>
    <t>Miscellaneous service</t>
  </si>
  <si>
    <t>Miscellaneous service – after hours</t>
  </si>
  <si>
    <t>Miscellaneous service – wasted visit</t>
  </si>
  <si>
    <t>Travel time (mins)</t>
  </si>
  <si>
    <t>No. of Crew</t>
  </si>
  <si>
    <t>Skill Sets</t>
  </si>
  <si>
    <t>Hourly Rate</t>
  </si>
  <si>
    <t>2015/16 Skill Set Hourly Rate Summary</t>
  </si>
  <si>
    <t>NA</t>
  </si>
  <si>
    <t>Labour Cost</t>
  </si>
  <si>
    <t>Other</t>
  </si>
  <si>
    <t>Vehicle Type</t>
  </si>
  <si>
    <t>Truck</t>
  </si>
  <si>
    <t>Ute/Utility</t>
  </si>
  <si>
    <t>Crew 1 Skill Level</t>
  </si>
  <si>
    <t>Crew 2 Skill Level</t>
  </si>
  <si>
    <t>Current Year</t>
  </si>
  <si>
    <t>Year Start</t>
  </si>
  <si>
    <t>Year 1</t>
  </si>
  <si>
    <t>Year 2</t>
  </si>
  <si>
    <t>Year 3</t>
  </si>
  <si>
    <t>Year 4</t>
  </si>
  <si>
    <t>Year 5</t>
  </si>
  <si>
    <t>Year 6</t>
  </si>
  <si>
    <t>Year 7</t>
  </si>
  <si>
    <t>Year 8</t>
  </si>
  <si>
    <t>Year 9</t>
  </si>
  <si>
    <t>Year 10</t>
  </si>
  <si>
    <t>Year</t>
  </si>
  <si>
    <t>Current</t>
  </si>
  <si>
    <t>Inflation rate</t>
  </si>
  <si>
    <t xml:space="preserve">Salary costs EBA/award increases </t>
  </si>
  <si>
    <t>General</t>
  </si>
  <si>
    <t>Nominal Tax Rate</t>
  </si>
  <si>
    <t>Previous Year</t>
  </si>
  <si>
    <t xml:space="preserve">Volumes </t>
  </si>
  <si>
    <t>Base Fee</t>
  </si>
  <si>
    <t>Total Revenue</t>
  </si>
  <si>
    <t>Fee Based Services Market Support Back Office Timings Register</t>
  </si>
  <si>
    <t>Average Timings</t>
  </si>
  <si>
    <t>Outgoing</t>
  </si>
  <si>
    <t>Returning</t>
  </si>
  <si>
    <t>Total Time</t>
  </si>
  <si>
    <t>Fee Based Services</t>
  </si>
  <si>
    <t>Meter Alteration</t>
  </si>
  <si>
    <t>Meter Test</t>
  </si>
  <si>
    <t>Miscellaneous Services</t>
  </si>
  <si>
    <t>Connection Services</t>
  </si>
  <si>
    <t>10 min</t>
  </si>
  <si>
    <t>Temporary Disconnection (Fascia)</t>
  </si>
  <si>
    <t>4 min</t>
  </si>
  <si>
    <t xml:space="preserve">2 min </t>
  </si>
  <si>
    <t>Non Retailer  Customer</t>
  </si>
  <si>
    <t xml:space="preserve"> </t>
  </si>
  <si>
    <t>Wasted Visit</t>
  </si>
  <si>
    <t>min</t>
  </si>
  <si>
    <t>Blank</t>
  </si>
  <si>
    <t>X</t>
  </si>
  <si>
    <t>Total Calculated Fee</t>
  </si>
  <si>
    <t>Cells linked directly</t>
  </si>
  <si>
    <t>Grossed up amount</t>
  </si>
  <si>
    <t>Site visit – pillar box/pole top</t>
  </si>
  <si>
    <t>Gross up for After Hours/ Premium</t>
  </si>
  <si>
    <t>After Hours</t>
  </si>
  <si>
    <t>Same Day Premium</t>
  </si>
  <si>
    <t>Non-scheduled Visit</t>
  </si>
  <si>
    <t>Normal</t>
  </si>
  <si>
    <t>Overheads hourly rate</t>
  </si>
  <si>
    <t>De-energisation, re-energisation and special reads</t>
  </si>
  <si>
    <t>Connection of new mains to existing installation</t>
  </si>
  <si>
    <t>2015/16</t>
  </si>
  <si>
    <t>Labour Hr Ave - grossed up</t>
  </si>
  <si>
    <t>Calculation</t>
  </si>
  <si>
    <t>Hours</t>
  </si>
  <si>
    <t>Expenditure</t>
  </si>
  <si>
    <t>Cost PH</t>
  </si>
  <si>
    <t>Total</t>
  </si>
  <si>
    <t>Total Mins</t>
  </si>
  <si>
    <t>Electrical Technician</t>
  </si>
  <si>
    <t>Linesman</t>
  </si>
  <si>
    <t>AVERAGE</t>
  </si>
  <si>
    <t>EMPLID</t>
  </si>
  <si>
    <t>POSITION</t>
  </si>
  <si>
    <t>FTE</t>
  </si>
  <si>
    <t>SALARY</t>
  </si>
  <si>
    <t>Lineworker</t>
  </si>
  <si>
    <t>Hours per year</t>
  </si>
  <si>
    <t>Average Salary</t>
  </si>
  <si>
    <t>Weeks</t>
  </si>
  <si>
    <t>On Costs</t>
  </si>
  <si>
    <t>Weekly Hours</t>
  </si>
  <si>
    <t>Grossed up</t>
  </si>
  <si>
    <t>Total Annual Hours</t>
  </si>
  <si>
    <t>Billable Hours</t>
  </si>
  <si>
    <t>Hourly billable Rate</t>
  </si>
  <si>
    <t>Less</t>
  </si>
  <si>
    <t>Annual Leave</t>
  </si>
  <si>
    <t>Public Holidays</t>
  </si>
  <si>
    <t>Days</t>
  </si>
  <si>
    <t>Daily Hours</t>
  </si>
  <si>
    <t>Sick Days</t>
  </si>
  <si>
    <t>Billable Hour Percentage</t>
  </si>
  <si>
    <t>Figures taken from Payrol report as at 5/6/2015</t>
  </si>
  <si>
    <t>Salary CPI</t>
  </si>
  <si>
    <t>Total Mins Per Person</t>
  </si>
  <si>
    <t>TOTAL Expenditure</t>
  </si>
  <si>
    <t>Scheduled Visit</t>
  </si>
  <si>
    <t>Net working Hours</t>
  </si>
  <si>
    <t>Subcontractor Hours</t>
  </si>
  <si>
    <t>Shared Services overheads % expenditure</t>
  </si>
  <si>
    <t xml:space="preserve">Rates to be Published </t>
  </si>
  <si>
    <t>Elec Tech</t>
  </si>
  <si>
    <t>Premium Service</t>
  </si>
  <si>
    <t>Volumes</t>
  </si>
  <si>
    <t>Total Task Hours</t>
  </si>
  <si>
    <t>Gross Up Task costs</t>
  </si>
  <si>
    <t>Gross Up Labour costs</t>
  </si>
  <si>
    <t>Less Direct Allocation</t>
  </si>
  <si>
    <t>Direct Supervision Hours &amp; cost</t>
  </si>
  <si>
    <t>Total Other</t>
  </si>
  <si>
    <t>Labour Travel Cost</t>
  </si>
  <si>
    <t>Labour Task Cost</t>
  </si>
  <si>
    <t>Administration cost</t>
  </si>
  <si>
    <t>CPI    (consistent with AER RFM)</t>
  </si>
  <si>
    <t>Cumulative CPI</t>
  </si>
  <si>
    <t>Inflation Rate (f)</t>
  </si>
  <si>
    <t>Remove meter - single phase</t>
  </si>
  <si>
    <t>Site visit – credit actions pillar box/pole top</t>
  </si>
  <si>
    <t>Site visit -  pillar box/pole top Wasted Visit</t>
  </si>
  <si>
    <t>Connection establishment charges</t>
  </si>
  <si>
    <t>Overhead service, single span - single phase</t>
  </si>
  <si>
    <t>Overhead service, single span - multi phase</t>
  </si>
  <si>
    <t xml:space="preserve">Underground service in turret/cabinet - single phase </t>
  </si>
  <si>
    <t xml:space="preserve">Underground service in turret/cabinet - multi phase </t>
  </si>
  <si>
    <t>Underground service with pole mounted fuse - single phase</t>
  </si>
  <si>
    <t>Underground service with pole mounted fuse - multi phase</t>
  </si>
  <si>
    <t>Modify existing connection for micro embedded generation - single phase</t>
  </si>
  <si>
    <t>Modify existing connection for micro embedded generation - multi phase</t>
  </si>
  <si>
    <t>Temporary connection establishment charges</t>
  </si>
  <si>
    <t>Connection establishment requiring 'cross-over' pole</t>
  </si>
  <si>
    <t>Connection alteration charges</t>
  </si>
  <si>
    <t>Disconnect/reconnect overhead service for facia repairs - single phase</t>
  </si>
  <si>
    <t>Disconnect/reconnect overhead service for facia repairs - multi phase</t>
  </si>
  <si>
    <t>Materials used</t>
  </si>
  <si>
    <t>single phase OH service</t>
  </si>
  <si>
    <t>multi phase OH service</t>
  </si>
  <si>
    <t>single phase UG connect to turret</t>
  </si>
  <si>
    <t>multi phase UG connect to turret</t>
  </si>
  <si>
    <t>single phase UG service - pole</t>
  </si>
  <si>
    <t>multi phase UG service - pole</t>
  </si>
  <si>
    <t>No materials charged</t>
  </si>
  <si>
    <t>Type of Connection</t>
  </si>
  <si>
    <t>overhead – single phase - temporary position</t>
  </si>
  <si>
    <t>overhead – three phase - temporary position</t>
  </si>
  <si>
    <t>Underground - temporary position</t>
  </si>
  <si>
    <t>Cost build of of fee</t>
  </si>
  <si>
    <t>Material Cost</t>
  </si>
  <si>
    <t>Cost Buildup Direct Inputs</t>
  </si>
  <si>
    <t>Total Direct Costs</t>
  </si>
  <si>
    <t>Premium service cost</t>
  </si>
  <si>
    <t>TOTAL</t>
  </si>
  <si>
    <t>Direct Administration and Supervision</t>
  </si>
  <si>
    <t>TOTAL FEE</t>
  </si>
  <si>
    <t>Supervision &amp; Customer Team</t>
  </si>
  <si>
    <t>WSD overheads Hourly rate (indirect cost)</t>
  </si>
  <si>
    <r>
      <t xml:space="preserve">CAM  Overheads </t>
    </r>
    <r>
      <rPr>
        <b/>
        <sz val="11"/>
        <color theme="0"/>
        <rFont val="Calibri"/>
        <family val="2"/>
      </rPr>
      <t>(Capex &amp; Opex)</t>
    </r>
  </si>
  <si>
    <t>Customer Team</t>
  </si>
  <si>
    <t>1a</t>
  </si>
  <si>
    <t>Standard Application Fee</t>
  </si>
  <si>
    <t>1b</t>
  </si>
  <si>
    <t>Application Fee</t>
  </si>
  <si>
    <t>3a</t>
  </si>
  <si>
    <t>3b</t>
  </si>
  <si>
    <t>3c</t>
  </si>
  <si>
    <t>5a</t>
  </si>
  <si>
    <t>5b</t>
  </si>
  <si>
    <t>5c</t>
  </si>
  <si>
    <t>Vehicle time (mins)</t>
  </si>
  <si>
    <t>Design Audits include site visit and full project audit. Construction Audits include site visits for 5-7 x Project Hold Points.</t>
  </si>
  <si>
    <t>Large (Max fee)</t>
  </si>
  <si>
    <t>Small (Min fee)</t>
  </si>
  <si>
    <t>No 36</t>
  </si>
  <si>
    <t>No 37</t>
  </si>
  <si>
    <t>Temporary supply undreground single phase</t>
  </si>
  <si>
    <t>Temporary supply overhead single phase</t>
  </si>
  <si>
    <t>No 59</t>
  </si>
  <si>
    <t>No 62</t>
  </si>
  <si>
    <t>No 65</t>
  </si>
  <si>
    <t>No 67</t>
  </si>
  <si>
    <t>No 68</t>
  </si>
  <si>
    <t>No 70</t>
  </si>
  <si>
    <t>New Mains, Fascia Repairs, Condemned Pole</t>
  </si>
  <si>
    <t>No 71</t>
  </si>
  <si>
    <t>Single Phase Overhead</t>
  </si>
  <si>
    <t>No 72</t>
  </si>
  <si>
    <t>No 73</t>
  </si>
  <si>
    <t>Single Phase Underground</t>
  </si>
  <si>
    <t>No 74</t>
  </si>
  <si>
    <t>No 75</t>
  </si>
  <si>
    <t>New Connection</t>
  </si>
  <si>
    <t>No 76</t>
  </si>
  <si>
    <t>New Conection SO</t>
  </si>
  <si>
    <t>No 77</t>
  </si>
  <si>
    <t>No 78</t>
  </si>
  <si>
    <t>New Conection Temp Supply Single Phase OverHead</t>
  </si>
  <si>
    <t>No 79</t>
  </si>
  <si>
    <t>New Conection Temp Supply Single Phase UnderGround</t>
  </si>
  <si>
    <t>No 80</t>
  </si>
  <si>
    <t>New Conection Temp Supply MultiPhase</t>
  </si>
  <si>
    <t>No 81</t>
  </si>
  <si>
    <t>New Conection Temp Supply MultiPhase OverHead</t>
  </si>
  <si>
    <t>No 82</t>
  </si>
  <si>
    <t>New Conection Temp Supply MultiPhase UnderGround</t>
  </si>
  <si>
    <t>No 83</t>
  </si>
  <si>
    <t>New Conection Temp Supply Incomplete Wasted Visit</t>
  </si>
  <si>
    <t>Other 2</t>
  </si>
  <si>
    <t>Profit Margin</t>
  </si>
  <si>
    <t>WACC</t>
  </si>
  <si>
    <t>New Design and construction fees</t>
  </si>
  <si>
    <t>Alternative Services OPEX</t>
  </si>
  <si>
    <t>Alternative Services CAPEX</t>
  </si>
  <si>
    <t>Total Direct &amp; Supervision</t>
  </si>
  <si>
    <t>Total  Overehads</t>
  </si>
  <si>
    <t>Cost recovery</t>
  </si>
  <si>
    <t>Other Direct Costs</t>
  </si>
  <si>
    <t>Total Fee</t>
  </si>
  <si>
    <t>Remove meter - multi phase</t>
  </si>
  <si>
    <t>Tariff alteration - multi phase</t>
  </si>
  <si>
    <t>Temporary supply undreground multi phase</t>
  </si>
  <si>
    <t>Temporary supply overhead multi phase</t>
  </si>
  <si>
    <t>multi Phase Overhead</t>
  </si>
  <si>
    <t>multi Phase Underground</t>
  </si>
  <si>
    <t>Connection establishment - wasted visit - 2 workers</t>
  </si>
  <si>
    <t>Large - Design Cost</t>
  </si>
  <si>
    <t>Large - Design Audit Fee (small)</t>
  </si>
  <si>
    <t>Large - Design Audit Fee (large)</t>
  </si>
  <si>
    <t>Large - Design Audit Fee (major)</t>
  </si>
  <si>
    <t>Large - Construction Cost</t>
  </si>
  <si>
    <t>Large - Construction Audit Fee (small)</t>
  </si>
  <si>
    <t>Large - Construction Audit Fee (large)</t>
  </si>
  <si>
    <t>Large - Construction Audit Fee (major)</t>
  </si>
  <si>
    <t>Small - Design Cost</t>
  </si>
  <si>
    <t>Small - Design Audit Fee (small)</t>
  </si>
  <si>
    <t>Small - Design Audit Fee (large)</t>
  </si>
  <si>
    <t>Small - Design Audit Fee (major)</t>
  </si>
  <si>
    <t>Small - Construction Cost</t>
  </si>
  <si>
    <t>Small - Construction Audit Fee (small)</t>
  </si>
  <si>
    <t>Small - Construction Audit Fee (large)</t>
  </si>
  <si>
    <t>Small - Construction Audit Fee (major)</t>
  </si>
  <si>
    <t>Meter type split</t>
  </si>
  <si>
    <t>UG</t>
  </si>
  <si>
    <t>OH</t>
  </si>
  <si>
    <t>OH Types</t>
  </si>
  <si>
    <t>Underground types</t>
  </si>
  <si>
    <t>Phase Split</t>
  </si>
  <si>
    <t>Pole Split</t>
  </si>
  <si>
    <t>New Conection Temp Supply Single Phase</t>
  </si>
  <si>
    <t>New Audit Fees</t>
  </si>
  <si>
    <t>ALTERATIONS</t>
  </si>
  <si>
    <t>Customer task time</t>
  </si>
  <si>
    <t xml:space="preserve">Basic Connection establishment charges (including temporary builders supply ). </t>
  </si>
  <si>
    <t>Basic connection – after hours</t>
  </si>
  <si>
    <t>Temporary Disconnection/Reconnection</t>
  </si>
  <si>
    <t xml:space="preserve">Basic connection alteration  </t>
  </si>
  <si>
    <t>Connection alteration – overhead single phase including:</t>
  </si>
  <si>
    <r>
      <t>·</t>
    </r>
    <r>
      <rPr>
        <sz val="7"/>
        <color theme="1"/>
        <rFont val="Times New Roman"/>
        <family val="1"/>
      </rPr>
      <t xml:space="preserve">         </t>
    </r>
    <r>
      <rPr>
        <sz val="10"/>
        <color theme="1"/>
        <rFont val="Calibri"/>
        <family val="2"/>
        <scheme val="minor"/>
      </rPr>
      <t>new consumer mains</t>
    </r>
  </si>
  <si>
    <r>
      <t>·</t>
    </r>
    <r>
      <rPr>
        <sz val="7"/>
        <color theme="1"/>
        <rFont val="Times New Roman"/>
        <family val="1"/>
      </rPr>
      <t xml:space="preserve">         </t>
    </r>
    <r>
      <rPr>
        <sz val="10"/>
        <color theme="1"/>
        <rFont val="Calibri"/>
        <family val="2"/>
        <scheme val="minor"/>
      </rPr>
      <t>changeover new consumer mains to new private pole</t>
    </r>
  </si>
  <si>
    <r>
      <t>·</t>
    </r>
    <r>
      <rPr>
        <sz val="7"/>
        <color theme="1"/>
        <rFont val="Times New Roman"/>
        <family val="1"/>
      </rPr>
      <t xml:space="preserve">         </t>
    </r>
    <r>
      <rPr>
        <sz val="10"/>
        <color theme="1"/>
        <rFont val="Calibri"/>
        <family val="2"/>
        <scheme val="minor"/>
      </rPr>
      <t>changeover overhead service to new point of attachment</t>
    </r>
  </si>
  <si>
    <t>Connection alteration – overhead multi phase including:</t>
  </si>
  <si>
    <t>Connection of new consumer mains to an existing installation – underground single phase to turret</t>
  </si>
  <si>
    <t>Connection of new consumer mains to an existing installation – underground multi phase to turret</t>
  </si>
  <si>
    <t>Connection of new consumers mains to an existing installation – underground multi phase to pole</t>
  </si>
  <si>
    <r>
      <t>Augment single phase overhead</t>
    </r>
    <r>
      <rPr>
        <sz val="8"/>
        <color theme="1"/>
        <rFont val="Calibri"/>
        <family val="2"/>
        <scheme val="minor"/>
      </rPr>
      <t> </t>
    </r>
    <r>
      <rPr>
        <sz val="10"/>
        <color theme="1"/>
        <rFont val="Calibri"/>
        <family val="2"/>
        <scheme val="minor"/>
      </rPr>
      <t xml:space="preserve"> service to multi phase supply</t>
    </r>
  </si>
  <si>
    <r>
      <t>Augment multi phase overhead</t>
    </r>
    <r>
      <rPr>
        <sz val="8"/>
        <color theme="1"/>
        <rFont val="Calibri"/>
        <family val="2"/>
        <scheme val="minor"/>
      </rPr>
      <t> </t>
    </r>
    <r>
      <rPr>
        <sz val="10"/>
        <color theme="1"/>
        <rFont val="Calibri"/>
        <family val="2"/>
        <scheme val="minor"/>
      </rPr>
      <t xml:space="preserve"> service to single phase supply</t>
    </r>
  </si>
  <si>
    <r>
      <t>Augment multi phase overhead service</t>
    </r>
    <r>
      <rPr>
        <sz val="8"/>
        <color theme="1"/>
        <rFont val="Calibri"/>
        <family val="2"/>
        <scheme val="minor"/>
      </rPr>
      <t> </t>
    </r>
    <r>
      <rPr>
        <sz val="10"/>
        <color theme="1"/>
        <rFont val="Calibri"/>
        <family val="2"/>
        <scheme val="minor"/>
      </rPr>
      <t xml:space="preserve"> to underground supply (turret)</t>
    </r>
  </si>
  <si>
    <r>
      <t>Augment single phase overhead service</t>
    </r>
    <r>
      <rPr>
        <sz val="8"/>
        <color theme="1"/>
        <rFont val="Calibri"/>
        <family val="2"/>
        <scheme val="minor"/>
      </rPr>
      <t> </t>
    </r>
    <r>
      <rPr>
        <sz val="10"/>
        <color theme="1"/>
        <rFont val="Calibri"/>
        <family val="2"/>
        <scheme val="minor"/>
      </rPr>
      <t xml:space="preserve"> to underground supply (pole)</t>
    </r>
  </si>
  <si>
    <r>
      <t>Augment multi phase overhead service</t>
    </r>
    <r>
      <rPr>
        <sz val="8"/>
        <color theme="1"/>
        <rFont val="Calibri"/>
        <family val="2"/>
        <scheme val="minor"/>
      </rPr>
      <t> </t>
    </r>
    <r>
      <rPr>
        <sz val="10"/>
        <color theme="1"/>
        <rFont val="Calibri"/>
        <family val="2"/>
        <scheme val="minor"/>
      </rPr>
      <t xml:space="preserve"> to underground supply (pole)</t>
    </r>
  </si>
  <si>
    <t>Basic connection alteration – after hours</t>
  </si>
  <si>
    <t>Basic connection wasted visit – single person crew</t>
  </si>
  <si>
    <t>Basic connection wasted visit – multi person crew</t>
  </si>
  <si>
    <t>Connection alteration – overhead single phase</t>
  </si>
  <si>
    <t>Connection alteration – overhead multi phase</t>
  </si>
  <si>
    <t>Augment single phase overhead  service to multi phase supply</t>
  </si>
  <si>
    <t>Augment multi phase overhead  service to single phase supply</t>
  </si>
  <si>
    <t>Augment single phase overhead  service to underground supply (turret)</t>
  </si>
  <si>
    <t>Augment multi phase overhead service  to underground supply (turret)</t>
  </si>
  <si>
    <t>Augment single phase overhead service  to underground supply (pole)</t>
  </si>
  <si>
    <t>Augment multi phase overhead service  to underground supply (pole)</t>
  </si>
  <si>
    <t>Basic connection wasted visit - 2 worker</t>
  </si>
  <si>
    <t>Overhead service, single span – single phase</t>
  </si>
  <si>
    <t>Overhead service, single span – multi phase</t>
  </si>
  <si>
    <t>Underground service in turret/cabinet – single phase</t>
  </si>
  <si>
    <t>Underground service in turret/cabinet – multi phase</t>
  </si>
  <si>
    <t>Underground service with pole mounted fuse – single phase</t>
  </si>
  <si>
    <t>Underground service with pole mounted fuse – multi phase</t>
  </si>
  <si>
    <t>Connection of new consumer mains to an existing installation – underground single phase to turret or pole</t>
  </si>
  <si>
    <t>Connection of new consumer mains to an existing installation – underground multi phase to turret or pole</t>
  </si>
  <si>
    <t>Temporary disconnect/reconnect – after hours</t>
  </si>
  <si>
    <t>Temporary disconnect/reconnect – wasted visit</t>
  </si>
  <si>
    <t>Design Consultancy Fee (Hourly Rate)</t>
  </si>
  <si>
    <t>ConstructionReview Fee (Hourly Rate)</t>
  </si>
  <si>
    <t>Materials Evaluation Fee</t>
  </si>
  <si>
    <t>Design Accreditation Fee</t>
  </si>
  <si>
    <t>Design Accreditation Renewal Fee</t>
  </si>
  <si>
    <t>Construction Accreditation Fee</t>
  </si>
  <si>
    <t>Const. Accreditation Renewal Fee</t>
  </si>
  <si>
    <t>Miscellaneous</t>
  </si>
  <si>
    <t>Design and construction fees Large (Max fee)</t>
  </si>
  <si>
    <t>Design and construction fees Small (Min fee)</t>
  </si>
  <si>
    <t>Design and construction fees</t>
  </si>
  <si>
    <t>Designer (Qual)</t>
  </si>
  <si>
    <t>Designer (Dual)</t>
  </si>
  <si>
    <t>Designer (UG)</t>
  </si>
  <si>
    <t>Electrical Mechanic (GS)</t>
  </si>
  <si>
    <t>Site Manager</t>
  </si>
  <si>
    <t>Project Manager</t>
  </si>
  <si>
    <t>Vehicle build up price</t>
  </si>
  <si>
    <t>2015/16  fees indexed to 2017</t>
  </si>
  <si>
    <t>2014/15  fees indexed to 2017</t>
  </si>
  <si>
    <t>Company unit rate</t>
  </si>
  <si>
    <t>Lineworker utilisation</t>
  </si>
  <si>
    <t>Electrical Technician Utilisation</t>
  </si>
  <si>
    <t>Utilisation rates have been sourced from the Quoted Services workpaper. This reflects actual rates for the 12 month period Oct 14-Sep 15</t>
  </si>
  <si>
    <t>Rate per hour</t>
  </si>
  <si>
    <t>Rate of total spend</t>
  </si>
  <si>
    <t>Process information</t>
  </si>
  <si>
    <t>Assumptions</t>
  </si>
  <si>
    <t>Task times are a average of actual time to complete the service. This is a best estimate by the employees who work in the area, jobs will vary if there are access issues or technical issues to deal with therefore a average is used.</t>
  </si>
  <si>
    <t>Overheads have been applied in 3 different ways using the CAM allocation:
 - Works and service hourly rate
 - Corporate Shared Costs that is applied on a spend allocation.
 - Supervision as a per task cost</t>
  </si>
  <si>
    <t>Because some services attract higher costs of managing, staffing and organising a premium is included in the price.</t>
  </si>
  <si>
    <t>The fees have been calculated using estimated average travel and task time and then applicable vehicle, material, overhead and supervision costs. These costs have been sourced from the business to reflect actual costs incurred carrying out the service or connection.</t>
  </si>
  <si>
    <t>With the introduction of customer choice new fees are required to be included. Given there are a lot of unknowns with the services to be provided, take up and volumes they have been calculated separately to the other ancillary service fees. They are managed by a separate team and this team has developed the inputs for the build up.</t>
  </si>
  <si>
    <t>Ancillary fees are a combination of the previous fee based services and basic connection fees. They have been combined because basic connections are moving from Standard Control to Alternative Control and to ensure they are calculated with overheads applied consistently. There were overlaps of the fees therefore some fees have either merged or combined with others.</t>
  </si>
  <si>
    <t>Travel time is a average for the different services and  these times vary. For example tasks that are programmed to be completed resulting in areas being done during a day, creates efficiencies.  Other one off premium services can be anywhere in the state therefore travel times can be significant resulting in a higher travel time average.</t>
  </si>
  <si>
    <t>Time spent by the customer team reflects an average amount of time spent on a request, this is then used to allocate their total annual budget for recovery.</t>
  </si>
  <si>
    <t>Split</t>
  </si>
  <si>
    <t>Volumes were received from the Customer team with connection splits provided by Network Planning. Given there are many fees that are not very common a volume of 1 has been included so that a supervision fee is included in the cost build up.</t>
  </si>
  <si>
    <t>Received from the Customer team, they have looked at the fees which have been logged in their system to form forecasts figure.</t>
  </si>
  <si>
    <t>KEY</t>
  </si>
  <si>
    <t>Original Numbers</t>
  </si>
  <si>
    <t>Split Numbers</t>
  </si>
  <si>
    <t>The below CAM links have been used to calculate a works and services hourly rate as well as the shared services % of total spend.</t>
  </si>
  <si>
    <t>Check total recovery</t>
  </si>
  <si>
    <t>Linked to source for build up</t>
  </si>
  <si>
    <t>Split connections into the various types based on the Network planning data</t>
  </si>
  <si>
    <t>From the metering DD17 data</t>
  </si>
  <si>
    <t>Residential</t>
  </si>
  <si>
    <t>Overhead connection volumes, both residential and commercial</t>
  </si>
  <si>
    <t>Total OH connections need to be split into single and multiple phase using meter data below</t>
  </si>
  <si>
    <t>Underground connection volumes, both residential and commercial</t>
  </si>
  <si>
    <t>Total UG connections need to be split into single and multiple phase using meter data below</t>
  </si>
  <si>
    <t>UG connections need to be split into turret and Pole as they vary. Assumed to be 50/50</t>
  </si>
  <si>
    <t>Commercial</t>
  </si>
  <si>
    <t>Turret/Pole Split</t>
  </si>
  <si>
    <t>turret</t>
  </si>
  <si>
    <t>Split  Embedded Gen into single and Multiple phase using</t>
  </si>
  <si>
    <t xml:space="preserve">2014/15 salary rates therefore index 2 years </t>
  </si>
  <si>
    <t>NA not required</t>
  </si>
  <si>
    <t>total hours for split</t>
  </si>
  <si>
    <t>Model Details</t>
  </si>
  <si>
    <t>Model Name:</t>
  </si>
  <si>
    <t>TasNetworks (Ancillary Service Fees Model)</t>
  </si>
  <si>
    <t>Alternative Control</t>
  </si>
  <si>
    <t>Embedded Gen.</t>
  </si>
  <si>
    <t>DEPT</t>
  </si>
  <si>
    <t>Division</t>
  </si>
  <si>
    <t>dept.groups</t>
  </si>
  <si>
    <t>dept.description</t>
  </si>
  <si>
    <t>Dec F'cast</t>
  </si>
  <si>
    <t>Budget 15/16</t>
  </si>
  <si>
    <t>Capital Labour  Budget</t>
  </si>
  <si>
    <t>Other income</t>
  </si>
  <si>
    <t>Customer Engagement &amp; Network Operations</t>
  </si>
  <si>
    <t>Customer Service</t>
  </si>
  <si>
    <t>Customer Information Management</t>
  </si>
  <si>
    <t>LV - Single Phase</t>
  </si>
  <si>
    <t>LV - Multi Phase</t>
  </si>
  <si>
    <t>LV - CT Meters</t>
  </si>
  <si>
    <t>3 min</t>
  </si>
  <si>
    <t>2 min</t>
  </si>
  <si>
    <t>2min</t>
  </si>
  <si>
    <t xml:space="preserve">8 min </t>
  </si>
  <si>
    <t>15 min</t>
  </si>
  <si>
    <t>5 min</t>
  </si>
  <si>
    <t>Estimated time spent on each request - used to allocate supervision cost pool</t>
  </si>
  <si>
    <t>Margin</t>
  </si>
  <si>
    <t>This determination we have also included a margin equal to the distribution WACC. This is consistent with the 7% margin Encestra had prepared by NERA and reflects.</t>
  </si>
  <si>
    <t>Meter test - wasted visit</t>
  </si>
  <si>
    <t>Connection establishment - wasted visit</t>
  </si>
  <si>
    <t>Basic connection wasted visit</t>
  </si>
  <si>
    <t xml:space="preserve">Assumed that actual utilisation recorded during the 12 months October 14 - September 2015 will remain consistent. </t>
  </si>
  <si>
    <t>Supervision allocation</t>
  </si>
  <si>
    <t>Application Fee - Customer Choice</t>
  </si>
  <si>
    <t>Site visit – current transformer (CT) metering</t>
  </si>
  <si>
    <t>Meter test – current transformer (CT)</t>
  </si>
  <si>
    <t xml:space="preserve">Tee-up/Appointment </t>
  </si>
  <si>
    <t>Tee-up/Appointment – after hours</t>
  </si>
  <si>
    <t>Tee-up/Appointment – no truck – after hours</t>
  </si>
  <si>
    <t>Tee-up/Appointment – wasted visit</t>
  </si>
  <si>
    <t>Meter Relocation</t>
  </si>
  <si>
    <t>Renewable energy connection – wasted visit</t>
  </si>
</sst>
</file>

<file path=xl/styles.xml><?xml version="1.0" encoding="utf-8"?>
<styleSheet xmlns="http://schemas.openxmlformats.org/spreadsheetml/2006/main" xmlns:mc="http://schemas.openxmlformats.org/markup-compatibility/2006" xmlns:x14ac="http://schemas.microsoft.com/office/spreadsheetml/2009/9/ac" mc:Ignorable="x14ac">
  <numFmts count="13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_(* \(#,##0.00\);_(* &quot;-&quot;??_);_(@_)"/>
    <numFmt numFmtId="166" formatCode="0.000"/>
    <numFmt numFmtId="167" formatCode="0.0000"/>
    <numFmt numFmtId="168" formatCode="General_)"/>
    <numFmt numFmtId="169" formatCode="_-* #,##0.00_-;[Red]\(#,##0.00\)_-;_-* &quot;-&quot;??_-;_-@_-"/>
    <numFmt numFmtId="170" formatCode="#,##0.0_);\(#,##0.0\)"/>
    <numFmt numFmtId="171" formatCode="#,##0.0"/>
    <numFmt numFmtId="172" formatCode="0.0%"/>
    <numFmt numFmtId="173" formatCode="#,##0.00_);\(#,##0.00\);\-"/>
    <numFmt numFmtId="174" formatCode="#,##0_);\(#,##0\);\-"/>
    <numFmt numFmtId="175" formatCode="#,##0.00%_);\(#,##0.00%\);\-"/>
    <numFmt numFmtId="176" formatCode="#,##0.0%_);\(#,##0.0%\);\-"/>
    <numFmt numFmtId="177" formatCode="#,##0.0\x_);\(#,##0.0\x\);\-"/>
    <numFmt numFmtId="178" formatCode="_(&quot;$&quot;#,##0.0_);\(&quot;$&quot;#,##0.0\);_(&quot;-&quot;_)"/>
    <numFmt numFmtId="179" formatCode="d/m/yy"/>
    <numFmt numFmtId="180" formatCode="_(#,##0.0\x_);\(#,##0.0\x\);_(&quot;-&quot;_)"/>
    <numFmt numFmtId="181" formatCode="_(#,##0_);\(#,##0\);_(&quot;-&quot;_)"/>
    <numFmt numFmtId="182" formatCode="_(#,##0.0%_);\(#,##0.0%\);_(&quot;-&quot;_)"/>
    <numFmt numFmtId="183" formatCode="_(###0_);\(###0\);_(###0_)"/>
    <numFmt numFmtId="184" formatCode="_)d/m/yy_)"/>
    <numFmt numFmtId="185" formatCode="dd/mm/yy"/>
    <numFmt numFmtId="186" formatCode="0;\(0\);&quot;-&quot;"/>
    <numFmt numFmtId="187" formatCode="&quot;$&quot;#,##0_);\(&quot;$&quot;#,##0\)"/>
    <numFmt numFmtId="188" formatCode="_(* #,##0.0_);_(* \(#,##0.0\);_(* &quot;-&quot;?_);@_)"/>
    <numFmt numFmtId="189" formatCode="#,##0;\(#,##0\)"/>
    <numFmt numFmtId="190" formatCode="#,##0;\-#,##0;\-"/>
    <numFmt numFmtId="191" formatCode="&quot;$&quot;#,##0.0;[Red]\(&quot;$&quot;#,##0.0\)"/>
    <numFmt numFmtId="192" formatCode="_(0.0%_);\(0.0%\);&quot;-&quot;"/>
    <numFmt numFmtId="193" formatCode="_(\ #,##0_);\(#,##0\);_(\ &quot;-&quot;_);"/>
    <numFmt numFmtId="194" formatCode="_(\ #,##0.0_);\(#,##0.0\);_(\ &quot;-&quot;_);"/>
    <numFmt numFmtId="195" formatCode="dd\ mmm\ yy"/>
    <numFmt numFmtId="196" formatCode="_(\ #,##0_);\(#,##0\);&quot;-&quot;;@"/>
    <numFmt numFmtId="197" formatCode="0.000_)"/>
    <numFmt numFmtId="198" formatCode="_-* #,##0.00_-;\(#,##0.00\);_-* &quot;-&quot;_-"/>
    <numFmt numFmtId="199" formatCode="_(&quot;Rp.&quot;* #,##0_);_(&quot;Rp.&quot;* \(#,##0\);_(&quot;Rp.&quot;* &quot;-&quot;_);_(@_)"/>
    <numFmt numFmtId="200" formatCode="00000"/>
    <numFmt numFmtId="201" formatCode="#,##0.000"/>
    <numFmt numFmtId="202" formatCode="&quot;$&quot;#,##0.00;\(&quot;$&quot;#,##0.00\)"/>
    <numFmt numFmtId="203" formatCode="&quot;$&quot;\ #,##0.00;\-&quot;$&quot;\ #,##0.00;&quot;$&quot;\ 0.00;@"/>
    <numFmt numFmtId="204" formatCode="&quot;$&quot;#,##0_%_);\(&quot;$&quot;#,##0\)_%;&quot;$&quot;#,##0_%_);@_%_)"/>
    <numFmt numFmtId="205" formatCode="_(&quot;$&quot;* #,##0.00_);_(&quot;$&quot;* \(#,##0.00\);_(&quot;$&quot;* &quot;-&quot;??_);_(@_)"/>
    <numFmt numFmtId="206" formatCode="&quot;C$&quot;_-0.00"/>
    <numFmt numFmtId="207" formatCode="&quot;€&quot;_-0.00"/>
    <numFmt numFmtId="208" formatCode="&quot;P&quot;_-0.0"/>
    <numFmt numFmtId="209" formatCode="&quot;£&quot;_-0.00"/>
    <numFmt numFmtId="210" formatCode="&quot;US&quot;&quot;$&quot;_-0.00"/>
    <numFmt numFmtId="211" formatCode="&quot;$&quot;#,##0.00_);[Red]\(&quot;$&quot;#,##0.00\)"/>
    <numFmt numFmtId="212" formatCode="#,##0.00000;[Red]\-#,##0.00000"/>
    <numFmt numFmtId="213" formatCode="mm/dd/yy"/>
    <numFmt numFmtId="214" formatCode="0.0"/>
    <numFmt numFmtId="215" formatCode="dd\ mmm\ yyyy"/>
    <numFmt numFmtId="216" formatCode="mmm\ yy"/>
    <numFmt numFmtId="217" formatCode="mmm\-d\-yyyy"/>
    <numFmt numFmtId="218" formatCode="mmm\-yyyy"/>
    <numFmt numFmtId="219" formatCode="m/d/yy_%_)"/>
    <numFmt numFmtId="220" formatCode="mmm\-yy_*"/>
    <numFmt numFmtId="221" formatCode="_-* #,##0\ _D_M_-;\-* #,##0\ _D_M_-;_-* &quot;-&quot;\ _D_M_-;_-@_-"/>
    <numFmt numFmtId="222" formatCode="_-* #,##0.00\ _D_M_-;\-* #,##0.00\ _D_M_-;_-* &quot;-&quot;??\ _D_M_-;_-@_-"/>
    <numFmt numFmtId="223" formatCode="&quot;$&quot;#,##0\ ;\(&quot;$&quot;#,##0\)"/>
    <numFmt numFmtId="224" formatCode="0_%_);\(0\)_%;0_%_);@_%_)"/>
    <numFmt numFmtId="225" formatCode="_([$€-2]* #,##0.00_);_([$€-2]* \(#,##0.00\);_([$€-2]* &quot;-&quot;??_)"/>
    <numFmt numFmtId="226" formatCode="&quot;$&quot;#,##0.00000"/>
    <numFmt numFmtId="227" formatCode="_-* #,##0_-;\(#,##0\);_-* &quot;-&quot;_-"/>
    <numFmt numFmtId="228" formatCode="0_);[Red]\(0\)"/>
    <numFmt numFmtId="229" formatCode="0.00_);[Red]\(0.00\)"/>
    <numFmt numFmtId="230" formatCode="0.0000_);[Red]\(0.0000\)"/>
    <numFmt numFmtId="231" formatCode="_(* #,##0_);_(* \(#,##0\);_(* &quot;-&quot;??_);_(@_)"/>
    <numFmt numFmtId="232" formatCode="&quot;Rp.&quot;#,##0.00_);\(&quot;Rp.&quot;#,##0.00\)"/>
    <numFmt numFmtId="233" formatCode="0.0\%_);\(0.0\%\);0.0\%_);@_%_)"/>
    <numFmt numFmtId="234" formatCode="_-* #,##0.0_-;* \-#,##0.0_-;_-\ * &quot;-&quot;??_-;_-@_-"/>
    <numFmt numFmtId="235" formatCode="0."/>
    <numFmt numFmtId="236" formatCode=";;;"/>
    <numFmt numFmtId="237" formatCode="#,##0.0;\(#,##0.0\)"/>
    <numFmt numFmtId="238" formatCode="#,##0.000_);\(#,##0.000\);\-_)"/>
    <numFmt numFmtId="239" formatCode="_(\ #,##0.0_);_(\ \(#,##0.0\);_(* &quot;-&quot;??_);_(@_)"/>
    <numFmt numFmtId="240" formatCode="#,##0.00_ ;[Red]\ \(#,##0.00\);\ \-_)"/>
    <numFmt numFmtId="241" formatCode="#,##0_ ;[Red]\ \(#,##0\);\ \-_)"/>
    <numFmt numFmtId="242" formatCode="0.00%;\(0.00%\)"/>
    <numFmt numFmtId="243" formatCode="0.00%;_*\(0.00\)%"/>
    <numFmt numFmtId="244" formatCode="0.0_)%\(0.0%\);\-"/>
    <numFmt numFmtId="245" formatCode="_(* #,##0_);_(* \(#,##0\);_(* &quot;-&quot;_);_(@_)"/>
    <numFmt numFmtId="246" formatCode="#,##0.0_);\(#,##0.0\);\-"/>
    <numFmt numFmtId="247" formatCode="#,##0.0000_);\(#,##0.0000\);\-"/>
    <numFmt numFmtId="248" formatCode="0.00%_);\(0.00%\);\-_%_)"/>
    <numFmt numFmtId="249" formatCode="?.?,,_);[Red]\(?.?,,\)"/>
    <numFmt numFmtId="250" formatCode="#.0#\x"/>
    <numFmt numFmtId="251" formatCode="_-* #,##0.0_-;\(\ #,##0.0\)"/>
    <numFmt numFmtId="252" formatCode="#,##0.00;\(#,##0.00\)"/>
    <numFmt numFmtId="253" formatCode="0%_);\(0%\)"/>
    <numFmt numFmtId="254" formatCode="0.00%_);\(0.00\)%;\-"/>
    <numFmt numFmtId="255" formatCode="#,##0;[Red]\(#,##0.0\)"/>
    <numFmt numFmtId="256" formatCode="#.0\x"/>
    <numFmt numFmtId="257" formatCode="#,##0_ ;[Red]\(#,##0\)\ "/>
    <numFmt numFmtId="258" formatCode="000"/>
    <numFmt numFmtId="259" formatCode="\C\R000"/>
    <numFmt numFmtId="260" formatCode="0.00_)"/>
    <numFmt numFmtId="261" formatCode="#,##0.0_);[Red]\(#,##0.0\)"/>
    <numFmt numFmtId="262" formatCode="_)d\-mmm\-yy_)"/>
    <numFmt numFmtId="263" formatCode="_(#,##0.0_);\(#,##0.0\);_(&quot;-&quot;_)"/>
    <numFmt numFmtId="264" formatCode="#,##0_);\(#,##0\);\-_)"/>
    <numFmt numFmtId="265" formatCode="[&lt;1000]\ 0_);[&gt;1000]\ dd\-mmm\-yy;General"/>
    <numFmt numFmtId="266" formatCode="#,##0_*;\(#,##0\);0_*;@_)"/>
    <numFmt numFmtId="267" formatCode="#,##0_ ;\(#,##0\)_-;&quot;-&quot;"/>
    <numFmt numFmtId="268" formatCode="#,##0;[Red]\ \ \(#,##0\)"/>
    <numFmt numFmtId="269" formatCode="_-* #,##0\ &quot;DM&quot;_-;\-* #,##0\ &quot;DM&quot;_-;_-* &quot;-&quot;\ &quot;DM&quot;_-;_-@_-"/>
    <numFmt numFmtId="270" formatCode="_-* #,##0.00\ &quot;DM&quot;_-;\-* #,##0.00\ &quot;DM&quot;_-;_-* &quot;-&quot;??\ &quot;DM&quot;_-;_-@_-"/>
    <numFmt numFmtId="271" formatCode="0.0\x_);&quot;nmf&quot;_)"/>
    <numFmt numFmtId="272" formatCode="#,##0.0000_);[Red]\(#,##0.0000\)"/>
    <numFmt numFmtId="273" formatCode="yyyy&quot;A&quot;"/>
    <numFmt numFmtId="274" formatCode="yyyy&quot;E&quot;"/>
    <numFmt numFmtId="275" formatCode="0\ \ ;\(0\)\ \ \ "/>
    <numFmt numFmtId="276" formatCode="0&quot;E&quot;"/>
    <numFmt numFmtId="277" formatCode="&quot;Yes&quot;;[Red]&quot;Error&quot;;&quot;No&quot;;[Red]&quot;Error&quot;"/>
    <numFmt numFmtId="278" formatCode="#&quot; Yr &quot;##&quot; Mth&quot;"/>
    <numFmt numFmtId="279" formatCode="_-&quot;$&quot;* #,##0_-;\-&quot;$&quot;* #,##0_-;_-&quot;$&quot;* &quot;-&quot;??_-;_-@_-"/>
    <numFmt numFmtId="280" formatCode="_-* #,##0.0_-;\-* #,##0.0_-;_-* &quot;-&quot;??_-;_-@_-"/>
    <numFmt numFmtId="281" formatCode="_-* #,##0.0_-;\-* #,##0.0_-;_-* &quot;-&quot;?_-;_-@_-"/>
    <numFmt numFmtId="282" formatCode="_-* #,##0.00%_-;[Red]\-* #,##0.00%_-;_-* &quot;-&quot;??_-;_-@_-"/>
    <numFmt numFmtId="283" formatCode="0.000%"/>
    <numFmt numFmtId="284" formatCode="&quot;Warning&quot;;&quot;Warning&quot;;&quot;OK&quot;"/>
    <numFmt numFmtId="285" formatCode="&quot;Cal Mth&quot;\ 0"/>
    <numFmt numFmtId="286" formatCode="#,##0_-;\ \(#,##0\);_-* &quot;-&quot;??;_-@_-"/>
    <numFmt numFmtId="287" formatCode="0\ &quot;Qtr(s)&quot;"/>
    <numFmt numFmtId="288" formatCode="[$-C09]dd\-mmm\-yy;@"/>
    <numFmt numFmtId="289" formatCode="&quot;$&quot;#,##0.00"/>
    <numFmt numFmtId="290" formatCode="_-* #,##0.00%_-;[Red]* \(#,##0.00\)%_-;_-* &quot;-&quot;??_-;_-@_-"/>
  </numFmts>
  <fonts count="23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11"/>
      <color indexed="9"/>
      <name val="Arial"/>
      <family val="2"/>
    </font>
    <font>
      <b/>
      <sz val="10"/>
      <name val="Arial"/>
      <family val="2"/>
    </font>
    <font>
      <b/>
      <sz val="14"/>
      <name val="Arial"/>
      <family val="2"/>
    </font>
    <font>
      <b/>
      <sz val="11"/>
      <name val="Arial"/>
      <family val="2"/>
    </font>
    <font>
      <sz val="11"/>
      <color theme="3" tint="-0.499984740745262"/>
      <name val="Arial"/>
      <family val="2"/>
    </font>
    <font>
      <sz val="10"/>
      <color theme="3" tint="-0.499984740745262"/>
      <name val="Arial"/>
      <family val="2"/>
    </font>
    <font>
      <strike/>
      <sz val="10"/>
      <name val="Arial"/>
      <family val="2"/>
    </font>
    <font>
      <b/>
      <strike/>
      <sz val="10"/>
      <name val="Arial"/>
      <family val="2"/>
    </font>
    <font>
      <strike/>
      <sz val="10"/>
      <color theme="3" tint="-0.499984740745262"/>
      <name val="Arial"/>
      <family val="2"/>
    </font>
    <font>
      <sz val="10"/>
      <color indexed="12"/>
      <name val="Arial"/>
      <family val="2"/>
    </font>
    <font>
      <b/>
      <sz val="10"/>
      <color indexed="17"/>
      <name val="Arial"/>
      <family val="2"/>
    </font>
    <font>
      <b/>
      <sz val="10"/>
      <name val="Calibri"/>
      <family val="2"/>
      <scheme val="minor"/>
    </font>
    <font>
      <sz val="10"/>
      <name val="Arial Narrow"/>
      <family val="2"/>
    </font>
    <font>
      <sz val="10"/>
      <name val="Calibri"/>
      <family val="2"/>
      <scheme val="minor"/>
    </font>
    <font>
      <sz val="11"/>
      <name val="Calibri"/>
      <family val="2"/>
      <scheme val="minor"/>
    </font>
    <font>
      <b/>
      <sz val="11"/>
      <name val="Calibri"/>
      <family val="2"/>
      <scheme val="minor"/>
    </font>
    <font>
      <sz val="12"/>
      <name val="Arial"/>
      <family val="2"/>
    </font>
    <font>
      <b/>
      <sz val="12"/>
      <name val="Arial"/>
      <family val="2"/>
    </font>
    <font>
      <sz val="11"/>
      <color indexed="8"/>
      <name val="Calibri"/>
      <family val="2"/>
    </font>
    <font>
      <sz val="9"/>
      <name val="Arial"/>
      <family val="2"/>
    </font>
    <font>
      <sz val="10"/>
      <color indexed="8"/>
      <name val="Arial"/>
      <family val="2"/>
    </font>
    <font>
      <b/>
      <sz val="16"/>
      <color theme="1"/>
      <name val="Calibri"/>
      <family val="2"/>
      <scheme val="minor"/>
    </font>
    <font>
      <sz val="10"/>
      <name val="Helv"/>
    </font>
    <font>
      <sz val="14"/>
      <name val="System"/>
      <family val="2"/>
    </font>
    <font>
      <sz val="10"/>
      <name val="Helv"/>
      <charset val="204"/>
    </font>
    <font>
      <sz val="10"/>
      <name val="Courier"/>
      <family val="3"/>
    </font>
    <font>
      <sz val="8"/>
      <name val="Arial"/>
      <family val="2"/>
    </font>
    <font>
      <sz val="11"/>
      <color indexed="9"/>
      <name val="Calibri"/>
      <family val="2"/>
    </font>
    <font>
      <sz val="11"/>
      <name val="Arial"/>
      <family val="2"/>
    </font>
    <font>
      <sz val="9"/>
      <name val="Times New Roman"/>
      <family val="1"/>
    </font>
    <font>
      <sz val="8"/>
      <color indexed="12"/>
      <name val="Arial"/>
      <family val="2"/>
    </font>
    <font>
      <i/>
      <sz val="8"/>
      <color indexed="16"/>
      <name val="Arial"/>
      <family val="2"/>
    </font>
    <font>
      <i/>
      <sz val="8"/>
      <color indexed="54"/>
      <name val="Arial"/>
      <family val="2"/>
    </font>
    <font>
      <i/>
      <sz val="9"/>
      <color indexed="16"/>
      <name val="Arial"/>
      <family val="2"/>
    </font>
    <font>
      <b/>
      <sz val="9"/>
      <name val="Arial"/>
      <family val="2"/>
    </font>
    <font>
      <sz val="9"/>
      <name val="AGaramond"/>
    </font>
    <font>
      <sz val="9"/>
      <color indexed="12"/>
      <name val="Frutiger 45 Light"/>
      <family val="2"/>
    </font>
    <font>
      <sz val="8"/>
      <color indexed="48"/>
      <name val="Arial"/>
      <family val="2"/>
    </font>
    <font>
      <sz val="10"/>
      <name val="Times New Roman"/>
      <family val="1"/>
    </font>
    <font>
      <sz val="8"/>
      <color indexed="12"/>
      <name val="Helvetica-Narrow"/>
      <family val="2"/>
    </font>
    <font>
      <sz val="11"/>
      <color indexed="20"/>
      <name val="Calibri"/>
      <family val="2"/>
    </font>
    <font>
      <sz val="10"/>
      <name val="Helvetica"/>
      <family val="2"/>
    </font>
    <font>
      <sz val="10"/>
      <color indexed="12"/>
      <name val="Helvetica"/>
      <family val="2"/>
    </font>
    <font>
      <b/>
      <sz val="10"/>
      <name val="MS Sans Serif"/>
      <family val="2"/>
    </font>
    <font>
      <sz val="8"/>
      <name val="Times New Roman"/>
      <family val="1"/>
    </font>
    <font>
      <b/>
      <sz val="9"/>
      <color indexed="24"/>
      <name val="Arial"/>
      <family val="2"/>
    </font>
    <font>
      <b/>
      <sz val="11"/>
      <color indexed="24"/>
      <name val="Arial"/>
      <family val="2"/>
    </font>
    <font>
      <b/>
      <sz val="11"/>
      <color indexed="51"/>
      <name val="Calibri"/>
      <family val="2"/>
    </font>
    <font>
      <b/>
      <sz val="8"/>
      <color indexed="15"/>
      <name val="Times New Roman"/>
      <family val="1"/>
    </font>
    <font>
      <sz val="10"/>
      <color indexed="10"/>
      <name val="Century Gothic"/>
      <family val="2"/>
    </font>
    <font>
      <b/>
      <sz val="11"/>
      <color indexed="9"/>
      <name val="Calibri"/>
      <family val="2"/>
    </font>
    <font>
      <b/>
      <sz val="8"/>
      <name val="Arial"/>
      <family val="2"/>
    </font>
    <font>
      <sz val="11"/>
      <name val="Tms Rmn"/>
    </font>
    <font>
      <sz val="10"/>
      <name val="Palatino"/>
    </font>
    <font>
      <sz val="10"/>
      <name val="MS Sans Serif"/>
      <family val="2"/>
    </font>
    <font>
      <sz val="8"/>
      <name val="Palatino"/>
      <family val="1"/>
    </font>
    <font>
      <sz val="10"/>
      <color indexed="24"/>
      <name val="Arial"/>
      <family val="2"/>
    </font>
    <font>
      <sz val="14"/>
      <name val="Palatino"/>
      <family val="1"/>
    </font>
    <font>
      <sz val="16"/>
      <name val="Palatino"/>
      <family val="1"/>
    </font>
    <font>
      <sz val="32"/>
      <name val="Helvetica-Black"/>
    </font>
    <font>
      <sz val="11"/>
      <name val="Book Antiqua"/>
      <family val="1"/>
    </font>
    <font>
      <sz val="10"/>
      <color indexed="50"/>
      <name val="Arial"/>
      <family val="2"/>
    </font>
    <font>
      <sz val="10"/>
      <name val="Palatino"/>
      <family val="1"/>
    </font>
    <font>
      <sz val="9"/>
      <name val="Frutiger 45 Light"/>
      <family val="2"/>
    </font>
    <font>
      <sz val="10"/>
      <name val="dutch801 bt"/>
    </font>
    <font>
      <i/>
      <sz val="11"/>
      <color indexed="23"/>
      <name val="Calibri"/>
      <family val="2"/>
    </font>
    <font>
      <sz val="12"/>
      <name val="Times New Roman"/>
      <family val="1"/>
    </font>
    <font>
      <sz val="10"/>
      <color indexed="10"/>
      <name val="Arial"/>
      <family val="2"/>
    </font>
    <font>
      <sz val="8"/>
      <color indexed="10"/>
      <name val="Arial"/>
      <family val="2"/>
    </font>
    <font>
      <sz val="6"/>
      <color indexed="23"/>
      <name val="Helvetica-Black"/>
    </font>
    <font>
      <sz val="9.5"/>
      <color indexed="23"/>
      <name val="Helvetica-Black"/>
    </font>
    <font>
      <sz val="7"/>
      <name val="Palatino"/>
      <family val="1"/>
    </font>
    <font>
      <b/>
      <sz val="10"/>
      <name val="Times New Roman"/>
      <family val="1"/>
    </font>
    <font>
      <sz val="9"/>
      <name val="GillSans"/>
    </font>
    <font>
      <sz val="9"/>
      <name val="GillSans Light"/>
    </font>
    <font>
      <sz val="11"/>
      <color indexed="17"/>
      <name val="Calibri"/>
      <family val="2"/>
    </font>
    <font>
      <sz val="10"/>
      <color indexed="23"/>
      <name val="Arial"/>
      <family val="2"/>
    </font>
    <font>
      <b/>
      <u/>
      <sz val="11"/>
      <name val="Arial"/>
      <family val="2"/>
    </font>
    <font>
      <i/>
      <sz val="8"/>
      <name val="Arial"/>
      <family val="2"/>
    </font>
    <font>
      <b/>
      <sz val="12"/>
      <name val="Times New Roman"/>
      <family val="1"/>
    </font>
    <font>
      <b/>
      <i/>
      <sz val="10"/>
      <name val="Times New Roman"/>
      <family val="1"/>
    </font>
    <font>
      <i/>
      <sz val="10"/>
      <name val="Times New Roman"/>
      <family val="1"/>
    </font>
    <font>
      <b/>
      <i/>
      <sz val="11"/>
      <name val="IQE Hlv Narrow"/>
    </font>
    <font>
      <i/>
      <sz val="11"/>
      <name val="IQE Hlv Narrow"/>
    </font>
    <font>
      <sz val="11"/>
      <name val="IQE Hlv Narrow"/>
    </font>
    <font>
      <b/>
      <sz val="14"/>
      <name val="IQE Hlv Narrow"/>
    </font>
    <font>
      <b/>
      <sz val="11"/>
      <name val="IQE Hlv Narrow"/>
    </font>
    <font>
      <b/>
      <sz val="8"/>
      <color indexed="8"/>
      <name val="Arial"/>
      <family val="2"/>
    </font>
    <font>
      <b/>
      <sz val="20"/>
      <name val="Tahoma"/>
      <family val="2"/>
    </font>
    <font>
      <b/>
      <sz val="10"/>
      <name val="Tahoma"/>
      <family val="2"/>
    </font>
    <font>
      <sz val="6"/>
      <name val="Palatino"/>
      <family val="1"/>
    </font>
    <font>
      <sz val="6"/>
      <color indexed="16"/>
      <name val="Palatino"/>
      <family val="1"/>
    </font>
    <font>
      <b/>
      <i/>
      <sz val="13"/>
      <color indexed="9"/>
      <name val="IQE Garamond I Cd"/>
    </font>
    <font>
      <b/>
      <sz val="15"/>
      <color indexed="61"/>
      <name val="Calibri"/>
      <family val="2"/>
    </font>
    <font>
      <sz val="10"/>
      <name val="Helvetica-Black"/>
    </font>
    <font>
      <sz val="28"/>
      <name val="Helvetica-Black"/>
    </font>
    <font>
      <b/>
      <sz val="10"/>
      <color indexed="9"/>
      <name val="Arial"/>
      <family val="2"/>
    </font>
    <font>
      <b/>
      <sz val="13"/>
      <color indexed="61"/>
      <name val="Calibri"/>
      <family val="2"/>
    </font>
    <font>
      <sz val="18"/>
      <name val="Palatino"/>
      <family val="1"/>
    </font>
    <font>
      <b/>
      <sz val="11"/>
      <color indexed="61"/>
      <name val="Calibri"/>
      <family val="2"/>
    </font>
    <font>
      <i/>
      <sz val="14"/>
      <name val="Palatino"/>
      <family val="1"/>
    </font>
    <font>
      <b/>
      <sz val="8.5"/>
      <name val="Univers 65"/>
      <family val="2"/>
    </font>
    <font>
      <b/>
      <sz val="8"/>
      <color indexed="9"/>
      <name val="Arial"/>
      <family val="2"/>
    </font>
    <font>
      <sz val="9"/>
      <color indexed="9"/>
      <name val="Frutiger 45 Light"/>
      <family val="2"/>
    </font>
    <font>
      <sz val="14"/>
      <color indexed="9"/>
      <name val="Univers Condensed"/>
      <family val="2"/>
    </font>
    <font>
      <u/>
      <sz val="11"/>
      <color indexed="12"/>
      <name val="Calibri"/>
      <family val="2"/>
    </font>
    <font>
      <b/>
      <sz val="10"/>
      <color indexed="56"/>
      <name val="Wingdings"/>
      <charset val="2"/>
    </font>
    <font>
      <b/>
      <u/>
      <sz val="8"/>
      <color indexed="56"/>
      <name val="Arial"/>
      <family val="2"/>
    </font>
    <font>
      <sz val="10"/>
      <color indexed="12"/>
      <name val="Century Gothic"/>
      <family val="2"/>
    </font>
    <font>
      <sz val="9"/>
      <color indexed="10"/>
      <name val="Times New Roman"/>
      <family val="1"/>
    </font>
    <font>
      <sz val="10"/>
      <color indexed="12"/>
      <name val="Frutiger 45 Light"/>
      <family val="2"/>
    </font>
    <font>
      <sz val="11"/>
      <color indexed="61"/>
      <name val="Calibri"/>
      <family val="2"/>
    </font>
    <font>
      <sz val="8"/>
      <name val="MS Sans Serif"/>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
      <color indexed="51"/>
      <name val="Calibri"/>
      <family val="2"/>
    </font>
    <font>
      <sz val="8"/>
      <name val="Helv"/>
    </font>
    <font>
      <sz val="12"/>
      <color indexed="14"/>
      <name val="Arial"/>
      <family val="2"/>
    </font>
    <font>
      <sz val="11"/>
      <color indexed="60"/>
      <name val="Calibri"/>
      <family val="2"/>
    </font>
    <font>
      <sz val="7"/>
      <name val="Helv"/>
    </font>
    <font>
      <sz val="9"/>
      <color indexed="12"/>
      <name val="Times New Roman"/>
      <family val="1"/>
    </font>
    <font>
      <sz val="12"/>
      <name val="Helv"/>
    </font>
    <font>
      <sz val="10"/>
      <color indexed="14"/>
      <name val="Arial"/>
      <family val="2"/>
    </font>
    <font>
      <b/>
      <sz val="11"/>
      <color indexed="62"/>
      <name val="Calibri"/>
      <family val="2"/>
    </font>
    <font>
      <b/>
      <i/>
      <sz val="10"/>
      <color indexed="8"/>
      <name val="Arial"/>
      <family val="2"/>
    </font>
    <font>
      <b/>
      <sz val="10"/>
      <color indexed="13"/>
      <name val="Arial"/>
      <family val="2"/>
    </font>
    <font>
      <b/>
      <sz val="26"/>
      <name val="Times New Roman"/>
      <family val="1"/>
    </font>
    <font>
      <b/>
      <sz val="18"/>
      <name val="Times New Roman"/>
      <family val="1"/>
    </font>
    <font>
      <sz val="10"/>
      <color indexed="16"/>
      <name val="Helvetica-Black"/>
    </font>
    <font>
      <sz val="10"/>
      <name val="Frutiger 45 Light"/>
    </font>
    <font>
      <sz val="8.5"/>
      <name val="Univers 55"/>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sz val="10"/>
      <color indexed="18"/>
      <name val="Times New Roman"/>
      <family val="1"/>
    </font>
    <font>
      <b/>
      <u/>
      <sz val="12"/>
      <name val="Helv"/>
    </font>
    <font>
      <sz val="8"/>
      <color indexed="52"/>
      <name val="Arial"/>
      <family val="2"/>
    </font>
    <font>
      <sz val="8"/>
      <color indexed="51"/>
      <name val="Arial"/>
      <family val="2"/>
    </font>
    <font>
      <b/>
      <sz val="10"/>
      <color indexed="58"/>
      <name val="Arial"/>
      <family val="2"/>
    </font>
    <font>
      <sz val="8"/>
      <color indexed="8"/>
      <name val="Arial"/>
      <family val="2"/>
    </font>
    <font>
      <i/>
      <sz val="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name val="Century Gothic"/>
      <family val="2"/>
    </font>
    <font>
      <b/>
      <sz val="13"/>
      <name val="Arial"/>
      <family val="2"/>
    </font>
    <font>
      <b/>
      <sz val="18"/>
      <color indexed="62"/>
      <name val="Cambria"/>
      <family val="2"/>
    </font>
    <font>
      <sz val="8"/>
      <name val="Book Antiqua"/>
      <family val="1"/>
    </font>
    <font>
      <sz val="8"/>
      <color indexed="8"/>
      <name val="Verdana"/>
      <family val="2"/>
    </font>
    <font>
      <sz val="9"/>
      <name val="SwitzerlandNarrow"/>
    </font>
    <font>
      <sz val="9"/>
      <color indexed="12"/>
      <name val="SwitzerlandNarrow"/>
    </font>
    <font>
      <b/>
      <sz val="9"/>
      <name val="Palatino"/>
      <family val="1"/>
    </font>
    <font>
      <sz val="9"/>
      <color indexed="21"/>
      <name val="Helvetica-Black"/>
    </font>
    <font>
      <sz val="9"/>
      <color indexed="21"/>
      <name val="Helvetica-Black"/>
      <family val="2"/>
    </font>
    <font>
      <u/>
      <sz val="10"/>
      <name val="Arial"/>
      <family val="2"/>
    </font>
    <font>
      <sz val="12"/>
      <name val="Palatino"/>
      <family val="1"/>
    </font>
    <font>
      <sz val="11"/>
      <name val="Helvetica-Black"/>
      <family val="2"/>
    </font>
    <font>
      <sz val="12"/>
      <color indexed="12"/>
      <name val="Arial MT"/>
    </font>
    <font>
      <b/>
      <sz val="10"/>
      <color indexed="10"/>
      <name val="Arial"/>
      <family val="2"/>
    </font>
    <font>
      <b/>
      <sz val="18"/>
      <color indexed="9"/>
      <name val="Arial"/>
      <family val="2"/>
    </font>
    <font>
      <b/>
      <sz val="12"/>
      <color indexed="9"/>
      <name val="Arial"/>
      <family val="2"/>
    </font>
    <font>
      <b/>
      <sz val="18"/>
      <color indexed="61"/>
      <name val="Cambria"/>
      <family val="2"/>
    </font>
    <font>
      <b/>
      <u/>
      <sz val="9.5"/>
      <color indexed="56"/>
      <name val="Arial"/>
      <family val="2"/>
    </font>
    <font>
      <u/>
      <sz val="8"/>
      <color indexed="56"/>
      <name val="Arial"/>
      <family val="2"/>
    </font>
    <font>
      <u/>
      <sz val="7.5"/>
      <color indexed="56"/>
      <name val="Arial"/>
      <family val="2"/>
    </font>
    <font>
      <b/>
      <sz val="11"/>
      <color indexed="8"/>
      <name val="Calibri"/>
      <family val="2"/>
    </font>
    <font>
      <sz val="11"/>
      <color indexed="10"/>
      <name val="Calibri"/>
      <family val="2"/>
    </font>
    <font>
      <b/>
      <sz val="9"/>
      <color indexed="9"/>
      <name val="Frutiger 45 Light"/>
      <family val="2"/>
    </font>
    <font>
      <b/>
      <i/>
      <sz val="8"/>
      <name val="Helv"/>
    </font>
    <font>
      <sz val="10"/>
      <name val="Arial"/>
      <family val="2"/>
    </font>
    <font>
      <i/>
      <sz val="11"/>
      <color theme="1"/>
      <name val="Calibri"/>
      <family val="2"/>
      <scheme val="minor"/>
    </font>
    <font>
      <b/>
      <sz val="11"/>
      <color rgb="FFFA7D00"/>
      <name val="Calibri"/>
      <family val="2"/>
      <scheme val="minor"/>
    </font>
    <font>
      <b/>
      <sz val="12"/>
      <color theme="1"/>
      <name val="Calibri"/>
      <family val="2"/>
      <scheme val="minor"/>
    </font>
    <font>
      <b/>
      <sz val="14"/>
      <color theme="1"/>
      <name val="Calibri"/>
      <family val="2"/>
      <scheme val="minor"/>
    </font>
    <font>
      <b/>
      <u/>
      <sz val="11"/>
      <color rgb="FF00B0F0"/>
      <name val="Calibri"/>
      <family val="2"/>
      <scheme val="minor"/>
    </font>
    <font>
      <sz val="11"/>
      <color theme="1"/>
      <name val="Calibri"/>
      <family val="2"/>
    </font>
    <font>
      <sz val="11"/>
      <color rgb="FF0070C0"/>
      <name val="Calibri"/>
      <family val="2"/>
      <scheme val="minor"/>
    </font>
    <font>
      <sz val="9"/>
      <color indexed="81"/>
      <name val="Tahoma"/>
      <family val="2"/>
    </font>
    <font>
      <sz val="11"/>
      <color rgb="FF3F3F76"/>
      <name val="Calibri"/>
      <family val="2"/>
      <scheme val="minor"/>
    </font>
    <font>
      <sz val="11"/>
      <color theme="3" tint="-0.499984740745262"/>
      <name val="Calibri"/>
      <family val="2"/>
      <scheme val="minor"/>
    </font>
    <font>
      <strike/>
      <sz val="11"/>
      <color theme="3" tint="-0.499984740745262"/>
      <name val="Calibri"/>
      <family val="2"/>
      <scheme val="minor"/>
    </font>
    <font>
      <b/>
      <u/>
      <sz val="11"/>
      <color theme="1"/>
      <name val="Calibri"/>
      <family val="2"/>
      <scheme val="minor"/>
    </font>
    <font>
      <sz val="11"/>
      <color rgb="FFFF0000"/>
      <name val="Calibri"/>
      <family val="2"/>
      <scheme val="minor"/>
    </font>
    <font>
      <sz val="11"/>
      <color rgb="FF0000FF"/>
      <name val="Calibri"/>
      <family val="2"/>
    </font>
    <font>
      <b/>
      <u/>
      <sz val="14"/>
      <name val="Calibri"/>
      <family val="2"/>
    </font>
    <font>
      <sz val="10"/>
      <name val="Calibri"/>
      <family val="2"/>
    </font>
    <font>
      <b/>
      <sz val="14"/>
      <name val="Calibri"/>
      <family val="2"/>
    </font>
    <font>
      <b/>
      <sz val="10"/>
      <color indexed="8"/>
      <name val="Calibri"/>
      <family val="2"/>
    </font>
    <font>
      <b/>
      <u/>
      <sz val="10"/>
      <color rgb="FFFF0000"/>
      <name val="Calibri"/>
      <family val="2"/>
    </font>
    <font>
      <sz val="10"/>
      <color rgb="FF0000FF"/>
      <name val="Calibri"/>
      <family val="2"/>
      <scheme val="minor"/>
    </font>
    <font>
      <b/>
      <sz val="10"/>
      <color indexed="12"/>
      <name val="Arial"/>
      <family val="2"/>
    </font>
    <font>
      <b/>
      <sz val="14"/>
      <color theme="3" tint="-0.499984740745262"/>
      <name val="Calibri"/>
      <family val="2"/>
      <scheme val="minor"/>
    </font>
    <font>
      <sz val="11"/>
      <color theme="1" tint="0.34998626667073579"/>
      <name val="Calibri"/>
      <family val="2"/>
      <scheme val="minor"/>
    </font>
    <font>
      <i/>
      <sz val="11"/>
      <color theme="3" tint="-0.499984740745262"/>
      <name val="Calibri"/>
      <family val="2"/>
      <scheme val="minor"/>
    </font>
    <font>
      <b/>
      <sz val="11"/>
      <color theme="0"/>
      <name val="Calibri"/>
      <family val="2"/>
      <scheme val="minor"/>
    </font>
    <font>
      <sz val="10"/>
      <color indexed="55"/>
      <name val="Arial"/>
      <family val="2"/>
    </font>
    <font>
      <u/>
      <sz val="11"/>
      <name val="Arial"/>
      <family val="2"/>
    </font>
    <font>
      <u/>
      <sz val="11"/>
      <color rgb="FF143EB4"/>
      <name val="Calibri"/>
      <family val="2"/>
      <scheme val="minor"/>
    </font>
    <font>
      <sz val="11"/>
      <color theme="2" tint="-0.499984740745262"/>
      <name val="Calibri"/>
      <family val="2"/>
      <scheme val="minor"/>
    </font>
    <font>
      <sz val="10"/>
      <color indexed="16"/>
      <name val="Arial"/>
      <family val="2"/>
    </font>
    <font>
      <sz val="11"/>
      <color theme="3" tint="-0.24994659260841701"/>
      <name val="Calibri"/>
      <family val="2"/>
      <scheme val="minor"/>
    </font>
    <font>
      <sz val="10"/>
      <color theme="0"/>
      <name val="Arial"/>
      <family val="2"/>
    </font>
    <font>
      <sz val="11"/>
      <color theme="0" tint="-0.24994659260841701"/>
      <name val="Calibri"/>
      <family val="2"/>
      <scheme val="minor"/>
    </font>
    <font>
      <b/>
      <sz val="8"/>
      <color rgb="FF00B0F0"/>
      <name val="Calibri"/>
      <family val="2"/>
      <scheme val="minor"/>
    </font>
    <font>
      <b/>
      <sz val="20"/>
      <color theme="0"/>
      <name val="Calibri"/>
      <family val="2"/>
      <scheme val="minor"/>
    </font>
    <font>
      <b/>
      <sz val="11"/>
      <color theme="0"/>
      <name val="Calibri"/>
      <family val="2"/>
    </font>
    <font>
      <sz val="11"/>
      <color rgb="FF00B0F0"/>
      <name val="Calibri"/>
      <family val="2"/>
      <scheme val="minor"/>
    </font>
    <font>
      <b/>
      <sz val="11"/>
      <color rgb="FFFF0000"/>
      <name val="Calibri"/>
      <family val="2"/>
      <scheme val="minor"/>
    </font>
    <font>
      <sz val="10"/>
      <color theme="1"/>
      <name val="Calibri"/>
      <family val="2"/>
      <scheme val="minor"/>
    </font>
    <font>
      <sz val="10"/>
      <color theme="1"/>
      <name val="Symbol"/>
      <family val="1"/>
      <charset val="2"/>
    </font>
    <font>
      <sz val="7"/>
      <color theme="1"/>
      <name val="Times New Roman"/>
      <family val="1"/>
    </font>
    <font>
      <sz val="8"/>
      <color theme="1"/>
      <name val="Calibri"/>
      <family val="2"/>
      <scheme val="minor"/>
    </font>
    <font>
      <sz val="10"/>
      <color rgb="FF000000"/>
      <name val="Calibri"/>
      <family val="2"/>
      <scheme val="minor"/>
    </font>
    <font>
      <b/>
      <sz val="11"/>
      <color rgb="FF00B0F0"/>
      <name val="Calibri"/>
      <family val="2"/>
      <scheme val="minor"/>
    </font>
    <font>
      <b/>
      <sz val="12"/>
      <color rgb="FFFF0000"/>
      <name val="Arial"/>
      <family val="2"/>
    </font>
    <font>
      <b/>
      <sz val="10"/>
      <color rgb="FFFF0000"/>
      <name val="Arial"/>
      <family val="2"/>
    </font>
  </fonts>
  <fills count="126">
    <fill>
      <patternFill patternType="none"/>
    </fill>
    <fill>
      <patternFill patternType="gray125"/>
    </fill>
    <fill>
      <patternFill patternType="solid">
        <fgColor rgb="FFFFFFCC"/>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indexed="12"/>
        <bgColor indexed="64"/>
      </patternFill>
    </fill>
    <fill>
      <patternFill patternType="solid">
        <fgColor rgb="FF00B050"/>
        <bgColor indexed="64"/>
      </patternFill>
    </fill>
    <fill>
      <gradientFill degree="90">
        <stop position="0">
          <color theme="0"/>
        </stop>
        <stop position="1">
          <color theme="0"/>
        </stop>
      </gradientFill>
    </fill>
    <fill>
      <patternFill patternType="solid">
        <fgColor rgb="FFFFFF00"/>
        <bgColor indexed="64"/>
      </patternFill>
    </fill>
    <fill>
      <patternFill patternType="solid">
        <fgColor indexed="9"/>
        <bgColor indexed="64"/>
      </patternFill>
    </fill>
    <fill>
      <patternFill patternType="solid">
        <fgColor rgb="FF2868F8"/>
        <bgColor indexed="64"/>
      </patternFill>
    </fill>
    <fill>
      <patternFill patternType="solid">
        <fgColor theme="5"/>
        <bgColor indexed="64"/>
      </patternFill>
    </fill>
    <fill>
      <patternFill patternType="solid">
        <fgColor rgb="FF00B0F0"/>
        <bgColor indexed="64"/>
      </patternFill>
    </fill>
    <fill>
      <patternFill patternType="solid">
        <fgColor indexed="26"/>
        <bgColor indexed="64"/>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8"/>
      </patternFill>
    </fill>
    <fill>
      <patternFill patternType="solid">
        <fgColor indexed="22"/>
        <bgColor indexed="64"/>
      </patternFill>
    </fill>
    <fill>
      <patternFill patternType="solid">
        <fgColor indexed="18"/>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
      <patternFill patternType="solid">
        <fgColor indexed="51"/>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6"/>
      </patternFill>
    </fill>
    <fill>
      <patternFill patternType="solid">
        <fgColor indexed="53"/>
      </patternFill>
    </fill>
    <fill>
      <patternFill patternType="solid">
        <fgColor indexed="27"/>
        <bgColor indexed="27"/>
      </patternFill>
    </fill>
    <fill>
      <patternFill patternType="solid">
        <fgColor indexed="47"/>
        <bgColor indexed="47"/>
      </patternFill>
    </fill>
    <fill>
      <patternFill patternType="solid">
        <fgColor indexed="52"/>
      </patternFill>
    </fill>
    <fill>
      <patternFill patternType="solid">
        <fgColor indexed="44"/>
        <bgColor indexed="64"/>
      </patternFill>
    </fill>
    <fill>
      <patternFill patternType="lightGray">
        <fgColor indexed="15"/>
        <bgColor indexed="9"/>
      </patternFill>
    </fill>
    <fill>
      <patternFill patternType="solid">
        <fgColor indexed="45"/>
      </patternFill>
    </fill>
    <fill>
      <patternFill patternType="solid">
        <fgColor indexed="27"/>
        <bgColor indexed="64"/>
      </patternFill>
    </fill>
    <fill>
      <patternFill patternType="solid">
        <fgColor indexed="28"/>
        <bgColor indexed="64"/>
      </patternFill>
    </fill>
    <fill>
      <patternFill patternType="solid">
        <fgColor indexed="9"/>
      </patternFill>
    </fill>
    <fill>
      <patternFill patternType="lightGray">
        <fgColor indexed="13"/>
      </patternFill>
    </fill>
    <fill>
      <patternFill patternType="solid">
        <fgColor indexed="63"/>
      </patternFill>
    </fill>
    <fill>
      <patternFill patternType="solid">
        <fgColor indexed="42"/>
      </patternFill>
    </fill>
    <fill>
      <patternFill patternType="solid">
        <fgColor indexed="8"/>
        <bgColor indexed="64"/>
      </patternFill>
    </fill>
    <fill>
      <patternFill patternType="solid">
        <fgColor indexed="62"/>
        <bgColor indexed="64"/>
      </patternFill>
    </fill>
    <fill>
      <patternFill patternType="solid">
        <fgColor indexed="46"/>
        <bgColor indexed="64"/>
      </patternFill>
    </fill>
    <fill>
      <patternFill patternType="solid">
        <fgColor indexed="30"/>
        <bgColor indexed="64"/>
      </patternFill>
    </fill>
    <fill>
      <patternFill patternType="solid">
        <fgColor indexed="45"/>
        <bgColor indexed="64"/>
      </patternFill>
    </fill>
    <fill>
      <patternFill patternType="solid">
        <fgColor indexed="13"/>
      </patternFill>
    </fill>
    <fill>
      <patternFill patternType="solid">
        <fgColor indexed="17"/>
      </patternFill>
    </fill>
    <fill>
      <patternFill patternType="mediumGray">
        <fgColor indexed="17"/>
      </patternFill>
    </fill>
    <fill>
      <patternFill patternType="solid">
        <fgColor indexed="15"/>
      </patternFill>
    </fill>
    <fill>
      <patternFill patternType="mediumGray">
        <fgColor indexed="22"/>
      </patternFill>
    </fill>
    <fill>
      <patternFill patternType="solid">
        <fgColor indexed="10"/>
        <bgColor indexed="64"/>
      </patternFill>
    </fill>
    <fill>
      <patternFill patternType="solid">
        <fgColor indexed="47"/>
        <bgColor indexed="64"/>
      </patternFill>
    </fill>
    <fill>
      <patternFill patternType="solid">
        <fgColor indexed="55"/>
        <bgColor indexed="64"/>
      </patternFill>
    </fill>
    <fill>
      <patternFill patternType="solid">
        <fgColor indexed="40"/>
      </patternFill>
    </fill>
    <fill>
      <patternFill patternType="solid">
        <fgColor indexed="51"/>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63"/>
        <bgColor indexed="64"/>
      </patternFill>
    </fill>
    <fill>
      <patternFill patternType="solid">
        <fgColor indexed="61"/>
        <bgColor indexed="64"/>
      </patternFill>
    </fill>
    <fill>
      <patternFill patternType="solid">
        <fgColor indexed="60"/>
        <bgColor indexed="64"/>
      </patternFill>
    </fill>
    <fill>
      <patternFill patternType="solid">
        <fgColor indexed="16"/>
        <bgColor indexed="64"/>
      </patternFill>
    </fill>
    <fill>
      <patternFill patternType="solid">
        <fgColor rgb="FF92D050"/>
        <bgColor indexed="64"/>
      </patternFill>
    </fill>
    <fill>
      <patternFill patternType="solid">
        <fgColor rgb="FFF2F2F2"/>
      </patternFill>
    </fill>
    <fill>
      <patternFill patternType="solid">
        <fgColor rgb="FFFFCC66"/>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CC99"/>
      </patternFill>
    </fill>
    <fill>
      <patternFill patternType="solid">
        <fgColor theme="6" tint="0.59999389629810485"/>
        <bgColor indexed="64"/>
      </patternFill>
    </fill>
    <fill>
      <patternFill patternType="solid">
        <fgColor theme="8"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9" tint="0.3999450666829432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2" tint="-9.9948118533890809E-2"/>
        <bgColor indexed="64"/>
      </patternFill>
    </fill>
    <fill>
      <patternFill patternType="solid">
        <fgColor rgb="FFFFFF96"/>
        <bgColor indexed="64"/>
      </patternFill>
    </fill>
    <fill>
      <patternFill patternType="mediumGray"/>
    </fill>
    <fill>
      <patternFill patternType="lightDown">
        <fgColor indexed="23"/>
      </patternFill>
    </fill>
    <fill>
      <patternFill patternType="solid">
        <fgColor theme="3" tint="-0.499984740745262"/>
        <bgColor indexed="64"/>
      </patternFill>
    </fill>
    <fill>
      <patternFill patternType="solid">
        <fgColor rgb="FFFFFF99"/>
        <bgColor indexed="64"/>
      </patternFill>
    </fill>
    <fill>
      <patternFill patternType="solid">
        <fgColor theme="1" tint="0.24994659260841701"/>
        <bgColor indexed="64"/>
      </patternFill>
    </fill>
    <fill>
      <patternFill patternType="solid">
        <fgColor rgb="FFE58832"/>
        <bgColor indexed="64"/>
      </patternFill>
    </fill>
    <fill>
      <patternFill patternType="gray125">
        <fgColor theme="0" tint="-0.24994659260841701"/>
        <bgColor theme="0" tint="-4.9989318521683403E-2"/>
      </patternFill>
    </fill>
    <fill>
      <patternFill patternType="lightGray">
        <fgColor indexed="22"/>
      </patternFill>
    </fill>
    <fill>
      <patternFill patternType="solid">
        <fgColor theme="1" tint="0.249977111117893"/>
        <bgColor indexed="64"/>
      </patternFill>
    </fill>
    <fill>
      <patternFill patternType="solid">
        <fgColor theme="7" tint="0.39997558519241921"/>
        <bgColor indexed="64"/>
      </patternFill>
    </fill>
    <fill>
      <patternFill patternType="solid">
        <fgColor theme="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0000"/>
        <bgColor indexed="64"/>
      </patternFill>
    </fill>
    <fill>
      <patternFill patternType="solid">
        <fgColor theme="6" tint="0.39997558519241921"/>
        <bgColor indexed="64"/>
      </patternFill>
    </fill>
  </fills>
  <borders count="109">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ck">
        <color indexed="37"/>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style="medium">
        <color indexed="18"/>
      </left>
      <right style="medium">
        <color indexed="18"/>
      </right>
      <top style="medium">
        <color indexed="18"/>
      </top>
      <bottom style="medium">
        <color indexed="18"/>
      </bottom>
      <diagonal/>
    </border>
    <border>
      <left/>
      <right/>
      <top/>
      <bottom style="medium">
        <color indexed="64"/>
      </bottom>
      <diagonal/>
    </border>
    <border>
      <left/>
      <right/>
      <top/>
      <bottom style="thin">
        <color indexed="44"/>
      </bottom>
      <diagonal/>
    </border>
    <border>
      <left style="medium">
        <color indexed="8"/>
      </left>
      <right style="medium">
        <color indexed="8"/>
      </right>
      <top/>
      <bottom/>
      <diagonal/>
    </border>
    <border>
      <left/>
      <right/>
      <top/>
      <bottom style="medium">
        <color indexed="24"/>
      </bottom>
      <diagonal/>
    </border>
    <border>
      <left style="dashed">
        <color indexed="63"/>
      </left>
      <right style="dashed">
        <color indexed="63"/>
      </right>
      <top style="dashed">
        <color indexed="63"/>
      </top>
      <bottom style="dashed">
        <color indexed="63"/>
      </bottom>
      <diagonal/>
    </border>
    <border>
      <left style="double">
        <color indexed="62"/>
      </left>
      <right style="double">
        <color indexed="62"/>
      </right>
      <top style="double">
        <color indexed="62"/>
      </top>
      <bottom style="double">
        <color indexed="62"/>
      </bottom>
      <diagonal/>
    </border>
    <border>
      <left/>
      <right/>
      <top/>
      <bottom style="hair">
        <color indexed="64"/>
      </bottom>
      <diagonal/>
    </border>
    <border>
      <left/>
      <right/>
      <top/>
      <bottom style="dotted">
        <color indexed="64"/>
      </bottom>
      <diagonal/>
    </border>
    <border>
      <left/>
      <right/>
      <top/>
      <bottom style="double">
        <color indexed="64"/>
      </bottom>
      <diagonal/>
    </border>
    <border>
      <left style="dotted">
        <color indexed="28"/>
      </left>
      <right style="dotted">
        <color indexed="28"/>
      </right>
      <top style="dotted">
        <color indexed="28"/>
      </top>
      <bottom style="dotted">
        <color indexed="28"/>
      </bottom>
      <diagonal/>
    </border>
    <border>
      <left style="thin">
        <color indexed="63"/>
      </left>
      <right style="thin">
        <color indexed="63"/>
      </right>
      <top style="thin">
        <color indexed="63"/>
      </top>
      <bottom style="thin">
        <color indexed="63"/>
      </bottom>
      <diagonal/>
    </border>
    <border>
      <left style="dashed">
        <color indexed="55"/>
      </left>
      <right style="dashed">
        <color indexed="55"/>
      </right>
      <top style="dashed">
        <color indexed="55"/>
      </top>
      <bottom style="dashed">
        <color indexed="55"/>
      </bottom>
      <diagonal/>
    </border>
    <border>
      <left/>
      <right/>
      <top/>
      <bottom style="thick">
        <color indexed="48"/>
      </bottom>
      <diagonal/>
    </border>
    <border>
      <left/>
      <right/>
      <top/>
      <bottom style="thick">
        <color indexed="22"/>
      </bottom>
      <diagonal/>
    </border>
    <border>
      <left/>
      <right/>
      <top/>
      <bottom style="medium">
        <color indexed="48"/>
      </bottom>
      <diagonal/>
    </border>
    <border>
      <left style="medium">
        <color indexed="22"/>
      </left>
      <right style="medium">
        <color indexed="22"/>
      </right>
      <top style="medium">
        <color indexed="22"/>
      </top>
      <bottom style="medium">
        <color indexed="22"/>
      </bottom>
      <diagonal/>
    </border>
    <border>
      <left style="dashed">
        <color indexed="28"/>
      </left>
      <right style="dashed">
        <color indexed="28"/>
      </right>
      <top style="dashed">
        <color indexed="28"/>
      </top>
      <bottom style="dashed">
        <color indexed="28"/>
      </bottom>
      <diagonal/>
    </border>
    <border>
      <left style="thin">
        <color indexed="19"/>
      </left>
      <right style="thin">
        <color indexed="19"/>
      </right>
      <top style="thin">
        <color indexed="19"/>
      </top>
      <bottom style="thin">
        <color indexed="19"/>
      </bottom>
      <diagonal/>
    </border>
    <border>
      <left/>
      <right/>
      <top/>
      <bottom style="double">
        <color indexed="51"/>
      </bottom>
      <diagonal/>
    </border>
    <border>
      <left style="dotted">
        <color indexed="10"/>
      </left>
      <right style="dotted">
        <color indexed="10"/>
      </right>
      <top style="dotted">
        <color indexed="10"/>
      </top>
      <bottom style="dotted">
        <color indexed="10"/>
      </bottom>
      <diagonal/>
    </border>
    <border>
      <left style="thin">
        <color indexed="62"/>
      </left>
      <right style="thin">
        <color indexed="62"/>
      </right>
      <top style="thin">
        <color indexed="62"/>
      </top>
      <bottom style="thin">
        <color indexed="62"/>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2"/>
      </left>
      <right style="medium">
        <color indexed="62"/>
      </right>
      <top style="medium">
        <color indexed="62"/>
      </top>
      <bottom style="medium">
        <color indexed="62"/>
      </bottom>
      <diagonal/>
    </border>
    <border>
      <left style="dotted">
        <color indexed="64"/>
      </left>
      <right style="dotted">
        <color indexed="64"/>
      </right>
      <top style="dotted">
        <color indexed="64"/>
      </top>
      <bottom style="dotted">
        <color indexed="64"/>
      </bottom>
      <diagonal/>
    </border>
    <border>
      <left style="hair">
        <color indexed="64"/>
      </left>
      <right style="hair">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top style="thin">
        <color indexed="48"/>
      </top>
      <bottom style="double">
        <color indexed="48"/>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hair">
        <color rgb="FF7F7F7F"/>
      </left>
      <right style="hair">
        <color rgb="FF7F7F7F"/>
      </right>
      <top style="hair">
        <color rgb="FF7F7F7F"/>
      </top>
      <bottom style="hair">
        <color rgb="FF7F7F7F"/>
      </bottom>
      <diagonal/>
    </border>
    <border>
      <left style="dashed">
        <color rgb="FF7F7F7F"/>
      </left>
      <right style="dashed">
        <color rgb="FF7F7F7F"/>
      </right>
      <top style="dashed">
        <color rgb="FF7F7F7F"/>
      </top>
      <bottom style="dashed">
        <color rgb="FF7F7F7F"/>
      </bottom>
      <diagonal/>
    </border>
    <border>
      <left/>
      <right/>
      <top style="thin">
        <color auto="1"/>
      </top>
      <bottom/>
      <diagonal/>
    </border>
    <border>
      <left style="hair">
        <color theme="6" tint="-0.499984740745262"/>
      </left>
      <right style="hair">
        <color theme="6" tint="-0.499984740745262"/>
      </right>
      <top style="hair">
        <color theme="6" tint="-0.499984740745262"/>
      </top>
      <bottom style="hair">
        <color theme="6" tint="-0.499984740745262"/>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dotted">
        <color theme="2" tint="-0.499984740745262"/>
      </left>
      <right style="dotted">
        <color theme="2" tint="-0.499984740745262"/>
      </right>
      <top style="dotted">
        <color theme="2" tint="-0.499984740745262"/>
      </top>
      <bottom style="dotted">
        <color theme="2" tint="-0.499984740745262"/>
      </bottom>
      <diagonal/>
    </border>
    <border>
      <left style="thin">
        <color indexed="16"/>
      </left>
      <right style="thin">
        <color indexed="16"/>
      </right>
      <top style="thin">
        <color indexed="16"/>
      </top>
      <bottom style="thin">
        <color indexed="16"/>
      </bottom>
      <diagonal/>
    </border>
    <border>
      <left style="dotted">
        <color theme="3" tint="-0.24994659260841701"/>
      </left>
      <right style="dotted">
        <color theme="3" tint="-0.24994659260841701"/>
      </right>
      <top style="dotted">
        <color theme="3" tint="-0.24994659260841701"/>
      </top>
      <bottom style="dotted">
        <color theme="3"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auto="1"/>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rgb="FF000000"/>
      </left>
      <right style="medium">
        <color indexed="64"/>
      </right>
      <top style="medium">
        <color rgb="FF000000"/>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style="thin">
        <color indexed="64"/>
      </right>
      <top style="thin">
        <color auto="1"/>
      </top>
      <bottom/>
      <diagonal/>
    </border>
    <border>
      <left style="thin">
        <color indexed="64"/>
      </left>
      <right style="thin">
        <color rgb="FF7F7F7F"/>
      </right>
      <top style="thin">
        <color rgb="FF7F7F7F"/>
      </top>
      <bottom style="thin">
        <color rgb="FF7F7F7F"/>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s>
  <cellStyleXfs count="1221">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2" borderId="1" applyNumberFormat="0" applyFont="0" applyAlignment="0" applyProtection="0"/>
    <xf numFmtId="0" fontId="17" fillId="0" borderId="0"/>
    <xf numFmtId="37" fontId="21" fillId="13" borderId="0" applyFill="0"/>
    <xf numFmtId="0" fontId="1"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43" fontId="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7" borderId="23">
      <alignment horizontal="left" vertical="center" wrapText="1" indent="1"/>
    </xf>
    <xf numFmtId="0" fontId="1" fillId="0" borderId="0"/>
    <xf numFmtId="9" fontId="1" fillId="0" borderId="0" applyFont="0" applyFill="0" applyBorder="0" applyAlignment="0" applyProtection="0"/>
    <xf numFmtId="0" fontId="25" fillId="0" borderId="0">
      <alignment vertical="top"/>
    </xf>
    <xf numFmtId="0" fontId="25" fillId="0" borderId="0">
      <alignment vertical="top"/>
    </xf>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38" fontId="27" fillId="0" borderId="0" applyFont="0" applyFill="0" applyBorder="0" applyAlignment="0" applyProtection="0">
      <alignment horizontal="right"/>
      <protection locked="0"/>
    </xf>
    <xf numFmtId="0" fontId="4" fillId="0" borderId="0"/>
    <xf numFmtId="0" fontId="4" fillId="0" borderId="0"/>
    <xf numFmtId="0" fontId="28" fillId="0" borderId="0"/>
    <xf numFmtId="0" fontId="28" fillId="0" borderId="0"/>
    <xf numFmtId="0" fontId="2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8" fontId="30" fillId="0" borderId="0"/>
    <xf numFmtId="0" fontId="4" fillId="0" borderId="0"/>
    <xf numFmtId="0" fontId="4" fillId="0" borderId="0"/>
    <xf numFmtId="0" fontId="4"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0" fontId="4"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169" fontId="31" fillId="0" borderId="0"/>
    <xf numFmtId="0" fontId="23" fillId="0" borderId="0"/>
    <xf numFmtId="0" fontId="4" fillId="0" borderId="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0" borderId="0" applyNumberFormat="0" applyBorder="0" applyAlignment="0" applyProtection="0"/>
    <xf numFmtId="0" fontId="23" fillId="22"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2"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32" fillId="25"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2" borderId="0" applyNumberFormat="0" applyBorder="0" applyAlignment="0" applyProtection="0"/>
    <xf numFmtId="0" fontId="32" fillId="19" borderId="0" applyNumberFormat="0" applyBorder="0" applyAlignment="0" applyProtection="0"/>
    <xf numFmtId="168" fontId="30" fillId="0" borderId="0"/>
    <xf numFmtId="170" fontId="33" fillId="26" borderId="0" applyFont="0" applyBorder="0"/>
    <xf numFmtId="0" fontId="34" fillId="27" borderId="0"/>
    <xf numFmtId="170" fontId="33" fillId="28" borderId="0" applyNumberFormat="0" applyFont="0" applyBorder="0" applyAlignment="0" applyProtection="0"/>
    <xf numFmtId="170" fontId="30" fillId="29" borderId="0" applyNumberFormat="0" applyFont="0" applyBorder="0" applyAlignment="0" applyProtection="0"/>
    <xf numFmtId="170" fontId="31" fillId="30" borderId="0" applyBorder="0"/>
    <xf numFmtId="170" fontId="31" fillId="30" borderId="0" applyBorder="0"/>
    <xf numFmtId="170" fontId="31" fillId="30" borderId="0" applyBorder="0"/>
    <xf numFmtId="170" fontId="4" fillId="0" borderId="36" applyNumberFormat="0" applyBorder="0" applyAlignment="0" applyProtection="0"/>
    <xf numFmtId="171" fontId="35" fillId="0" borderId="0" applyBorder="0">
      <alignment horizontal="right"/>
    </xf>
    <xf numFmtId="171" fontId="31" fillId="0" borderId="36" applyBorder="0">
      <alignment horizontal="right"/>
    </xf>
    <xf numFmtId="171" fontId="31" fillId="0" borderId="36" applyBorder="0">
      <alignment horizontal="right"/>
    </xf>
    <xf numFmtId="171" fontId="31" fillId="0" borderId="36" applyBorder="0">
      <alignment horizontal="right"/>
    </xf>
    <xf numFmtId="170" fontId="4" fillId="0" borderId="36" applyNumberFormat="0" applyBorder="0" applyAlignment="0" applyProtection="0"/>
    <xf numFmtId="170" fontId="4" fillId="0" borderId="36" applyNumberFormat="0" applyBorder="0" applyAlignment="0" applyProtection="0"/>
    <xf numFmtId="172" fontId="36" fillId="0" borderId="0" applyBorder="0">
      <alignment horizontal="right"/>
    </xf>
    <xf numFmtId="172" fontId="37" fillId="0" borderId="36" applyBorder="0">
      <alignment horizontal="right"/>
    </xf>
    <xf numFmtId="170" fontId="38" fillId="0" borderId="0">
      <alignment horizontal="left" indent="1"/>
    </xf>
    <xf numFmtId="170" fontId="8" fillId="0" borderId="2" applyBorder="0"/>
    <xf numFmtId="170" fontId="33" fillId="31" borderId="36" applyNumberFormat="0" applyFont="0" applyBorder="0" applyAlignment="0" applyProtection="0"/>
    <xf numFmtId="171" fontId="39" fillId="32" borderId="2" applyBorder="0">
      <alignment horizontal="right"/>
    </xf>
    <xf numFmtId="171" fontId="39" fillId="0" borderId="2" applyBorder="0">
      <alignment horizontal="right"/>
    </xf>
    <xf numFmtId="170" fontId="24" fillId="0" borderId="36" applyNumberFormat="0" applyBorder="0" applyAlignment="0" applyProtection="0"/>
    <xf numFmtId="0" fontId="39" fillId="26" borderId="39" applyBorder="0">
      <alignment horizontal="center"/>
    </xf>
    <xf numFmtId="0" fontId="23" fillId="33" borderId="0" applyNumberFormat="0" applyBorder="0" applyAlignment="0" applyProtection="0"/>
    <xf numFmtId="0" fontId="23" fillId="33" borderId="0" applyNumberFormat="0" applyBorder="0" applyAlignment="0" applyProtection="0"/>
    <xf numFmtId="0" fontId="32" fillId="34" borderId="0" applyNumberFormat="0" applyBorder="0" applyAlignment="0" applyProtection="0"/>
    <xf numFmtId="0" fontId="32" fillId="25" borderId="0" applyNumberFormat="0" applyBorder="0" applyAlignment="0" applyProtection="0"/>
    <xf numFmtId="0" fontId="23" fillId="35" borderId="0" applyNumberFormat="0" applyBorder="0" applyAlignment="0" applyProtection="0"/>
    <xf numFmtId="0" fontId="23"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23" fillId="35" borderId="0" applyNumberFormat="0" applyBorder="0" applyAlignment="0" applyProtection="0"/>
    <xf numFmtId="0" fontId="23" fillId="39" borderId="0" applyNumberFormat="0" applyBorder="0" applyAlignment="0" applyProtection="0"/>
    <xf numFmtId="0" fontId="32" fillId="36" borderId="0" applyNumberFormat="0" applyBorder="0" applyAlignment="0" applyProtection="0"/>
    <xf numFmtId="0" fontId="32" fillId="40" borderId="0" applyNumberFormat="0" applyBorder="0" applyAlignment="0" applyProtection="0"/>
    <xf numFmtId="0" fontId="23" fillId="33" borderId="0" applyNumberFormat="0" applyBorder="0" applyAlignment="0" applyProtection="0"/>
    <xf numFmtId="0" fontId="23" fillId="36" borderId="0" applyNumberFormat="0" applyBorder="0" applyAlignment="0" applyProtection="0"/>
    <xf numFmtId="0" fontId="32" fillId="36" borderId="0" applyNumberFormat="0" applyBorder="0" applyAlignment="0" applyProtection="0"/>
    <xf numFmtId="0" fontId="32" fillId="41" borderId="0" applyNumberFormat="0" applyBorder="0" applyAlignment="0" applyProtection="0"/>
    <xf numFmtId="0" fontId="23" fillId="42" borderId="0" applyNumberFormat="0" applyBorder="0" applyAlignment="0" applyProtection="0"/>
    <xf numFmtId="0" fontId="23" fillId="33" borderId="0" applyNumberFormat="0" applyBorder="0" applyAlignment="0" applyProtection="0"/>
    <xf numFmtId="0" fontId="32" fillId="34" borderId="0" applyNumberFormat="0" applyBorder="0" applyAlignment="0" applyProtection="0"/>
    <xf numFmtId="0" fontId="32" fillId="25" borderId="0" applyNumberFormat="0" applyBorder="0" applyAlignment="0" applyProtection="0"/>
    <xf numFmtId="0" fontId="23" fillId="35" borderId="0" applyNumberFormat="0" applyBorder="0" applyAlignment="0" applyProtection="0"/>
    <xf numFmtId="0" fontId="23" fillId="43"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4" fillId="0" borderId="0" applyFill="0" applyBorder="0" applyProtection="0">
      <protection locked="0"/>
    </xf>
    <xf numFmtId="0" fontId="40" fillId="0" borderId="0"/>
    <xf numFmtId="173" fontId="41" fillId="29" borderId="0" applyBorder="0"/>
    <xf numFmtId="174" fontId="41" fillId="29" borderId="0" applyBorder="0"/>
    <xf numFmtId="175" fontId="41" fillId="29" borderId="0" applyBorder="0"/>
    <xf numFmtId="176" fontId="41" fillId="29" borderId="0" applyBorder="0"/>
    <xf numFmtId="177" fontId="41" fillId="29" borderId="0" applyBorder="0"/>
    <xf numFmtId="3" fontId="14" fillId="17" borderId="40">
      <alignment horizontal="right"/>
    </xf>
    <xf numFmtId="9" fontId="4" fillId="17" borderId="41"/>
    <xf numFmtId="9" fontId="14" fillId="17" borderId="40"/>
    <xf numFmtId="15" fontId="42" fillId="45" borderId="17"/>
    <xf numFmtId="178" fontId="31" fillId="0" borderId="42">
      <alignment horizontal="center" vertical="center"/>
      <protection locked="0"/>
    </xf>
    <xf numFmtId="179" fontId="31" fillId="0" borderId="42">
      <alignment horizontal="center" vertical="center"/>
      <protection locked="0"/>
    </xf>
    <xf numFmtId="180" fontId="31" fillId="0" borderId="42">
      <alignment horizontal="center" vertical="center"/>
      <protection locked="0"/>
    </xf>
    <xf numFmtId="181" fontId="31" fillId="0" borderId="42">
      <alignment horizontal="center" vertical="center"/>
      <protection locked="0"/>
    </xf>
    <xf numFmtId="182" fontId="31" fillId="0" borderId="42">
      <alignment horizontal="center" vertical="center"/>
      <protection locked="0"/>
    </xf>
    <xf numFmtId="183" fontId="31" fillId="0" borderId="42">
      <alignment horizontal="center" vertical="center"/>
      <protection locked="0"/>
    </xf>
    <xf numFmtId="0" fontId="31" fillId="0" borderId="42">
      <alignment vertical="center"/>
      <protection locked="0"/>
    </xf>
    <xf numFmtId="178" fontId="31" fillId="0" borderId="42">
      <alignment horizontal="right" vertical="center"/>
      <protection locked="0"/>
    </xf>
    <xf numFmtId="184" fontId="31" fillId="0" borderId="42">
      <alignment horizontal="right" vertical="center"/>
      <protection locked="0"/>
    </xf>
    <xf numFmtId="180" fontId="31" fillId="0" borderId="42">
      <alignment horizontal="right" vertical="center"/>
      <protection locked="0"/>
    </xf>
    <xf numFmtId="181" fontId="31" fillId="0" borderId="42">
      <alignment horizontal="right" vertical="center"/>
      <protection locked="0"/>
    </xf>
    <xf numFmtId="182" fontId="31" fillId="0" borderId="42">
      <alignment horizontal="right" vertical="center"/>
      <protection locked="0"/>
    </xf>
    <xf numFmtId="183" fontId="31" fillId="0" borderId="42">
      <alignment horizontal="right" vertical="center"/>
      <protection locked="0"/>
    </xf>
    <xf numFmtId="185" fontId="17" fillId="0" borderId="0" applyFont="0" applyFill="0" applyBorder="0" applyAlignment="0" applyProtection="0"/>
    <xf numFmtId="42" fontId="43" fillId="0" borderId="0" applyFont="0" applyFill="0" applyBorder="0" applyAlignment="0" applyProtection="0"/>
    <xf numFmtId="3" fontId="44" fillId="46" borderId="3" applyNumberFormat="0" applyBorder="0" applyAlignment="0">
      <alignment vertical="center"/>
    </xf>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5" fillId="47" borderId="0" applyNumberFormat="0" applyBorder="0" applyAlignment="0" applyProtection="0"/>
    <xf numFmtId="0" fontId="46" fillId="0" borderId="0" applyNumberFormat="0" applyFill="0" applyBorder="0" applyAlignment="0"/>
    <xf numFmtId="186" fontId="4" fillId="0" borderId="0" applyFont="0" applyFill="0" applyBorder="0" applyAlignment="0" applyProtection="0"/>
    <xf numFmtId="0" fontId="47" fillId="0" borderId="0" applyNumberFormat="0" applyFill="0" applyBorder="0" applyAlignment="0">
      <protection locked="0"/>
    </xf>
    <xf numFmtId="187" fontId="48" fillId="0" borderId="2" applyAlignment="0" applyProtection="0"/>
    <xf numFmtId="0" fontId="49" fillId="0" borderId="43" applyNumberFormat="0" applyFont="0" applyFill="0" applyAlignment="0" applyProtection="0"/>
    <xf numFmtId="0" fontId="49" fillId="0" borderId="44" applyNumberFormat="0" applyFont="0" applyFill="0" applyAlignment="0" applyProtection="0"/>
    <xf numFmtId="171" fontId="31" fillId="0" borderId="45" applyNumberFormat="0" applyFont="0" applyFill="0" applyAlignment="0" applyProtection="0"/>
    <xf numFmtId="188" fontId="24" fillId="0" borderId="0" applyAlignment="0" applyProtection="0"/>
    <xf numFmtId="49" fontId="50" fillId="0" borderId="46" applyNumberFormat="0" applyAlignment="0" applyProtection="0">
      <alignment horizontal="left" wrapText="1"/>
    </xf>
    <xf numFmtId="49" fontId="51" fillId="0" borderId="0" applyAlignment="0" applyProtection="0">
      <alignment horizontal="left"/>
    </xf>
    <xf numFmtId="189" fontId="4" fillId="48" borderId="47" applyNumberFormat="0">
      <alignment vertical="center"/>
    </xf>
    <xf numFmtId="190" fontId="4" fillId="17" borderId="47" applyNumberFormat="0">
      <alignment vertical="center"/>
    </xf>
    <xf numFmtId="1" fontId="4" fillId="49" borderId="47" applyNumberFormat="0">
      <alignment vertical="center"/>
    </xf>
    <xf numFmtId="189" fontId="4" fillId="49" borderId="47" applyNumberFormat="0">
      <alignment vertical="center"/>
    </xf>
    <xf numFmtId="189" fontId="4" fillId="26" borderId="47" applyNumberFormat="0">
      <alignment vertical="center"/>
    </xf>
    <xf numFmtId="3" fontId="4" fillId="0" borderId="47" applyNumberFormat="0">
      <alignment vertical="center"/>
    </xf>
    <xf numFmtId="0" fontId="52" fillId="50" borderId="23" applyNumberFormat="0" applyAlignment="0" applyProtection="0"/>
    <xf numFmtId="191" fontId="43" fillId="0" borderId="0" applyFill="0" applyBorder="0" applyAlignment="0"/>
    <xf numFmtId="0" fontId="53" fillId="51" borderId="0" applyNumberFormat="0" applyFill="0" applyBorder="0" applyProtection="0">
      <alignment horizontal="center"/>
    </xf>
    <xf numFmtId="0" fontId="53" fillId="51" borderId="0" applyNumberFormat="0" applyFill="0" applyBorder="0" applyProtection="0"/>
    <xf numFmtId="192" fontId="54" fillId="29" borderId="0"/>
    <xf numFmtId="0" fontId="54" fillId="29" borderId="0"/>
    <xf numFmtId="193" fontId="54" fillId="29" borderId="0"/>
    <xf numFmtId="194" fontId="54" fillId="29" borderId="0"/>
    <xf numFmtId="195" fontId="54" fillId="29" borderId="0"/>
    <xf numFmtId="196" fontId="54" fillId="29" borderId="0"/>
    <xf numFmtId="0" fontId="31" fillId="0" borderId="0" applyNumberFormat="0" applyFont="0" applyFill="0" applyBorder="0">
      <alignment horizontal="center" vertical="center"/>
      <protection locked="0"/>
    </xf>
    <xf numFmtId="178" fontId="31" fillId="0" borderId="0" applyFill="0" applyBorder="0">
      <alignment horizontal="center" vertical="center"/>
    </xf>
    <xf numFmtId="179" fontId="31" fillId="0" borderId="0" applyFill="0" applyBorder="0">
      <alignment horizontal="center" vertical="center"/>
    </xf>
    <xf numFmtId="180" fontId="31" fillId="0" borderId="0" applyFill="0" applyBorder="0">
      <alignment horizontal="center" vertical="center"/>
    </xf>
    <xf numFmtId="181" fontId="31" fillId="0" borderId="0" applyFill="0" applyBorder="0">
      <alignment horizontal="center" vertical="center"/>
    </xf>
    <xf numFmtId="182" fontId="31" fillId="0" borderId="0" applyFill="0" applyBorder="0">
      <alignment horizontal="center" vertical="center"/>
    </xf>
    <xf numFmtId="183" fontId="31" fillId="0" borderId="0" applyFill="0" applyBorder="0">
      <alignment horizontal="center" vertical="center"/>
    </xf>
    <xf numFmtId="0" fontId="55" fillId="52" borderId="48" applyNumberFormat="0" applyAlignment="0" applyProtection="0"/>
    <xf numFmtId="15" fontId="6" fillId="0" borderId="0" applyFill="0" applyBorder="0" applyProtection="0">
      <alignment horizontal="centerContinuous" wrapText="1"/>
    </xf>
    <xf numFmtId="0" fontId="56" fillId="0" borderId="49">
      <alignment horizontal="center"/>
    </xf>
    <xf numFmtId="197" fontId="57" fillId="0" borderId="0"/>
    <xf numFmtId="197" fontId="57" fillId="0" borderId="0"/>
    <xf numFmtId="197" fontId="57" fillId="0" borderId="0"/>
    <xf numFmtId="197" fontId="57" fillId="0" borderId="0"/>
    <xf numFmtId="197" fontId="57" fillId="0" borderId="0"/>
    <xf numFmtId="197" fontId="57" fillId="0" borderId="0"/>
    <xf numFmtId="197" fontId="57" fillId="0" borderId="0"/>
    <xf numFmtId="197" fontId="57" fillId="0" borderId="0"/>
    <xf numFmtId="41" fontId="14" fillId="0" borderId="0" applyFill="0" applyBorder="0">
      <protection locked="0"/>
    </xf>
    <xf numFmtId="41" fontId="4" fillId="0" borderId="0" applyFont="0" applyFill="0" applyBorder="0" applyAlignment="0" applyProtection="0"/>
    <xf numFmtId="170" fontId="58" fillId="0" borderId="0" applyFill="0" applyBorder="0" applyAlignment="0" applyProtection="0">
      <alignment horizontal="right"/>
    </xf>
    <xf numFmtId="198" fontId="4" fillId="0" borderId="0" applyFill="0" applyBorder="0" applyAlignment="0" applyProtection="0"/>
    <xf numFmtId="0" fontId="59" fillId="0" borderId="0" applyFont="0" applyFill="0" applyBorder="0" applyAlignment="0" applyProtection="0"/>
    <xf numFmtId="0" fontId="4" fillId="0" borderId="0" applyFont="0" applyFill="0" applyBorder="0" applyAlignment="0" applyProtection="0"/>
    <xf numFmtId="43" fontId="23"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2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 fontId="61" fillId="0" borderId="0" applyFont="0" applyFill="0" applyBorder="0" applyAlignment="0" applyProtection="0"/>
    <xf numFmtId="0" fontId="62" fillId="0" borderId="0">
      <alignment horizontal="left"/>
    </xf>
    <xf numFmtId="0" fontId="63" fillId="0" borderId="0"/>
    <xf numFmtId="0" fontId="64" fillId="0" borderId="0">
      <alignment horizontal="left"/>
    </xf>
    <xf numFmtId="199" fontId="4" fillId="0" borderId="0" applyFont="0" applyFill="0" applyBorder="0" applyAlignment="0" applyProtection="0"/>
    <xf numFmtId="200" fontId="65" fillId="0" borderId="0" applyFont="0" applyFill="0" applyBorder="0" applyAlignment="0" applyProtection="0"/>
    <xf numFmtId="201" fontId="4" fillId="0" borderId="0" applyFill="0" applyBorder="0">
      <protection locked="0"/>
    </xf>
    <xf numFmtId="202" fontId="4" fillId="0" borderId="0" applyFill="0" applyBorder="0"/>
    <xf numFmtId="202" fontId="14" fillId="0" borderId="0" applyFill="0" applyBorder="0">
      <protection locked="0"/>
    </xf>
    <xf numFmtId="203" fontId="4" fillId="0" borderId="0" applyFont="0" applyFill="0" applyBorder="0" applyAlignment="0" applyProtection="0"/>
    <xf numFmtId="204" fontId="60" fillId="0" borderId="0" applyFont="0" applyFill="0" applyBorder="0" applyAlignment="0" applyProtection="0">
      <alignment horizontal="right"/>
    </xf>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3" fillId="0" borderId="0" applyFont="0" applyFill="0" applyBorder="0" applyAlignment="0" applyProtection="0"/>
    <xf numFmtId="205" fontId="4" fillId="0" borderId="0" applyFont="0" applyFill="0" applyBorder="0" applyAlignment="0" applyProtection="0"/>
    <xf numFmtId="44" fontId="1" fillId="0" borderId="0" applyFont="0" applyFill="0" applyBorder="0" applyAlignment="0" applyProtection="0"/>
    <xf numFmtId="206" fontId="14" fillId="0" borderId="0" applyFont="0" applyFill="0" applyBorder="0" applyAlignment="0" applyProtection="0">
      <protection locked="0"/>
    </xf>
    <xf numFmtId="207" fontId="4" fillId="0" borderId="0" applyFont="0" applyFill="0" applyBorder="0" applyAlignment="0" applyProtection="0"/>
    <xf numFmtId="208" fontId="4" fillId="0" borderId="0" applyFont="0" applyFill="0" applyBorder="0" applyAlignment="0" applyProtection="0">
      <protection locked="0"/>
    </xf>
    <xf numFmtId="209" fontId="4" fillId="0" borderId="0" applyFont="0" applyFill="0" applyBorder="0" applyAlignment="0" applyProtection="0"/>
    <xf numFmtId="210" fontId="4" fillId="0" borderId="0" applyFont="0" applyFill="0" applyBorder="0" applyAlignment="0" applyProtection="0"/>
    <xf numFmtId="211" fontId="27" fillId="0" borderId="0" applyFill="0" applyBorder="0">
      <alignment horizontal="right"/>
    </xf>
    <xf numFmtId="212" fontId="4" fillId="0" borderId="0" applyFont="0" applyFill="0" applyBorder="0" applyAlignment="0" applyProtection="0"/>
    <xf numFmtId="42" fontId="4" fillId="0" borderId="0" applyFont="0" applyFill="0" applyBorder="0" applyAlignment="0" applyProtection="0"/>
    <xf numFmtId="38" fontId="66" fillId="31" borderId="24"/>
    <xf numFmtId="213" fontId="4" fillId="0" borderId="0" applyFont="0" applyFill="0" applyBorder="0" applyAlignment="0" applyProtection="0"/>
    <xf numFmtId="214" fontId="46" fillId="0" borderId="0" applyFont="0" applyFill="0" applyBorder="0" applyAlignment="0" applyProtection="0"/>
    <xf numFmtId="215" fontId="4" fillId="0" borderId="0" applyFont="0" applyFill="0" applyBorder="0" applyAlignment="0" applyProtection="0"/>
    <xf numFmtId="14" fontId="4" fillId="0" borderId="0" applyFont="0" applyFill="0" applyBorder="0" applyAlignment="0" applyProtection="0"/>
    <xf numFmtId="216" fontId="67" fillId="0" borderId="0" applyFont="0" applyFill="0" applyBorder="0" applyAlignment="0" applyProtection="0"/>
    <xf numFmtId="217" fontId="31" fillId="17" borderId="0" applyFont="0" applyFill="0" applyBorder="0" applyAlignment="0" applyProtection="0"/>
    <xf numFmtId="218" fontId="56" fillId="0" borderId="8"/>
    <xf numFmtId="219" fontId="60" fillId="0" borderId="0" applyFont="0" applyFill="0" applyBorder="0" applyAlignment="0" applyProtection="0"/>
    <xf numFmtId="15" fontId="14" fillId="0" borderId="0" applyFill="0" applyBorder="0">
      <protection locked="0"/>
    </xf>
    <xf numFmtId="220" fontId="24" fillId="0" borderId="0" applyFill="0" applyBorder="0" applyProtection="0"/>
    <xf numFmtId="17" fontId="68"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14" fillId="0" borderId="0" applyFill="0" applyBorder="0">
      <protection locked="0"/>
    </xf>
    <xf numFmtId="0" fontId="4" fillId="0" borderId="0" applyFont="0" applyFill="0" applyBorder="0" applyAlignment="0"/>
    <xf numFmtId="166" fontId="4" fillId="0" borderId="0" applyFill="0" applyBorder="0">
      <alignment horizontal="right"/>
    </xf>
    <xf numFmtId="166" fontId="14" fillId="0" borderId="0" applyFill="0" applyBorder="0">
      <protection locked="0"/>
    </xf>
    <xf numFmtId="167" fontId="4" fillId="0" borderId="0" applyFill="0" applyBorder="0">
      <alignment horizontal="right"/>
    </xf>
    <xf numFmtId="167" fontId="14" fillId="0" borderId="0" applyFill="0" applyBorder="0">
      <protection locked="0"/>
    </xf>
    <xf numFmtId="0" fontId="4" fillId="0" borderId="0" applyFont="0" applyFill="0" applyBorder="0" applyAlignment="0" applyProtection="0"/>
    <xf numFmtId="181" fontId="4" fillId="0" borderId="0"/>
    <xf numFmtId="221" fontId="4" fillId="0" borderId="0" applyFont="0" applyFill="0" applyBorder="0" applyAlignment="0" applyProtection="0"/>
    <xf numFmtId="222" fontId="4" fillId="0" borderId="0" applyFont="0" applyFill="0" applyBorder="0" applyAlignment="0" applyProtection="0"/>
    <xf numFmtId="223" fontId="17" fillId="0" borderId="0" applyFont="0" applyFill="0" applyBorder="0" applyAlignment="0" applyProtection="0"/>
    <xf numFmtId="224" fontId="60" fillId="0" borderId="50" applyNumberFormat="0" applyFont="0" applyFill="0" applyAlignment="0" applyProtection="0"/>
    <xf numFmtId="38" fontId="69" fillId="0" borderId="51" applyNumberFormat="0" applyFont="0" applyFill="0" applyAlignment="0"/>
    <xf numFmtId="225" fontId="23" fillId="0" borderId="0" applyFont="0" applyFill="0" applyBorder="0" applyAlignment="0" applyProtection="0"/>
    <xf numFmtId="0" fontId="4" fillId="32" borderId="52" applyNumberFormat="0">
      <alignment vertical="center"/>
    </xf>
    <xf numFmtId="226" fontId="24" fillId="0" borderId="0"/>
    <xf numFmtId="0" fontId="70" fillId="0" borderId="0" applyNumberFormat="0" applyFill="0" applyBorder="0" applyAlignment="0" applyProtection="0"/>
    <xf numFmtId="0" fontId="71" fillId="0" borderId="0" applyNumberFormat="0" applyFill="0" applyBorder="0" applyAlignment="0" applyProtection="0"/>
    <xf numFmtId="227" fontId="72" fillId="0" borderId="0"/>
    <xf numFmtId="0" fontId="4" fillId="26" borderId="53" applyNumberFormat="0">
      <alignment vertical="center"/>
    </xf>
    <xf numFmtId="228" fontId="27" fillId="0" borderId="0" applyFill="0" applyBorder="0">
      <alignment horizontal="right"/>
    </xf>
    <xf numFmtId="229" fontId="27" fillId="0" borderId="0" applyFill="0" applyBorder="0">
      <alignment horizontal="right"/>
    </xf>
    <xf numFmtId="230" fontId="27" fillId="0" borderId="0" applyFill="0" applyBorder="0">
      <alignment horizontal="right"/>
    </xf>
    <xf numFmtId="228" fontId="4" fillId="0" borderId="0" applyFont="0" applyFill="0" applyBorder="0" applyAlignment="0" applyProtection="0"/>
    <xf numFmtId="171" fontId="73" fillId="0" borderId="0" applyNumberFormat="0" applyFill="0" applyBorder="0" applyAlignment="0" applyProtection="0"/>
    <xf numFmtId="0" fontId="74" fillId="0" borderId="0">
      <alignment horizontal="left"/>
    </xf>
    <xf numFmtId="0" fontId="75" fillId="0" borderId="0">
      <alignment horizontal="left"/>
    </xf>
    <xf numFmtId="0" fontId="76" fillId="0" borderId="0" applyFill="0" applyBorder="0" applyProtection="0">
      <alignment horizontal="left"/>
    </xf>
    <xf numFmtId="0" fontId="76" fillId="0" borderId="0">
      <alignment horizontal="left"/>
    </xf>
    <xf numFmtId="0" fontId="76" fillId="0" borderId="0" applyFill="0" applyBorder="0" applyProtection="0">
      <alignment horizontal="left"/>
    </xf>
    <xf numFmtId="231" fontId="65" fillId="0" borderId="0" applyFont="0" applyFill="0" applyBorder="0" applyAlignment="0" applyProtection="0"/>
    <xf numFmtId="232" fontId="4" fillId="0" borderId="0" applyFont="0" applyFill="0" applyBorder="0" applyAlignment="0" applyProtection="0">
      <alignment horizontal="center"/>
    </xf>
    <xf numFmtId="0" fontId="77" fillId="0" borderId="8" applyProtection="0">
      <alignment horizontal="center"/>
    </xf>
    <xf numFmtId="0" fontId="78" fillId="0" borderId="0"/>
    <xf numFmtId="0" fontId="79" fillId="0" borderId="0"/>
    <xf numFmtId="0" fontId="80" fillId="53" borderId="0" applyNumberFormat="0" applyBorder="0" applyAlignment="0" applyProtection="0"/>
    <xf numFmtId="38" fontId="31" fillId="26" borderId="0" applyNumberFormat="0" applyBorder="0" applyAlignment="0" applyProtection="0"/>
    <xf numFmtId="0" fontId="81" fillId="26" borderId="54" applyNumberFormat="0">
      <alignment vertical="center"/>
    </xf>
    <xf numFmtId="0" fontId="82" fillId="0" borderId="0"/>
    <xf numFmtId="0" fontId="6" fillId="0" borderId="0"/>
    <xf numFmtId="0" fontId="83" fillId="0" borderId="0" applyNumberFormat="0">
      <alignment horizontal="center"/>
    </xf>
    <xf numFmtId="233" fontId="60" fillId="0" borderId="0" applyFont="0" applyFill="0" applyBorder="0" applyAlignment="0" applyProtection="0">
      <alignment horizontal="right"/>
    </xf>
    <xf numFmtId="0" fontId="84" fillId="0" borderId="0" applyAlignment="0" applyProtection="0"/>
    <xf numFmtId="0" fontId="85" fillId="0" borderId="0" applyAlignment="0" applyProtection="0"/>
    <xf numFmtId="0" fontId="86" fillId="0" borderId="0" applyAlignment="0" applyProtection="0"/>
    <xf numFmtId="0" fontId="87" fillId="0" borderId="8">
      <alignment horizontal="left"/>
    </xf>
    <xf numFmtId="0" fontId="88" fillId="0" borderId="0">
      <alignment horizontal="right"/>
    </xf>
    <xf numFmtId="37" fontId="89" fillId="0" borderId="0">
      <alignment horizontal="right"/>
    </xf>
    <xf numFmtId="0" fontId="90" fillId="0" borderId="0">
      <alignment horizontal="left"/>
    </xf>
    <xf numFmtId="37" fontId="91" fillId="0" borderId="0">
      <alignment horizontal="right"/>
    </xf>
    <xf numFmtId="0" fontId="92" fillId="0" borderId="0" applyFill="0" applyBorder="0" applyProtection="0">
      <alignment horizontal="right"/>
    </xf>
    <xf numFmtId="234" fontId="93" fillId="0" borderId="0"/>
    <xf numFmtId="234" fontId="94" fillId="0" borderId="0"/>
    <xf numFmtId="0" fontId="94" fillId="0" borderId="0">
      <alignment horizontal="right"/>
    </xf>
    <xf numFmtId="0" fontId="95" fillId="0" borderId="0">
      <alignment horizontal="left"/>
    </xf>
    <xf numFmtId="0" fontId="96" fillId="0" borderId="0" applyProtection="0">
      <alignment horizontal="right"/>
    </xf>
    <xf numFmtId="0" fontId="22" fillId="0" borderId="25" applyNumberFormat="0" applyAlignment="0" applyProtection="0">
      <alignment horizontal="left" vertical="center"/>
    </xf>
    <xf numFmtId="0" fontId="22" fillId="0" borderId="19">
      <alignment horizontal="left" vertical="center"/>
    </xf>
    <xf numFmtId="0" fontId="97" fillId="54" borderId="0"/>
    <xf numFmtId="0" fontId="6" fillId="0" borderId="0" applyFill="0" applyBorder="0">
      <alignment vertical="center"/>
    </xf>
    <xf numFmtId="0" fontId="6" fillId="0" borderId="0" applyFill="0" applyBorder="0">
      <alignment vertical="center"/>
    </xf>
    <xf numFmtId="0" fontId="98" fillId="0" borderId="55" applyNumberFormat="0" applyFill="0" applyAlignment="0" applyProtection="0"/>
    <xf numFmtId="0" fontId="99" fillId="0" borderId="0">
      <alignment horizontal="left"/>
    </xf>
    <xf numFmtId="0" fontId="100" fillId="0" borderId="5">
      <alignment horizontal="left" vertical="top"/>
    </xf>
    <xf numFmtId="235" fontId="101" fillId="55" borderId="0"/>
    <xf numFmtId="0" fontId="39" fillId="0" borderId="0" applyFill="0" applyBorder="0">
      <alignment vertical="center"/>
    </xf>
    <xf numFmtId="0" fontId="39" fillId="0" borderId="0" applyFill="0" applyBorder="0">
      <alignment vertical="center"/>
    </xf>
    <xf numFmtId="0" fontId="102" fillId="0" borderId="56" applyNumberFormat="0" applyFill="0" applyAlignment="0" applyProtection="0"/>
    <xf numFmtId="0" fontId="58" fillId="0" borderId="0">
      <alignment horizontal="left"/>
    </xf>
    <xf numFmtId="0" fontId="103" fillId="0" borderId="5">
      <alignment horizontal="left" vertical="top"/>
    </xf>
    <xf numFmtId="0" fontId="56" fillId="0" borderId="0" applyFill="0" applyBorder="0">
      <alignment vertical="center"/>
    </xf>
    <xf numFmtId="0" fontId="56" fillId="0" borderId="0" applyFill="0" applyBorder="0">
      <alignment vertical="center"/>
    </xf>
    <xf numFmtId="0" fontId="104" fillId="0" borderId="57" applyNumberFormat="0" applyFill="0" applyAlignment="0" applyProtection="0"/>
    <xf numFmtId="0" fontId="105" fillId="0" borderId="0">
      <alignment horizontal="left"/>
    </xf>
    <xf numFmtId="0" fontId="31" fillId="0" borderId="0" applyFill="0" applyBorder="0">
      <alignment vertical="center"/>
    </xf>
    <xf numFmtId="0" fontId="31" fillId="0" borderId="0" applyFill="0" applyBorder="0">
      <alignment vertical="center"/>
    </xf>
    <xf numFmtId="0" fontId="104" fillId="0" borderId="0" applyNumberFormat="0" applyFill="0" applyBorder="0" applyAlignment="0" applyProtection="0"/>
    <xf numFmtId="172" fontId="106" fillId="0" borderId="0"/>
    <xf numFmtId="171" fontId="107" fillId="0" borderId="0" applyNumberFormat="0" applyFill="0" applyBorder="0" applyAlignment="0" applyProtection="0"/>
    <xf numFmtId="171" fontId="92" fillId="0" borderId="0" applyNumberFormat="0" applyFill="0" applyBorder="0" applyAlignment="0" applyProtection="0"/>
    <xf numFmtId="0" fontId="108" fillId="9" borderId="0">
      <alignment horizontal="left" indent="2"/>
    </xf>
    <xf numFmtId="0" fontId="7" fillId="0" borderId="0">
      <alignment horizontal="left"/>
    </xf>
    <xf numFmtId="0" fontId="109" fillId="55" borderId="0">
      <alignment horizontal="center"/>
    </xf>
    <xf numFmtId="236" fontId="4" fillId="0" borderId="0" applyFont="0" applyFill="0" applyBorder="0" applyAlignment="0" applyProtection="0"/>
    <xf numFmtId="236" fontId="4" fillId="0" borderId="0" applyFont="0" applyFill="0" applyBorder="0" applyAlignment="0" applyProtection="0"/>
    <xf numFmtId="237" fontId="14" fillId="13" borderId="0">
      <alignment horizontal="center"/>
    </xf>
    <xf numFmtId="0" fontId="110" fillId="0" borderId="0" applyNumberFormat="0" applyFill="0" applyBorder="0" applyAlignment="0" applyProtection="0">
      <alignment vertical="top"/>
      <protection locked="0"/>
    </xf>
    <xf numFmtId="0" fontId="111" fillId="0" borderId="0" applyFill="0" applyBorder="0">
      <alignment horizontal="center" vertical="center"/>
      <protection locked="0"/>
    </xf>
    <xf numFmtId="0" fontId="111" fillId="0" borderId="0" applyFill="0" applyBorder="0">
      <alignment horizontal="center" vertical="center"/>
      <protection locked="0"/>
    </xf>
    <xf numFmtId="0" fontId="112" fillId="0" borderId="0" applyFill="0" applyBorder="0">
      <alignment horizontal="left" vertical="center"/>
      <protection locked="0"/>
    </xf>
    <xf numFmtId="238" fontId="4" fillId="0" borderId="0" applyFont="0" applyFill="0" applyBorder="0" applyAlignment="0" applyProtection="0"/>
    <xf numFmtId="238" fontId="4" fillId="0" borderId="0" applyFont="0" applyFill="0" applyBorder="0" applyAlignment="0" applyProtection="0"/>
    <xf numFmtId="239" fontId="35" fillId="0" borderId="58">
      <alignment horizontal="right" vertical="center"/>
    </xf>
    <xf numFmtId="240" fontId="113" fillId="56" borderId="0"/>
    <xf numFmtId="241" fontId="113" fillId="56" borderId="0">
      <alignment vertical="top"/>
    </xf>
    <xf numFmtId="15" fontId="113" fillId="56" borderId="0" applyBorder="0" applyProtection="0">
      <alignment vertical="top"/>
    </xf>
    <xf numFmtId="242" fontId="113" fillId="56" borderId="0">
      <alignment vertical="top"/>
    </xf>
    <xf numFmtId="170" fontId="72" fillId="0" borderId="49" applyProtection="0"/>
    <xf numFmtId="243" fontId="114" fillId="0" borderId="49">
      <alignment horizontal="right"/>
      <protection locked="0"/>
    </xf>
    <xf numFmtId="173" fontId="41" fillId="0" borderId="0"/>
    <xf numFmtId="174" fontId="41" fillId="0" borderId="0"/>
    <xf numFmtId="175" fontId="115" fillId="0" borderId="0"/>
    <xf numFmtId="176" fontId="115" fillId="0" borderId="0"/>
    <xf numFmtId="244" fontId="35" fillId="31" borderId="17" applyNumberFormat="0" applyAlignment="0" applyProtection="0"/>
    <xf numFmtId="10" fontId="31" fillId="17" borderId="17" applyNumberFormat="0" applyBorder="0" applyAlignment="0" applyProtection="0"/>
    <xf numFmtId="189" fontId="61" fillId="31" borderId="59" applyNumberFormat="0">
      <alignment vertical="center"/>
      <protection locked="0"/>
    </xf>
    <xf numFmtId="0" fontId="61" fillId="57" borderId="59" applyNumberFormat="0">
      <alignment vertical="center"/>
      <protection locked="0"/>
    </xf>
    <xf numFmtId="0" fontId="116" fillId="23" borderId="23" applyNumberFormat="0" applyAlignment="0" applyProtection="0"/>
    <xf numFmtId="0" fontId="72" fillId="0" borderId="49">
      <protection locked="0"/>
    </xf>
    <xf numFmtId="245" fontId="4" fillId="45" borderId="0" applyFont="0" applyBorder="0" applyAlignment="0">
      <alignment horizontal="right"/>
      <protection locked="0"/>
    </xf>
    <xf numFmtId="245" fontId="4" fillId="17" borderId="0" applyFont="0" applyBorder="0">
      <alignment horizontal="right"/>
      <protection locked="0"/>
    </xf>
    <xf numFmtId="0" fontId="117" fillId="50" borderId="0" applyNumberFormat="0" applyFont="0" applyAlignment="0"/>
    <xf numFmtId="0" fontId="117" fillId="50" borderId="50" applyNumberFormat="0" applyFont="0" applyAlignment="0">
      <protection locked="0"/>
    </xf>
    <xf numFmtId="0" fontId="31" fillId="45" borderId="17" applyNumberFormat="0" applyAlignment="0">
      <protection locked="0"/>
    </xf>
    <xf numFmtId="246" fontId="115" fillId="29" borderId="0"/>
    <xf numFmtId="0" fontId="31" fillId="31" borderId="60" applyNumberFormat="0" applyAlignment="0">
      <protection locked="0"/>
    </xf>
    <xf numFmtId="38" fontId="118" fillId="0" borderId="0"/>
    <xf numFmtId="38" fontId="119" fillId="0" borderId="0"/>
    <xf numFmtId="38" fontId="120" fillId="0" borderId="0"/>
    <xf numFmtId="38" fontId="121" fillId="0" borderId="0"/>
    <xf numFmtId="0" fontId="122" fillId="0" borderId="0"/>
    <xf numFmtId="0" fontId="122" fillId="0" borderId="0"/>
    <xf numFmtId="0" fontId="31" fillId="26" borderId="0"/>
    <xf numFmtId="173" fontId="41" fillId="58" borderId="0" applyBorder="0"/>
    <xf numFmtId="247" fontId="41" fillId="58" borderId="0"/>
    <xf numFmtId="174" fontId="41" fillId="58" borderId="0" applyBorder="0"/>
    <xf numFmtId="175" fontId="41" fillId="58" borderId="0" applyBorder="0"/>
    <xf numFmtId="176" fontId="41" fillId="58" borderId="0" applyBorder="0"/>
    <xf numFmtId="177" fontId="41" fillId="58" borderId="0" applyBorder="0"/>
    <xf numFmtId="0" fontId="123" fillId="0" borderId="61" applyNumberFormat="0" applyFill="0" applyAlignment="0" applyProtection="0"/>
    <xf numFmtId="15" fontId="27" fillId="0" borderId="0" applyFill="0" applyBorder="0">
      <alignment horizontal="right"/>
    </xf>
    <xf numFmtId="0" fontId="56" fillId="0" borderId="17" applyFill="0">
      <alignment horizontal="center" vertical="center"/>
    </xf>
    <xf numFmtId="0" fontId="31" fillId="0" borderId="17" applyFill="0">
      <alignment horizontal="center" vertical="center"/>
    </xf>
    <xf numFmtId="181" fontId="31" fillId="0" borderId="17" applyFill="0">
      <alignment horizontal="center" vertical="center"/>
    </xf>
    <xf numFmtId="248" fontId="14" fillId="0" borderId="0" applyNumberFormat="0" applyFill="0" applyBorder="0" applyAlignment="0">
      <protection locked="0"/>
    </xf>
    <xf numFmtId="0" fontId="124" fillId="0" borderId="0" applyNumberFormat="0" applyFill="0" applyBorder="0" applyAlignment="0" applyProtection="0">
      <alignment horizontal="right"/>
    </xf>
    <xf numFmtId="249" fontId="27" fillId="0" borderId="0" applyFill="0" applyBorder="0">
      <alignment horizontal="right"/>
    </xf>
    <xf numFmtId="170" fontId="125" fillId="0" borderId="0"/>
    <xf numFmtId="0" fontId="22" fillId="0" borderId="0" applyFill="0" applyBorder="0">
      <alignment horizontal="left" vertical="center"/>
    </xf>
    <xf numFmtId="250" fontId="71" fillId="0" borderId="0" applyFont="0" applyFill="0" applyBorder="0" applyProtection="0">
      <alignment horizontal="right"/>
    </xf>
    <xf numFmtId="0" fontId="61" fillId="48" borderId="62" applyNumberFormat="0" applyFont="0" applyFill="0" applyAlignment="0" applyProtection="0">
      <alignment vertical="center"/>
      <protection locked="0"/>
    </xf>
    <xf numFmtId="0" fontId="73" fillId="0" borderId="0" applyNumberFormat="0" applyBorder="0">
      <alignment horizontal="left" vertical="top"/>
    </xf>
    <xf numFmtId="0" fontId="126" fillId="23" borderId="0" applyNumberFormat="0" applyBorder="0" applyAlignment="0" applyProtection="0"/>
    <xf numFmtId="0" fontId="126" fillId="23" borderId="0" applyNumberFormat="0" applyBorder="0" applyAlignment="0" applyProtection="0"/>
    <xf numFmtId="0" fontId="126" fillId="23" borderId="0" applyNumberFormat="0" applyBorder="0" applyAlignment="0" applyProtection="0"/>
    <xf numFmtId="0" fontId="126" fillId="23" borderId="0" applyNumberFormat="0" applyBorder="0" applyAlignment="0" applyProtection="0"/>
    <xf numFmtId="0" fontId="127" fillId="0" borderId="0"/>
    <xf numFmtId="251" fontId="128" fillId="0" borderId="49">
      <alignment horizontal="right"/>
      <protection locked="0"/>
    </xf>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129" fillId="0" borderId="0"/>
    <xf numFmtId="0" fontId="4" fillId="0" borderId="0" applyFill="0"/>
    <xf numFmtId="0" fontId="4" fillId="0" borderId="0" applyFill="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23" fillId="0" borderId="0"/>
    <xf numFmtId="0" fontId="1" fillId="0" borderId="0"/>
    <xf numFmtId="0" fontId="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23" fillId="0" borderId="0"/>
    <xf numFmtId="0" fontId="23" fillId="0" borderId="0"/>
    <xf numFmtId="0" fontId="23" fillId="0" borderId="0"/>
    <xf numFmtId="0" fontId="4" fillId="0" borderId="0"/>
    <xf numFmtId="0" fontId="14" fillId="0" borderId="0" applyFill="0" applyBorder="0">
      <protection locked="0"/>
    </xf>
    <xf numFmtId="0" fontId="67" fillId="0" borderId="0"/>
    <xf numFmtId="14" fontId="31" fillId="0" borderId="0" applyFont="0" applyFill="0" applyBorder="0" applyAlignment="0" applyProtection="0"/>
    <xf numFmtId="252" fontId="43" fillId="0" borderId="0" applyFill="0" applyBorder="0" applyAlignment="0" applyProtection="0">
      <alignment vertical="top" wrapText="1"/>
    </xf>
    <xf numFmtId="247" fontId="68" fillId="0" borderId="0"/>
    <xf numFmtId="246" fontId="68" fillId="0" borderId="0"/>
    <xf numFmtId="173" fontId="68" fillId="0" borderId="0"/>
    <xf numFmtId="174" fontId="68" fillId="0" borderId="0" applyBorder="0"/>
    <xf numFmtId="0" fontId="130" fillId="0" borderId="0" applyNumberFormat="0" applyBorder="0">
      <protection hidden="1"/>
    </xf>
    <xf numFmtId="0" fontId="131" fillId="50" borderId="63" applyNumberFormat="0" applyAlignment="0" applyProtection="0"/>
    <xf numFmtId="40" fontId="25" fillId="50" borderId="0">
      <alignment horizontal="right"/>
    </xf>
    <xf numFmtId="0" fontId="132" fillId="59" borderId="0">
      <alignment horizontal="center"/>
    </xf>
    <xf numFmtId="0" fontId="101" fillId="60" borderId="0"/>
    <xf numFmtId="0" fontId="15" fillId="50" borderId="0" applyBorder="0">
      <alignment horizontal="centerContinuous"/>
    </xf>
    <xf numFmtId="0" fontId="133" fillId="60" borderId="0" applyBorder="0">
      <alignment horizontal="centerContinuous"/>
    </xf>
    <xf numFmtId="0" fontId="134" fillId="0" borderId="0" applyFill="0" applyBorder="0" applyProtection="0">
      <alignment horizontal="left"/>
    </xf>
    <xf numFmtId="0" fontId="135" fillId="0" borderId="0" applyFill="0" applyBorder="0" applyProtection="0">
      <alignment horizontal="left"/>
    </xf>
    <xf numFmtId="1" fontId="136" fillId="0" borderId="0" applyProtection="0">
      <alignment horizontal="right" vertical="center"/>
    </xf>
    <xf numFmtId="0" fontId="4" fillId="61" borderId="0" applyNumberFormat="0" applyFont="0" applyBorder="0" applyAlignment="0" applyProtection="0">
      <protection hidden="1"/>
    </xf>
    <xf numFmtId="171" fontId="31" fillId="62" borderId="0" applyNumberFormat="0" applyFont="0" applyBorder="0" applyAlignment="0" applyProtection="0"/>
    <xf numFmtId="253" fontId="4" fillId="0" borderId="0" applyFont="0" applyFill="0" applyBorder="0" applyAlignment="0" applyProtection="0"/>
    <xf numFmtId="9" fontId="43" fillId="0" borderId="0" applyFont="0" applyFill="0" applyBorder="0" applyAlignment="0" applyProtection="0"/>
    <xf numFmtId="10" fontId="43" fillId="0" borderId="0" applyFont="0" applyFill="0" applyBorder="0" applyAlignment="0" applyProtection="0"/>
    <xf numFmtId="9" fontId="4" fillId="0" borderId="0" applyFont="0" applyFill="0" applyBorder="0" applyAlignment="0" applyProtection="0"/>
    <xf numFmtId="254" fontId="137" fillId="0" borderId="0" applyFont="0" applyFill="0" applyBorder="0" applyAlignment="0" applyProtection="0"/>
    <xf numFmtId="172" fontId="4" fillId="0" borderId="0" applyFont="0" applyFill="0" applyBorder="0" applyAlignment="0" applyProtection="0"/>
    <xf numFmtId="255" fontId="4" fillId="0" borderId="0" applyFill="0" applyBorder="0"/>
    <xf numFmtId="242" fontId="14" fillId="0" borderId="0" applyFill="0" applyBorder="0">
      <protection locked="0"/>
    </xf>
    <xf numFmtId="255"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56" fontId="71" fillId="0" borderId="0" applyFont="0" applyFill="0" applyBorder="0" applyProtection="0">
      <alignment horizontal="right"/>
    </xf>
    <xf numFmtId="172" fontId="138" fillId="0" borderId="0"/>
    <xf numFmtId="0" fontId="56" fillId="0" borderId="0" applyFill="0" applyBorder="0">
      <alignment vertical="center"/>
    </xf>
    <xf numFmtId="178" fontId="139" fillId="0" borderId="0" applyFill="0" applyBorder="0">
      <alignment horizontal="right" vertical="center"/>
    </xf>
    <xf numFmtId="184" fontId="139" fillId="0" borderId="0" applyFill="0" applyBorder="0">
      <alignment horizontal="right" vertical="center"/>
    </xf>
    <xf numFmtId="0" fontId="140" fillId="0" borderId="0" applyFill="0" applyBorder="0">
      <alignment vertical="center"/>
    </xf>
    <xf numFmtId="0" fontId="141" fillId="0" borderId="0" applyFill="0" applyBorder="0">
      <alignment vertical="center"/>
    </xf>
    <xf numFmtId="0" fontId="142" fillId="0" borderId="0" applyFill="0" applyBorder="0">
      <alignment vertical="center"/>
    </xf>
    <xf numFmtId="0" fontId="139" fillId="0" borderId="0" applyFill="0" applyBorder="0">
      <alignment vertical="center"/>
    </xf>
    <xf numFmtId="0" fontId="111" fillId="0" borderId="0" applyFill="0" applyBorder="0">
      <alignment horizontal="center" vertical="center"/>
      <protection locked="0"/>
    </xf>
    <xf numFmtId="0" fontId="111" fillId="0" borderId="0" applyFill="0" applyBorder="0">
      <alignment horizontal="center" vertical="center"/>
      <protection locked="0"/>
    </xf>
    <xf numFmtId="0" fontId="143" fillId="0" borderId="0" applyFill="0" applyBorder="0">
      <alignment horizontal="left" vertical="center"/>
      <protection locked="0"/>
    </xf>
    <xf numFmtId="0" fontId="144" fillId="0" borderId="0" applyFill="0" applyBorder="0">
      <alignment horizontal="left" vertical="center"/>
    </xf>
    <xf numFmtId="180" fontId="139" fillId="0" borderId="0" applyFill="0" applyBorder="0">
      <alignment horizontal="right" vertical="center"/>
    </xf>
    <xf numFmtId="0" fontId="139" fillId="0" borderId="0" applyFill="0" applyBorder="0">
      <alignment vertical="center"/>
    </xf>
    <xf numFmtId="181" fontId="139" fillId="0" borderId="0" applyFill="0" applyBorder="0">
      <alignment horizontal="right" vertical="center"/>
    </xf>
    <xf numFmtId="182" fontId="139" fillId="0" borderId="0" applyFill="0" applyBorder="0">
      <alignment horizontal="right" vertical="center"/>
    </xf>
    <xf numFmtId="0" fontId="142" fillId="0" borderId="0" applyFill="0" applyBorder="0">
      <alignment vertical="center"/>
    </xf>
    <xf numFmtId="181" fontId="145" fillId="0" borderId="0" applyFill="0" applyBorder="0">
      <alignment horizontal="left" vertical="center"/>
    </xf>
    <xf numFmtId="0" fontId="146" fillId="0" borderId="0" applyFill="0" applyBorder="0">
      <alignment horizontal="left" vertical="center"/>
    </xf>
    <xf numFmtId="183" fontId="139" fillId="0" borderId="0" applyFill="0" applyBorder="0">
      <alignment horizontal="right" vertical="center"/>
    </xf>
    <xf numFmtId="0" fontId="59" fillId="0" borderId="0" applyNumberFormat="0" applyFont="0" applyFill="0" applyBorder="0" applyAlignment="0" applyProtection="0">
      <alignment horizontal="left"/>
    </xf>
    <xf numFmtId="15" fontId="59" fillId="0" borderId="0" applyFont="0" applyFill="0" applyBorder="0" applyAlignment="0" applyProtection="0"/>
    <xf numFmtId="4" fontId="59" fillId="0" borderId="0" applyFont="0" applyFill="0" applyBorder="0" applyAlignment="0" applyProtection="0"/>
    <xf numFmtId="257" fontId="147" fillId="0" borderId="10"/>
    <xf numFmtId="0" fontId="48" fillId="0" borderId="43">
      <alignment horizontal="center"/>
    </xf>
    <xf numFmtId="3" fontId="59" fillId="0" borderId="0" applyFont="0" applyFill="0" applyBorder="0" applyAlignment="0" applyProtection="0"/>
    <xf numFmtId="0" fontId="59" fillId="63" borderId="0" applyNumberFormat="0" applyFont="0" applyBorder="0" applyAlignment="0" applyProtection="0"/>
    <xf numFmtId="258" fontId="4" fillId="0" borderId="5" applyFont="0" applyFill="0" applyBorder="0" applyAlignment="0" applyProtection="0"/>
    <xf numFmtId="259" fontId="4" fillId="0" borderId="0" applyFont="0" applyFill="0" applyBorder="0" applyAlignment="0" applyProtection="0"/>
    <xf numFmtId="252" fontId="4" fillId="0" borderId="0"/>
    <xf numFmtId="260" fontId="148" fillId="0" borderId="0"/>
    <xf numFmtId="252" fontId="4" fillId="0" borderId="0"/>
    <xf numFmtId="261" fontId="73" fillId="0" borderId="0" applyNumberFormat="0" applyFill="0" applyBorder="0" applyAlignment="0" applyProtection="0"/>
    <xf numFmtId="0" fontId="4" fillId="64" borderId="0" applyNumberFormat="0" applyFont="0" applyBorder="0" applyAlignment="0" applyProtection="0"/>
    <xf numFmtId="2" fontId="149" fillId="65" borderId="10" applyAlignment="0" applyProtection="0">
      <protection locked="0"/>
    </xf>
    <xf numFmtId="0" fontId="150" fillId="17" borderId="10" applyNumberFormat="0" applyAlignment="0" applyProtection="0"/>
    <xf numFmtId="0" fontId="151" fillId="66" borderId="17" applyNumberFormat="0" applyAlignment="0" applyProtection="0">
      <alignment horizontal="center" vertical="center"/>
    </xf>
    <xf numFmtId="0" fontId="152" fillId="0" borderId="0"/>
    <xf numFmtId="0" fontId="152" fillId="0" borderId="0"/>
    <xf numFmtId="178" fontId="31" fillId="0" borderId="0" applyFill="0" applyBorder="0">
      <alignment horizontal="right" vertical="center"/>
    </xf>
    <xf numFmtId="262" fontId="31" fillId="0" borderId="0" applyFill="0" applyBorder="0">
      <alignment horizontal="right" vertical="center"/>
    </xf>
    <xf numFmtId="180" fontId="31" fillId="0" borderId="0" applyFill="0" applyBorder="0">
      <alignment horizontal="right" vertical="center"/>
    </xf>
    <xf numFmtId="263" fontId="31" fillId="0" borderId="0" applyFill="0" applyBorder="0">
      <alignment horizontal="right" vertical="center"/>
    </xf>
    <xf numFmtId="182" fontId="31" fillId="0" borderId="0" applyFill="0" applyBorder="0">
      <alignment horizontal="right" vertical="center"/>
    </xf>
    <xf numFmtId="183" fontId="31" fillId="0" borderId="0" applyFill="0" applyBorder="0">
      <alignment horizontal="right" vertical="center"/>
    </xf>
    <xf numFmtId="264" fontId="6" fillId="0" borderId="0" applyNumberFormat="0" applyFill="0" applyBorder="0" applyAlignment="0" applyProtection="0"/>
    <xf numFmtId="264" fontId="153" fillId="0" borderId="0" applyNumberFormat="0" applyFill="0" applyBorder="0" applyAlignment="0" applyProtection="0"/>
    <xf numFmtId="0" fontId="75" fillId="0" borderId="64">
      <alignment vertical="center"/>
    </xf>
    <xf numFmtId="4" fontId="154" fillId="23" borderId="65" applyNumberFormat="0" applyProtection="0">
      <alignment vertical="center"/>
    </xf>
    <xf numFmtId="4" fontId="155" fillId="23" borderId="65" applyNumberFormat="0" applyProtection="0">
      <alignment vertical="center"/>
    </xf>
    <xf numFmtId="4" fontId="154" fillId="23" borderId="65" applyNumberFormat="0" applyProtection="0">
      <alignment horizontal="left" vertical="center" indent="1"/>
    </xf>
    <xf numFmtId="0" fontId="154" fillId="23" borderId="65" applyNumberFormat="0" applyProtection="0">
      <alignment horizontal="left" vertical="top" indent="1"/>
    </xf>
    <xf numFmtId="4" fontId="154" fillId="67" borderId="0" applyNumberFormat="0" applyProtection="0">
      <alignment horizontal="left" vertical="center" indent="1"/>
    </xf>
    <xf numFmtId="4" fontId="25" fillId="47" borderId="65" applyNumberFormat="0" applyProtection="0">
      <alignment horizontal="right" vertical="center"/>
    </xf>
    <xf numFmtId="4" fontId="25" fillId="19" borderId="65" applyNumberFormat="0" applyProtection="0">
      <alignment horizontal="right" vertical="center"/>
    </xf>
    <xf numFmtId="4" fontId="25" fillId="38" borderId="65" applyNumberFormat="0" applyProtection="0">
      <alignment horizontal="right" vertical="center"/>
    </xf>
    <xf numFmtId="4" fontId="25" fillId="68" borderId="65" applyNumberFormat="0" applyProtection="0">
      <alignment horizontal="right" vertical="center"/>
    </xf>
    <xf numFmtId="4" fontId="25" fillId="44" borderId="65" applyNumberFormat="0" applyProtection="0">
      <alignment horizontal="right" vertical="center"/>
    </xf>
    <xf numFmtId="4" fontId="25" fillId="41" borderId="65" applyNumberFormat="0" applyProtection="0">
      <alignment horizontal="right" vertical="center"/>
    </xf>
    <xf numFmtId="4" fontId="25" fillId="69" borderId="65" applyNumberFormat="0" applyProtection="0">
      <alignment horizontal="right" vertical="center"/>
    </xf>
    <xf numFmtId="4" fontId="25" fillId="70" borderId="65" applyNumberFormat="0" applyProtection="0">
      <alignment horizontal="right" vertical="center"/>
    </xf>
    <xf numFmtId="4" fontId="25" fillId="71" borderId="65" applyNumberFormat="0" applyProtection="0">
      <alignment horizontal="right" vertical="center"/>
    </xf>
    <xf numFmtId="4" fontId="154" fillId="72" borderId="66" applyNumberFormat="0" applyProtection="0">
      <alignment horizontal="left" vertical="center" indent="1"/>
    </xf>
    <xf numFmtId="4" fontId="25" fillId="73" borderId="0" applyNumberFormat="0" applyProtection="0">
      <alignment horizontal="left" vertical="center" indent="1"/>
    </xf>
    <xf numFmtId="4" fontId="156" fillId="74" borderId="0" applyNumberFormat="0" applyProtection="0">
      <alignment horizontal="left" vertical="center" indent="1"/>
    </xf>
    <xf numFmtId="4" fontId="25" fillId="67" borderId="65" applyNumberFormat="0" applyProtection="0">
      <alignment horizontal="right" vertical="center"/>
    </xf>
    <xf numFmtId="4" fontId="25" fillId="73" borderId="0" applyNumberFormat="0" applyProtection="0">
      <alignment horizontal="left" vertical="center" indent="1"/>
    </xf>
    <xf numFmtId="4" fontId="25" fillId="67" borderId="0" applyNumberFormat="0" applyProtection="0">
      <alignment horizontal="left" vertical="center" indent="1"/>
    </xf>
    <xf numFmtId="0" fontId="4" fillId="74" borderId="65" applyNumberFormat="0" applyProtection="0">
      <alignment horizontal="left" vertical="center" indent="1"/>
    </xf>
    <xf numFmtId="0" fontId="4" fillId="74" borderId="65" applyNumberFormat="0" applyProtection="0">
      <alignment horizontal="left" vertical="top" indent="1"/>
    </xf>
    <xf numFmtId="0" fontId="4" fillId="67" borderId="65" applyNumberFormat="0" applyProtection="0">
      <alignment horizontal="left" vertical="center" indent="1"/>
    </xf>
    <xf numFmtId="0" fontId="4" fillId="67" borderId="65" applyNumberFormat="0" applyProtection="0">
      <alignment horizontal="left" vertical="top" indent="1"/>
    </xf>
    <xf numFmtId="0" fontId="4" fillId="24" borderId="65" applyNumberFormat="0" applyProtection="0">
      <alignment horizontal="left" vertical="center" indent="1"/>
    </xf>
    <xf numFmtId="0" fontId="4" fillId="24" borderId="65" applyNumberFormat="0" applyProtection="0">
      <alignment horizontal="left" vertical="top" indent="1"/>
    </xf>
    <xf numFmtId="0" fontId="4" fillId="73" borderId="65" applyNumberFormat="0" applyProtection="0">
      <alignment horizontal="left" vertical="center" indent="1"/>
    </xf>
    <xf numFmtId="0" fontId="4" fillId="73" borderId="65" applyNumberFormat="0" applyProtection="0">
      <alignment horizontal="left" vertical="top" indent="1"/>
    </xf>
    <xf numFmtId="0" fontId="4" fillId="50" borderId="17" applyNumberFormat="0">
      <protection locked="0"/>
    </xf>
    <xf numFmtId="4" fontId="25" fillId="20" borderId="65" applyNumberFormat="0" applyProtection="0">
      <alignment vertical="center"/>
    </xf>
    <xf numFmtId="4" fontId="157" fillId="20" borderId="65" applyNumberFormat="0" applyProtection="0">
      <alignment vertical="center"/>
    </xf>
    <xf numFmtId="4" fontId="25" fillId="20" borderId="65" applyNumberFormat="0" applyProtection="0">
      <alignment horizontal="left" vertical="center" indent="1"/>
    </xf>
    <xf numFmtId="0" fontId="25" fillId="20" borderId="65" applyNumberFormat="0" applyProtection="0">
      <alignment horizontal="left" vertical="top" indent="1"/>
    </xf>
    <xf numFmtId="4" fontId="25" fillId="73" borderId="65" applyNumberFormat="0" applyProtection="0">
      <alignment horizontal="right" vertical="center"/>
    </xf>
    <xf numFmtId="4" fontId="157" fillId="73" borderId="65" applyNumberFormat="0" applyProtection="0">
      <alignment horizontal="right" vertical="center"/>
    </xf>
    <xf numFmtId="4" fontId="25" fillId="67" borderId="65" applyNumberFormat="0" applyProtection="0">
      <alignment horizontal="left" vertical="center" indent="1"/>
    </xf>
    <xf numFmtId="0" fontId="25" fillId="67" borderId="65" applyNumberFormat="0" applyProtection="0">
      <alignment horizontal="left" vertical="top" indent="1"/>
    </xf>
    <xf numFmtId="4" fontId="158" fillId="62" borderId="0" applyNumberFormat="0" applyProtection="0">
      <alignment horizontal="left" vertical="center" indent="1"/>
    </xf>
    <xf numFmtId="4" fontId="72" fillId="73" borderId="65" applyNumberFormat="0" applyProtection="0">
      <alignment horizontal="right" vertical="center"/>
    </xf>
    <xf numFmtId="0" fontId="4" fillId="20" borderId="0" applyNumberFormat="0" applyFont="0" applyBorder="0" applyAlignment="0" applyProtection="0"/>
    <xf numFmtId="0" fontId="4" fillId="50" borderId="0" applyNumberFormat="0" applyFont="0" applyBorder="0" applyAlignment="0" applyProtection="0"/>
    <xf numFmtId="0" fontId="4" fillId="22" borderId="0" applyNumberFormat="0" applyFont="0" applyBorder="0" applyAlignment="0" applyProtection="0"/>
    <xf numFmtId="0" fontId="4" fillId="0" borderId="0" applyNumberFormat="0" applyFont="0" applyFill="0" applyBorder="0" applyAlignment="0" applyProtection="0"/>
    <xf numFmtId="0" fontId="4" fillId="22"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159" fillId="29" borderId="0" applyNumberFormat="0" applyBorder="0" applyAlignment="0"/>
    <xf numFmtId="265" fontId="27" fillId="0" borderId="0" applyFont="0" applyFill="0" applyBorder="0" applyAlignment="0" applyProtection="0">
      <alignment horizontal="right"/>
    </xf>
    <xf numFmtId="0" fontId="160" fillId="0" borderId="0" applyFill="0" applyBorder="0">
      <alignment horizontal="left" vertical="center"/>
    </xf>
    <xf numFmtId="0" fontId="43" fillId="75" borderId="0" applyNumberFormat="0" applyFont="0" applyBorder="0" applyAlignment="0" applyProtection="0"/>
    <xf numFmtId="0" fontId="161" fillId="0" borderId="0" applyNumberFormat="0" applyFill="0" applyBorder="0" applyAlignment="0" applyProtection="0"/>
    <xf numFmtId="17" fontId="27" fillId="0" borderId="0" applyFill="0" applyBorder="0">
      <alignment horizontal="right"/>
    </xf>
    <xf numFmtId="237" fontId="31" fillId="0" borderId="0" applyAlignment="0" applyProtection="0"/>
    <xf numFmtId="38" fontId="162" fillId="0" borderId="5" applyBorder="0" applyAlignment="0"/>
    <xf numFmtId="266" fontId="24" fillId="0" borderId="0" applyFill="0" applyBorder="0" applyProtection="0"/>
    <xf numFmtId="0" fontId="163" fillId="76" borderId="67" applyNumberFormat="0" applyAlignment="0" applyProtection="0"/>
    <xf numFmtId="0" fontId="163" fillId="76" borderId="67" applyNumberFormat="0" applyAlignment="0" applyProtection="0"/>
    <xf numFmtId="0" fontId="163" fillId="77" borderId="67" applyNumberFormat="0" applyAlignment="0" applyProtection="0"/>
    <xf numFmtId="0" fontId="25" fillId="0" borderId="0" applyNumberFormat="0" applyBorder="0" applyAlignment="0"/>
    <xf numFmtId="0" fontId="22" fillId="0" borderId="0"/>
    <xf numFmtId="0" fontId="7" fillId="0" borderId="0"/>
    <xf numFmtId="15" fontId="4" fillId="0" borderId="0"/>
    <xf numFmtId="10" fontId="4" fillId="0" borderId="0"/>
    <xf numFmtId="267" fontId="6" fillId="26" borderId="20"/>
    <xf numFmtId="268" fontId="71" fillId="0" borderId="2" applyFont="0" applyFill="0" applyAlignment="0" applyProtection="0"/>
    <xf numFmtId="3" fontId="164" fillId="0" borderId="0"/>
    <xf numFmtId="3" fontId="165" fillId="0" borderId="68"/>
    <xf numFmtId="3" fontId="165" fillId="0" borderId="69"/>
    <xf numFmtId="3" fontId="165" fillId="0" borderId="70"/>
    <xf numFmtId="3" fontId="164" fillId="0" borderId="0"/>
    <xf numFmtId="0" fontId="39" fillId="0" borderId="0" applyFill="0" applyBorder="0" applyProtection="0">
      <alignment horizontal="center" vertical="center"/>
    </xf>
    <xf numFmtId="0" fontId="166" fillId="0" borderId="0" applyBorder="0" applyProtection="0">
      <alignment vertical="center"/>
    </xf>
    <xf numFmtId="224" fontId="166" fillId="0" borderId="8" applyBorder="0" applyProtection="0">
      <alignment horizontal="right" vertical="center"/>
    </xf>
    <xf numFmtId="0" fontId="167" fillId="78" borderId="0" applyBorder="0" applyProtection="0">
      <alignment horizontal="centerContinuous" vertical="center"/>
    </xf>
    <xf numFmtId="0" fontId="168" fillId="54" borderId="8" applyBorder="0" applyProtection="0">
      <alignment horizontal="centerContinuous" vertical="center"/>
    </xf>
    <xf numFmtId="0" fontId="166" fillId="0" borderId="0" applyBorder="0" applyProtection="0">
      <alignment vertical="center"/>
    </xf>
    <xf numFmtId="0" fontId="169" fillId="0" borderId="0" applyFill="0" applyBorder="0" applyAlignment="0"/>
    <xf numFmtId="0" fontId="76" fillId="0" borderId="0">
      <alignment horizontal="left"/>
    </xf>
    <xf numFmtId="0" fontId="39" fillId="0" borderId="0" applyFill="0" applyBorder="0" applyProtection="0"/>
    <xf numFmtId="0" fontId="58" fillId="0" borderId="0"/>
    <xf numFmtId="0" fontId="6" fillId="0" borderId="0" applyFill="0" applyBorder="0" applyProtection="0">
      <alignment horizontal="left"/>
    </xf>
    <xf numFmtId="0" fontId="76" fillId="0" borderId="5" applyFill="0" applyBorder="0" applyProtection="0">
      <alignment horizontal="left" vertical="top"/>
    </xf>
    <xf numFmtId="49" fontId="4" fillId="0" borderId="0" applyFont="0" applyFill="0" applyBorder="0" applyAlignment="0" applyProtection="0"/>
    <xf numFmtId="0" fontId="170" fillId="0" borderId="0"/>
    <xf numFmtId="0" fontId="170" fillId="0" borderId="0"/>
    <xf numFmtId="0" fontId="171" fillId="0" borderId="0"/>
    <xf numFmtId="0" fontId="171" fillId="0" borderId="0"/>
    <xf numFmtId="0" fontId="170" fillId="0" borderId="0"/>
    <xf numFmtId="0" fontId="170" fillId="0" borderId="0"/>
    <xf numFmtId="0" fontId="4" fillId="0" borderId="0" applyFill="0" applyBorder="0">
      <alignment horizontal="right"/>
    </xf>
    <xf numFmtId="0" fontId="4" fillId="0" borderId="0">
      <alignment vertical="top" wrapText="1"/>
    </xf>
    <xf numFmtId="170" fontId="172" fillId="0" borderId="0"/>
    <xf numFmtId="268" fontId="71" fillId="0" borderId="0" applyFont="0" applyFill="0" applyBorder="0" applyAlignment="0" applyProtection="0"/>
    <xf numFmtId="0" fontId="173" fillId="0" borderId="0" applyFill="0" applyBorder="0" applyProtection="0">
      <alignment horizontal="left" vertical="top"/>
    </xf>
    <xf numFmtId="15" fontId="174" fillId="54" borderId="0" applyBorder="0" applyProtection="0">
      <alignment horizontal="centerContinuous"/>
    </xf>
    <xf numFmtId="15" fontId="175" fillId="54" borderId="0" applyBorder="0" applyProtection="0">
      <alignment horizontal="centerContinuous"/>
    </xf>
    <xf numFmtId="15" fontId="101" fillId="54" borderId="0" applyNumberFormat="0" applyBorder="0" applyProtection="0">
      <alignment horizontal="centerContinuous"/>
    </xf>
    <xf numFmtId="189" fontId="8" fillId="0" borderId="0" applyNumberFormat="0">
      <alignment vertical="center"/>
    </xf>
    <xf numFmtId="0" fontId="176" fillId="0" borderId="0" applyNumberFormat="0" applyFill="0" applyBorder="0" applyAlignment="0" applyProtection="0"/>
    <xf numFmtId="0" fontId="177" fillId="0" borderId="0" applyFill="0" applyBorder="0">
      <alignment horizontal="left" vertical="center"/>
      <protection locked="0"/>
    </xf>
    <xf numFmtId="0" fontId="170" fillId="0" borderId="0"/>
    <xf numFmtId="0" fontId="178" fillId="0" borderId="0" applyFill="0" applyBorder="0">
      <alignment horizontal="left" vertical="center"/>
      <protection locked="0"/>
    </xf>
    <xf numFmtId="0" fontId="179" fillId="0" borderId="0" applyFill="0" applyBorder="0">
      <alignment horizontal="left" vertical="center"/>
      <protection locked="0"/>
    </xf>
    <xf numFmtId="171" fontId="31" fillId="0" borderId="0" applyNumberFormat="0" applyFont="0" applyBorder="0" applyAlignment="0" applyProtection="0"/>
    <xf numFmtId="1" fontId="31" fillId="26" borderId="0" applyFont="0" applyBorder="0" applyAlignment="0" applyProtection="0"/>
    <xf numFmtId="201" fontId="4" fillId="0" borderId="19" applyFill="0"/>
    <xf numFmtId="201" fontId="4" fillId="0" borderId="2" applyFill="0"/>
    <xf numFmtId="201" fontId="4" fillId="0" borderId="19" applyFill="0"/>
    <xf numFmtId="201" fontId="4" fillId="0" borderId="2" applyFill="0"/>
    <xf numFmtId="0" fontId="180" fillId="0" borderId="71" applyNumberFormat="0" applyFill="0" applyAlignment="0" applyProtection="0"/>
    <xf numFmtId="268" fontId="71" fillId="0" borderId="72" applyFont="0" applyFill="0" applyAlignment="0" applyProtection="0"/>
    <xf numFmtId="38" fontId="69" fillId="0" borderId="8" applyNumberFormat="0" applyFont="0" applyFill="0" applyAlignment="0"/>
    <xf numFmtId="37" fontId="14" fillId="65" borderId="0" applyNumberFormat="0" applyBorder="0" applyAlignment="0">
      <alignment vertical="top"/>
    </xf>
    <xf numFmtId="0" fontId="4" fillId="0" borderId="0"/>
    <xf numFmtId="0" fontId="4" fillId="0" borderId="0"/>
    <xf numFmtId="0" fontId="4" fillId="0" borderId="0"/>
    <xf numFmtId="166" fontId="43" fillId="0" borderId="0" applyFont="0" applyFill="0" applyBorder="0" applyAlignment="0" applyProtection="0"/>
    <xf numFmtId="37" fontId="43" fillId="0" borderId="0" applyFont="0" applyFill="0" applyBorder="0" applyAlignment="0" applyProtection="0"/>
    <xf numFmtId="269" fontId="4" fillId="0" borderId="0" applyFont="0" applyFill="0" applyBorder="0" applyAlignment="0" applyProtection="0"/>
    <xf numFmtId="270" fontId="4" fillId="0" borderId="0" applyFont="0" applyFill="0" applyBorder="0" applyAlignment="0" applyProtection="0"/>
    <xf numFmtId="0" fontId="72" fillId="0" borderId="0" applyNumberFormat="0" applyFill="0" applyBorder="0"/>
    <xf numFmtId="0" fontId="181" fillId="0" borderId="0" applyNumberFormat="0" applyFill="0" applyBorder="0" applyAlignment="0" applyProtection="0"/>
    <xf numFmtId="0" fontId="130" fillId="0" borderId="0" applyNumberFormat="0" applyFill="0" applyBorder="0" applyAlignment="0"/>
    <xf numFmtId="271" fontId="4" fillId="0" borderId="0" applyFont="0" applyFill="0" applyBorder="0" applyProtection="0">
      <alignment horizontal="right"/>
    </xf>
    <xf numFmtId="272" fontId="4" fillId="0" borderId="8" applyBorder="0" applyProtection="0">
      <alignment horizontal="right"/>
    </xf>
    <xf numFmtId="273" fontId="182" fillId="0" borderId="0" applyFill="0" applyBorder="0" applyAlignment="0"/>
    <xf numFmtId="274" fontId="182" fillId="27" borderId="0" applyFill="0" applyBorder="0" applyAlignment="0"/>
    <xf numFmtId="275" fontId="183" fillId="0" borderId="8" applyBorder="0" applyProtection="0">
      <alignment horizontal="right"/>
    </xf>
    <xf numFmtId="273" fontId="137" fillId="0" borderId="0" applyFont="0" applyFill="0" applyBorder="0" applyAlignment="0" applyProtection="0"/>
    <xf numFmtId="276" fontId="137" fillId="0" borderId="0" applyFont="0" applyFill="0" applyBorder="0" applyAlignment="0" applyProtection="0"/>
    <xf numFmtId="277" fontId="4" fillId="0" borderId="0" applyFont="0" applyFill="0" applyBorder="0" applyAlignment="0" applyProtection="0"/>
    <xf numFmtId="278" fontId="27" fillId="0" borderId="0" applyFill="0" applyBorder="0">
      <alignment horizontal="right"/>
    </xf>
    <xf numFmtId="0" fontId="184" fillId="0" borderId="0"/>
    <xf numFmtId="9" fontId="1" fillId="0" borderId="0" applyFont="0" applyFill="0" applyBorder="0" applyAlignment="0" applyProtection="0"/>
    <xf numFmtId="37" fontId="21" fillId="13" borderId="0"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170" fontId="4" fillId="0" borderId="36" applyNumberFormat="0" applyBorder="0" applyAlignment="0" applyProtection="0"/>
    <xf numFmtId="0" fontId="4" fillId="0" borderId="0" applyFill="0" applyBorder="0" applyProtection="0">
      <protection locked="0"/>
    </xf>
    <xf numFmtId="9" fontId="4" fillId="17" borderId="41"/>
    <xf numFmtId="186" fontId="4" fillId="0" borderId="0" applyFont="0" applyFill="0" applyBorder="0" applyAlignment="0" applyProtection="0"/>
    <xf numFmtId="190" fontId="4" fillId="17" borderId="47" applyNumberFormat="0">
      <alignment vertical="center"/>
    </xf>
    <xf numFmtId="1" fontId="4" fillId="49" borderId="47" applyNumberFormat="0">
      <alignment vertical="center"/>
    </xf>
    <xf numFmtId="189" fontId="4" fillId="49" borderId="47" applyNumberFormat="0">
      <alignment vertical="center"/>
    </xf>
    <xf numFmtId="189" fontId="4" fillId="26" borderId="47" applyNumberFormat="0">
      <alignment vertical="center"/>
    </xf>
    <xf numFmtId="3" fontId="4" fillId="0"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89" fontId="4" fillId="48" borderId="47" applyNumberFormat="0">
      <alignment vertical="center"/>
    </xf>
    <xf numFmtId="198"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201" fontId="4" fillId="0" borderId="0" applyFill="0" applyBorder="0">
      <protection locked="0"/>
    </xf>
    <xf numFmtId="202" fontId="4" fillId="0" borderId="0" applyFill="0" applyBorder="0"/>
    <xf numFmtId="215"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4"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166" fontId="4" fillId="0" borderId="0" applyFill="0" applyBorder="0">
      <alignment horizontal="right"/>
    </xf>
    <xf numFmtId="166" fontId="4" fillId="0" borderId="0" applyFill="0" applyBorder="0">
      <alignment horizontal="right"/>
    </xf>
    <xf numFmtId="167" fontId="4" fillId="0" borderId="0" applyFill="0" applyBorder="0">
      <alignment horizontal="right"/>
    </xf>
    <xf numFmtId="181" fontId="4" fillId="0" borderId="0"/>
    <xf numFmtId="0" fontId="4" fillId="32" borderId="52" applyNumberFormat="0">
      <alignment vertical="center"/>
    </xf>
    <xf numFmtId="0" fontId="4" fillId="26" borderId="53" applyNumberFormat="0">
      <alignment vertical="center"/>
    </xf>
    <xf numFmtId="0" fontId="22" fillId="0" borderId="25" applyNumberFormat="0" applyAlignment="0" applyProtection="0">
      <alignment horizontal="left" vertical="center"/>
    </xf>
    <xf numFmtId="0" fontId="22" fillId="0" borderId="19">
      <alignment horizontal="left" vertical="center"/>
    </xf>
    <xf numFmtId="236" fontId="4" fillId="0" borderId="0" applyFont="0" applyFill="0" applyBorder="0" applyAlignment="0" applyProtection="0"/>
    <xf numFmtId="238" fontId="4" fillId="0" borderId="0" applyFont="0" applyFill="0" applyBorder="0" applyAlignment="0" applyProtection="0"/>
    <xf numFmtId="0" fontId="23" fillId="0" borderId="0"/>
    <xf numFmtId="9" fontId="4" fillId="0" borderId="0" applyFont="0" applyFill="0" applyBorder="0" applyAlignment="0" applyProtection="0"/>
    <xf numFmtId="172" fontId="4" fillId="0" borderId="0" applyFont="0" applyFill="0" applyBorder="0" applyAlignment="0" applyProtection="0"/>
    <xf numFmtId="242" fontId="4" fillId="0" borderId="0" applyFill="0" applyBorder="0"/>
    <xf numFmtId="0" fontId="59" fillId="0" borderId="0" applyNumberFormat="0" applyFont="0" applyFill="0" applyBorder="0" applyAlignment="0" applyProtection="0">
      <alignment horizontal="left"/>
    </xf>
    <xf numFmtId="0" fontId="59" fillId="0" borderId="0" applyNumberFormat="0" applyFont="0" applyFill="0" applyBorder="0" applyAlignment="0" applyProtection="0">
      <alignment horizontal="left"/>
    </xf>
    <xf numFmtId="15" fontId="59" fillId="0" borderId="0" applyFont="0" applyFill="0" applyBorder="0" applyAlignment="0" applyProtection="0"/>
    <xf numFmtId="15" fontId="59" fillId="0" borderId="0" applyFont="0" applyFill="0" applyBorder="0" applyAlignment="0" applyProtection="0"/>
    <xf numFmtId="4" fontId="59" fillId="0" borderId="0" applyFont="0" applyFill="0" applyBorder="0" applyAlignment="0" applyProtection="0"/>
    <xf numFmtId="0" fontId="48" fillId="0" borderId="43">
      <alignment horizontal="center"/>
    </xf>
    <xf numFmtId="0" fontId="48" fillId="0" borderId="43">
      <alignment horizontal="center"/>
    </xf>
    <xf numFmtId="0" fontId="48" fillId="0" borderId="43">
      <alignment horizontal="center"/>
    </xf>
    <xf numFmtId="3" fontId="59" fillId="0" borderId="0" applyFont="0" applyFill="0" applyBorder="0" applyAlignment="0" applyProtection="0"/>
    <xf numFmtId="0" fontId="59" fillId="63" borderId="0" applyNumberFormat="0" applyFont="0" applyBorder="0" applyAlignment="0" applyProtection="0"/>
    <xf numFmtId="258" fontId="4" fillId="0" borderId="5" applyFont="0" applyFill="0" applyBorder="0" applyAlignment="0" applyProtection="0"/>
    <xf numFmtId="259" fontId="4" fillId="0" borderId="0" applyFont="0" applyFill="0" applyBorder="0" applyAlignment="0" applyProtection="0"/>
    <xf numFmtId="0" fontId="4" fillId="64" borderId="0" applyNumberFormat="0" applyFont="0" applyBorder="0" applyAlignment="0" applyProtection="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25" fillId="0" borderId="0" applyNumberFormat="0" applyBorder="0" applyAlignment="0"/>
    <xf numFmtId="0" fontId="4" fillId="0" borderId="0" applyFill="0" applyBorder="0">
      <alignment horizontal="right"/>
    </xf>
    <xf numFmtId="201" fontId="4" fillId="0" borderId="19" applyFill="0"/>
    <xf numFmtId="201" fontId="4" fillId="0" borderId="2" applyFill="0"/>
    <xf numFmtId="201" fontId="4" fillId="0" borderId="19" applyFill="0"/>
    <xf numFmtId="201" fontId="4" fillId="0" borderId="2" applyFill="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71" fontId="4" fillId="0" borderId="0" applyFont="0" applyFill="0" applyBorder="0" applyProtection="0">
      <alignment horizontal="right"/>
    </xf>
    <xf numFmtId="277" fontId="4" fillId="0" borderId="0" applyFont="0" applyFill="0" applyBorder="0" applyAlignment="0" applyProtection="0"/>
    <xf numFmtId="0" fontId="186" fillId="80" borderId="85" applyNumberFormat="0" applyAlignment="0" applyProtection="0"/>
    <xf numFmtId="0" fontId="1" fillId="0" borderId="0"/>
    <xf numFmtId="0" fontId="1" fillId="0" borderId="0"/>
    <xf numFmtId="0" fontId="193" fillId="85" borderId="85" applyNumberFormat="0" applyAlignment="0" applyProtection="0"/>
    <xf numFmtId="0" fontId="194" fillId="81" borderId="87" applyAlignment="0" applyProtection="0"/>
    <xf numFmtId="0" fontId="1" fillId="0" borderId="0"/>
    <xf numFmtId="0" fontId="206" fillId="0" borderId="0" applyFill="0" applyBorder="0" applyAlignment="0" applyProtection="0"/>
    <xf numFmtId="0" fontId="1" fillId="0" borderId="88"/>
    <xf numFmtId="0" fontId="207" fillId="92" borderId="68"/>
    <xf numFmtId="0" fontId="208" fillId="0" borderId="0"/>
    <xf numFmtId="0" fontId="4" fillId="0" borderId="0"/>
    <xf numFmtId="0" fontId="4" fillId="0" borderId="0"/>
    <xf numFmtId="0" fontId="1" fillId="93" borderId="0" applyNumberFormat="0" applyBorder="0" applyAlignment="0" applyProtection="0"/>
    <xf numFmtId="0" fontId="1" fillId="95" borderId="0" applyNumberFormat="0" applyBorder="0" applyAlignment="0" applyProtection="0"/>
    <xf numFmtId="0" fontId="1" fillId="97" borderId="0" applyNumberFormat="0" applyBorder="0" applyAlignment="0" applyProtection="0"/>
    <xf numFmtId="0" fontId="1" fillId="99" borderId="0" applyNumberFormat="0" applyBorder="0" applyAlignment="0" applyProtection="0"/>
    <xf numFmtId="0" fontId="1" fillId="101" borderId="0" applyNumberFormat="0" applyBorder="0" applyAlignment="0" applyProtection="0"/>
    <xf numFmtId="0" fontId="1" fillId="102" borderId="0" applyNumberFormat="0" applyBorder="0" applyAlignment="0" applyProtection="0"/>
    <xf numFmtId="0" fontId="1" fillId="94" borderId="0" applyNumberFormat="0" applyBorder="0" applyAlignment="0" applyProtection="0"/>
    <xf numFmtId="0" fontId="1" fillId="96" borderId="0" applyNumberFormat="0" applyBorder="0" applyAlignment="0" applyProtection="0"/>
    <xf numFmtId="0" fontId="1" fillId="98" borderId="0" applyNumberFormat="0" applyBorder="0" applyAlignment="0" applyProtection="0"/>
    <xf numFmtId="0" fontId="1" fillId="100" borderId="0" applyNumberFormat="0" applyBorder="0" applyAlignment="0" applyProtection="0"/>
    <xf numFmtId="0" fontId="1" fillId="3" borderId="0" applyNumberFormat="0" applyBorder="0" applyAlignment="0" applyProtection="0"/>
    <xf numFmtId="0" fontId="1" fillId="103" borderId="0" applyNumberFormat="0" applyBorder="0" applyAlignment="0" applyProtection="0"/>
    <xf numFmtId="0" fontId="19" fillId="104" borderId="89" applyAlignment="0" applyProtection="0"/>
    <xf numFmtId="0" fontId="10" fillId="105" borderId="90" applyNumberFormat="0"/>
    <xf numFmtId="284" fontId="210" fillId="0" borderId="41">
      <alignment horizontal="center"/>
    </xf>
    <xf numFmtId="285" fontId="1" fillId="106" borderId="0"/>
    <xf numFmtId="286" fontId="81" fillId="107" borderId="0"/>
    <xf numFmtId="0" fontId="211" fillId="0" borderId="0" applyNumberFormat="0" applyFill="0" applyBorder="0" applyAlignment="0"/>
    <xf numFmtId="0" fontId="209" fillId="108" borderId="0" applyNumberFormat="0" applyAlignment="0" applyProtection="0"/>
    <xf numFmtId="0" fontId="212" fillId="0" borderId="0"/>
    <xf numFmtId="0" fontId="19" fillId="109" borderId="91" applyNumberFormat="0" applyAlignment="0" applyProtection="0"/>
    <xf numFmtId="0" fontId="4" fillId="0" borderId="17" applyNumberFormat="0"/>
    <xf numFmtId="0" fontId="213" fillId="0" borderId="92"/>
    <xf numFmtId="0" fontId="3" fillId="110" borderId="17"/>
    <xf numFmtId="287" fontId="4" fillId="26" borderId="17" applyNumberFormat="0" applyAlignment="0">
      <alignment horizontal="right"/>
    </xf>
    <xf numFmtId="288"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14" fillId="26" borderId="93" applyNumberFormat="0"/>
    <xf numFmtId="0" fontId="215" fillId="0" borderId="94"/>
    <xf numFmtId="0" fontId="216" fillId="111" borderId="17" applyNumberFormat="0">
      <alignment horizontal="centerContinuous" vertical="center" wrapText="1"/>
    </xf>
    <xf numFmtId="2" fontId="217" fillId="112" borderId="95"/>
    <xf numFmtId="0" fontId="81" fillId="113" borderId="23" applyNumberFormat="0">
      <alignment horizontal="right"/>
    </xf>
    <xf numFmtId="0" fontId="210" fillId="0" borderId="0" applyNumberFormat="0"/>
    <xf numFmtId="205" fontId="1" fillId="0" borderId="0" applyFont="0" applyFill="0" applyBorder="0" applyAlignment="0" applyProtection="0"/>
  </cellStyleXfs>
  <cellXfs count="626">
    <xf numFmtId="0" fontId="0" fillId="0" borderId="0" xfId="0"/>
    <xf numFmtId="0" fontId="2" fillId="0" borderId="0" xfId="0" applyFont="1"/>
    <xf numFmtId="0" fontId="0" fillId="5" borderId="0" xfId="0" applyFill="1"/>
    <xf numFmtId="0" fontId="0" fillId="8" borderId="0" xfId="0" applyFill="1"/>
    <xf numFmtId="0" fontId="0" fillId="0" borderId="0" xfId="0" applyFill="1"/>
    <xf numFmtId="0" fontId="5" fillId="9" borderId="0" xfId="3" applyFont="1" applyFill="1" applyAlignment="1">
      <alignment horizontal="center"/>
    </xf>
    <xf numFmtId="0" fontId="6" fillId="0" borderId="0" xfId="3" applyFont="1" applyAlignment="1">
      <alignment horizontal="center"/>
    </xf>
    <xf numFmtId="0" fontId="4" fillId="0" borderId="0" xfId="3"/>
    <xf numFmtId="0" fontId="7" fillId="0" borderId="0" xfId="3" applyFont="1" applyAlignment="1">
      <alignment horizontal="center"/>
    </xf>
    <xf numFmtId="0" fontId="4" fillId="0" borderId="0" xfId="3" applyFont="1"/>
    <xf numFmtId="0" fontId="4" fillId="0" borderId="0" xfId="3" applyAlignment="1">
      <alignment horizontal="center"/>
    </xf>
    <xf numFmtId="14" fontId="8" fillId="11" borderId="0" xfId="3" applyNumberFormat="1" applyFont="1" applyFill="1" applyAlignment="1">
      <alignment horizontal="left"/>
    </xf>
    <xf numFmtId="0" fontId="6" fillId="0" borderId="0" xfId="3" applyFont="1" applyBorder="1" applyAlignment="1">
      <alignment horizontal="center"/>
    </xf>
    <xf numFmtId="0" fontId="4" fillId="0" borderId="5" xfId="3" applyBorder="1"/>
    <xf numFmtId="0" fontId="5" fillId="9" borderId="0" xfId="3" applyFont="1" applyFill="1" applyAlignment="1">
      <alignment horizontal="right"/>
    </xf>
    <xf numFmtId="0" fontId="5" fillId="10" borderId="8" xfId="3" applyFont="1" applyFill="1" applyBorder="1" applyAlignment="1">
      <alignment horizontal="right"/>
    </xf>
    <xf numFmtId="0" fontId="5" fillId="0" borderId="0" xfId="3" applyFont="1" applyFill="1"/>
    <xf numFmtId="0" fontId="6" fillId="13" borderId="0" xfId="3" applyFont="1" applyFill="1" applyAlignment="1">
      <alignment horizontal="center"/>
    </xf>
    <xf numFmtId="164" fontId="0" fillId="13" borderId="0" xfId="5" applyNumberFormat="1" applyFont="1" applyFill="1"/>
    <xf numFmtId="0" fontId="4" fillId="13" borderId="0" xfId="3" applyFill="1"/>
    <xf numFmtId="0" fontId="6" fillId="6" borderId="0" xfId="3" applyFont="1" applyFill="1"/>
    <xf numFmtId="0" fontId="11" fillId="0" borderId="0" xfId="3" applyFont="1" applyAlignment="1">
      <alignment horizontal="center"/>
    </xf>
    <xf numFmtId="0" fontId="12" fillId="13" borderId="0" xfId="3" applyFont="1" applyFill="1" applyAlignment="1">
      <alignment horizontal="center"/>
    </xf>
    <xf numFmtId="0" fontId="11" fillId="0" borderId="0" xfId="3" applyFont="1"/>
    <xf numFmtId="164" fontId="11" fillId="13" borderId="0" xfId="5" applyNumberFormat="1" applyFont="1" applyFill="1"/>
    <xf numFmtId="0" fontId="11" fillId="13" borderId="0" xfId="3" applyFont="1" applyFill="1"/>
    <xf numFmtId="0" fontId="7" fillId="0" borderId="0" xfId="3" applyFont="1"/>
    <xf numFmtId="0" fontId="0" fillId="0" borderId="0" xfId="0" applyBorder="1"/>
    <xf numFmtId="44" fontId="0" fillId="0" borderId="0" xfId="2" applyFont="1"/>
    <xf numFmtId="0" fontId="0" fillId="0" borderId="0" xfId="0" applyFill="1" applyBorder="1"/>
    <xf numFmtId="43" fontId="0" fillId="0" borderId="0" xfId="1" applyFont="1"/>
    <xf numFmtId="164" fontId="0" fillId="0" borderId="5" xfId="1" applyNumberFormat="1" applyFont="1" applyBorder="1"/>
    <xf numFmtId="0" fontId="0" fillId="5" borderId="18" xfId="0" applyFill="1" applyBorder="1"/>
    <xf numFmtId="14" fontId="0" fillId="5" borderId="20" xfId="0" applyNumberFormat="1" applyFill="1" applyBorder="1"/>
    <xf numFmtId="37" fontId="21" fillId="5" borderId="0" xfId="51" applyFill="1"/>
    <xf numFmtId="37" fontId="19" fillId="5" borderId="3" xfId="51" applyFont="1" applyFill="1" applyBorder="1"/>
    <xf numFmtId="14" fontId="22" fillId="14" borderId="17" xfId="51" applyNumberFormat="1" applyFont="1" applyFill="1" applyBorder="1"/>
    <xf numFmtId="164" fontId="22" fillId="14" borderId="17" xfId="1" applyNumberFormat="1" applyFont="1" applyFill="1" applyBorder="1"/>
    <xf numFmtId="0" fontId="0" fillId="5" borderId="5" xfId="0" applyFill="1" applyBorder="1"/>
    <xf numFmtId="14" fontId="0" fillId="5" borderId="6" xfId="0" applyNumberFormat="1" applyFill="1" applyBorder="1"/>
    <xf numFmtId="0" fontId="0" fillId="5" borderId="7" xfId="0" applyFill="1" applyBorder="1"/>
    <xf numFmtId="14" fontId="0" fillId="5" borderId="9" xfId="0" applyNumberFormat="1" applyFill="1" applyBorder="1"/>
    <xf numFmtId="0" fontId="0" fillId="15" borderId="0" xfId="0" applyFill="1"/>
    <xf numFmtId="0" fontId="2" fillId="15" borderId="0" xfId="0" applyFont="1" applyFill="1" applyAlignment="1">
      <alignment horizontal="center"/>
    </xf>
    <xf numFmtId="0" fontId="2" fillId="0" borderId="0" xfId="0" applyFont="1" applyAlignment="1">
      <alignment horizontal="center"/>
    </xf>
    <xf numFmtId="37" fontId="2" fillId="15" borderId="0" xfId="0" applyNumberFormat="1" applyFont="1" applyFill="1" applyAlignment="1">
      <alignment horizontal="center"/>
    </xf>
    <xf numFmtId="14" fontId="2" fillId="15" borderId="0" xfId="0" applyNumberFormat="1" applyFont="1" applyFill="1" applyAlignment="1">
      <alignment horizontal="center"/>
    </xf>
    <xf numFmtId="0" fontId="0" fillId="0" borderId="0" xfId="0" applyFont="1"/>
    <xf numFmtId="10" fontId="0" fillId="0" borderId="0" xfId="0" applyNumberFormat="1"/>
    <xf numFmtId="9" fontId="0" fillId="0" borderId="0" xfId="0" applyNumberFormat="1"/>
    <xf numFmtId="9" fontId="0" fillId="5" borderId="0" xfId="0" applyNumberFormat="1" applyFill="1"/>
    <xf numFmtId="0" fontId="0" fillId="0" borderId="0" xfId="0" applyAlignment="1"/>
    <xf numFmtId="0" fontId="0" fillId="0" borderId="0" xfId="0" applyAlignment="1">
      <alignment wrapText="1"/>
    </xf>
    <xf numFmtId="0" fontId="0" fillId="8" borderId="0" xfId="0" applyFill="1" applyAlignment="1">
      <alignment horizontal="left" wrapText="1"/>
    </xf>
    <xf numFmtId="0" fontId="2" fillId="0" borderId="0" xfId="0" applyFont="1" applyFill="1"/>
    <xf numFmtId="0" fontId="0" fillId="0" borderId="8" xfId="0" applyBorder="1"/>
    <xf numFmtId="43" fontId="0" fillId="0" borderId="8" xfId="1" applyFont="1" applyBorder="1"/>
    <xf numFmtId="43" fontId="0" fillId="0" borderId="0" xfId="0" applyNumberFormat="1"/>
    <xf numFmtId="0" fontId="185" fillId="0" borderId="0" xfId="0" applyFont="1"/>
    <xf numFmtId="0" fontId="0" fillId="0" borderId="2" xfId="0" applyBorder="1"/>
    <xf numFmtId="0" fontId="0" fillId="0" borderId="6" xfId="0" applyBorder="1"/>
    <xf numFmtId="0" fontId="16" fillId="0" borderId="0" xfId="0" applyFont="1" applyFill="1" applyBorder="1" applyAlignment="1">
      <alignment horizontal="center"/>
    </xf>
    <xf numFmtId="0" fontId="16" fillId="0" borderId="0" xfId="0" applyFont="1" applyFill="1" applyBorder="1" applyAlignment="1">
      <alignment horizontal="center" wrapText="1"/>
    </xf>
    <xf numFmtId="44" fontId="18" fillId="0" borderId="0" xfId="0" applyNumberFormat="1" applyFont="1" applyFill="1" applyBorder="1"/>
    <xf numFmtId="0" fontId="188" fillId="0" borderId="0" xfId="0" applyFont="1"/>
    <xf numFmtId="10" fontId="0" fillId="0" borderId="5" xfId="0" applyNumberFormat="1" applyBorder="1"/>
    <xf numFmtId="172" fontId="0" fillId="0" borderId="6" xfId="890" applyNumberFormat="1" applyFont="1" applyBorder="1"/>
    <xf numFmtId="10" fontId="0" fillId="0" borderId="7" xfId="0" applyNumberFormat="1" applyBorder="1"/>
    <xf numFmtId="172" fontId="0" fillId="0" borderId="9" xfId="890" applyNumberFormat="1" applyFont="1" applyBorder="1"/>
    <xf numFmtId="44" fontId="0" fillId="0" borderId="10" xfId="2" applyFont="1" applyBorder="1"/>
    <xf numFmtId="44" fontId="0" fillId="0" borderId="22" xfId="2" applyFont="1" applyBorder="1"/>
    <xf numFmtId="44" fontId="0" fillId="0" borderId="0" xfId="0" applyNumberFormat="1"/>
    <xf numFmtId="279" fontId="0" fillId="0" borderId="6" xfId="2" applyNumberFormat="1" applyFont="1" applyBorder="1"/>
    <xf numFmtId="43" fontId="0" fillId="0" borderId="0" xfId="270" applyFont="1"/>
    <xf numFmtId="0" fontId="0" fillId="0" borderId="0" xfId="0" applyAlignment="1">
      <alignment horizontal="right"/>
    </xf>
    <xf numFmtId="164" fontId="0" fillId="0" borderId="0" xfId="0" applyNumberFormat="1"/>
    <xf numFmtId="0" fontId="0" fillId="0" borderId="3" xfId="0" applyBorder="1"/>
    <xf numFmtId="0" fontId="0" fillId="0" borderId="7" xfId="0" applyBorder="1"/>
    <xf numFmtId="0" fontId="2" fillId="6" borderId="2" xfId="0" applyFont="1" applyFill="1" applyBorder="1" applyAlignment="1">
      <alignment horizontal="center" vertical="top" wrapText="1"/>
    </xf>
    <xf numFmtId="0" fontId="0" fillId="0" borderId="5" xfId="0" applyBorder="1" applyAlignment="1">
      <alignment vertical="top"/>
    </xf>
    <xf numFmtId="0" fontId="0" fillId="0" borderId="0" xfId="0" applyBorder="1" applyAlignment="1">
      <alignment vertical="top"/>
    </xf>
    <xf numFmtId="43" fontId="0" fillId="0" borderId="0" xfId="1" applyFont="1" applyBorder="1" applyAlignment="1">
      <alignment vertical="top"/>
    </xf>
    <xf numFmtId="0" fontId="0" fillId="0" borderId="6" xfId="0" applyBorder="1" applyAlignment="1">
      <alignment vertical="top"/>
    </xf>
    <xf numFmtId="0" fontId="0" fillId="0" borderId="5" xfId="0" applyBorder="1"/>
    <xf numFmtId="43" fontId="0" fillId="0" borderId="0" xfId="1" applyFont="1" applyBorder="1"/>
    <xf numFmtId="44" fontId="0" fillId="0" borderId="6" xfId="2" applyFont="1" applyBorder="1" applyAlignment="1">
      <alignment vertical="top"/>
    </xf>
    <xf numFmtId="44" fontId="0" fillId="0" borderId="6" xfId="2" applyFont="1" applyBorder="1"/>
    <xf numFmtId="280" fontId="0" fillId="0" borderId="0" xfId="1" applyNumberFormat="1" applyFont="1"/>
    <xf numFmtId="280" fontId="0" fillId="0" borderId="19" xfId="1" applyNumberFormat="1" applyFont="1" applyBorder="1"/>
    <xf numFmtId="281" fontId="0" fillId="0" borderId="0" xfId="0" applyNumberFormat="1"/>
    <xf numFmtId="44" fontId="2" fillId="0" borderId="72" xfId="2" applyNumberFormat="1" applyFont="1" applyBorder="1"/>
    <xf numFmtId="281" fontId="0" fillId="0" borderId="72" xfId="0" applyNumberFormat="1" applyBorder="1"/>
    <xf numFmtId="44" fontId="0" fillId="84" borderId="6" xfId="2" applyFont="1" applyFill="1" applyBorder="1"/>
    <xf numFmtId="44" fontId="0" fillId="0" borderId="9" xfId="2" applyFont="1" applyBorder="1"/>
    <xf numFmtId="0" fontId="0" fillId="0" borderId="7" xfId="0" applyBorder="1" applyAlignment="1">
      <alignment vertical="top"/>
    </xf>
    <xf numFmtId="0" fontId="0" fillId="0" borderId="8" xfId="0" applyBorder="1" applyAlignment="1">
      <alignment vertical="top"/>
    </xf>
    <xf numFmtId="43" fontId="0" fillId="0" borderId="8" xfId="1" applyFont="1" applyBorder="1" applyAlignment="1">
      <alignment vertical="top"/>
    </xf>
    <xf numFmtId="44" fontId="0" fillId="0" borderId="9" xfId="2" applyFont="1" applyBorder="1" applyAlignment="1">
      <alignment vertical="top"/>
    </xf>
    <xf numFmtId="44" fontId="0" fillId="0" borderId="19" xfId="0" applyNumberFormat="1" applyBorder="1"/>
    <xf numFmtId="0" fontId="2" fillId="0" borderId="2" xfId="0" applyFont="1" applyBorder="1" applyAlignment="1">
      <alignment horizontal="right"/>
    </xf>
    <xf numFmtId="44" fontId="2" fillId="0" borderId="4" xfId="0" applyNumberFormat="1" applyFont="1" applyBorder="1"/>
    <xf numFmtId="0" fontId="0" fillId="0" borderId="0" xfId="0" applyFont="1" applyFill="1" applyBorder="1"/>
    <xf numFmtId="164" fontId="2" fillId="0" borderId="19" xfId="270" applyNumberFormat="1" applyFont="1" applyBorder="1"/>
    <xf numFmtId="279" fontId="0" fillId="0" borderId="19" xfId="305" applyNumberFormat="1" applyFont="1" applyBorder="1"/>
    <xf numFmtId="164" fontId="193" fillId="0" borderId="85" xfId="270" applyNumberFormat="1" applyFont="1" applyFill="1" applyBorder="1" applyAlignment="1">
      <alignment horizontal="right"/>
    </xf>
    <xf numFmtId="164" fontId="0" fillId="0" borderId="0" xfId="270" applyNumberFormat="1" applyFont="1"/>
    <xf numFmtId="164" fontId="193" fillId="85" borderId="85" xfId="270" applyNumberFormat="1" applyFont="1" applyFill="1" applyBorder="1" applyAlignment="1">
      <alignment horizontal="right"/>
    </xf>
    <xf numFmtId="43" fontId="19" fillId="87" borderId="86" xfId="270" applyFont="1" applyFill="1" applyBorder="1" applyAlignment="1">
      <alignment horizontal="center"/>
    </xf>
    <xf numFmtId="43" fontId="19" fillId="88" borderId="86" xfId="270" applyFont="1" applyFill="1" applyBorder="1" applyAlignment="1">
      <alignment horizontal="center"/>
    </xf>
    <xf numFmtId="9" fontId="0" fillId="0" borderId="0" xfId="700" applyFont="1"/>
    <xf numFmtId="0" fontId="0" fillId="84" borderId="0" xfId="0" applyFill="1"/>
    <xf numFmtId="0" fontId="0" fillId="84" borderId="0" xfId="0" applyFill="1" applyBorder="1"/>
    <xf numFmtId="0" fontId="2" fillId="6" borderId="0" xfId="0" applyFont="1" applyFill="1" applyBorder="1"/>
    <xf numFmtId="0" fontId="2" fillId="6" borderId="0" xfId="0" applyFont="1" applyFill="1" applyBorder="1" applyAlignment="1">
      <alignment horizontal="center" vertical="top" wrapText="1"/>
    </xf>
    <xf numFmtId="0" fontId="2" fillId="6" borderId="0" xfId="0" applyFont="1" applyFill="1" applyBorder="1" applyAlignment="1">
      <alignment horizontal="center" wrapText="1"/>
    </xf>
    <xf numFmtId="0" fontId="2" fillId="6" borderId="5" xfId="0" applyFont="1" applyFill="1" applyBorder="1" applyAlignment="1">
      <alignment horizontal="center" wrapText="1"/>
    </xf>
    <xf numFmtId="0" fontId="2" fillId="6" borderId="5" xfId="0" applyFont="1" applyFill="1" applyBorder="1" applyAlignment="1">
      <alignment horizontal="center" vertical="top" wrapText="1"/>
    </xf>
    <xf numFmtId="0" fontId="2" fillId="6" borderId="3" xfId="0" applyFont="1" applyFill="1" applyBorder="1" applyAlignment="1">
      <alignment horizontal="center" wrapText="1"/>
    </xf>
    <xf numFmtId="9" fontId="2" fillId="6" borderId="0" xfId="0" applyNumberFormat="1" applyFont="1" applyFill="1" applyBorder="1" applyAlignment="1">
      <alignment horizontal="center" wrapText="1"/>
    </xf>
    <xf numFmtId="0" fontId="196" fillId="6" borderId="2" xfId="0" applyFont="1" applyFill="1" applyBorder="1"/>
    <xf numFmtId="0" fontId="196" fillId="6" borderId="0" xfId="0" applyFont="1" applyFill="1" applyBorder="1"/>
    <xf numFmtId="44" fontId="0" fillId="84" borderId="0" xfId="2" applyFont="1" applyFill="1" applyBorder="1"/>
    <xf numFmtId="164" fontId="0" fillId="84" borderId="0" xfId="1" applyNumberFormat="1" applyFont="1" applyFill="1" applyBorder="1"/>
    <xf numFmtId="0" fontId="0" fillId="84" borderId="0" xfId="0" applyFill="1" applyBorder="1" applyAlignment="1">
      <alignment horizontal="center"/>
    </xf>
    <xf numFmtId="44" fontId="2" fillId="84" borderId="5" xfId="2" applyFont="1" applyFill="1" applyBorder="1"/>
    <xf numFmtId="0" fontId="0" fillId="84" borderId="5" xfId="0" applyFill="1" applyBorder="1"/>
    <xf numFmtId="0" fontId="0" fillId="6" borderId="5" xfId="0" applyFill="1" applyBorder="1"/>
    <xf numFmtId="0" fontId="0" fillId="6" borderId="7" xfId="0" applyFill="1" applyBorder="1"/>
    <xf numFmtId="0" fontId="0" fillId="6" borderId="9" xfId="0" applyFill="1" applyBorder="1"/>
    <xf numFmtId="164" fontId="0" fillId="0" borderId="0" xfId="1" applyNumberFormat="1" applyFont="1" applyBorder="1"/>
    <xf numFmtId="0" fontId="2" fillId="7" borderId="37" xfId="0" applyFont="1" applyFill="1" applyBorder="1"/>
    <xf numFmtId="0" fontId="2" fillId="7" borderId="29" xfId="0" applyFont="1" applyFill="1" applyBorder="1"/>
    <xf numFmtId="0" fontId="2" fillId="7" borderId="29" xfId="0" applyFont="1" applyFill="1" applyBorder="1" applyAlignment="1">
      <alignment horizontal="center" vertical="top" wrapText="1"/>
    </xf>
    <xf numFmtId="0" fontId="180" fillId="7" borderId="29" xfId="0" applyFont="1" applyFill="1" applyBorder="1" applyAlignment="1">
      <alignment horizontal="center" vertical="center" wrapText="1"/>
    </xf>
    <xf numFmtId="0" fontId="187" fillId="7" borderId="33" xfId="0" applyFont="1" applyFill="1" applyBorder="1" applyAlignment="1">
      <alignment horizontal="center" wrapText="1"/>
    </xf>
    <xf numFmtId="44" fontId="2" fillId="5" borderId="0" xfId="0" applyNumberFormat="1" applyFont="1" applyFill="1" applyBorder="1"/>
    <xf numFmtId="0" fontId="16" fillId="5" borderId="13" xfId="0" applyFont="1" applyFill="1" applyBorder="1"/>
    <xf numFmtId="0" fontId="16" fillId="5" borderId="14" xfId="0" applyFont="1" applyFill="1" applyBorder="1" applyAlignment="1">
      <alignment horizontal="center" wrapText="1"/>
    </xf>
    <xf numFmtId="0" fontId="18" fillId="5" borderId="15" xfId="50" applyFont="1" applyFill="1" applyBorder="1"/>
    <xf numFmtId="0" fontId="18" fillId="5" borderId="28" xfId="50" applyFont="1" applyFill="1" applyBorder="1"/>
    <xf numFmtId="0" fontId="20" fillId="7" borderId="11" xfId="0" applyFont="1" applyFill="1" applyBorder="1" applyAlignment="1">
      <alignment wrapText="1"/>
    </xf>
    <xf numFmtId="0" fontId="16" fillId="7" borderId="14" xfId="0" applyFont="1" applyFill="1" applyBorder="1" applyAlignment="1">
      <alignment horizontal="center" wrapText="1"/>
    </xf>
    <xf numFmtId="0" fontId="0" fillId="5" borderId="30" xfId="0" applyFill="1" applyBorder="1"/>
    <xf numFmtId="0" fontId="0" fillId="5" borderId="31" xfId="0" applyFill="1" applyBorder="1"/>
    <xf numFmtId="0" fontId="0" fillId="5" borderId="79" xfId="0" applyFill="1" applyBorder="1"/>
    <xf numFmtId="44" fontId="0" fillId="5" borderId="80" xfId="2" applyFont="1" applyFill="1" applyBorder="1"/>
    <xf numFmtId="0" fontId="0" fillId="5" borderId="81" xfId="0" applyFill="1" applyBorder="1"/>
    <xf numFmtId="44" fontId="0" fillId="5" borderId="82" xfId="2" applyFont="1" applyFill="1" applyBorder="1"/>
    <xf numFmtId="164" fontId="0" fillId="6" borderId="19" xfId="0" applyNumberFormat="1" applyFill="1" applyBorder="1"/>
    <xf numFmtId="0" fontId="0" fillId="6" borderId="0" xfId="0" applyFill="1" applyBorder="1"/>
    <xf numFmtId="164" fontId="0" fillId="6" borderId="0" xfId="1" applyNumberFormat="1" applyFont="1" applyFill="1" applyBorder="1"/>
    <xf numFmtId="0" fontId="0" fillId="6" borderId="8" xfId="0" applyFill="1" applyBorder="1"/>
    <xf numFmtId="279" fontId="0" fillId="6" borderId="20" xfId="2" applyNumberFormat="1" applyFont="1" applyFill="1" applyBorder="1"/>
    <xf numFmtId="0" fontId="2" fillId="7" borderId="7" xfId="0" applyFont="1" applyFill="1" applyBorder="1" applyAlignment="1">
      <alignment horizontal="center"/>
    </xf>
    <xf numFmtId="0" fontId="2" fillId="7" borderId="9" xfId="0" applyFont="1" applyFill="1" applyBorder="1" applyAlignment="1">
      <alignment horizontal="center"/>
    </xf>
    <xf numFmtId="9" fontId="2" fillId="7" borderId="29" xfId="0" applyNumberFormat="1" applyFont="1" applyFill="1" applyBorder="1" applyAlignment="1">
      <alignment horizontal="center" vertical="top" wrapText="1"/>
    </xf>
    <xf numFmtId="0" fontId="2" fillId="6" borderId="73" xfId="0" applyFont="1" applyFill="1" applyBorder="1" applyAlignment="1">
      <alignment horizontal="center" wrapText="1"/>
    </xf>
    <xf numFmtId="0" fontId="190" fillId="0" borderId="0" xfId="31" applyFont="1"/>
    <xf numFmtId="0" fontId="198" fillId="0" borderId="0" xfId="276" applyNumberFormat="1" applyFont="1" applyFill="1" applyBorder="1" applyAlignment="1">
      <alignment horizontal="right" vertical="center"/>
    </xf>
    <xf numFmtId="0" fontId="199" fillId="0" borderId="0" xfId="0" applyFont="1" applyFill="1" applyBorder="1" applyAlignment="1">
      <alignment horizontal="left"/>
    </xf>
    <xf numFmtId="0" fontId="200" fillId="0" borderId="0" xfId="0" applyFont="1" applyFill="1"/>
    <xf numFmtId="0" fontId="201" fillId="0" borderId="0" xfId="0" applyFont="1" applyFill="1" applyBorder="1" applyAlignment="1"/>
    <xf numFmtId="0" fontId="202" fillId="79" borderId="19" xfId="0" applyFont="1" applyFill="1" applyBorder="1" applyAlignment="1">
      <alignment horizontal="right"/>
    </xf>
    <xf numFmtId="0" fontId="202" fillId="79" borderId="18" xfId="0" applyFont="1" applyFill="1" applyBorder="1" applyAlignment="1">
      <alignment horizontal="right"/>
    </xf>
    <xf numFmtId="0" fontId="202" fillId="79" borderId="20" xfId="0" applyFont="1" applyFill="1" applyBorder="1" applyAlignment="1">
      <alignment horizontal="right"/>
    </xf>
    <xf numFmtId="0" fontId="202" fillId="0" borderId="0" xfId="0" applyFont="1" applyBorder="1"/>
    <xf numFmtId="0" fontId="203" fillId="5" borderId="0" xfId="0" applyFont="1" applyFill="1" applyBorder="1"/>
    <xf numFmtId="10" fontId="204" fillId="79" borderId="0" xfId="0" applyNumberFormat="1" applyFont="1" applyFill="1" applyBorder="1"/>
    <xf numFmtId="10" fontId="204" fillId="0" borderId="0" xfId="0" applyNumberFormat="1" applyFont="1" applyFill="1" applyBorder="1"/>
    <xf numFmtId="10" fontId="18" fillId="0" borderId="0" xfId="0" applyNumberFormat="1" applyFont="1" applyFill="1" applyBorder="1"/>
    <xf numFmtId="10" fontId="0" fillId="5" borderId="0" xfId="890" applyNumberFormat="1" applyFont="1" applyFill="1"/>
    <xf numFmtId="37" fontId="202" fillId="79" borderId="19" xfId="0" applyNumberFormat="1" applyFont="1" applyFill="1" applyBorder="1" applyAlignment="1">
      <alignment horizontal="right"/>
    </xf>
    <xf numFmtId="10" fontId="198" fillId="16" borderId="0" xfId="31" applyNumberFormat="1" applyFont="1" applyFill="1" applyAlignment="1">
      <alignment horizontal="right"/>
    </xf>
    <xf numFmtId="0" fontId="2" fillId="6" borderId="88" xfId="0" applyFont="1" applyFill="1" applyBorder="1"/>
    <xf numFmtId="0" fontId="0" fillId="82" borderId="5" xfId="0" applyFont="1" applyFill="1" applyBorder="1"/>
    <xf numFmtId="0" fontId="0" fillId="82" borderId="7" xfId="0" applyFont="1" applyFill="1" applyBorder="1"/>
    <xf numFmtId="0" fontId="0" fillId="82" borderId="3" xfId="0" applyFont="1" applyFill="1" applyBorder="1"/>
    <xf numFmtId="0" fontId="0" fillId="82" borderId="18" xfId="0" applyFont="1" applyFill="1" applyBorder="1"/>
    <xf numFmtId="0" fontId="0" fillId="6" borderId="0" xfId="0" applyFont="1" applyFill="1" applyBorder="1" applyAlignment="1">
      <alignment horizontal="center" wrapText="1"/>
    </xf>
    <xf numFmtId="44" fontId="2" fillId="84" borderId="0" xfId="2" applyFont="1" applyFill="1" applyBorder="1"/>
    <xf numFmtId="0" fontId="2" fillId="6" borderId="88" xfId="0" applyFont="1" applyFill="1" applyBorder="1" applyAlignment="1">
      <alignment horizontal="center" vertical="top" wrapText="1"/>
    </xf>
    <xf numFmtId="0" fontId="2" fillId="6" borderId="96" xfId="0" applyFont="1" applyFill="1" applyBorder="1" applyAlignment="1">
      <alignment horizontal="center" wrapText="1"/>
    </xf>
    <xf numFmtId="0" fontId="2" fillId="6" borderId="84" xfId="0" applyFont="1" applyFill="1" applyBorder="1" applyAlignment="1">
      <alignment horizontal="center" wrapText="1"/>
    </xf>
    <xf numFmtId="164" fontId="0" fillId="84" borderId="73" xfId="1" applyNumberFormat="1" applyFont="1" applyFill="1" applyBorder="1"/>
    <xf numFmtId="0" fontId="2" fillId="6" borderId="73" xfId="0" applyFont="1" applyFill="1" applyBorder="1" applyAlignment="1">
      <alignment horizontal="center" vertical="top" wrapText="1"/>
    </xf>
    <xf numFmtId="0" fontId="2" fillId="6" borderId="80" xfId="0" applyFont="1" applyFill="1" applyBorder="1" applyAlignment="1">
      <alignment horizontal="center" wrapText="1"/>
    </xf>
    <xf numFmtId="9" fontId="2" fillId="6" borderId="36" xfId="0" applyNumberFormat="1" applyFont="1" applyFill="1" applyBorder="1" applyAlignment="1">
      <alignment horizontal="center" wrapText="1"/>
    </xf>
    <xf numFmtId="0" fontId="219" fillId="91" borderId="98" xfId="0" applyFont="1" applyFill="1" applyBorder="1" applyAlignment="1">
      <alignment horizontal="center"/>
    </xf>
    <xf numFmtId="164" fontId="2" fillId="6" borderId="0" xfId="0" applyNumberFormat="1" applyFont="1" applyFill="1" applyBorder="1" applyAlignment="1">
      <alignment horizontal="center" wrapText="1"/>
    </xf>
    <xf numFmtId="0" fontId="209" fillId="114" borderId="78" xfId="0" applyFont="1" applyFill="1" applyBorder="1" applyAlignment="1">
      <alignment horizontal="center" vertical="center" wrapText="1"/>
    </xf>
    <xf numFmtId="0" fontId="209" fillId="114" borderId="96" xfId="0" applyFont="1" applyFill="1" applyBorder="1" applyAlignment="1">
      <alignment horizontal="center" vertical="center" wrapText="1"/>
    </xf>
    <xf numFmtId="0" fontId="2" fillId="7" borderId="88"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38" xfId="0" applyFont="1" applyFill="1" applyBorder="1" applyAlignment="1">
      <alignment horizontal="center" vertical="center" wrapText="1"/>
    </xf>
    <xf numFmtId="9" fontId="2" fillId="7" borderId="19" xfId="0" applyNumberFormat="1" applyFont="1" applyFill="1" applyBorder="1" applyAlignment="1">
      <alignment horizontal="center" vertical="center" wrapText="1"/>
    </xf>
    <xf numFmtId="9" fontId="2" fillId="7" borderId="38" xfId="0" applyNumberFormat="1" applyFont="1" applyFill="1" applyBorder="1" applyAlignment="1">
      <alignment horizontal="center" vertical="center" wrapText="1"/>
    </xf>
    <xf numFmtId="9" fontId="2" fillId="7" borderId="78" xfId="0" applyNumberFormat="1" applyFont="1" applyFill="1" applyBorder="1" applyAlignment="1">
      <alignment horizontal="center" vertical="center" wrapText="1"/>
    </xf>
    <xf numFmtId="9" fontId="2" fillId="7" borderId="88" xfId="0" applyNumberFormat="1" applyFont="1" applyFill="1" applyBorder="1" applyAlignment="1">
      <alignment horizontal="center" vertical="center" wrapText="1"/>
    </xf>
    <xf numFmtId="0" fontId="2" fillId="7" borderId="18" xfId="0" applyFont="1" applyFill="1" applyBorder="1" applyAlignment="1">
      <alignment horizontal="center" vertical="center"/>
    </xf>
    <xf numFmtId="0" fontId="0" fillId="0" borderId="0" xfId="0" applyAlignment="1">
      <alignment horizontal="center" vertical="center"/>
    </xf>
    <xf numFmtId="0" fontId="26" fillId="6" borderId="3" xfId="0" applyFont="1" applyFill="1" applyBorder="1"/>
    <xf numFmtId="0" fontId="0" fillId="6" borderId="6" xfId="0" applyFill="1" applyBorder="1"/>
    <xf numFmtId="0" fontId="2" fillId="6" borderId="5" xfId="0" applyFont="1" applyFill="1" applyBorder="1"/>
    <xf numFmtId="16" fontId="0" fillId="6" borderId="0" xfId="0" applyNumberFormat="1" applyFill="1" applyBorder="1"/>
    <xf numFmtId="172" fontId="0" fillId="6" borderId="6" xfId="890" applyNumberFormat="1" applyFont="1" applyFill="1" applyBorder="1"/>
    <xf numFmtId="0" fontId="2" fillId="6" borderId="19" xfId="0" applyFont="1" applyFill="1" applyBorder="1" applyAlignment="1">
      <alignment horizontal="center"/>
    </xf>
    <xf numFmtId="9" fontId="0" fillId="6" borderId="6" xfId="890" applyFont="1" applyFill="1" applyBorder="1"/>
    <xf numFmtId="0" fontId="209" fillId="114" borderId="88" xfId="0" applyFont="1" applyFill="1" applyBorder="1" applyAlignment="1">
      <alignment horizontal="center" vertical="center" wrapText="1"/>
    </xf>
    <xf numFmtId="164" fontId="4" fillId="13" borderId="0" xfId="5" applyNumberFormat="1" applyFont="1" applyFill="1"/>
    <xf numFmtId="0" fontId="4" fillId="0" borderId="0" xfId="3" applyFill="1" applyAlignment="1">
      <alignment horizontal="center"/>
    </xf>
    <xf numFmtId="0" fontId="6" fillId="0" borderId="0" xfId="3" applyFont="1" applyFill="1" applyAlignment="1">
      <alignment horizontal="center"/>
    </xf>
    <xf numFmtId="0" fontId="4" fillId="0" borderId="0" xfId="3" applyFont="1" applyFill="1"/>
    <xf numFmtId="0" fontId="4" fillId="0" borderId="88" xfId="3" applyBorder="1"/>
    <xf numFmtId="14" fontId="8" fillId="11" borderId="0" xfId="3" applyNumberFormat="1" applyFont="1" applyFill="1" applyAlignment="1">
      <alignment horizontal="center"/>
    </xf>
    <xf numFmtId="0" fontId="4" fillId="0" borderId="99" xfId="3" applyBorder="1"/>
    <xf numFmtId="9" fontId="4" fillId="0" borderId="0" xfId="4" applyFont="1" applyBorder="1" applyAlignment="1">
      <alignment horizontal="center"/>
    </xf>
    <xf numFmtId="164" fontId="0" fillId="6" borderId="6" xfId="1" applyNumberFormat="1" applyFont="1" applyFill="1" applyBorder="1"/>
    <xf numFmtId="44" fontId="1" fillId="6" borderId="0" xfId="2" applyFont="1" applyFill="1" applyBorder="1"/>
    <xf numFmtId="44" fontId="2" fillId="6" borderId="0" xfId="2" applyFont="1" applyFill="1" applyBorder="1"/>
    <xf numFmtId="44" fontId="0" fillId="6" borderId="0" xfId="2" applyFont="1" applyFill="1" applyBorder="1" applyAlignment="1">
      <alignment horizontal="center"/>
    </xf>
    <xf numFmtId="0" fontId="2" fillId="84" borderId="5" xfId="0" applyFont="1" applyFill="1" applyBorder="1"/>
    <xf numFmtId="0" fontId="2" fillId="83" borderId="16" xfId="0" applyFont="1" applyFill="1" applyBorder="1" applyAlignment="1">
      <alignment horizontal="center" vertical="center" wrapText="1"/>
    </xf>
    <xf numFmtId="44" fontId="2" fillId="83" borderId="80" xfId="2" applyFont="1" applyFill="1" applyBorder="1"/>
    <xf numFmtId="0" fontId="209" fillId="116" borderId="35" xfId="0" applyFont="1" applyFill="1" applyBorder="1" applyAlignment="1">
      <alignment horizontal="center" vertical="center" wrapText="1"/>
    </xf>
    <xf numFmtId="44" fontId="209" fillId="116" borderId="36" xfId="0" applyNumberFormat="1" applyFont="1" applyFill="1" applyBorder="1"/>
    <xf numFmtId="44" fontId="2" fillId="6" borderId="0" xfId="2" applyFont="1" applyFill="1" applyBorder="1" applyAlignment="1">
      <alignment horizontal="center"/>
    </xf>
    <xf numFmtId="44" fontId="2" fillId="6" borderId="80" xfId="2" applyFont="1" applyFill="1" applyBorder="1"/>
    <xf numFmtId="0" fontId="0" fillId="115" borderId="0" xfId="0" applyFill="1" applyBorder="1"/>
    <xf numFmtId="9" fontId="2" fillId="7" borderId="88" xfId="0" applyNumberFormat="1" applyFont="1" applyFill="1" applyBorder="1" applyAlignment="1">
      <alignment horizontal="center" vertical="top" wrapText="1"/>
    </xf>
    <xf numFmtId="9" fontId="2" fillId="7" borderId="37" xfId="0" applyNumberFormat="1" applyFont="1" applyFill="1" applyBorder="1" applyAlignment="1">
      <alignment horizontal="center" vertical="center" wrapText="1"/>
    </xf>
    <xf numFmtId="9" fontId="2" fillId="7" borderId="34" xfId="0" applyNumberFormat="1" applyFont="1" applyFill="1" applyBorder="1" applyAlignment="1">
      <alignment horizontal="center" vertical="center" wrapText="1"/>
    </xf>
    <xf numFmtId="164" fontId="2" fillId="6" borderId="73" xfId="0" applyNumberFormat="1" applyFont="1" applyFill="1" applyBorder="1" applyAlignment="1">
      <alignment horizontal="center" wrapText="1"/>
    </xf>
    <xf numFmtId="0" fontId="2" fillId="6" borderId="88" xfId="0" applyFont="1" applyFill="1" applyBorder="1" applyAlignment="1">
      <alignment horizontal="center" wrapText="1"/>
    </xf>
    <xf numFmtId="164" fontId="0" fillId="6" borderId="73" xfId="0" applyNumberFormat="1" applyFill="1" applyBorder="1"/>
    <xf numFmtId="0" fontId="4" fillId="13" borderId="7" xfId="3" applyFill="1" applyBorder="1"/>
    <xf numFmtId="164" fontId="4" fillId="13" borderId="0" xfId="1" applyNumberFormat="1" applyFont="1" applyFill="1"/>
    <xf numFmtId="164" fontId="0" fillId="0" borderId="19" xfId="0" applyNumberFormat="1" applyBorder="1"/>
    <xf numFmtId="9" fontId="4" fillId="0" borderId="0" xfId="890" applyFont="1"/>
    <xf numFmtId="0" fontId="4" fillId="0" borderId="0" xfId="3" applyBorder="1" applyAlignment="1">
      <alignment horizontal="right"/>
    </xf>
    <xf numFmtId="0" fontId="4" fillId="0" borderId="8" xfId="3" applyBorder="1"/>
    <xf numFmtId="0" fontId="4" fillId="0" borderId="6" xfId="3" applyBorder="1"/>
    <xf numFmtId="0" fontId="4" fillId="0" borderId="7" xfId="3" applyBorder="1"/>
    <xf numFmtId="0" fontId="4" fillId="0" borderId="96" xfId="3" applyFont="1" applyBorder="1"/>
    <xf numFmtId="0" fontId="4" fillId="13" borderId="5" xfId="3" applyFill="1" applyBorder="1"/>
    <xf numFmtId="164" fontId="197" fillId="0" borderId="0" xfId="1" applyNumberFormat="1" applyFont="1"/>
    <xf numFmtId="164" fontId="222" fillId="0" borderId="0" xfId="1" applyNumberFormat="1" applyFont="1"/>
    <xf numFmtId="164" fontId="4" fillId="0" borderId="0" xfId="3" applyNumberFormat="1"/>
    <xf numFmtId="164" fontId="222" fillId="0" borderId="19" xfId="1" applyNumberFormat="1" applyFont="1" applyBorder="1"/>
    <xf numFmtId="43" fontId="4" fillId="0" borderId="0" xfId="3" applyNumberFormat="1"/>
    <xf numFmtId="0" fontId="6" fillId="0" borderId="0" xfId="3" applyFont="1"/>
    <xf numFmtId="43" fontId="197" fillId="0" borderId="0" xfId="1" applyNumberFormat="1" applyFont="1"/>
    <xf numFmtId="9" fontId="4" fillId="0" borderId="9" xfId="3" applyNumberFormat="1" applyBorder="1"/>
    <xf numFmtId="164" fontId="4" fillId="0" borderId="51" xfId="3" applyNumberFormat="1" applyBorder="1"/>
    <xf numFmtId="164" fontId="222" fillId="0" borderId="72" xfId="1" applyNumberFormat="1" applyFont="1" applyBorder="1"/>
    <xf numFmtId="172" fontId="4" fillId="0" borderId="6" xfId="890" applyNumberFormat="1" applyFont="1" applyBorder="1"/>
    <xf numFmtId="9" fontId="4" fillId="0" borderId="72" xfId="890" applyFont="1" applyBorder="1"/>
    <xf numFmtId="0" fontId="6" fillId="0" borderId="88" xfId="3" applyFont="1" applyBorder="1" applyAlignment="1">
      <alignment horizontal="center"/>
    </xf>
    <xf numFmtId="0" fontId="6" fillId="0" borderId="99" xfId="3" applyFont="1" applyBorder="1" applyAlignment="1">
      <alignment horizontal="center"/>
    </xf>
    <xf numFmtId="0" fontId="169" fillId="0" borderId="0" xfId="3" applyFont="1"/>
    <xf numFmtId="9" fontId="4" fillId="0" borderId="0" xfId="3" applyNumberFormat="1"/>
    <xf numFmtId="164" fontId="4" fillId="13" borderId="88" xfId="5" applyNumberFormat="1" applyFont="1" applyFill="1" applyBorder="1"/>
    <xf numFmtId="164" fontId="4" fillId="13" borderId="0" xfId="5" applyNumberFormat="1" applyFont="1" applyFill="1" applyBorder="1"/>
    <xf numFmtId="164" fontId="4" fillId="13" borderId="8" xfId="5" applyNumberFormat="1" applyFont="1" applyFill="1" applyBorder="1"/>
    <xf numFmtId="0" fontId="4" fillId="0" borderId="0" xfId="3" applyFill="1"/>
    <xf numFmtId="0" fontId="6" fillId="0" borderId="96" xfId="3" applyFont="1" applyBorder="1" applyAlignment="1">
      <alignment horizontal="left"/>
    </xf>
    <xf numFmtId="164" fontId="0" fillId="6" borderId="0" xfId="0" applyNumberFormat="1" applyFill="1" applyBorder="1"/>
    <xf numFmtId="0" fontId="2" fillId="6" borderId="99" xfId="0" applyFont="1" applyFill="1" applyBorder="1" applyAlignment="1">
      <alignment horizontal="center" wrapText="1"/>
    </xf>
    <xf numFmtId="0" fontId="2" fillId="6" borderId="3" xfId="0" applyFont="1" applyFill="1" applyBorder="1" applyAlignment="1">
      <alignment horizontal="center" vertical="top" wrapText="1"/>
    </xf>
    <xf numFmtId="164" fontId="0" fillId="6" borderId="5" xfId="1" applyNumberFormat="1" applyFont="1" applyFill="1" applyBorder="1"/>
    <xf numFmtId="0" fontId="2" fillId="6" borderId="99" xfId="0" applyFont="1" applyFill="1" applyBorder="1" applyAlignment="1">
      <alignment horizontal="center" vertical="top" wrapText="1"/>
    </xf>
    <xf numFmtId="0" fontId="2" fillId="6" borderId="6" xfId="0" applyFont="1" applyFill="1" applyBorder="1" applyAlignment="1">
      <alignment horizontal="center" vertical="top" wrapText="1"/>
    </xf>
    <xf numFmtId="44" fontId="1" fillId="6" borderId="5" xfId="2" applyFont="1" applyFill="1" applyBorder="1"/>
    <xf numFmtId="44" fontId="2" fillId="6" borderId="6" xfId="2" applyFont="1" applyFill="1" applyBorder="1"/>
    <xf numFmtId="0" fontId="0" fillId="6" borderId="5" xfId="0" applyFont="1" applyFill="1" applyBorder="1" applyAlignment="1">
      <alignment horizontal="center" wrapText="1"/>
    </xf>
    <xf numFmtId="0" fontId="2" fillId="6" borderId="6" xfId="0" applyFont="1" applyFill="1" applyBorder="1" applyAlignment="1">
      <alignment horizontal="center" wrapText="1"/>
    </xf>
    <xf numFmtId="0" fontId="2" fillId="6" borderId="10" xfId="0" applyFont="1" applyFill="1" applyBorder="1" applyAlignment="1">
      <alignment horizontal="center" wrapText="1"/>
    </xf>
    <xf numFmtId="44" fontId="2" fillId="6" borderId="10" xfId="2" applyFont="1" applyFill="1" applyBorder="1"/>
    <xf numFmtId="0" fontId="2" fillId="6" borderId="21" xfId="0" applyFont="1" applyFill="1" applyBorder="1" applyAlignment="1">
      <alignment horizontal="center" wrapText="1"/>
    </xf>
    <xf numFmtId="0" fontId="223" fillId="0" borderId="101" xfId="0" applyFont="1" applyBorder="1" applyAlignment="1">
      <alignment vertical="center" wrapText="1"/>
    </xf>
    <xf numFmtId="0" fontId="226" fillId="0" borderId="0" xfId="0" applyFont="1" applyAlignment="1">
      <alignment vertical="center"/>
    </xf>
    <xf numFmtId="44" fontId="0" fillId="84" borderId="0" xfId="0" applyNumberFormat="1" applyFill="1" applyBorder="1" applyAlignment="1">
      <alignment horizontal="center"/>
    </xf>
    <xf numFmtId="9" fontId="18" fillId="0" borderId="0" xfId="0" applyNumberFormat="1" applyFont="1" applyFill="1" applyBorder="1"/>
    <xf numFmtId="0" fontId="223" fillId="0" borderId="103" xfId="0" applyFont="1" applyBorder="1" applyAlignment="1">
      <alignment vertical="center"/>
    </xf>
    <xf numFmtId="0" fontId="223" fillId="0" borderId="100" xfId="0" applyFont="1" applyBorder="1" applyAlignment="1">
      <alignment vertical="center"/>
    </xf>
    <xf numFmtId="0" fontId="227" fillId="0" borderId="103" xfId="0" applyFont="1" applyBorder="1" applyAlignment="1">
      <alignment vertical="center"/>
    </xf>
    <xf numFmtId="0" fontId="224" fillId="0" borderId="102" xfId="0" applyFont="1" applyBorder="1" applyAlignment="1">
      <alignment horizontal="left" vertical="center"/>
    </xf>
    <xf numFmtId="0" fontId="224" fillId="0" borderId="103" xfId="0" applyFont="1" applyBorder="1" applyAlignment="1">
      <alignment horizontal="left" vertical="center"/>
    </xf>
    <xf numFmtId="0" fontId="223" fillId="0" borderId="102" xfId="0" applyFont="1" applyBorder="1" applyAlignment="1">
      <alignment vertical="center"/>
    </xf>
    <xf numFmtId="44" fontId="2" fillId="0" borderId="0" xfId="2" applyFont="1" applyFill="1" applyBorder="1"/>
    <xf numFmtId="0" fontId="2" fillId="0" borderId="0" xfId="0" applyFont="1" applyFill="1" applyBorder="1"/>
    <xf numFmtId="0" fontId="2" fillId="0" borderId="0" xfId="0" applyFont="1" applyFill="1" applyBorder="1" applyAlignment="1">
      <alignment horizontal="center" wrapText="1"/>
    </xf>
    <xf numFmtId="0" fontId="0" fillId="119" borderId="0" xfId="0" applyFill="1" applyBorder="1"/>
    <xf numFmtId="0" fontId="0" fillId="119" borderId="0" xfId="0" applyFill="1"/>
    <xf numFmtId="44" fontId="0" fillId="119" borderId="0" xfId="2" applyFont="1" applyFill="1" applyBorder="1"/>
    <xf numFmtId="44" fontId="2" fillId="119" borderId="0" xfId="0" applyNumberFormat="1" applyFont="1" applyFill="1" applyBorder="1"/>
    <xf numFmtId="0" fontId="4" fillId="0" borderId="96" xfId="3" applyBorder="1" applyAlignment="1">
      <alignment horizontal="center"/>
    </xf>
    <xf numFmtId="0" fontId="4" fillId="0" borderId="88" xfId="3" applyFont="1" applyBorder="1"/>
    <xf numFmtId="0" fontId="4" fillId="0" borderId="5" xfId="3" applyBorder="1" applyAlignment="1">
      <alignment horizontal="center"/>
    </xf>
    <xf numFmtId="0" fontId="4" fillId="0" borderId="7" xfId="3" applyBorder="1" applyAlignment="1">
      <alignment horizontal="center"/>
    </xf>
    <xf numFmtId="0" fontId="6" fillId="0" borderId="8" xfId="3" applyFont="1" applyBorder="1" applyAlignment="1">
      <alignment horizontal="center"/>
    </xf>
    <xf numFmtId="0" fontId="0" fillId="0" borderId="8" xfId="0" applyFill="1" applyBorder="1"/>
    <xf numFmtId="44" fontId="0" fillId="0" borderId="5" xfId="2" applyFont="1" applyBorder="1"/>
    <xf numFmtId="164" fontId="2" fillId="0" borderId="0" xfId="1" applyNumberFormat="1" applyFont="1" applyBorder="1"/>
    <xf numFmtId="0" fontId="0" fillId="0" borderId="19" xfId="0" applyBorder="1"/>
    <xf numFmtId="0" fontId="2" fillId="6" borderId="18"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0" xfId="0" applyFont="1" applyFill="1" applyBorder="1" applyAlignment="1">
      <alignment horizontal="center" vertical="center" wrapText="1"/>
    </xf>
    <xf numFmtId="164" fontId="2" fillId="0" borderId="18" xfId="1" applyNumberFormat="1" applyFont="1" applyBorder="1"/>
    <xf numFmtId="44" fontId="0" fillId="0" borderId="20" xfId="2" applyFont="1" applyBorder="1"/>
    <xf numFmtId="164" fontId="0" fillId="0" borderId="0" xfId="0" applyNumberFormat="1" applyFill="1" applyBorder="1"/>
    <xf numFmtId="43" fontId="0" fillId="0" borderId="0" xfId="0" applyNumberFormat="1" applyFill="1" applyBorder="1"/>
    <xf numFmtId="44" fontId="0" fillId="0" borderId="0" xfId="305" applyFont="1" applyFill="1" applyBorder="1"/>
    <xf numFmtId="44" fontId="0" fillId="0" borderId="0" xfId="0" applyNumberFormat="1" applyFill="1" applyBorder="1"/>
    <xf numFmtId="44" fontId="1" fillId="0" borderId="0" xfId="305" applyFont="1" applyFill="1" applyBorder="1"/>
    <xf numFmtId="44" fontId="2" fillId="0" borderId="0" xfId="0" applyNumberFormat="1" applyFont="1" applyFill="1" applyBorder="1"/>
    <xf numFmtId="0" fontId="2" fillId="0" borderId="0" xfId="0" applyFont="1" applyFill="1" applyBorder="1" applyAlignment="1">
      <alignment horizontal="center"/>
    </xf>
    <xf numFmtId="10" fontId="0" fillId="0" borderId="0" xfId="0" applyNumberFormat="1" applyFill="1" applyBorder="1"/>
    <xf numFmtId="0" fontId="197" fillId="0" borderId="0" xfId="0" applyFont="1" applyFill="1" applyBorder="1" applyAlignment="1">
      <alignment horizontal="right"/>
    </xf>
    <xf numFmtId="231" fontId="197" fillId="0" borderId="0" xfId="1" applyNumberFormat="1" applyFont="1" applyFill="1" applyBorder="1"/>
    <xf numFmtId="164" fontId="2" fillId="0" borderId="0" xfId="270" applyNumberFormat="1" applyFont="1" applyFill="1" applyBorder="1"/>
    <xf numFmtId="279" fontId="0" fillId="0" borderId="0" xfId="305" applyNumberFormat="1" applyFont="1" applyFill="1" applyBorder="1"/>
    <xf numFmtId="9" fontId="0" fillId="0" borderId="0" xfId="700" applyFont="1" applyFill="1" applyBorder="1"/>
    <xf numFmtId="0" fontId="18" fillId="5" borderId="83" xfId="50" applyFont="1" applyFill="1" applyBorder="1"/>
    <xf numFmtId="0" fontId="0" fillId="5" borderId="73" xfId="0" applyFill="1" applyBorder="1"/>
    <xf numFmtId="0" fontId="0" fillId="5" borderId="74" xfId="0" applyFill="1" applyBorder="1"/>
    <xf numFmtId="279" fontId="18" fillId="6" borderId="6" xfId="0" applyNumberFormat="1" applyFont="1" applyFill="1" applyBorder="1"/>
    <xf numFmtId="0" fontId="0" fillId="5" borderId="11" xfId="0" applyFill="1" applyBorder="1"/>
    <xf numFmtId="10" fontId="0" fillId="5" borderId="12" xfId="0" applyNumberFormat="1" applyFill="1" applyBorder="1"/>
    <xf numFmtId="0" fontId="2" fillId="7" borderId="11" xfId="0" applyFont="1" applyFill="1" applyBorder="1"/>
    <xf numFmtId="0" fontId="0" fillId="7" borderId="12" xfId="0" applyFill="1" applyBorder="1"/>
    <xf numFmtId="9" fontId="0" fillId="5" borderId="77" xfId="0" applyNumberFormat="1" applyFill="1" applyBorder="1"/>
    <xf numFmtId="0" fontId="0" fillId="5" borderId="75" xfId="0" applyFill="1" applyBorder="1"/>
    <xf numFmtId="0" fontId="2" fillId="7" borderId="96" xfId="0" applyFont="1" applyFill="1" applyBorder="1" applyAlignment="1"/>
    <xf numFmtId="0" fontId="2" fillId="7" borderId="88" xfId="0" applyFont="1" applyFill="1" applyBorder="1" applyAlignment="1"/>
    <xf numFmtId="0" fontId="2" fillId="7" borderId="99" xfId="0" applyFont="1" applyFill="1" applyBorder="1" applyAlignment="1"/>
    <xf numFmtId="0" fontId="180" fillId="6" borderId="18" xfId="0" applyFont="1" applyFill="1" applyBorder="1" applyAlignment="1">
      <alignment horizontal="center"/>
    </xf>
    <xf numFmtId="0" fontId="180" fillId="6" borderId="19" xfId="0" applyFont="1" applyFill="1" applyBorder="1" applyAlignment="1">
      <alignment horizontal="center"/>
    </xf>
    <xf numFmtId="0" fontId="218" fillId="0" borderId="10" xfId="0" applyFont="1" applyBorder="1" applyAlignment="1"/>
    <xf numFmtId="0" fontId="0" fillId="0" borderId="104" xfId="0" applyBorder="1" applyAlignment="1">
      <alignment horizontal="center"/>
    </xf>
    <xf numFmtId="0" fontId="0" fillId="0" borderId="0" xfId="0" applyFill="1" applyBorder="1" applyAlignment="1">
      <alignment horizontal="center"/>
    </xf>
    <xf numFmtId="0" fontId="196" fillId="0" borderId="0" xfId="0" applyFont="1" applyFill="1" applyBorder="1"/>
    <xf numFmtId="0" fontId="228" fillId="0" borderId="0" xfId="0" applyFont="1" applyFill="1"/>
    <xf numFmtId="0" fontId="228" fillId="0" borderId="0" xfId="0" applyFont="1"/>
    <xf numFmtId="43" fontId="0" fillId="0" borderId="72" xfId="0" applyNumberFormat="1" applyBorder="1"/>
    <xf numFmtId="0" fontId="188" fillId="6" borderId="22" xfId="0" applyFont="1" applyFill="1" applyBorder="1" applyAlignment="1">
      <alignment horizontal="center"/>
    </xf>
    <xf numFmtId="0" fontId="0" fillId="0" borderId="5" xfId="0" applyFill="1" applyBorder="1"/>
    <xf numFmtId="0" fontId="0" fillId="0" borderId="6" xfId="0" applyFill="1" applyBorder="1"/>
    <xf numFmtId="0" fontId="2" fillId="0" borderId="0" xfId="0" applyFont="1" applyBorder="1"/>
    <xf numFmtId="0" fontId="20" fillId="0" borderId="0" xfId="0" applyFont="1" applyBorder="1" applyAlignment="1">
      <alignment horizontal="left"/>
    </xf>
    <xf numFmtId="0" fontId="20" fillId="0" borderId="6" xfId="0" applyFont="1" applyFill="1" applyBorder="1" applyAlignment="1">
      <alignment horizontal="left"/>
    </xf>
    <xf numFmtId="0" fontId="2" fillId="0" borderId="0" xfId="0" applyFont="1" applyBorder="1" applyAlignment="1">
      <alignment horizontal="center"/>
    </xf>
    <xf numFmtId="0" fontId="2" fillId="0" borderId="6" xfId="0" applyFont="1" applyFill="1" applyBorder="1" applyAlignment="1">
      <alignment horizontal="center"/>
    </xf>
    <xf numFmtId="0" fontId="0" fillId="0" borderId="0" xfId="0" applyBorder="1" applyAlignment="1">
      <alignment horizontal="right"/>
    </xf>
    <xf numFmtId="231" fontId="19" fillId="86" borderId="0" xfId="1" applyNumberFormat="1" applyFont="1" applyFill="1" applyBorder="1"/>
    <xf numFmtId="231" fontId="19" fillId="0" borderId="6" xfId="1" applyNumberFormat="1" applyFont="1" applyFill="1" applyBorder="1"/>
    <xf numFmtId="231" fontId="19" fillId="90" borderId="0" xfId="1" applyNumberFormat="1" applyFont="1" applyFill="1" applyBorder="1"/>
    <xf numFmtId="0" fontId="19" fillId="0" borderId="0" xfId="0" applyFont="1" applyFill="1" applyBorder="1"/>
    <xf numFmtId="10" fontId="19" fillId="0" borderId="0" xfId="0" applyNumberFormat="1" applyFont="1" applyFill="1" applyBorder="1"/>
    <xf numFmtId="0" fontId="197" fillId="0" borderId="0" xfId="0" applyFont="1" applyBorder="1" applyAlignment="1">
      <alignment horizontal="right"/>
    </xf>
    <xf numFmtId="0" fontId="197" fillId="0" borderId="0" xfId="0" applyFont="1" applyBorder="1"/>
    <xf numFmtId="231" fontId="197" fillId="0" borderId="0" xfId="1" applyNumberFormat="1" applyFont="1" applyBorder="1"/>
    <xf numFmtId="0" fontId="197" fillId="0" borderId="6" xfId="0" applyFont="1" applyFill="1" applyBorder="1"/>
    <xf numFmtId="44" fontId="0" fillId="0" borderId="0" xfId="305" applyFont="1" applyBorder="1"/>
    <xf numFmtId="0" fontId="2" fillId="0" borderId="0" xfId="0" applyFont="1" applyBorder="1" applyAlignment="1">
      <alignment horizontal="right"/>
    </xf>
    <xf numFmtId="44" fontId="0" fillId="10" borderId="0" xfId="305" applyFont="1" applyFill="1" applyBorder="1"/>
    <xf numFmtId="164" fontId="2" fillId="0" borderId="6" xfId="270" applyNumberFormat="1" applyFont="1" applyFill="1" applyBorder="1"/>
    <xf numFmtId="164" fontId="0" fillId="0" borderId="0" xfId="0" applyNumberFormat="1" applyBorder="1"/>
    <xf numFmtId="279" fontId="0" fillId="89" borderId="0" xfId="305" applyNumberFormat="1" applyFont="1" applyFill="1" applyBorder="1"/>
    <xf numFmtId="279" fontId="0" fillId="0" borderId="6" xfId="305" applyNumberFormat="1" applyFont="1" applyFill="1" applyBorder="1"/>
    <xf numFmtId="279" fontId="221" fillId="0" borderId="0" xfId="305" applyNumberFormat="1" applyFont="1" applyFill="1" applyBorder="1"/>
    <xf numFmtId="279" fontId="0" fillId="0" borderId="0" xfId="305" applyNumberFormat="1" applyFont="1" applyBorder="1"/>
    <xf numFmtId="172" fontId="0" fillId="10" borderId="0" xfId="700" applyNumberFormat="1" applyFont="1" applyFill="1" applyBorder="1"/>
    <xf numFmtId="172" fontId="0" fillId="0" borderId="6" xfId="700" applyNumberFormat="1" applyFont="1" applyFill="1" applyBorder="1"/>
    <xf numFmtId="3" fontId="0" fillId="0" borderId="0" xfId="0" applyNumberFormat="1" applyBorder="1"/>
    <xf numFmtId="0" fontId="189" fillId="0" borderId="5" xfId="0" applyFont="1" applyBorder="1"/>
    <xf numFmtId="0" fontId="6" fillId="6" borderId="5" xfId="833" applyFont="1" applyFill="1" applyBorder="1" applyAlignment="1">
      <alignment horizontal="center" vertical="top" wrapText="1"/>
    </xf>
    <xf numFmtId="0" fontId="6" fillId="6" borderId="0" xfId="833" applyFont="1" applyFill="1" applyBorder="1" applyAlignment="1">
      <alignment horizontal="center" vertical="top" wrapText="1"/>
    </xf>
    <xf numFmtId="0" fontId="193" fillId="0" borderId="105" xfId="1154" applyFill="1" applyBorder="1" applyAlignment="1">
      <alignment horizontal="center"/>
    </xf>
    <xf numFmtId="0" fontId="193" fillId="0" borderId="85" xfId="1154" applyFill="1" applyBorder="1" applyAlignment="1">
      <alignment horizontal="left"/>
    </xf>
    <xf numFmtId="0" fontId="195" fillId="81" borderId="87" xfId="1155" applyFont="1" applyBorder="1" applyAlignment="1">
      <alignment horizontal="center"/>
    </xf>
    <xf numFmtId="164" fontId="0" fillId="0" borderId="0" xfId="270" applyNumberFormat="1" applyFont="1" applyBorder="1"/>
    <xf numFmtId="164" fontId="0" fillId="0" borderId="6" xfId="0" applyNumberFormat="1" applyBorder="1"/>
    <xf numFmtId="0" fontId="0" fillId="0" borderId="9" xfId="0" applyBorder="1"/>
    <xf numFmtId="0" fontId="189" fillId="0" borderId="0" xfId="0" applyFont="1" applyFill="1" applyBorder="1"/>
    <xf numFmtId="0" fontId="0" fillId="6" borderId="5" xfId="0" applyFill="1" applyBorder="1" applyAlignment="1">
      <alignment horizontal="right"/>
    </xf>
    <xf numFmtId="0" fontId="4"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6" fillId="0" borderId="0" xfId="0" applyFont="1" applyFill="1" applyBorder="1" applyAlignment="1" applyProtection="1">
      <alignment horizontal="center"/>
      <protection locked="0"/>
    </xf>
    <xf numFmtId="0" fontId="6" fillId="0" borderId="0" xfId="0" applyFont="1" applyFill="1" applyBorder="1" applyProtection="1">
      <protection locked="0"/>
    </xf>
    <xf numFmtId="0" fontId="4" fillId="0" borderId="0" xfId="0" applyFont="1" applyFill="1" applyBorder="1" applyAlignment="1" applyProtection="1">
      <protection locked="0"/>
    </xf>
    <xf numFmtId="283" fontId="4" fillId="0" borderId="0" xfId="699" applyNumberFormat="1" applyFont="1" applyFill="1" applyBorder="1" applyAlignment="1" applyProtection="1">
      <alignment horizontal="center"/>
    </xf>
    <xf numFmtId="0" fontId="205" fillId="0" borderId="0" xfId="0" applyFont="1" applyFill="1" applyBorder="1" applyAlignment="1" applyProtection="1">
      <alignment horizontal="center"/>
      <protection locked="0"/>
    </xf>
    <xf numFmtId="283" fontId="6" fillId="0" borderId="0" xfId="699" applyNumberFormat="1" applyFont="1" applyFill="1" applyBorder="1" applyAlignment="1" applyProtection="1">
      <alignment horizontal="center"/>
    </xf>
    <xf numFmtId="283" fontId="4" fillId="0" borderId="0" xfId="699" applyNumberFormat="1" applyFont="1" applyFill="1" applyBorder="1" applyProtection="1">
      <protection locked="0"/>
    </xf>
    <xf numFmtId="283" fontId="4" fillId="0" borderId="0" xfId="0" applyNumberFormat="1" applyFont="1" applyFill="1" applyBorder="1" applyAlignment="1" applyProtection="1">
      <alignment horizontal="center"/>
    </xf>
    <xf numFmtId="44" fontId="2" fillId="0" borderId="5" xfId="2" applyFont="1" applyFill="1" applyBorder="1"/>
    <xf numFmtId="0" fontId="2" fillId="0" borderId="0" xfId="0" applyFont="1" applyAlignment="1"/>
    <xf numFmtId="44" fontId="0" fillId="6" borderId="0" xfId="2" applyFont="1" applyFill="1" applyBorder="1"/>
    <xf numFmtId="44" fontId="2" fillId="6" borderId="0" xfId="2" applyFont="1" applyFill="1" applyBorder="1" applyAlignment="1">
      <alignment horizontal="center" wrapText="1"/>
    </xf>
    <xf numFmtId="0" fontId="4" fillId="84" borderId="0" xfId="3" applyFont="1" applyFill="1"/>
    <xf numFmtId="0" fontId="4" fillId="120" borderId="0" xfId="3" applyFont="1" applyFill="1"/>
    <xf numFmtId="0" fontId="4" fillId="120" borderId="5" xfId="3" applyFill="1" applyBorder="1"/>
    <xf numFmtId="0" fontId="4" fillId="121" borderId="0" xfId="3" applyFont="1" applyFill="1"/>
    <xf numFmtId="0" fontId="4" fillId="121" borderId="5" xfId="3" applyFill="1" applyBorder="1"/>
    <xf numFmtId="0" fontId="4" fillId="122" borderId="0" xfId="3" applyFont="1" applyFill="1"/>
    <xf numFmtId="0" fontId="4" fillId="122" borderId="5" xfId="3" applyFill="1" applyBorder="1"/>
    <xf numFmtId="0" fontId="4" fillId="123" borderId="0" xfId="3" applyFont="1" applyFill="1"/>
    <xf numFmtId="0" fontId="4" fillId="123" borderId="5" xfId="3" applyFill="1" applyBorder="1"/>
    <xf numFmtId="0" fontId="4" fillId="84" borderId="96" xfId="3" applyFont="1" applyFill="1" applyBorder="1"/>
    <xf numFmtId="0" fontId="6" fillId="6" borderId="36" xfId="3" applyFont="1" applyFill="1" applyBorder="1"/>
    <xf numFmtId="0" fontId="4" fillId="13" borderId="36" xfId="3" applyFill="1" applyBorder="1"/>
    <xf numFmtId="0" fontId="4" fillId="0" borderId="36" xfId="3" applyBorder="1"/>
    <xf numFmtId="0" fontId="4" fillId="0" borderId="106" xfId="3" applyBorder="1"/>
    <xf numFmtId="0" fontId="5" fillId="10" borderId="0" xfId="3" applyFont="1" applyFill="1" applyBorder="1" applyAlignment="1">
      <alignment horizontal="right"/>
    </xf>
    <xf numFmtId="164" fontId="4" fillId="10" borderId="98" xfId="5" applyNumberFormat="1" applyFont="1" applyFill="1" applyBorder="1"/>
    <xf numFmtId="164" fontId="4" fillId="10" borderId="36" xfId="5" applyNumberFormat="1" applyFont="1" applyFill="1" applyBorder="1"/>
    <xf numFmtId="164" fontId="11" fillId="10" borderId="36" xfId="5" applyNumberFormat="1" applyFont="1" applyFill="1" applyBorder="1"/>
    <xf numFmtId="164" fontId="4" fillId="12" borderId="36" xfId="5" applyNumberFormat="1" applyFont="1" applyFill="1" applyBorder="1"/>
    <xf numFmtId="164" fontId="4" fillId="117" borderId="36" xfId="5" applyNumberFormat="1" applyFont="1" applyFill="1" applyBorder="1"/>
    <xf numFmtId="164" fontId="4" fillId="117" borderId="107" xfId="5" applyNumberFormat="1" applyFont="1" applyFill="1" applyBorder="1"/>
    <xf numFmtId="0" fontId="229" fillId="0" borderId="0" xfId="3" applyFont="1"/>
    <xf numFmtId="164" fontId="4" fillId="12" borderId="106" xfId="5" applyNumberFormat="1" applyFont="1" applyFill="1" applyBorder="1"/>
    <xf numFmtId="0" fontId="5" fillId="0" borderId="8" xfId="3" applyFont="1" applyFill="1" applyBorder="1" applyAlignment="1">
      <alignment horizontal="right"/>
    </xf>
    <xf numFmtId="0" fontId="0" fillId="0" borderId="96" xfId="0" applyBorder="1"/>
    <xf numFmtId="44" fontId="223" fillId="0" borderId="99" xfId="2" applyFont="1" applyBorder="1"/>
    <xf numFmtId="0" fontId="223" fillId="0" borderId="9" xfId="0" applyFont="1" applyBorder="1"/>
    <xf numFmtId="289" fontId="0" fillId="82" borderId="0" xfId="0" applyNumberFormat="1" applyFont="1" applyFill="1" applyBorder="1"/>
    <xf numFmtId="289" fontId="0" fillId="82" borderId="88" xfId="0" applyNumberFormat="1" applyFont="1" applyFill="1" applyBorder="1"/>
    <xf numFmtId="289" fontId="0" fillId="82" borderId="8" xfId="0" applyNumberFormat="1" applyFont="1" applyFill="1" applyBorder="1"/>
    <xf numFmtId="289" fontId="0" fillId="82" borderId="19" xfId="0" applyNumberFormat="1" applyFont="1" applyFill="1" applyBorder="1"/>
    <xf numFmtId="0" fontId="180" fillId="0" borderId="5" xfId="0" applyFont="1" applyFill="1" applyBorder="1" applyAlignment="1"/>
    <xf numFmtId="0" fontId="180" fillId="0" borderId="5" xfId="0" applyFont="1" applyFill="1" applyBorder="1" applyAlignment="1">
      <alignment horizontal="center"/>
    </xf>
    <xf numFmtId="0" fontId="223" fillId="5" borderId="26" xfId="0" applyFont="1" applyFill="1" applyBorder="1"/>
    <xf numFmtId="0" fontId="223" fillId="5" borderId="73" xfId="0" applyFont="1" applyFill="1" applyBorder="1"/>
    <xf numFmtId="0" fontId="223" fillId="5" borderId="74" xfId="0" applyFont="1" applyFill="1" applyBorder="1"/>
    <xf numFmtId="44" fontId="18" fillId="5" borderId="16" xfId="2" applyFont="1" applyFill="1" applyBorder="1"/>
    <xf numFmtId="44" fontId="18" fillId="5" borderId="76" xfId="2" applyFont="1" applyFill="1" applyBorder="1"/>
    <xf numFmtId="44" fontId="18" fillId="5" borderId="84" xfId="2" applyFont="1" applyFill="1" applyBorder="1"/>
    <xf numFmtId="44" fontId="0" fillId="5" borderId="27" xfId="2" applyFont="1" applyFill="1" applyBorder="1"/>
    <xf numFmtId="44" fontId="0" fillId="5" borderId="77" xfId="2" applyFont="1" applyFill="1" applyBorder="1"/>
    <xf numFmtId="44" fontId="0" fillId="5" borderId="75" xfId="2" applyFont="1" applyFill="1" applyBorder="1"/>
    <xf numFmtId="164" fontId="0" fillId="0" borderId="5" xfId="1" applyNumberFormat="1" applyFont="1" applyFill="1" applyBorder="1"/>
    <xf numFmtId="44" fontId="0" fillId="0" borderId="7" xfId="2" applyFont="1" applyFill="1" applyBorder="1"/>
    <xf numFmtId="279" fontId="0" fillId="0" borderId="9" xfId="2" applyNumberFormat="1" applyFont="1" applyFill="1" applyBorder="1"/>
    <xf numFmtId="44" fontId="0" fillId="0" borderId="5" xfId="2" applyFont="1" applyFill="1" applyBorder="1"/>
    <xf numFmtId="164" fontId="4" fillId="10" borderId="26" xfId="5" applyNumberFormat="1" applyFont="1" applyFill="1" applyBorder="1"/>
    <xf numFmtId="0" fontId="6" fillId="6" borderId="73" xfId="3" applyFont="1" applyFill="1" applyBorder="1"/>
    <xf numFmtId="164" fontId="4" fillId="10" borderId="73" xfId="5" applyNumberFormat="1" applyFont="1" applyFill="1" applyBorder="1"/>
    <xf numFmtId="164" fontId="11" fillId="10" borderId="73" xfId="5" applyNumberFormat="1" applyFont="1" applyFill="1" applyBorder="1"/>
    <xf numFmtId="164" fontId="4" fillId="10" borderId="108" xfId="5" applyNumberFormat="1" applyFont="1" applyFill="1" applyBorder="1"/>
    <xf numFmtId="164" fontId="4" fillId="117" borderId="73" xfId="5" applyNumberFormat="1" applyFont="1" applyFill="1" applyBorder="1"/>
    <xf numFmtId="164" fontId="4" fillId="12" borderId="73" xfId="5" applyNumberFormat="1" applyFont="1" applyFill="1" applyBorder="1"/>
    <xf numFmtId="164" fontId="4" fillId="117" borderId="108" xfId="5" applyNumberFormat="1" applyFont="1" applyFill="1" applyBorder="1"/>
    <xf numFmtId="0" fontId="4" fillId="13" borderId="73" xfId="3" applyFill="1" applyBorder="1"/>
    <xf numFmtId="0" fontId="4" fillId="10" borderId="73" xfId="3" applyFill="1" applyBorder="1"/>
    <xf numFmtId="164" fontId="4" fillId="10" borderId="78" xfId="5" applyNumberFormat="1" applyFont="1" applyFill="1" applyBorder="1"/>
    <xf numFmtId="0" fontId="4" fillId="0" borderId="73" xfId="3" applyBorder="1"/>
    <xf numFmtId="0" fontId="4" fillId="0" borderId="74" xfId="3" applyBorder="1"/>
    <xf numFmtId="0" fontId="5" fillId="10" borderId="32" xfId="3" applyFont="1" applyFill="1" applyBorder="1" applyAlignment="1">
      <alignment horizontal="right"/>
    </xf>
    <xf numFmtId="164" fontId="4" fillId="13" borderId="36" xfId="5" applyNumberFormat="1" applyFont="1" applyFill="1" applyBorder="1"/>
    <xf numFmtId="164" fontId="4" fillId="10" borderId="106" xfId="5" applyNumberFormat="1" applyFont="1" applyFill="1" applyBorder="1"/>
    <xf numFmtId="0" fontId="6" fillId="6" borderId="98" xfId="3" applyFont="1" applyFill="1" applyBorder="1"/>
    <xf numFmtId="164" fontId="4" fillId="10" borderId="32" xfId="5" applyNumberFormat="1" applyFont="1" applyFill="1" applyBorder="1"/>
    <xf numFmtId="164" fontId="4" fillId="117" borderId="106" xfId="5" applyNumberFormat="1" applyFont="1" applyFill="1" applyBorder="1"/>
    <xf numFmtId="164" fontId="4" fillId="13" borderId="98" xfId="5" applyNumberFormat="1" applyFont="1" applyFill="1" applyBorder="1"/>
    <xf numFmtId="164" fontId="4" fillId="13" borderId="24" xfId="5" applyNumberFormat="1" applyFont="1" applyFill="1" applyBorder="1"/>
    <xf numFmtId="0" fontId="6" fillId="6" borderId="24" xfId="3" applyFont="1" applyFill="1" applyBorder="1"/>
    <xf numFmtId="164" fontId="4" fillId="10" borderId="24" xfId="5" applyNumberFormat="1" applyFont="1" applyFill="1" applyBorder="1"/>
    <xf numFmtId="0" fontId="4" fillId="13" borderId="24" xfId="3" applyFill="1" applyBorder="1"/>
    <xf numFmtId="0" fontId="4" fillId="0" borderId="98" xfId="3" applyBorder="1"/>
    <xf numFmtId="0" fontId="230" fillId="0" borderId="0" xfId="3" applyFont="1"/>
    <xf numFmtId="0" fontId="20" fillId="0" borderId="0" xfId="0" applyFont="1" applyAlignment="1">
      <alignment horizontal="center"/>
    </xf>
    <xf numFmtId="164" fontId="0" fillId="124" borderId="73" xfId="0" applyNumberFormat="1" applyFill="1" applyBorder="1"/>
    <xf numFmtId="164" fontId="0" fillId="124" borderId="0" xfId="0" applyNumberFormat="1" applyFill="1" applyBorder="1"/>
    <xf numFmtId="164" fontId="222" fillId="0" borderId="0" xfId="1" applyNumberFormat="1" applyFont="1" applyBorder="1"/>
    <xf numFmtId="167" fontId="0" fillId="0" borderId="0" xfId="0" applyNumberFormat="1"/>
    <xf numFmtId="0" fontId="2" fillId="6" borderId="0" xfId="0" applyFont="1" applyFill="1" applyBorder="1" applyAlignment="1">
      <alignment horizontal="center"/>
    </xf>
    <xf numFmtId="0" fontId="209" fillId="108" borderId="0" xfId="1181"/>
    <xf numFmtId="0" fontId="206" fillId="0" borderId="0" xfId="1157"/>
    <xf numFmtId="0" fontId="0" fillId="0" borderId="0" xfId="0" applyAlignment="1">
      <alignment horizontal="center"/>
    </xf>
    <xf numFmtId="0" fontId="209" fillId="8" borderId="0" xfId="1181" applyFill="1" applyBorder="1"/>
    <xf numFmtId="0" fontId="0" fillId="8" borderId="0" xfId="0" applyFill="1" applyBorder="1"/>
    <xf numFmtId="0" fontId="2" fillId="8" borderId="0" xfId="0" applyFont="1" applyFill="1" applyBorder="1"/>
    <xf numFmtId="279" fontId="0" fillId="0" borderId="6" xfId="2" applyNumberFormat="1" applyFont="1" applyFill="1" applyBorder="1"/>
    <xf numFmtId="0" fontId="0" fillId="6" borderId="2" xfId="0" applyFill="1" applyBorder="1"/>
    <xf numFmtId="0" fontId="0" fillId="6" borderId="4" xfId="0" applyFill="1" applyBorder="1"/>
    <xf numFmtId="43" fontId="0" fillId="84" borderId="0" xfId="1" applyFont="1" applyFill="1" applyBorder="1"/>
    <xf numFmtId="10" fontId="0" fillId="125" borderId="0" xfId="0" applyNumberFormat="1" applyFill="1"/>
    <xf numFmtId="0" fontId="19" fillId="0" borderId="0" xfId="1151" applyFont="1" applyFill="1" applyBorder="1" applyAlignment="1">
      <alignment horizontal="left" indent="1"/>
    </xf>
    <xf numFmtId="0" fontId="19" fillId="0" borderId="0" xfId="1151" applyFont="1" applyFill="1" applyBorder="1" applyAlignment="1">
      <alignment horizontal="left"/>
    </xf>
    <xf numFmtId="0" fontId="20" fillId="0" borderId="0" xfId="1151" applyFont="1" applyFill="1" applyBorder="1" applyAlignment="1">
      <alignment horizontal="center"/>
    </xf>
    <xf numFmtId="0" fontId="19" fillId="0" borderId="0" xfId="1151" applyFont="1" applyFill="1" applyBorder="1" applyAlignment="1">
      <alignment horizontal="center"/>
    </xf>
    <xf numFmtId="43" fontId="19" fillId="0" borderId="0" xfId="270" applyFont="1" applyFill="1" applyBorder="1" applyAlignment="1">
      <alignment horizontal="center"/>
    </xf>
    <xf numFmtId="10" fontId="19" fillId="0" borderId="0" xfId="700" applyNumberFormat="1" applyFont="1" applyFill="1" applyBorder="1" applyAlignment="1">
      <alignment horizontal="center"/>
    </xf>
    <xf numFmtId="0" fontId="3" fillId="0" borderId="0" xfId="1151" applyFont="1" applyFill="1" applyBorder="1" applyAlignment="1">
      <alignment horizontal="left" indent="1"/>
    </xf>
    <xf numFmtId="14" fontId="20" fillId="0" borderId="0" xfId="1151" applyNumberFormat="1" applyFont="1" applyFill="1" applyBorder="1" applyAlignment="1">
      <alignment horizontal="left"/>
    </xf>
    <xf numFmtId="43" fontId="20" fillId="0" borderId="0" xfId="270" applyFont="1" applyFill="1" applyBorder="1" applyAlignment="1">
      <alignment horizontal="center"/>
    </xf>
    <xf numFmtId="10" fontId="20" fillId="0" borderId="0" xfId="700" applyNumberFormat="1" applyFont="1" applyFill="1" applyBorder="1" applyAlignment="1">
      <alignment horizontal="center"/>
    </xf>
    <xf numFmtId="10" fontId="19" fillId="0" borderId="0" xfId="1151" applyNumberFormat="1" applyFont="1" applyFill="1" applyBorder="1" applyAlignment="1">
      <alignment horizontal="center"/>
    </xf>
    <xf numFmtId="0" fontId="3" fillId="0" borderId="0" xfId="0" applyFont="1" applyFill="1" applyBorder="1"/>
    <xf numFmtId="0" fontId="2" fillId="0" borderId="0" xfId="0" applyFont="1" applyFill="1" applyBorder="1" applyAlignment="1">
      <alignment horizontal="right"/>
    </xf>
    <xf numFmtId="43" fontId="2" fillId="0" borderId="0" xfId="0" applyNumberFormat="1" applyFont="1" applyFill="1" applyBorder="1"/>
    <xf numFmtId="3" fontId="0" fillId="0" borderId="0" xfId="0" applyNumberFormat="1" applyFill="1" applyBorder="1" applyAlignment="1">
      <alignment horizontal="right"/>
    </xf>
    <xf numFmtId="3" fontId="0" fillId="0" borderId="0" xfId="0" applyNumberFormat="1" applyFill="1" applyBorder="1"/>
    <xf numFmtId="3" fontId="2" fillId="0" borderId="0" xfId="0" applyNumberFormat="1" applyFont="1" applyFill="1" applyBorder="1"/>
    <xf numFmtId="0" fontId="0" fillId="0" borderId="0" xfId="0" applyFill="1" applyBorder="1" applyAlignment="1">
      <alignment horizontal="right"/>
    </xf>
    <xf numFmtId="0" fontId="0" fillId="0" borderId="3" xfId="0" applyFill="1" applyBorder="1"/>
    <xf numFmtId="0" fontId="189" fillId="0" borderId="2" xfId="0" applyFont="1" applyFill="1" applyBorder="1"/>
    <xf numFmtId="0" fontId="191" fillId="0" borderId="2" xfId="0" applyFont="1" applyFill="1" applyBorder="1"/>
    <xf numFmtId="0" fontId="0" fillId="0" borderId="2" xfId="0" applyFill="1" applyBorder="1"/>
    <xf numFmtId="0" fontId="0" fillId="0" borderId="4" xfId="0" applyBorder="1"/>
    <xf numFmtId="44" fontId="0" fillId="0" borderId="0" xfId="2" applyFont="1" applyFill="1" applyBorder="1" applyAlignment="1">
      <alignment horizontal="right"/>
    </xf>
    <xf numFmtId="290" fontId="0" fillId="0" borderId="0" xfId="700" applyNumberFormat="1" applyFont="1" applyFill="1" applyBorder="1" applyAlignment="1">
      <alignment horizontal="right"/>
    </xf>
    <xf numFmtId="0" fontId="2" fillId="0" borderId="0" xfId="0" applyFont="1" applyFill="1" applyBorder="1" applyAlignment="1">
      <alignment horizontal="right" wrapText="1"/>
    </xf>
    <xf numFmtId="290" fontId="0" fillId="0" borderId="0" xfId="700" applyNumberFormat="1" applyFont="1" applyFill="1" applyBorder="1"/>
    <xf numFmtId="0" fontId="2" fillId="0" borderId="0" xfId="0" applyFont="1" applyFill="1" applyBorder="1" applyAlignment="1">
      <alignment horizontal="center" vertical="center"/>
    </xf>
    <xf numFmtId="44" fontId="0" fillId="0" borderId="0" xfId="2" applyFont="1" applyFill="1" applyBorder="1"/>
    <xf numFmtId="0" fontId="0" fillId="0" borderId="0" xfId="0" applyFill="1" applyAlignment="1">
      <alignment horizontal="center"/>
    </xf>
    <xf numFmtId="0" fontId="2" fillId="0" borderId="0" xfId="0" applyFont="1" applyFill="1" applyBorder="1" applyAlignment="1">
      <alignment horizontal="center" vertical="center" wrapText="1"/>
    </xf>
    <xf numFmtId="282" fontId="0" fillId="0" borderId="0" xfId="700" applyNumberFormat="1" applyFont="1" applyFill="1" applyBorder="1"/>
    <xf numFmtId="282" fontId="0" fillId="0" borderId="0" xfId="700" applyNumberFormat="1" applyFont="1" applyFill="1" applyBorder="1" applyAlignment="1">
      <alignment horizontal="right"/>
    </xf>
    <xf numFmtId="164" fontId="2" fillId="6" borderId="0" xfId="1" applyNumberFormat="1" applyFont="1" applyFill="1" applyBorder="1" applyAlignment="1">
      <alignment horizontal="center"/>
    </xf>
    <xf numFmtId="0" fontId="2" fillId="0" borderId="0" xfId="0" applyFont="1" applyFill="1" applyBorder="1" applyAlignment="1">
      <alignment vertical="center"/>
    </xf>
    <xf numFmtId="164" fontId="2" fillId="0" borderId="0" xfId="0" applyNumberFormat="1" applyFont="1" applyFill="1" applyBorder="1" applyAlignment="1">
      <alignment horizontal="center" wrapText="1"/>
    </xf>
    <xf numFmtId="164" fontId="2" fillId="0" borderId="0" xfId="1" applyNumberFormat="1" applyFont="1" applyFill="1" applyBorder="1" applyAlignment="1">
      <alignment horizontal="center"/>
    </xf>
    <xf numFmtId="279" fontId="0" fillId="0" borderId="0" xfId="2" applyNumberFormat="1" applyFont="1" applyFill="1" applyBorder="1"/>
    <xf numFmtId="0" fontId="219" fillId="91" borderId="26" xfId="0" applyFont="1" applyFill="1" applyBorder="1" applyAlignment="1">
      <alignment horizontal="center"/>
    </xf>
    <xf numFmtId="0" fontId="209" fillId="116" borderId="38" xfId="0" applyFont="1" applyFill="1" applyBorder="1" applyAlignment="1">
      <alignment horizontal="center" vertical="center" wrapText="1"/>
    </xf>
    <xf numFmtId="9" fontId="2" fillId="6" borderId="73" xfId="0" applyNumberFormat="1" applyFont="1" applyFill="1" applyBorder="1" applyAlignment="1">
      <alignment horizontal="center" wrapText="1"/>
    </xf>
    <xf numFmtId="44" fontId="209" fillId="116" borderId="73" xfId="0" applyNumberFormat="1" applyFont="1" applyFill="1" applyBorder="1"/>
    <xf numFmtId="9" fontId="2" fillId="0" borderId="0" xfId="0" applyNumberFormat="1" applyFont="1" applyFill="1" applyBorder="1" applyAlignment="1">
      <alignment horizontal="center" vertical="top" wrapText="1"/>
    </xf>
    <xf numFmtId="9" fontId="2" fillId="0" borderId="0" xfId="0" applyNumberFormat="1" applyFont="1" applyFill="1" applyBorder="1" applyAlignment="1">
      <alignment horizontal="center" vertical="center" wrapText="1"/>
    </xf>
    <xf numFmtId="172" fontId="0" fillId="0" borderId="0" xfId="890" applyNumberFormat="1" applyFont="1" applyFill="1" applyBorder="1"/>
    <xf numFmtId="164" fontId="4" fillId="10" borderId="74" xfId="5" applyNumberFormat="1" applyFont="1" applyFill="1" applyBorder="1"/>
    <xf numFmtId="164" fontId="4" fillId="10" borderId="37" xfId="5" applyNumberFormat="1" applyFont="1" applyFill="1" applyBorder="1"/>
    <xf numFmtId="164" fontId="4" fillId="117" borderId="74" xfId="5" applyNumberFormat="1" applyFont="1" applyFill="1" applyBorder="1"/>
    <xf numFmtId="164" fontId="4" fillId="10" borderId="11" xfId="5" applyNumberFormat="1" applyFont="1" applyFill="1" applyBorder="1"/>
    <xf numFmtId="0" fontId="4" fillId="13" borderId="11" xfId="3" applyFill="1" applyBorder="1"/>
    <xf numFmtId="0" fontId="5" fillId="0" borderId="0" xfId="3" applyFont="1" applyFill="1" applyBorder="1" applyAlignment="1">
      <alignment horizontal="right"/>
    </xf>
    <xf numFmtId="0" fontId="4" fillId="0" borderId="0" xfId="3" applyFill="1" applyBorder="1"/>
    <xf numFmtId="0" fontId="6" fillId="0" borderId="0" xfId="3" applyFont="1" applyFill="1" applyBorder="1"/>
    <xf numFmtId="164" fontId="4" fillId="0" borderId="0" xfId="5" applyNumberFormat="1" applyFont="1" applyFill="1" applyBorder="1"/>
    <xf numFmtId="164" fontId="11" fillId="0" borderId="0" xfId="5" applyNumberFormat="1" applyFont="1" applyFill="1" applyBorder="1"/>
    <xf numFmtId="9" fontId="4" fillId="0" borderId="0" xfId="4" applyFont="1" applyFill="1" applyBorder="1" applyAlignment="1">
      <alignment horizontal="center"/>
    </xf>
    <xf numFmtId="0" fontId="6" fillId="0" borderId="0" xfId="3" applyFont="1" applyFill="1" applyBorder="1" applyAlignment="1">
      <alignment horizontal="center"/>
    </xf>
    <xf numFmtId="0" fontId="6" fillId="0" borderId="0" xfId="3" applyFont="1" applyFill="1" applyBorder="1" applyAlignment="1">
      <alignment horizontal="left"/>
    </xf>
    <xf numFmtId="164" fontId="10" fillId="0" borderId="0" xfId="5" applyNumberFormat="1" applyFont="1" applyFill="1" applyBorder="1"/>
    <xf numFmtId="0" fontId="4" fillId="0" borderId="26" xfId="3" applyFont="1" applyBorder="1"/>
    <xf numFmtId="0" fontId="4" fillId="0" borderId="73" xfId="3" applyFont="1" applyBorder="1"/>
    <xf numFmtId="0" fontId="11" fillId="0" borderId="73" xfId="3" applyFont="1" applyBorder="1"/>
    <xf numFmtId="0" fontId="0" fillId="115" borderId="73" xfId="0" applyFill="1" applyBorder="1"/>
    <xf numFmtId="0" fontId="0" fillId="84" borderId="73" xfId="0" applyFill="1" applyBorder="1"/>
    <xf numFmtId="0" fontId="4" fillId="0" borderId="78" xfId="3" applyFont="1" applyBorder="1"/>
    <xf numFmtId="9" fontId="4" fillId="13" borderId="73" xfId="3" applyNumberFormat="1" applyFill="1" applyBorder="1"/>
    <xf numFmtId="9" fontId="4" fillId="13" borderId="108" xfId="3" applyNumberFormat="1" applyFill="1" applyBorder="1"/>
    <xf numFmtId="0" fontId="7" fillId="0" borderId="73" xfId="3" applyFont="1" applyBorder="1"/>
    <xf numFmtId="9" fontId="4" fillId="0" borderId="73" xfId="3" applyNumberFormat="1" applyFont="1" applyBorder="1"/>
    <xf numFmtId="9" fontId="4" fillId="0" borderId="108" xfId="3" applyNumberFormat="1" applyFont="1" applyBorder="1"/>
    <xf numFmtId="0" fontId="4" fillId="0" borderId="73" xfId="3" applyFont="1" applyFill="1" applyBorder="1"/>
    <xf numFmtId="9" fontId="4" fillId="0" borderId="73" xfId="3" applyNumberFormat="1" applyFont="1" applyFill="1" applyBorder="1"/>
    <xf numFmtId="9" fontId="4" fillId="0" borderId="108" xfId="3" applyNumberFormat="1" applyFont="1" applyFill="1" applyBorder="1"/>
    <xf numFmtId="0" fontId="5" fillId="0" borderId="0" xfId="3" applyFont="1" applyFill="1" applyBorder="1" applyAlignment="1">
      <alignment horizontal="center"/>
    </xf>
    <xf numFmtId="0" fontId="4" fillId="0" borderId="0" xfId="3" applyFont="1" applyFill="1" applyBorder="1" applyAlignment="1">
      <alignment horizontal="right"/>
    </xf>
    <xf numFmtId="14" fontId="6" fillId="0" borderId="0" xfId="3" applyNumberFormat="1" applyFont="1" applyFill="1" applyBorder="1" applyAlignment="1">
      <alignment horizontal="center"/>
    </xf>
    <xf numFmtId="0" fontId="9" fillId="0" borderId="0" xfId="3" applyFont="1" applyFill="1" applyBorder="1" applyAlignment="1">
      <alignment horizontal="center"/>
    </xf>
    <xf numFmtId="0" fontId="5" fillId="0" borderId="0" xfId="3" applyFont="1" applyFill="1" applyBorder="1"/>
    <xf numFmtId="164" fontId="13" fillId="0" borderId="0" xfId="5" applyNumberFormat="1" applyFont="1" applyFill="1" applyBorder="1"/>
    <xf numFmtId="0" fontId="11" fillId="0" borderId="0" xfId="3" applyFont="1" applyFill="1" applyBorder="1"/>
    <xf numFmtId="9" fontId="11" fillId="0" borderId="0" xfId="4" applyFont="1" applyFill="1" applyBorder="1" applyAlignment="1">
      <alignment horizontal="center"/>
    </xf>
    <xf numFmtId="44" fontId="2" fillId="6" borderId="0" xfId="2" applyNumberFormat="1" applyFont="1" applyFill="1" applyBorder="1" applyAlignment="1">
      <alignment horizontal="center"/>
    </xf>
    <xf numFmtId="0" fontId="180" fillId="7" borderId="17" xfId="0" applyFont="1" applyFill="1" applyBorder="1" applyAlignment="1">
      <alignment horizontal="center" vertical="center" wrapText="1"/>
    </xf>
    <xf numFmtId="9" fontId="2" fillId="6" borderId="10" xfId="0" applyNumberFormat="1" applyFont="1" applyFill="1" applyBorder="1" applyAlignment="1">
      <alignment horizontal="center" wrapText="1"/>
    </xf>
    <xf numFmtId="44" fontId="2" fillId="5" borderId="10" xfId="0" applyNumberFormat="1" applyFont="1" applyFill="1" applyBorder="1"/>
    <xf numFmtId="44" fontId="2" fillId="119" borderId="10" xfId="0" applyNumberFormat="1" applyFont="1" applyFill="1" applyBorder="1"/>
    <xf numFmtId="44" fontId="2" fillId="5" borderId="22" xfId="0" applyNumberFormat="1" applyFont="1" applyFill="1" applyBorder="1"/>
    <xf numFmtId="0" fontId="0" fillId="118" borderId="17" xfId="0" applyFill="1" applyBorder="1" applyAlignment="1">
      <alignment horizontal="center"/>
    </xf>
    <xf numFmtId="0" fontId="5" fillId="0" borderId="2" xfId="3" applyFont="1" applyFill="1" applyBorder="1" applyAlignment="1">
      <alignment horizontal="left"/>
    </xf>
    <xf numFmtId="0" fontId="190" fillId="8" borderId="0" xfId="0" applyFont="1" applyFill="1" applyBorder="1" applyAlignment="1">
      <alignment horizontal="left" vertical="top" wrapText="1"/>
    </xf>
    <xf numFmtId="0" fontId="0" fillId="8" borderId="0" xfId="0" applyFill="1" applyBorder="1" applyAlignment="1">
      <alignment horizontal="left" vertical="top"/>
    </xf>
    <xf numFmtId="0" fontId="197" fillId="8" borderId="0" xfId="0" applyFont="1" applyFill="1" applyBorder="1" applyAlignment="1">
      <alignment horizontal="left" vertical="top" wrapText="1"/>
    </xf>
    <xf numFmtId="0" fontId="0" fillId="0" borderId="96" xfId="0" applyBorder="1" applyAlignment="1">
      <alignment horizontal="left" vertical="top" wrapText="1"/>
    </xf>
    <xf numFmtId="0" fontId="0" fillId="0" borderId="88" xfId="0" applyBorder="1" applyAlignment="1">
      <alignment horizontal="left" vertical="top" wrapText="1"/>
    </xf>
    <xf numFmtId="0" fontId="0" fillId="0" borderId="99"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96" xfId="0" applyBorder="1" applyAlignment="1">
      <alignment vertical="top" wrapText="1"/>
    </xf>
    <xf numFmtId="0" fontId="0" fillId="0" borderId="88" xfId="0" applyBorder="1" applyAlignment="1">
      <alignment vertical="top" wrapText="1"/>
    </xf>
    <xf numFmtId="0" fontId="0" fillId="0" borderId="99" xfId="0" applyBorder="1" applyAlignment="1">
      <alignment vertical="top" wrapText="1"/>
    </xf>
    <xf numFmtId="0" fontId="0" fillId="0" borderId="5" xfId="0"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 fillId="6" borderId="96" xfId="0" applyFont="1" applyFill="1" applyBorder="1" applyAlignment="1">
      <alignment horizontal="center"/>
    </xf>
    <xf numFmtId="0" fontId="2" fillId="6" borderId="88" xfId="0" applyFont="1" applyFill="1" applyBorder="1" applyAlignment="1">
      <alignment horizontal="center"/>
    </xf>
    <xf numFmtId="0" fontId="2" fillId="6" borderId="99" xfId="0" applyFont="1" applyFill="1" applyBorder="1" applyAlignment="1">
      <alignment horizontal="center"/>
    </xf>
    <xf numFmtId="0" fontId="2" fillId="6" borderId="7" xfId="0" applyFont="1"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center"/>
    </xf>
    <xf numFmtId="0" fontId="0" fillId="118" borderId="43" xfId="0" applyFill="1" applyBorder="1" applyAlignment="1">
      <alignment horizontal="center"/>
    </xf>
    <xf numFmtId="0" fontId="219" fillId="91" borderId="37" xfId="0" applyFont="1" applyFill="1" applyBorder="1" applyAlignment="1">
      <alignment horizontal="center"/>
    </xf>
    <xf numFmtId="0" fontId="219" fillId="91" borderId="34" xfId="0" applyFont="1" applyFill="1" applyBorder="1" applyAlignment="1">
      <alignment horizontal="center"/>
    </xf>
    <xf numFmtId="0" fontId="219" fillId="91" borderId="97" xfId="0" applyFont="1" applyFill="1" applyBorder="1" applyAlignment="1">
      <alignment horizontal="center"/>
    </xf>
    <xf numFmtId="164" fontId="219" fillId="91" borderId="37" xfId="0" applyNumberFormat="1" applyFont="1" applyFill="1" applyBorder="1" applyAlignment="1">
      <alignment horizontal="center" wrapText="1"/>
    </xf>
    <xf numFmtId="164" fontId="219" fillId="91" borderId="97" xfId="0" applyNumberFormat="1" applyFont="1" applyFill="1" applyBorder="1" applyAlignment="1">
      <alignment horizontal="center" wrapText="1"/>
    </xf>
    <xf numFmtId="0" fontId="222" fillId="0" borderId="0" xfId="0" applyFont="1" applyFill="1" applyBorder="1" applyAlignment="1">
      <alignment horizontal="center"/>
    </xf>
    <xf numFmtId="0" fontId="6" fillId="0" borderId="0" xfId="3" applyFont="1" applyFill="1" applyBorder="1" applyAlignment="1">
      <alignment horizontal="center"/>
    </xf>
    <xf numFmtId="0" fontId="230" fillId="0" borderId="8" xfId="3" applyFont="1" applyBorder="1" applyAlignment="1">
      <alignment horizontal="center"/>
    </xf>
    <xf numFmtId="0" fontId="180" fillId="5" borderId="18" xfId="0" applyFont="1" applyFill="1" applyBorder="1" applyAlignment="1">
      <alignment horizontal="center"/>
    </xf>
    <xf numFmtId="0" fontId="180" fillId="5" borderId="19" xfId="0" applyFont="1" applyFill="1" applyBorder="1" applyAlignment="1">
      <alignment horizontal="center"/>
    </xf>
    <xf numFmtId="0" fontId="0" fillId="0" borderId="73" xfId="0" applyBorder="1" applyAlignment="1">
      <alignment horizontal="center" vertical="center" wrapText="1"/>
    </xf>
    <xf numFmtId="0" fontId="16" fillId="7" borderId="74" xfId="0" applyFont="1" applyFill="1" applyBorder="1" applyAlignment="1">
      <alignment horizontal="center"/>
    </xf>
    <xf numFmtId="0" fontId="16" fillId="7" borderId="75" xfId="0" applyFont="1" applyFill="1" applyBorder="1" applyAlignment="1">
      <alignment horizont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21" xfId="0" applyFont="1" applyFill="1" applyBorder="1" applyAlignment="1">
      <alignment horizontal="center" wrapText="1"/>
    </xf>
    <xf numFmtId="0" fontId="2" fillId="7" borderId="22" xfId="0" applyFont="1" applyFill="1" applyBorder="1" applyAlignment="1">
      <alignment horizontal="center" wrapText="1"/>
    </xf>
    <xf numFmtId="0" fontId="2" fillId="0" borderId="0" xfId="0" applyFont="1" applyAlignment="1">
      <alignment horizontal="center"/>
    </xf>
    <xf numFmtId="0" fontId="19" fillId="125" borderId="0" xfId="0" applyFont="1" applyFill="1" applyAlignment="1">
      <alignment horizontal="left" wrapText="1"/>
    </xf>
    <xf numFmtId="0" fontId="2" fillId="6" borderId="2" xfId="0" applyFont="1" applyFill="1" applyBorder="1" applyAlignment="1">
      <alignment horizontal="center"/>
    </xf>
  </cellXfs>
  <cellStyles count="1221">
    <cellStyle name=" 1" xfId="64"/>
    <cellStyle name=" 1 2" xfId="892"/>
    <cellStyle name=" 1 2 2" xfId="893"/>
    <cellStyle name=" 1 2 2 2" xfId="894"/>
    <cellStyle name=" 1 2 3" xfId="895"/>
    <cellStyle name=" 1_BAF Budget profile" xfId="896"/>
    <cellStyle name=" Writer Import]_x000a__x000a_Display Dialog=No_x000a__x000a__x000a__x000a_[Horizontal Arrange]_x000a__x000a_Dimensions Interlocking=Yes_x000a__x000a_Sum Hierarchy=Yes_x000a__x000a_Generate" xfId="1161"/>
    <cellStyle name=" Writer Import]_x000a__x000a_Display Dialog=No_x000a__x000a__x000a__x000a_[Horizontal Arrange]_x000a__x000a_Dimensions Interlocking=Yes_x000a__x000a_Sum Hierarchy=Yes_x000a__x000a_Generate 2" xfId="1162"/>
    <cellStyle name=" Writer Import]_x000d__x000a_Display Dialog=No_x000d__x000a__x000d__x000a_[Horizontal Arrange]_x000d__x000a_Dimensions Interlocking=Yes_x000d__x000a_Sum Hierarchy=Yes_x000d__x000a_Generate" xfId="65"/>
    <cellStyle name=" Writer Import]_x000d__x000a_Display Dialog=No_x000d__x000a__x000d__x000a_[Horizontal Arrange]_x000d__x000a_Dimensions Interlocking=Yes_x000d__x000a_Sum Hierarchy=Yes_x000d__x000a_Generate 2" xfId="897"/>
    <cellStyle name=" Writer Import]_x000d__x000a_Display Dialog=No_x000d__x000a__x000d__x000a_[Horizontal Arrange]_x000d__x000a_Dimensions Interlocking=Yes_x000d__x000a_Sum Hierarchy=Yes_x000d__x000a_Generate 2 2" xfId="898"/>
    <cellStyle name=" Writer Import]_x000d__x000a_Display Dialog=No_x000d__x000a__x000d__x000a_[Horizontal Arrange]_x000d__x000a_Dimensions Interlocking=Yes_x000d__x000a_Sum Hierarchy=Yes_x000d__x000a_Generate 3" xfId="899"/>
    <cellStyle name=" Writer Import]_x000d__x000a_Display Dialog=No_x000d__x000a__x000d__x000a_[Horizontal Arrange]_x000d__x000a_Dimensions Interlocking=Yes_x000d__x000a_Sum Hierarchy=Yes_x000d__x000a_Generate_BAF Budget profile" xfId="900"/>
    <cellStyle name="_x000a_shell=progma" xfId="66"/>
    <cellStyle name="_x000a_shell=progma 2" xfId="901"/>
    <cellStyle name="_x000a_shell=progma 2 2" xfId="902"/>
    <cellStyle name="_x000a_shell=progma_Report" xfId="903"/>
    <cellStyle name="%" xfId="67"/>
    <cellStyle name="% 2" xfId="904"/>
    <cellStyle name="% 2 2" xfId="905"/>
    <cellStyle name="%_Distribution Business" xfId="906"/>
    <cellStyle name="%_Distribution Business 2" xfId="907"/>
    <cellStyle name="%_Fleet Overhead Costs" xfId="908"/>
    <cellStyle name="%_Fleet Overhead Costs 2" xfId="909"/>
    <cellStyle name="%_Forecast" xfId="910"/>
    <cellStyle name="%_Forecast 2" xfId="911"/>
    <cellStyle name="%_Forecast 2 2" xfId="912"/>
    <cellStyle name="%_Forecast 3" xfId="913"/>
    <cellStyle name="%_Funding &amp; Cashflow" xfId="914"/>
    <cellStyle name="%_Funding &amp; Cashflow 2" xfId="915"/>
    <cellStyle name="%_Funding &amp; Cashflow_1" xfId="916"/>
    <cellStyle name="%_Funding &amp; Cashflow_1 2" xfId="917"/>
    <cellStyle name="%_Group P&amp;L" xfId="918"/>
    <cellStyle name="%_Group P&amp;L 2" xfId="919"/>
    <cellStyle name="%_Group P&amp;L_1" xfId="920"/>
    <cellStyle name="%_Group P&amp;L_1 2" xfId="921"/>
    <cellStyle name="%_Opening  Detailed BS" xfId="68"/>
    <cellStyle name="%_Opening  Detailed BS 2" xfId="922"/>
    <cellStyle name="%_OUTPUT DB" xfId="923"/>
    <cellStyle name="%_OUTPUT DB 2" xfId="924"/>
    <cellStyle name="%_OUTPUT EB" xfId="925"/>
    <cellStyle name="%_OUTPUT EB 2" xfId="926"/>
    <cellStyle name="%_Report" xfId="927"/>
    <cellStyle name="%_Report 2" xfId="928"/>
    <cellStyle name="%_Sheet2" xfId="929"/>
    <cellStyle name="%_Sheet2 2" xfId="930"/>
    <cellStyle name="%_Sheet2 2 2" xfId="931"/>
    <cellStyle name="%_Sheet2 3" xfId="932"/>
    <cellStyle name="(Comma)" xfId="69"/>
    <cellStyle name="_0910 IS CWIP Depreciation Accrual" xfId="70"/>
    <cellStyle name="_2a. Agility only" xfId="71"/>
    <cellStyle name="_3GIS model v2.77" xfId="72"/>
    <cellStyle name="_3GIS model v2.77_Distribution Business" xfId="933"/>
    <cellStyle name="_3GIS model v2.77_Distribution Business 2" xfId="934"/>
    <cellStyle name="_3GIS model v2.77_Distribution Business_Retail Fin Perform " xfId="935"/>
    <cellStyle name="_3GIS model v2.77_Fleet Overhead Costs" xfId="936"/>
    <cellStyle name="_3GIS model v2.77_Fleet Overhead Costs 2" xfId="937"/>
    <cellStyle name="_3GIS model v2.77_Fleet Overhead Costs 2 2" xfId="938"/>
    <cellStyle name="_3GIS model v2.77_Fleet Overhead Costs 2_Retail Fin Perform " xfId="939"/>
    <cellStyle name="_3GIS model v2.77_Fleet Overhead Costs 3" xfId="940"/>
    <cellStyle name="_3GIS model v2.77_Fleet Overhead Costs_Retail Fin Perform " xfId="941"/>
    <cellStyle name="_3GIS model v2.77_Forecast" xfId="942"/>
    <cellStyle name="_3GIS model v2.77_Forecast 2" xfId="943"/>
    <cellStyle name="_3GIS model v2.77_Forecast 2 2" xfId="944"/>
    <cellStyle name="_3GIS model v2.77_Forecast 2_Retail Fin Perform " xfId="945"/>
    <cellStyle name="_3GIS model v2.77_Forecast 3" xfId="946"/>
    <cellStyle name="_3GIS model v2.77_Forecast_Retail Fin Perform " xfId="947"/>
    <cellStyle name="_3GIS model v2.77_Funding &amp; Cashflow" xfId="948"/>
    <cellStyle name="_3GIS model v2.77_Funding &amp; Cashflow 2" xfId="949"/>
    <cellStyle name="_3GIS model v2.77_Funding &amp; Cashflow_1" xfId="950"/>
    <cellStyle name="_3GIS model v2.77_Funding &amp; Cashflow_1 2" xfId="951"/>
    <cellStyle name="_3GIS model v2.77_Funding &amp; Cashflow_1_Retail Fin Perform " xfId="952"/>
    <cellStyle name="_3GIS model v2.77_Funding &amp; Cashflow_Retail Fin Perform " xfId="953"/>
    <cellStyle name="_3GIS model v2.77_Group P&amp;L" xfId="954"/>
    <cellStyle name="_3GIS model v2.77_Group P&amp;L 2" xfId="955"/>
    <cellStyle name="_3GIS model v2.77_Group P&amp;L_1" xfId="956"/>
    <cellStyle name="_3GIS model v2.77_Group P&amp;L_1 2" xfId="957"/>
    <cellStyle name="_3GIS model v2.77_Group P&amp;L_1_Retail Fin Perform " xfId="958"/>
    <cellStyle name="_3GIS model v2.77_Group P&amp;L_Retail Fin Perform " xfId="959"/>
    <cellStyle name="_3GIS model v2.77_Opening  Detailed BS" xfId="73"/>
    <cellStyle name="_3GIS model v2.77_Opening  Detailed BS 2" xfId="960"/>
    <cellStyle name="_3GIS model v2.77_Opening  Detailed BS_Retail Fin Perform " xfId="961"/>
    <cellStyle name="_3GIS model v2.77_OUTPUT DB" xfId="962"/>
    <cellStyle name="_3GIS model v2.77_OUTPUT DB 2" xfId="963"/>
    <cellStyle name="_3GIS model v2.77_OUTPUT DB_Retail Fin Perform " xfId="964"/>
    <cellStyle name="_3GIS model v2.77_OUTPUT EB" xfId="965"/>
    <cellStyle name="_3GIS model v2.77_OUTPUT EB 2" xfId="966"/>
    <cellStyle name="_3GIS model v2.77_OUTPUT EB_Retail Fin Perform " xfId="967"/>
    <cellStyle name="_3GIS model v2.77_Report" xfId="968"/>
    <cellStyle name="_3GIS model v2.77_Report 2" xfId="969"/>
    <cellStyle name="_3GIS model v2.77_Report_Retail Fin Perform " xfId="970"/>
    <cellStyle name="_3GIS model v2.77_Retail Fin Perform " xfId="971"/>
    <cellStyle name="_3GIS model v2.77_Sheet2" xfId="972"/>
    <cellStyle name="_3GIS model v2.77_Sheet2 2" xfId="973"/>
    <cellStyle name="_3GIS model v2.77_Sheet2 2 2" xfId="974"/>
    <cellStyle name="_3GIS model v2.77_Sheet2 2_Retail Fin Perform " xfId="975"/>
    <cellStyle name="_3GIS model v2.77_Sheet2 3" xfId="976"/>
    <cellStyle name="_3GIS model v2.77_Sheet2_Retail Fin Perform " xfId="977"/>
    <cellStyle name="_AETV 3 yr Budget V1" xfId="74"/>
    <cellStyle name="_Agility" xfId="75"/>
    <cellStyle name="_Capex" xfId="76"/>
    <cellStyle name="_Capex_cust-initiated" xfId="77"/>
    <cellStyle name="_Capex_POW (3)" xfId="78"/>
    <cellStyle name="_Capex_PTRM reconcile" xfId="79"/>
    <cellStyle name="_Capex_Sheet1" xfId="80"/>
    <cellStyle name="_Capex_Sheet2" xfId="81"/>
    <cellStyle name="_Capex_TER reconcile" xfId="82"/>
    <cellStyle name="_Capex_trends" xfId="83"/>
    <cellStyle name="_CDR - Insertsv7" xfId="84"/>
    <cellStyle name="_CDR - Insertsv7 2" xfId="978"/>
    <cellStyle name="_CDR - Insertsv7_Distribution Business" xfId="979"/>
    <cellStyle name="_CDR - Insertsv7_Distribution Business 2" xfId="980"/>
    <cellStyle name="_CDR - Insertsv7_Forecast" xfId="981"/>
    <cellStyle name="_CDR - Insertsv7_Forecast 2" xfId="982"/>
    <cellStyle name="_CDR - Insertsv7_Funding &amp; Cashflow" xfId="983"/>
    <cellStyle name="_CDR - Insertsv7_Funding &amp; Cashflow 2" xfId="984"/>
    <cellStyle name="_CDR - Insertsv7_Group P&amp;L" xfId="985"/>
    <cellStyle name="_CDR - Insertsv7_Group P&amp;L 2" xfId="986"/>
    <cellStyle name="_CDR - Insertsv7_Sheet2" xfId="987"/>
    <cellStyle name="_CDR - Insertsv7_Sheet2 2" xfId="988"/>
    <cellStyle name="_CMDR-3Yrforescast" xfId="85"/>
    <cellStyle name="_Company 42" xfId="86"/>
    <cellStyle name="_Company 49" xfId="87"/>
    <cellStyle name="_F'Cast Financials" xfId="88"/>
    <cellStyle name="_F'Cast Financials 2" xfId="989"/>
    <cellStyle name="_F'Cast Financials_Distribution Business" xfId="990"/>
    <cellStyle name="_F'Cast Financials_Distribution Business 2" xfId="991"/>
    <cellStyle name="_F'Cast Financials_Forecast" xfId="992"/>
    <cellStyle name="_F'Cast Financials_Forecast 2" xfId="993"/>
    <cellStyle name="_F'Cast Financials_Funding &amp; Cashflow" xfId="994"/>
    <cellStyle name="_F'Cast Financials_Funding &amp; Cashflow 2" xfId="995"/>
    <cellStyle name="_F'Cast Financials_Group P&amp;L" xfId="996"/>
    <cellStyle name="_F'Cast Financials_Group P&amp;L 2" xfId="997"/>
    <cellStyle name="_F'Cast Financials_Sheet2" xfId="998"/>
    <cellStyle name="_F'Cast Financials_Sheet2 2" xfId="999"/>
    <cellStyle name="_JEN 09CY reg accounts template 120210 DRAFT 06 WOBCA v5 Meter Split " xfId="89"/>
    <cellStyle name="_JEN 09CY reg accounts template 120210 DRAFT 06.1 WOBCA v5 Meter Split " xfId="90"/>
    <cellStyle name="_JEN 09CY reg accounts template 120210 DRAFT 07 PFIT on Schedules" xfId="91"/>
    <cellStyle name="_JEN 09CY reg accounts template 120210 DRAFT 08 AIMRO 6% on Schedules" xfId="92"/>
    <cellStyle name="_JEN 09CY reg accounts template 120210 DRAFT 09 EDPR Accruals 12370001" xfId="93"/>
    <cellStyle name="_JEN 10CY reg accounts template 120210 DRAFT 01" xfId="94"/>
    <cellStyle name="_JEN 10CY reg accounts template 120210 DRAFT 03 Audit Adjustments" xfId="95"/>
    <cellStyle name="_Phoenix - Final (Full) 1.2" xfId="96"/>
    <cellStyle name="_Phoenix - Final (Full) 1.2 2" xfId="1000"/>
    <cellStyle name="_Phoenix - Final (Full) 1.2_Distribution Business" xfId="1001"/>
    <cellStyle name="_Phoenix - Final (Full) 1.2_Distribution Business 2" xfId="1002"/>
    <cellStyle name="_Phoenix - Final (Full) 1.2_Forecast" xfId="1003"/>
    <cellStyle name="_Phoenix - Final (Full) 1.2_Forecast 2" xfId="1004"/>
    <cellStyle name="_Phoenix - Final (Full) 1.2_Funding &amp; Cashflow" xfId="1005"/>
    <cellStyle name="_Phoenix - Final (Full) 1.2_Funding &amp; Cashflow 2" xfId="1006"/>
    <cellStyle name="_Phoenix - Final (Full) 1.2_Group P&amp;L" xfId="1007"/>
    <cellStyle name="_Phoenix - Final (Full) 1.2_Group P&amp;L 2" xfId="1008"/>
    <cellStyle name="_Phoenix - Final (Full) 1.2_Sheet2" xfId="1009"/>
    <cellStyle name="_Phoenix - Final (Full) 1.2_Sheet2 2" xfId="1010"/>
    <cellStyle name="_TOTAL_Opex_Budget_2009v2" xfId="97"/>
    <cellStyle name="_UED AMP 2009-14 Final 250309 Less PU" xfId="98"/>
    <cellStyle name="_UED AMP 2009-14 Final 250309 Less PU_1011 monthly" xfId="99"/>
    <cellStyle name="_UED AMP 2009-14 Final 250309 Less PU_1011 monthly_Aurora - RIN Template" xfId="100"/>
    <cellStyle name="_UED AMP 2009-14 Final 250309 Less PU_1011 monthly_capex analysis" xfId="101"/>
    <cellStyle name="_UED AMP 2009-14 Final 250309 Less PU_1011 monthly_cust-initiated" xfId="102"/>
    <cellStyle name="_UED AMP 2009-14 Final 250309 Less PU_1011 monthly_POW (3)" xfId="103"/>
    <cellStyle name="_UED AMP 2009-14 Final 250309 Less PU_1011 monthly_PTRM reconcile" xfId="104"/>
    <cellStyle name="_UED AMP 2009-14 Final 250309 Less PU_1011 monthly_RIN template_response" xfId="105"/>
    <cellStyle name="_UED AMP 2009-14 Final 250309 Less PU_1011 monthly_RIN template_response (2)" xfId="106"/>
    <cellStyle name="_UED AMP 2009-14 Final 250309 Less PU_1011 monthly_Sheet1" xfId="107"/>
    <cellStyle name="_UED AMP 2009-14 Final 250309 Less PU_1011 monthly_Sheet2" xfId="108"/>
    <cellStyle name="_UED AMP 2009-14 Final 250309 Less PU_1011 monthly_TER reconcile" xfId="109"/>
    <cellStyle name="_UED AMP 2009-14 Final 250309 Less PU_1011 monthly_trends" xfId="110"/>
    <cellStyle name="_UED AMP 2009-14 Final 250309 Less PU_Aurora - RIN Template" xfId="111"/>
    <cellStyle name="_UED AMP 2009-14 Final 250309 Less PU_capex analysis" xfId="112"/>
    <cellStyle name="_UED AMP 2009-14 Final 250309 Less PU_cust-initiated" xfId="113"/>
    <cellStyle name="_UED AMP 2009-14 Final 250309 Less PU_POW (3)" xfId="114"/>
    <cellStyle name="_UED AMP 2009-14 Final 250309 Less PU_PTRM reconcile" xfId="115"/>
    <cellStyle name="_UED AMP 2009-14 Final 250309 Less PU_RIN template_response" xfId="116"/>
    <cellStyle name="_UED AMP 2009-14 Final 250309 Less PU_RIN template_response (2)" xfId="117"/>
    <cellStyle name="_UED AMP 2009-14 Final 250309 Less PU_Sheet1" xfId="118"/>
    <cellStyle name="_UED AMP 2009-14 Final 250309 Less PU_Sheet2" xfId="119"/>
    <cellStyle name="_UED AMP 2009-14 Final 250309 Less PU_TER reconcile" xfId="120"/>
    <cellStyle name="_UED AMP 2009-14 Final 250309 Less PU_trends" xfId="121"/>
    <cellStyle name="=C:\WINNT\SYSTEM32\COMMAND.COM" xfId="122"/>
    <cellStyle name="=C:\WINNT35\SYSTEM32\COMMAND.COM" xfId="123"/>
    <cellStyle name="=C:\WINNT35\SYSTEM32\COMMAND.COM 2" xfId="1011"/>
    <cellStyle name="20% - Accent1 2" xfId="124"/>
    <cellStyle name="20% - Accent1 2 2" xfId="1163"/>
    <cellStyle name="20% - Accent2 2" xfId="125"/>
    <cellStyle name="20% - Accent2 2 2" xfId="1164"/>
    <cellStyle name="20% - Accent3 2" xfId="126"/>
    <cellStyle name="20% - Accent3 2 2" xfId="1165"/>
    <cellStyle name="20% - Accent4 2" xfId="127"/>
    <cellStyle name="20% - Accent4 2 2" xfId="1166"/>
    <cellStyle name="20% - Accent5 2" xfId="128"/>
    <cellStyle name="20% - Accent5 2 2" xfId="1167"/>
    <cellStyle name="20% - Accent6 2" xfId="129"/>
    <cellStyle name="20% - Accent6 2 2" xfId="1168"/>
    <cellStyle name="40% - Accent1 2" xfId="130"/>
    <cellStyle name="40% - Accent1 2 2" xfId="1169"/>
    <cellStyle name="40% - Accent2 2" xfId="131"/>
    <cellStyle name="40% - Accent2 2 2" xfId="1170"/>
    <cellStyle name="40% - Accent3 2" xfId="132"/>
    <cellStyle name="40% - Accent3 2 2" xfId="1171"/>
    <cellStyle name="40% - Accent4 2" xfId="133"/>
    <cellStyle name="40% - Accent4 2 2" xfId="1172"/>
    <cellStyle name="40% - Accent5 2" xfId="134"/>
    <cellStyle name="40% - Accent5 2 2" xfId="1173"/>
    <cellStyle name="40% - Accent5 3" xfId="52"/>
    <cellStyle name="40% - Accent5 3 2" xfId="53"/>
    <cellStyle name="40% - Accent6 2" xfId="135"/>
    <cellStyle name="40% - Accent6 2 2" xfId="1174"/>
    <cellStyle name="60% - Accent1 2" xfId="136"/>
    <cellStyle name="60% - Accent2 2" xfId="137"/>
    <cellStyle name="60% - Accent3 2" xfId="138"/>
    <cellStyle name="60% - Accent4 2" xfId="139"/>
    <cellStyle name="60% - Accent5 2" xfId="54"/>
    <cellStyle name="60% - Accent6 2" xfId="140"/>
    <cellStyle name="A satisfied Microsoft Office user" xfId="141"/>
    <cellStyle name="A_Block Space" xfId="142"/>
    <cellStyle name="A_BlueLine" xfId="143"/>
    <cellStyle name="A_Do not Change" xfId="144"/>
    <cellStyle name="A_Estimate" xfId="145"/>
    <cellStyle name="A_Memo" xfId="146"/>
    <cellStyle name="A_Memo_AETV (TG Model) JULY TARGET" xfId="147"/>
    <cellStyle name="A_Memo_Construction-Monthly" xfId="148"/>
    <cellStyle name="A_Normal" xfId="149"/>
    <cellStyle name="A_Normal 2" xfId="1012"/>
    <cellStyle name="A_Normal Forecast" xfId="150"/>
    <cellStyle name="A_Normal Historical" xfId="151"/>
    <cellStyle name="A_Normal Historical_AETV (TG Model) JULY TARGET" xfId="152"/>
    <cellStyle name="A_Normal Historical_Construction-Monthly" xfId="153"/>
    <cellStyle name="A_Normal_AETV (TG Model) JULY TARGET" xfId="154"/>
    <cellStyle name="A_Normal_AETV (TG Model) JULY TARGET 2" xfId="1013"/>
    <cellStyle name="A_Normal_AETV (TG Model) JULY TARGET_Distribution Business" xfId="1014"/>
    <cellStyle name="A_Normal_AETV (TG Model) JULY TARGET_Distribution Business 2" xfId="1015"/>
    <cellStyle name="A_Normal_AETV (TG Model) JULY TARGET_Forecast" xfId="1016"/>
    <cellStyle name="A_Normal_AETV (TG Model) JULY TARGET_Forecast 2" xfId="1017"/>
    <cellStyle name="A_Normal_AETV (TG Model) JULY TARGET_Funding &amp; Cashflow" xfId="1018"/>
    <cellStyle name="A_Normal_AETV (TG Model) JULY TARGET_Funding &amp; Cashflow 2" xfId="1019"/>
    <cellStyle name="A_Normal_AETV (TG Model) JULY TARGET_Group P&amp;L" xfId="1020"/>
    <cellStyle name="A_Normal_AETV (TG Model) JULY TARGET_Group P&amp;L 2" xfId="1021"/>
    <cellStyle name="A_Normal_AETV (TG Model) JULY TARGET_Sheet2" xfId="1022"/>
    <cellStyle name="A_Normal_AETV (TG Model) JULY TARGET_Sheet2 2" xfId="1023"/>
    <cellStyle name="A_Normal_Construction-Monthly" xfId="155"/>
    <cellStyle name="A_Normal_Construction-Monthly 2" xfId="1024"/>
    <cellStyle name="A_Normal_Construction-Monthly_Distribution Business" xfId="1025"/>
    <cellStyle name="A_Normal_Construction-Monthly_Distribution Business 2" xfId="1026"/>
    <cellStyle name="A_Normal_Construction-Monthly_Forecast" xfId="1027"/>
    <cellStyle name="A_Normal_Construction-Monthly_Forecast 2" xfId="1028"/>
    <cellStyle name="A_Normal_Construction-Monthly_Funding &amp; Cashflow" xfId="1029"/>
    <cellStyle name="A_Normal_Construction-Monthly_Funding &amp; Cashflow 2" xfId="1030"/>
    <cellStyle name="A_Normal_Construction-Monthly_Group P&amp;L" xfId="1031"/>
    <cellStyle name="A_Normal_Construction-Monthly_Group P&amp;L 2" xfId="1032"/>
    <cellStyle name="A_Normal_Construction-Monthly_Sheet2" xfId="1033"/>
    <cellStyle name="A_Normal_Construction-Monthly_Sheet2 2" xfId="1034"/>
    <cellStyle name="A_Normal_Distribution Business" xfId="1035"/>
    <cellStyle name="A_Normal_Distribution Business 2" xfId="1036"/>
    <cellStyle name="A_Normal_Forecast" xfId="1037"/>
    <cellStyle name="A_Normal_Forecast 2" xfId="1038"/>
    <cellStyle name="A_Normal_Funding &amp; Cashflow" xfId="1039"/>
    <cellStyle name="A_Normal_Funding &amp; Cashflow 2" xfId="1040"/>
    <cellStyle name="A_Normal_Group P&amp;L" xfId="1041"/>
    <cellStyle name="A_Normal_Group P&amp;L 2" xfId="1042"/>
    <cellStyle name="A_Normal_Sheet2" xfId="1043"/>
    <cellStyle name="A_Normal_Sheet2 2" xfId="1044"/>
    <cellStyle name="A_Rate_Data" xfId="156"/>
    <cellStyle name="A_Rate_Data Historical" xfId="157"/>
    <cellStyle name="A_Rate_Title" xfId="158"/>
    <cellStyle name="A_Simple Title" xfId="159"/>
    <cellStyle name="A_Sum" xfId="160"/>
    <cellStyle name="A_SUM_Row Major" xfId="161"/>
    <cellStyle name="A_SUM_Row Minor" xfId="162"/>
    <cellStyle name="A_Title" xfId="163"/>
    <cellStyle name="A_YearHeadings" xfId="164"/>
    <cellStyle name="Accent1 - 20%" xfId="165"/>
    <cellStyle name="Accent1 - 40%" xfId="166"/>
    <cellStyle name="Accent1 - 60%" xfId="167"/>
    <cellStyle name="Accent1 2" xfId="168"/>
    <cellStyle name="Accent2 - 20%" xfId="169"/>
    <cellStyle name="Accent2 - 40%" xfId="170"/>
    <cellStyle name="Accent2 - 60%" xfId="171"/>
    <cellStyle name="Accent2 2" xfId="172"/>
    <cellStyle name="Accent3 - 20%" xfId="173"/>
    <cellStyle name="Accent3 - 40%" xfId="174"/>
    <cellStyle name="Accent3 - 60%" xfId="175"/>
    <cellStyle name="Accent3 2" xfId="176"/>
    <cellStyle name="Accent4 - 20%" xfId="177"/>
    <cellStyle name="Accent4 - 40%" xfId="178"/>
    <cellStyle name="Accent4 - 60%" xfId="179"/>
    <cellStyle name="Accent4 2" xfId="180"/>
    <cellStyle name="Accent5 - 20%" xfId="181"/>
    <cellStyle name="Accent5 - 40%" xfId="182"/>
    <cellStyle name="Accent5 - 60%" xfId="183"/>
    <cellStyle name="Accent5 2" xfId="184"/>
    <cellStyle name="Accent6 - 20%" xfId="185"/>
    <cellStyle name="Accent6 - 40%" xfId="186"/>
    <cellStyle name="Accent6 - 60%" xfId="187"/>
    <cellStyle name="Accent6 2" xfId="188"/>
    <cellStyle name="Actual_LEOY" xfId="1175"/>
    <cellStyle name="AFE" xfId="189"/>
    <cellStyle name="AFE 2" xfId="1045"/>
    <cellStyle name="Agara" xfId="190"/>
    <cellStyle name="Assumption" xfId="1176"/>
    <cellStyle name="Assumption [# - 00]" xfId="191"/>
    <cellStyle name="Assumption [#]" xfId="192"/>
    <cellStyle name="Assumption [% - 00]" xfId="193"/>
    <cellStyle name="Assumption [%]" xfId="194"/>
    <cellStyle name="Assumption [x]" xfId="195"/>
    <cellStyle name="Assumption number" xfId="196"/>
    <cellStyle name="Assumption output percentage" xfId="197"/>
    <cellStyle name="Assumption output percentage 2" xfId="1046"/>
    <cellStyle name="Assumption Percentage" xfId="198"/>
    <cellStyle name="Assumptions" xfId="199"/>
    <cellStyle name="Assumptions Center Currency" xfId="200"/>
    <cellStyle name="Assumptions Center Date" xfId="201"/>
    <cellStyle name="Assumptions Center Multiple" xfId="202"/>
    <cellStyle name="Assumptions Center Number" xfId="203"/>
    <cellStyle name="Assumptions Center Percentage" xfId="204"/>
    <cellStyle name="Assumptions Center Year" xfId="205"/>
    <cellStyle name="Assumptions Heading" xfId="206"/>
    <cellStyle name="Assumptions Right Currency" xfId="207"/>
    <cellStyle name="Assumptions Right Date" xfId="208"/>
    <cellStyle name="Assumptions Right Multiple" xfId="209"/>
    <cellStyle name="Assumptions Right Number" xfId="210"/>
    <cellStyle name="Assumptions Right Percentage" xfId="211"/>
    <cellStyle name="Assumptions Right Year" xfId="212"/>
    <cellStyle name="AussieDate" xfId="213"/>
    <cellStyle name="B79812_.wvu.PrintTitlest" xfId="214"/>
    <cellStyle name="Background" xfId="215"/>
    <cellStyle name="Bad 2" xfId="216"/>
    <cellStyle name="Bad 3" xfId="217"/>
    <cellStyle name="Bad 4" xfId="218"/>
    <cellStyle name="Bad 5" xfId="219"/>
    <cellStyle name="Black" xfId="220"/>
    <cellStyle name="BlankText" xfId="221"/>
    <cellStyle name="BlankText 2" xfId="1047"/>
    <cellStyle name="Blue" xfId="222"/>
    <cellStyle name="Border" xfId="223"/>
    <cellStyle name="Border Heavy" xfId="224"/>
    <cellStyle name="Border Thin" xfId="225"/>
    <cellStyle name="Border_Current" xfId="226"/>
    <cellStyle name="Brand Default" xfId="227"/>
    <cellStyle name="Brand Subtitle with Underline" xfId="228"/>
    <cellStyle name="Brand Title" xfId="229"/>
    <cellStyle name="Calc" xfId="230"/>
    <cellStyle name="Calc - Blue" xfId="231"/>
    <cellStyle name="Calc - Blue 2" xfId="1048"/>
    <cellStyle name="Calc - Feed" xfId="232"/>
    <cellStyle name="Calc - Feed 2" xfId="1049"/>
    <cellStyle name="Calc - Green" xfId="233"/>
    <cellStyle name="Calc - Green 2" xfId="1050"/>
    <cellStyle name="Calc - Grey" xfId="234"/>
    <cellStyle name="Calc - Grey 2" xfId="1051"/>
    <cellStyle name="Calc - White" xfId="235"/>
    <cellStyle name="Calc - White 2" xfId="1052"/>
    <cellStyle name="Calc 2" xfId="1053"/>
    <cellStyle name="Calc 3" xfId="1054"/>
    <cellStyle name="Calc 4" xfId="1055"/>
    <cellStyle name="Calc 5" xfId="1056"/>
    <cellStyle name="Calc 6" xfId="1057"/>
    <cellStyle name="Calc_Distribution Business" xfId="1058"/>
    <cellStyle name="Calculation" xfId="1151" builtinId="22"/>
    <cellStyle name="Calculation 2" xfId="236"/>
    <cellStyle name="Callum" xfId="237"/>
    <cellStyle name="CaptionC" xfId="238"/>
    <cellStyle name="CaptionL" xfId="239"/>
    <cellStyle name="CaseInput%0" xfId="240"/>
    <cellStyle name="CaseInput%0.00" xfId="241"/>
    <cellStyle name="CaseInputComma0" xfId="242"/>
    <cellStyle name="CaseInputComma0.0" xfId="243"/>
    <cellStyle name="CaseInputDate" xfId="244"/>
    <cellStyle name="CaseInputText" xfId="245"/>
    <cellStyle name="Cell Link" xfId="246"/>
    <cellStyle name="Center Currency" xfId="247"/>
    <cellStyle name="Center Date" xfId="248"/>
    <cellStyle name="Center Multiple" xfId="249"/>
    <cellStyle name="Center Number" xfId="250"/>
    <cellStyle name="Center Percentage" xfId="251"/>
    <cellStyle name="Center Year" xfId="252"/>
    <cellStyle name="Check" xfId="1177"/>
    <cellStyle name="Check Cell 2" xfId="253"/>
    <cellStyle name="Column - Heading" xfId="254"/>
    <cellStyle name="ColumnHeader" xfId="255"/>
    <cellStyle name="Comma" xfId="1" builtinId="3"/>
    <cellStyle name="Comma  - Style1" xfId="256"/>
    <cellStyle name="Comma  - Style2" xfId="257"/>
    <cellStyle name="Comma  - Style3" xfId="258"/>
    <cellStyle name="Comma  - Style4" xfId="259"/>
    <cellStyle name="Comma  - Style5" xfId="260"/>
    <cellStyle name="Comma  - Style6" xfId="261"/>
    <cellStyle name="Comma  - Style7" xfId="262"/>
    <cellStyle name="Comma  - Style8" xfId="263"/>
    <cellStyle name="Comma [0] U" xfId="264"/>
    <cellStyle name="Comma [0]7Z_87C" xfId="265"/>
    <cellStyle name="Comma [1]" xfId="266"/>
    <cellStyle name="Comma [2]" xfId="267"/>
    <cellStyle name="Comma [2] 2" xfId="1059"/>
    <cellStyle name="Comma 0" xfId="268"/>
    <cellStyle name="Comma 1" xfId="269"/>
    <cellStyle name="Comma 10" xfId="270"/>
    <cellStyle name="Comma 11" xfId="271"/>
    <cellStyle name="Comma 12" xfId="272"/>
    <cellStyle name="Comma 2" xfId="5"/>
    <cellStyle name="Comma 2 2" xfId="55"/>
    <cellStyle name="Comma 2 2 2" xfId="1060"/>
    <cellStyle name="Comma 2 3" xfId="273"/>
    <cellStyle name="Comma 2 4" xfId="274"/>
    <cellStyle name="Comma 2 5" xfId="275"/>
    <cellStyle name="Comma 2_Report" xfId="1061"/>
    <cellStyle name="Comma 3" xfId="276"/>
    <cellStyle name="Comma 3 2" xfId="277"/>
    <cellStyle name="Comma 3 2 2" xfId="1062"/>
    <cellStyle name="Comma 3 3" xfId="278"/>
    <cellStyle name="Comma 3_CBWC inc RQI" xfId="279"/>
    <cellStyle name="Comma 4" xfId="56"/>
    <cellStyle name="Comma 4 2" xfId="1063"/>
    <cellStyle name="Comma 4 2 2" xfId="1064"/>
    <cellStyle name="Comma 4 3" xfId="1065"/>
    <cellStyle name="Comma 4_Report" xfId="1066"/>
    <cellStyle name="Comma 5" xfId="280"/>
    <cellStyle name="Comma 6" xfId="281"/>
    <cellStyle name="Comma 7" xfId="282"/>
    <cellStyle name="Comma 8" xfId="283"/>
    <cellStyle name="Comma 9" xfId="284"/>
    <cellStyle name="Comma0" xfId="285"/>
    <cellStyle name="Cover Date" xfId="286"/>
    <cellStyle name="Cover Subtitle" xfId="287"/>
    <cellStyle name="Cover Title" xfId="288"/>
    <cellStyle name="Currency" xfId="2" builtinId="4"/>
    <cellStyle name="Currency [$0]" xfId="289"/>
    <cellStyle name="Currency [£0]" xfId="290"/>
    <cellStyle name="Currency [0] U" xfId="291"/>
    <cellStyle name="Currency [0] U 2" xfId="1067"/>
    <cellStyle name="Currency [2]" xfId="292"/>
    <cellStyle name="Currency [2] 2" xfId="1068"/>
    <cellStyle name="Currency [2] U" xfId="293"/>
    <cellStyle name="Currency [2]_AETV BS" xfId="294"/>
    <cellStyle name="Currency 0" xfId="295"/>
    <cellStyle name="Currency 10" xfId="296"/>
    <cellStyle name="Currency 11" xfId="297"/>
    <cellStyle name="Currency 12" xfId="298"/>
    <cellStyle name="Currency 2" xfId="57"/>
    <cellStyle name="Currency 2 2" xfId="299"/>
    <cellStyle name="Currency 2 3" xfId="300"/>
    <cellStyle name="Currency 2 4" xfId="1220"/>
    <cellStyle name="Currency 3" xfId="301"/>
    <cellStyle name="Currency 4" xfId="302"/>
    <cellStyle name="Currency 5" xfId="303"/>
    <cellStyle name="Currency 6" xfId="304"/>
    <cellStyle name="Currency 7" xfId="305"/>
    <cellStyle name="Currency 8" xfId="306"/>
    <cellStyle name="Currency 9" xfId="307"/>
    <cellStyle name="Currency Canada" xfId="308"/>
    <cellStyle name="Currency Euro" xfId="309"/>
    <cellStyle name="Currency Peso" xfId="310"/>
    <cellStyle name="Currency Pound" xfId="311"/>
    <cellStyle name="Currency US" xfId="312"/>
    <cellStyle name="Currency(Cents)" xfId="313"/>
    <cellStyle name="Currency0" xfId="314"/>
    <cellStyle name="D4_B8B1_005004B79812_.wvu.PrintTitlest" xfId="315"/>
    <cellStyle name="Data" xfId="316"/>
    <cellStyle name="Data Validation" xfId="1155"/>
    <cellStyle name="Date" xfId="317"/>
    <cellStyle name="Date [1 Dec 01]" xfId="318"/>
    <cellStyle name="Date [31 Dec 2000]" xfId="319"/>
    <cellStyle name="Date [31 Dec 2000] 2" xfId="1069"/>
    <cellStyle name="Date [31/12/02]" xfId="320"/>
    <cellStyle name="Date [31/12/02] 2" xfId="1070"/>
    <cellStyle name="Date [Dec 00]" xfId="321"/>
    <cellStyle name="Date [mmm-d-yyyy]" xfId="322"/>
    <cellStyle name="Date [mmm-yyyy]" xfId="323"/>
    <cellStyle name="Date 2" xfId="1071"/>
    <cellStyle name="Date 3" xfId="1072"/>
    <cellStyle name="Date 4" xfId="1073"/>
    <cellStyle name="Date 5" xfId="1074"/>
    <cellStyle name="Date 6" xfId="1075"/>
    <cellStyle name="Date Aligned" xfId="324"/>
    <cellStyle name="Date U" xfId="325"/>
    <cellStyle name="date_070911UED_alinta info Sept 07" xfId="326"/>
    <cellStyle name="DateMonth" xfId="327"/>
    <cellStyle name="Decimal [0]" xfId="328"/>
    <cellStyle name="Decimal [0] 2" xfId="1076"/>
    <cellStyle name="Decimal [2]" xfId="329"/>
    <cellStyle name="Decimal [2] 2" xfId="1077"/>
    <cellStyle name="Decimal [2] U" xfId="330"/>
    <cellStyle name="Decimal [2]_AETV BS" xfId="331"/>
    <cellStyle name="Decimal [3]" xfId="332"/>
    <cellStyle name="Decimal [3] 2" xfId="1078"/>
    <cellStyle name="Decimal [3] U" xfId="333"/>
    <cellStyle name="Decimal [3]_Distribution Business" xfId="1079"/>
    <cellStyle name="Decimal [4]" xfId="334"/>
    <cellStyle name="Decimal [4] 2" xfId="1080"/>
    <cellStyle name="Decimal [4] U" xfId="335"/>
    <cellStyle name="Decimal [4]_AETV BS" xfId="336"/>
    <cellStyle name="Default" xfId="337"/>
    <cellStyle name="Default 2" xfId="1081"/>
    <cellStyle name="Description" xfId="58"/>
    <cellStyle name="Dezimal [0]_Übersichtstabelle_FM_24082001bu inc. EC" xfId="338"/>
    <cellStyle name="Dezimal_Übersichtstabelle_FM_24082001bu inc. EC" xfId="339"/>
    <cellStyle name="Dollars" xfId="340"/>
    <cellStyle name="Dotted Line" xfId="341"/>
    <cellStyle name="Double Underline" xfId="342"/>
    <cellStyle name="Empty Cell" xfId="1178"/>
    <cellStyle name="Euro" xfId="343"/>
    <cellStyle name="Exception" xfId="344"/>
    <cellStyle name="Exception 2" xfId="1082"/>
    <cellStyle name="ExchangeRate" xfId="345"/>
    <cellStyle name="Explanatory Text 2" xfId="346"/>
    <cellStyle name="EY House" xfId="347"/>
    <cellStyle name="f" xfId="348"/>
    <cellStyle name="Feeder Field" xfId="349"/>
    <cellStyle name="Feeder Field 2" xfId="1083"/>
    <cellStyle name="Fix0" xfId="350"/>
    <cellStyle name="Fix2" xfId="351"/>
    <cellStyle name="Fix4" xfId="352"/>
    <cellStyle name="Fixed" xfId="353"/>
    <cellStyle name="Flag" xfId="1179"/>
    <cellStyle name="Font_Actual" xfId="354"/>
    <cellStyle name="Footer SBILogo1" xfId="355"/>
    <cellStyle name="Footer SBILogo2" xfId="356"/>
    <cellStyle name="Footnote" xfId="357"/>
    <cellStyle name="Footnote Reference" xfId="358"/>
    <cellStyle name="Footnote_pldt" xfId="359"/>
    <cellStyle name="fred" xfId="360"/>
    <cellStyle name="Fred%" xfId="361"/>
    <cellStyle name="Fyear" xfId="362"/>
    <cellStyle name="Gilsans" xfId="363"/>
    <cellStyle name="Gilsansl" xfId="364"/>
    <cellStyle name="Good 2" xfId="365"/>
    <cellStyle name="Grey" xfId="366"/>
    <cellStyle name="Greyed out" xfId="367"/>
    <cellStyle name="H1" xfId="368"/>
    <cellStyle name="H2" xfId="369"/>
    <cellStyle name="H4" xfId="370"/>
    <cellStyle name="Hard Percent" xfId="371"/>
    <cellStyle name="Head 1" xfId="372"/>
    <cellStyle name="Head 2" xfId="373"/>
    <cellStyle name="Head 3" xfId="374"/>
    <cellStyle name="head11a" xfId="375"/>
    <cellStyle name="head11b" xfId="376"/>
    <cellStyle name="head11c" xfId="377"/>
    <cellStyle name="head14" xfId="378"/>
    <cellStyle name="headd" xfId="379"/>
    <cellStyle name="Header" xfId="380"/>
    <cellStyle name="Header - Page" xfId="381"/>
    <cellStyle name="Header - Title" xfId="382"/>
    <cellStyle name="Header - Year Row" xfId="383"/>
    <cellStyle name="Header Draft Stamp" xfId="384"/>
    <cellStyle name="Header_pldt" xfId="385"/>
    <cellStyle name="Header1" xfId="386"/>
    <cellStyle name="Header1 2" xfId="1084"/>
    <cellStyle name="Header2" xfId="387"/>
    <cellStyle name="Header2 2" xfId="1085"/>
    <cellStyle name="Header3" xfId="1180"/>
    <cellStyle name="heading" xfId="388"/>
    <cellStyle name="Heading 1 2" xfId="389"/>
    <cellStyle name="Heading 1 3" xfId="390"/>
    <cellStyle name="Heading 1 4" xfId="391"/>
    <cellStyle name="Heading 1 5" xfId="1181"/>
    <cellStyle name="Heading 1 Above" xfId="392"/>
    <cellStyle name="Heading 1+" xfId="393"/>
    <cellStyle name="Heading 1A" xfId="394"/>
    <cellStyle name="Heading 2 2" xfId="395"/>
    <cellStyle name="Heading 2 3" xfId="396"/>
    <cellStyle name="Heading 2 4" xfId="397"/>
    <cellStyle name="Heading 2 Below" xfId="398"/>
    <cellStyle name="Heading 2+" xfId="399"/>
    <cellStyle name="Heading 3 2" xfId="400"/>
    <cellStyle name="Heading 3 3" xfId="401"/>
    <cellStyle name="Heading 3 4" xfId="402"/>
    <cellStyle name="Heading 3+" xfId="403"/>
    <cellStyle name="Heading 4 2" xfId="404"/>
    <cellStyle name="Heading 4 3" xfId="405"/>
    <cellStyle name="Heading 4 4" xfId="406"/>
    <cellStyle name="Heading(4)" xfId="407"/>
    <cellStyle name="Heading1" xfId="408"/>
    <cellStyle name="Heading2" xfId="409"/>
    <cellStyle name="Heading3" xfId="410"/>
    <cellStyle name="Heading4" xfId="411"/>
    <cellStyle name="HeadingMerged" xfId="412"/>
    <cellStyle name="Hidden" xfId="413"/>
    <cellStyle name="Hidden 2" xfId="414"/>
    <cellStyle name="Hidden 2 2" xfId="1086"/>
    <cellStyle name="Historical year" xfId="415"/>
    <cellStyle name="Hyperlink 2" xfId="416"/>
    <cellStyle name="Hyperlink 3" xfId="1182"/>
    <cellStyle name="Hyperlink Arrow" xfId="417"/>
    <cellStyle name="Hyperlink Check" xfId="418"/>
    <cellStyle name="Hyperlink Text" xfId="419"/>
    <cellStyle name="Index" xfId="420"/>
    <cellStyle name="Index 2" xfId="421"/>
    <cellStyle name="Index 2 2" xfId="1087"/>
    <cellStyle name="INP_Number" xfId="422"/>
    <cellStyle name="Input" xfId="1154" builtinId="20"/>
    <cellStyle name="Input - Comma" xfId="423"/>
    <cellStyle name="Input - Comma [0]" xfId="424"/>
    <cellStyle name="Input - Date" xfId="425"/>
    <cellStyle name="Input - Percent [2]" xfId="426"/>
    <cellStyle name="Input $" xfId="427"/>
    <cellStyle name="Input %" xfId="428"/>
    <cellStyle name="Input [# - 00]" xfId="429"/>
    <cellStyle name="Input [#]" xfId="430"/>
    <cellStyle name="Input [% - 00]" xfId="431"/>
    <cellStyle name="Input [%]" xfId="432"/>
    <cellStyle name="Input [B]" xfId="433"/>
    <cellStyle name="Input [yellow]" xfId="434"/>
    <cellStyle name="Input 1" xfId="435"/>
    <cellStyle name="Input 2" xfId="436"/>
    <cellStyle name="Input 3" xfId="437"/>
    <cellStyle name="Input 4" xfId="1183"/>
    <cellStyle name="Input text" xfId="438"/>
    <cellStyle name="Input1" xfId="439"/>
    <cellStyle name="Input3" xfId="440"/>
    <cellStyle name="InputArea" xfId="441"/>
    <cellStyle name="InputAreaDotted" xfId="442"/>
    <cellStyle name="InputMandatory" xfId="443"/>
    <cellStyle name="InputNumber" xfId="444"/>
    <cellStyle name="InputOptional" xfId="445"/>
    <cellStyle name="InSheet" xfId="1184"/>
    <cellStyle name="Insheet Link" xfId="1185"/>
    <cellStyle name="KPMG Heading 1" xfId="446"/>
    <cellStyle name="KPMG Heading 2" xfId="447"/>
    <cellStyle name="KPMG Heading 3" xfId="448"/>
    <cellStyle name="KPMG Heading 4" xfId="449"/>
    <cellStyle name="KPMG Normal" xfId="450"/>
    <cellStyle name="KPMG Normal Text" xfId="451"/>
    <cellStyle name="Line Total" xfId="1186"/>
    <cellStyle name="Line_Summary" xfId="1187"/>
    <cellStyle name="Lines" xfId="452"/>
    <cellStyle name="Link [# - 00]" xfId="453"/>
    <cellStyle name="Link [# - 0000]" xfId="454"/>
    <cellStyle name="Link [#]" xfId="455"/>
    <cellStyle name="Link [% - 00]" xfId="456"/>
    <cellStyle name="Link [%]" xfId="457"/>
    <cellStyle name="Link [x]" xfId="458"/>
    <cellStyle name="Linked Cell 2" xfId="459"/>
    <cellStyle name="LongDate" xfId="460"/>
    <cellStyle name="Lookup Table Heading" xfId="461"/>
    <cellStyle name="Lookup Table Label" xfId="462"/>
    <cellStyle name="Lookup Table Number" xfId="463"/>
    <cellStyle name="LV Input" xfId="464"/>
    <cellStyle name="Macro" xfId="465"/>
    <cellStyle name="Millions" xfId="466"/>
    <cellStyle name="Mine" xfId="467"/>
    <cellStyle name="Model Dates" xfId="1188"/>
    <cellStyle name="Model Name" xfId="468"/>
    <cellStyle name="Multiple" xfId="469"/>
    <cellStyle name="Named Range" xfId="470"/>
    <cellStyle name="Named Range Tag" xfId="471"/>
    <cellStyle name="Neutral 2" xfId="472"/>
    <cellStyle name="Neutral 3" xfId="473"/>
    <cellStyle name="Neutral 4" xfId="474"/>
    <cellStyle name="Neutral 5" xfId="475"/>
    <cellStyle name="New" xfId="476"/>
    <cellStyle name="Non crit Input 0.0" xfId="477"/>
    <cellStyle name="Normal" xfId="0" builtinId="0"/>
    <cellStyle name="Normal - Style1" xfId="478"/>
    <cellStyle name="Normal - Style2" xfId="479"/>
    <cellStyle name="Normal - Style3" xfId="480"/>
    <cellStyle name="Normal - Style4" xfId="481"/>
    <cellStyle name="Normal - Style5" xfId="482"/>
    <cellStyle name="Normal - Style6" xfId="483"/>
    <cellStyle name="Normal - Style7" xfId="484"/>
    <cellStyle name="Normal - Style8" xfId="485"/>
    <cellStyle name="Normal 10" xfId="6"/>
    <cellStyle name="Normal 10 2" xfId="7"/>
    <cellStyle name="Normal 10 3" xfId="8"/>
    <cellStyle name="Normal 11" xfId="9"/>
    <cellStyle name="Normal 11 2" xfId="10"/>
    <cellStyle name="Normal 11 2 2 2" xfId="59"/>
    <cellStyle name="Normal 11 3" xfId="11"/>
    <cellStyle name="Normal 114" xfId="486"/>
    <cellStyle name="Normal 114 2" xfId="487"/>
    <cellStyle name="Normal 12" xfId="12"/>
    <cellStyle name="Normal 12 2" xfId="13"/>
    <cellStyle name="Normal 12 3" xfId="14"/>
    <cellStyle name="Normal 13" xfId="15"/>
    <cellStyle name="Normal 13 2" xfId="16"/>
    <cellStyle name="Normal 13 3" xfId="17"/>
    <cellStyle name="Normal 14" xfId="18"/>
    <cellStyle name="Normal 143" xfId="488"/>
    <cellStyle name="Normal 143 2" xfId="489"/>
    <cellStyle name="Normal 143_Aurora to Complete (2)" xfId="490"/>
    <cellStyle name="Normal 144" xfId="491"/>
    <cellStyle name="Normal 144 2" xfId="492"/>
    <cellStyle name="Normal 144_Aurora to Complete (2)" xfId="493"/>
    <cellStyle name="Normal 147" xfId="494"/>
    <cellStyle name="Normal 147 2" xfId="495"/>
    <cellStyle name="Normal 147_Aurora to Complete (2)" xfId="496"/>
    <cellStyle name="Normal 148" xfId="497"/>
    <cellStyle name="Normal 148 2" xfId="498"/>
    <cellStyle name="Normal 148_Aurora to Complete (2)" xfId="499"/>
    <cellStyle name="Normal 149" xfId="500"/>
    <cellStyle name="Normal 149 2" xfId="501"/>
    <cellStyle name="Normal 149_Aurora to Complete (2)" xfId="502"/>
    <cellStyle name="Normal 15" xfId="19"/>
    <cellStyle name="Normal 150" xfId="503"/>
    <cellStyle name="Normal 150 2" xfId="504"/>
    <cellStyle name="Normal 150_Aurora to Complete (2)" xfId="505"/>
    <cellStyle name="Normal 151" xfId="506"/>
    <cellStyle name="Normal 151 2" xfId="507"/>
    <cellStyle name="Normal 151_Aurora to Complete (2)" xfId="508"/>
    <cellStyle name="Normal 152" xfId="509"/>
    <cellStyle name="Normal 152 2" xfId="510"/>
    <cellStyle name="Normal 152_Aurora to Complete (2)" xfId="511"/>
    <cellStyle name="Normal 153" xfId="512"/>
    <cellStyle name="Normal 153 2" xfId="513"/>
    <cellStyle name="Normal 153_Aurora to Complete (2)" xfId="514"/>
    <cellStyle name="Normal 154" xfId="515"/>
    <cellStyle name="Normal 154 2" xfId="516"/>
    <cellStyle name="Normal 154_Aurora to Complete (2)" xfId="517"/>
    <cellStyle name="Normal 155" xfId="518"/>
    <cellStyle name="Normal 155 2" xfId="519"/>
    <cellStyle name="Normal 155_Aurora to Complete (2)" xfId="520"/>
    <cellStyle name="Normal 156" xfId="521"/>
    <cellStyle name="Normal 156 2" xfId="522"/>
    <cellStyle name="Normal 156_Aurora to Complete (2)" xfId="523"/>
    <cellStyle name="Normal 16" xfId="20"/>
    <cellStyle name="Normal 16 2" xfId="1152"/>
    <cellStyle name="Normal 161" xfId="524"/>
    <cellStyle name="Normal 161 2" xfId="525"/>
    <cellStyle name="Normal 161_Aurora to Complete (2)" xfId="526"/>
    <cellStyle name="Normal 162" xfId="527"/>
    <cellStyle name="Normal 162 2" xfId="528"/>
    <cellStyle name="Normal 162_Aurora to Complete (2)" xfId="529"/>
    <cellStyle name="Normal 163" xfId="530"/>
    <cellStyle name="Normal 163 2" xfId="531"/>
    <cellStyle name="Normal 163_Aurora to Complete (2)" xfId="532"/>
    <cellStyle name="Normal 164" xfId="533"/>
    <cellStyle name="Normal 164 2" xfId="534"/>
    <cellStyle name="Normal 164_Aurora to Complete (2)" xfId="535"/>
    <cellStyle name="Normal 169" xfId="536"/>
    <cellStyle name="Normal 169 2" xfId="537"/>
    <cellStyle name="Normal 169_Aurora to Complete (2)" xfId="538"/>
    <cellStyle name="Normal 17" xfId="21"/>
    <cellStyle name="Normal 170" xfId="539"/>
    <cellStyle name="Normal 170 2" xfId="540"/>
    <cellStyle name="Normal 170_Aurora to Complete (2)" xfId="541"/>
    <cellStyle name="Normal 171" xfId="542"/>
    <cellStyle name="Normal 171 2" xfId="543"/>
    <cellStyle name="Normal 171_Aurora to Complete (2)" xfId="544"/>
    <cellStyle name="Normal 172" xfId="545"/>
    <cellStyle name="Normal 172 2" xfId="546"/>
    <cellStyle name="Normal 172_Aurora to Complete (2)" xfId="547"/>
    <cellStyle name="Normal 177" xfId="548"/>
    <cellStyle name="Normal 177 2" xfId="549"/>
    <cellStyle name="Normal 177_Aurora to Complete (2)" xfId="550"/>
    <cellStyle name="Normal 178" xfId="551"/>
    <cellStyle name="Normal 178 2" xfId="552"/>
    <cellStyle name="Normal 178_Aurora to Complete (2)" xfId="553"/>
    <cellStyle name="Normal 179" xfId="554"/>
    <cellStyle name="Normal 179 2" xfId="555"/>
    <cellStyle name="Normal 179_Aurora to Complete (2)" xfId="556"/>
    <cellStyle name="Normal 18" xfId="22"/>
    <cellStyle name="Normal 180" xfId="557"/>
    <cellStyle name="Normal 180 2" xfId="558"/>
    <cellStyle name="Normal 180_Aurora to Complete (2)" xfId="559"/>
    <cellStyle name="Normal 181" xfId="560"/>
    <cellStyle name="Normal 181 2" xfId="561"/>
    <cellStyle name="Normal 181_Aurora to Complete (2)" xfId="562"/>
    <cellStyle name="Normal 182" xfId="563"/>
    <cellStyle name="Normal 182 2" xfId="564"/>
    <cellStyle name="Normal 182_Aurora to Complete (2)" xfId="565"/>
    <cellStyle name="Normal 183" xfId="566"/>
    <cellStyle name="Normal 183 2" xfId="567"/>
    <cellStyle name="Normal 183_Aurora to Complete (2)" xfId="568"/>
    <cellStyle name="Normal 184" xfId="569"/>
    <cellStyle name="Normal 184 2" xfId="570"/>
    <cellStyle name="Normal 184_Aurora to Complete (2)" xfId="571"/>
    <cellStyle name="Normal 185" xfId="572"/>
    <cellStyle name="Normal 185 2" xfId="573"/>
    <cellStyle name="Normal 185_Aurora to Complete (2)" xfId="574"/>
    <cellStyle name="Normal 186" xfId="575"/>
    <cellStyle name="Normal 186 2" xfId="576"/>
    <cellStyle name="Normal 186_Aurora to Complete (2)" xfId="577"/>
    <cellStyle name="Normal 187" xfId="578"/>
    <cellStyle name="Normal 187 2" xfId="579"/>
    <cellStyle name="Normal 187_Aurora to Complete (2)" xfId="580"/>
    <cellStyle name="Normal 188" xfId="581"/>
    <cellStyle name="Normal 188 2" xfId="582"/>
    <cellStyle name="Normal 188_Aurora to Complete (2)" xfId="583"/>
    <cellStyle name="Normal 189" xfId="584"/>
    <cellStyle name="Normal 189 2" xfId="585"/>
    <cellStyle name="Normal 189_Aurora to Complete (2)" xfId="586"/>
    <cellStyle name="Normal 19" xfId="889"/>
    <cellStyle name="Normal 19 2" xfId="23"/>
    <cellStyle name="Normal 19 2 2" xfId="1189"/>
    <cellStyle name="Normal 19 3" xfId="1190"/>
    <cellStyle name="Normal 19 3 2" xfId="1191"/>
    <cellStyle name="Normal 19 3 2 2" xfId="1192"/>
    <cellStyle name="Normal 19 3 3" xfId="1193"/>
    <cellStyle name="Normal 19 4" xfId="1194"/>
    <cellStyle name="Normal 19 4 2" xfId="1195"/>
    <cellStyle name="Normal 19 5" xfId="1196"/>
    <cellStyle name="Normal 190" xfId="587"/>
    <cellStyle name="Normal 190 2" xfId="588"/>
    <cellStyle name="Normal 190_Aurora to Complete (2)" xfId="589"/>
    <cellStyle name="Normal 192" xfId="590"/>
    <cellStyle name="Normal 192 2" xfId="591"/>
    <cellStyle name="Normal 192_Aurora to Complete (2)" xfId="592"/>
    <cellStyle name="Normal 193" xfId="593"/>
    <cellStyle name="Normal 193 2" xfId="594"/>
    <cellStyle name="Normal 193_Aurora to Complete (2)" xfId="595"/>
    <cellStyle name="Normal 196" xfId="596"/>
    <cellStyle name="Normal 196 2" xfId="597"/>
    <cellStyle name="Normal 196_Aurora to Complete (2)" xfId="598"/>
    <cellStyle name="Normal 197" xfId="599"/>
    <cellStyle name="Normal 197 2" xfId="600"/>
    <cellStyle name="Normal 197_Aurora to Complete (2)" xfId="601"/>
    <cellStyle name="Normal 198" xfId="602"/>
    <cellStyle name="Normal 198 2" xfId="603"/>
    <cellStyle name="Normal 198_Aurora to Complete (2)" xfId="604"/>
    <cellStyle name="Normal 199" xfId="605"/>
    <cellStyle name="Normal 199 2" xfId="606"/>
    <cellStyle name="Normal 199_Aurora to Complete (2)" xfId="607"/>
    <cellStyle name="Normal 2" xfId="3"/>
    <cellStyle name="Normal 2 2" xfId="24"/>
    <cellStyle name="Normal 2 2 2" xfId="608"/>
    <cellStyle name="Normal 2 2 4" xfId="1156"/>
    <cellStyle name="Normal 2 2_Corp Capex" xfId="609"/>
    <cellStyle name="Normal 2 3" xfId="25"/>
    <cellStyle name="Normal 2 4" xfId="26"/>
    <cellStyle name="Normal 2 4 2" xfId="1197"/>
    <cellStyle name="Normal 2 4 2 2" xfId="1198"/>
    <cellStyle name="Normal 2 4 3" xfId="1199"/>
    <cellStyle name="Normal 2 5" xfId="610"/>
    <cellStyle name="Normal 2 5 2" xfId="1200"/>
    <cellStyle name="Normal 2 6" xfId="891"/>
    <cellStyle name="Normal 2_Corp Capex" xfId="611"/>
    <cellStyle name="Normal 20" xfId="27"/>
    <cellStyle name="Normal 20 2" xfId="1201"/>
    <cellStyle name="Normal 20 2 2" xfId="1202"/>
    <cellStyle name="Normal 20 3" xfId="1203"/>
    <cellStyle name="Normal 200" xfId="612"/>
    <cellStyle name="Normal 200 2" xfId="613"/>
    <cellStyle name="Normal 200_Aurora to Complete (2)" xfId="614"/>
    <cellStyle name="Normal 201" xfId="615"/>
    <cellStyle name="Normal 201 2" xfId="616"/>
    <cellStyle name="Normal 201_Aurora to Complete (2)" xfId="617"/>
    <cellStyle name="Normal 202" xfId="618"/>
    <cellStyle name="Normal 202 2" xfId="619"/>
    <cellStyle name="Normal 202_Aurora to Complete (2)" xfId="620"/>
    <cellStyle name="Normal 203" xfId="621"/>
    <cellStyle name="Normal 203 2" xfId="622"/>
    <cellStyle name="Normal 203_Aurora to Complete (2)" xfId="623"/>
    <cellStyle name="Normal 204" xfId="624"/>
    <cellStyle name="Normal 204 2" xfId="625"/>
    <cellStyle name="Normal 204_Aurora to Complete (2)" xfId="626"/>
    <cellStyle name="Normal 205" xfId="627"/>
    <cellStyle name="Normal 205 2" xfId="628"/>
    <cellStyle name="Normal 205_Aurora to Complete (2)" xfId="629"/>
    <cellStyle name="Normal 207" xfId="630"/>
    <cellStyle name="Normal 207 2" xfId="631"/>
    <cellStyle name="Normal 207_Aurora to Complete (2)" xfId="632"/>
    <cellStyle name="Normal 208" xfId="633"/>
    <cellStyle name="Normal 208 2" xfId="634"/>
    <cellStyle name="Normal 208_Aurora to Complete (2)" xfId="635"/>
    <cellStyle name="Normal 209" xfId="636"/>
    <cellStyle name="Normal 209 2" xfId="637"/>
    <cellStyle name="Normal 209_Aurora to Complete (2)" xfId="638"/>
    <cellStyle name="Normal 21" xfId="1204"/>
    <cellStyle name="Normal 21 2" xfId="1205"/>
    <cellStyle name="Normal 210" xfId="639"/>
    <cellStyle name="Normal 210 2" xfId="640"/>
    <cellStyle name="Normal 210_Aurora to Complete (2)" xfId="641"/>
    <cellStyle name="Normal 211" xfId="642"/>
    <cellStyle name="Normal 211 2" xfId="643"/>
    <cellStyle name="Normal 211_Aurora to Complete (2)" xfId="644"/>
    <cellStyle name="Normal 212" xfId="645"/>
    <cellStyle name="Normal 212 2" xfId="646"/>
    <cellStyle name="Normal 212_Aurora to Complete (2)" xfId="647"/>
    <cellStyle name="Normal 213" xfId="648"/>
    <cellStyle name="Normal 213 2" xfId="649"/>
    <cellStyle name="Normal 213_Aurora to Complete (2)" xfId="650"/>
    <cellStyle name="Normal 214" xfId="651"/>
    <cellStyle name="Normal 214 2" xfId="652"/>
    <cellStyle name="Normal 214_Aurora to Complete (2)" xfId="653"/>
    <cellStyle name="Normal 215" xfId="654"/>
    <cellStyle name="Normal 215 2" xfId="655"/>
    <cellStyle name="Normal 215_Aurora to Complete (2)" xfId="656"/>
    <cellStyle name="Normal 216" xfId="657"/>
    <cellStyle name="Normal 216 2" xfId="658"/>
    <cellStyle name="Normal 216_Aurora to Complete (2)" xfId="659"/>
    <cellStyle name="Normal 22" xfId="1206"/>
    <cellStyle name="Normal 23" xfId="1207"/>
    <cellStyle name="Normal 23 2" xfId="1208"/>
    <cellStyle name="Normal 24" xfId="1209"/>
    <cellStyle name="Normal 25" xfId="1210"/>
    <cellStyle name="Normal 3" xfId="28"/>
    <cellStyle name="Normal 3 2" xfId="29"/>
    <cellStyle name="Normal 3 3" xfId="30"/>
    <cellStyle name="Normal 3_Report" xfId="1088"/>
    <cellStyle name="Normal 37" xfId="660"/>
    <cellStyle name="Normal 37 2" xfId="661"/>
    <cellStyle name="Normal 37_Aurora to Complete (2)" xfId="662"/>
    <cellStyle name="Normal 38" xfId="663"/>
    <cellStyle name="Normal 39" xfId="664"/>
    <cellStyle name="Normal 39 2" xfId="665"/>
    <cellStyle name="Normal 39_Aurora to Complete (2)" xfId="666"/>
    <cellStyle name="Normal 4" xfId="31"/>
    <cellStyle name="Normal 4 2" xfId="32"/>
    <cellStyle name="Normal 4 3" xfId="33"/>
    <cellStyle name="Normal 40" xfId="667"/>
    <cellStyle name="Normal 5" xfId="34"/>
    <cellStyle name="Normal 5 2" xfId="35"/>
    <cellStyle name="Normal 5 3" xfId="36"/>
    <cellStyle name="Normal 5 4" xfId="1153"/>
    <cellStyle name="Normal 6" xfId="37"/>
    <cellStyle name="Normal 6 2" xfId="38"/>
    <cellStyle name="Normal 6 3" xfId="39"/>
    <cellStyle name="Normal 7" xfId="40"/>
    <cellStyle name="Normal 7 2" xfId="41"/>
    <cellStyle name="Normal 7 3" xfId="42"/>
    <cellStyle name="Normal 8" xfId="43"/>
    <cellStyle name="Normal 8 2" xfId="44"/>
    <cellStyle name="Normal 8 3" xfId="45"/>
    <cellStyle name="Normal 9" xfId="46"/>
    <cellStyle name="Normal 9 2" xfId="47"/>
    <cellStyle name="Normal 9 3" xfId="48"/>
    <cellStyle name="Normal U" xfId="668"/>
    <cellStyle name="Normal_Sheet1" xfId="51"/>
    <cellStyle name="Normal_Skill sets" xfId="50"/>
    <cellStyle name="NormalGB" xfId="669"/>
    <cellStyle name="Note 2" xfId="49"/>
    <cellStyle name="Note 2 2" xfId="1211"/>
    <cellStyle name="Note 2 2 2" xfId="1212"/>
    <cellStyle name="Note 2 3" xfId="1213"/>
    <cellStyle name="Num_Date" xfId="670"/>
    <cellStyle name="number" xfId="671"/>
    <cellStyle name="Number [0000]" xfId="672"/>
    <cellStyle name="Number[0]" xfId="673"/>
    <cellStyle name="Number[00]" xfId="674"/>
    <cellStyle name="Number_JEN 09CY reg accounts template 120210 DRAFT 06 WOBCA v5 Meter Split " xfId="675"/>
    <cellStyle name="OffSheet" xfId="1214"/>
    <cellStyle name="Offsheet Link" xfId="1215"/>
    <cellStyle name="OLELink" xfId="676"/>
    <cellStyle name="Output 2" xfId="677"/>
    <cellStyle name="Output Amounts" xfId="678"/>
    <cellStyle name="Output Column Headings" xfId="679"/>
    <cellStyle name="Output Line Items" xfId="680"/>
    <cellStyle name="Output Report Heading" xfId="681"/>
    <cellStyle name="Output Report Title" xfId="682"/>
    <cellStyle name="Page Heading Large" xfId="683"/>
    <cellStyle name="Page Heading Small" xfId="684"/>
    <cellStyle name="Page Number" xfId="685"/>
    <cellStyle name="Page1" xfId="686"/>
    <cellStyle name="Pattern_Forecast" xfId="687"/>
    <cellStyle name="Percent" xfId="890" builtinId="5"/>
    <cellStyle name="Percent (0)" xfId="688"/>
    <cellStyle name="Percent [0%]" xfId="689"/>
    <cellStyle name="Percent [0.00%]" xfId="690"/>
    <cellStyle name="Percent [0]" xfId="691"/>
    <cellStyle name="Percent [0] 2" xfId="1089"/>
    <cellStyle name="Percent [00]" xfId="692"/>
    <cellStyle name="Percent [1]" xfId="693"/>
    <cellStyle name="Percent [1] 2" xfId="1090"/>
    <cellStyle name="Percent [2]" xfId="694"/>
    <cellStyle name="Percent [2] 2" xfId="1091"/>
    <cellStyle name="Percent [2] U" xfId="695"/>
    <cellStyle name="Percent [2]_3. Version" xfId="696"/>
    <cellStyle name="Percent 10" xfId="697"/>
    <cellStyle name="Percent 2" xfId="4"/>
    <cellStyle name="Percent 2 2" xfId="698"/>
    <cellStyle name="Percent 2 2 2" xfId="699"/>
    <cellStyle name="Percent 2 3" xfId="700"/>
    <cellStyle name="Percent 3" xfId="60"/>
    <cellStyle name="Percent 3 2" xfId="63"/>
    <cellStyle name="Percent 4" xfId="701"/>
    <cellStyle name="Percent 4 2" xfId="702"/>
    <cellStyle name="Percent 5" xfId="703"/>
    <cellStyle name="Percent 6" xfId="704"/>
    <cellStyle name="Percent 7" xfId="705"/>
    <cellStyle name="Percent 8" xfId="706"/>
    <cellStyle name="Percent 9" xfId="707"/>
    <cellStyle name="Percent Hard" xfId="708"/>
    <cellStyle name="Percentage" xfId="709"/>
    <cellStyle name="Period Title" xfId="710"/>
    <cellStyle name="Presentation Currency" xfId="711"/>
    <cellStyle name="Presentation Date" xfId="712"/>
    <cellStyle name="Presentation Heading 1" xfId="713"/>
    <cellStyle name="Presentation Heading 2" xfId="714"/>
    <cellStyle name="Presentation Heading 3" xfId="715"/>
    <cellStyle name="Presentation Heading 4" xfId="716"/>
    <cellStyle name="Presentation Hyperlink Arrow" xfId="717"/>
    <cellStyle name="Presentation Hyperlink Check" xfId="718"/>
    <cellStyle name="Presentation Hyperlink Text" xfId="719"/>
    <cellStyle name="Presentation Model Name" xfId="720"/>
    <cellStyle name="Presentation Multiple" xfId="721"/>
    <cellStyle name="Presentation Normal" xfId="722"/>
    <cellStyle name="Presentation Number" xfId="723"/>
    <cellStyle name="Presentation Percentage" xfId="724"/>
    <cellStyle name="Presentation Period Title" xfId="725"/>
    <cellStyle name="Presentation Section Number" xfId="726"/>
    <cellStyle name="Presentation Sheet Title" xfId="727"/>
    <cellStyle name="Presentation Year" xfId="728"/>
    <cellStyle name="PSChar" xfId="729"/>
    <cellStyle name="PSChar 2" xfId="1092"/>
    <cellStyle name="PSChar 2 2" xfId="1093"/>
    <cellStyle name="PSDate" xfId="730"/>
    <cellStyle name="PSDate 2" xfId="1094"/>
    <cellStyle name="PSDate 2 2" xfId="1095"/>
    <cellStyle name="PSDec" xfId="731"/>
    <cellStyle name="PSDec 2" xfId="1096"/>
    <cellStyle name="PSDetail" xfId="732"/>
    <cellStyle name="PSHeading" xfId="733"/>
    <cellStyle name="PSHeading 2" xfId="1097"/>
    <cellStyle name="PSHeading 2 2" xfId="1098"/>
    <cellStyle name="PSHeading_Report" xfId="1099"/>
    <cellStyle name="PSInt" xfId="734"/>
    <cellStyle name="PSInt 2" xfId="1100"/>
    <cellStyle name="PSSpacer" xfId="735"/>
    <cellStyle name="PSSpacer 2" xfId="1101"/>
    <cellStyle name="PTFM-Normal" xfId="736"/>
    <cellStyle name="PTFM-Normal 2" xfId="1102"/>
    <cellStyle name="PTFM-UnitsonIssue" xfId="737"/>
    <cellStyle name="PTFM-UnitsonIssue 2" xfId="1103"/>
    <cellStyle name="Ratio" xfId="738"/>
    <cellStyle name="ratio - Style2" xfId="739"/>
    <cellStyle name="Ratio_3. Version" xfId="740"/>
    <cellStyle name="Red Font" xfId="741"/>
    <cellStyle name="RedHeader" xfId="742"/>
    <cellStyle name="RedHeader 2" xfId="1104"/>
    <cellStyle name="ReportData" xfId="743"/>
    <cellStyle name="ReportElements" xfId="744"/>
    <cellStyle name="ReportHeader" xfId="745"/>
    <cellStyle name="rf5" xfId="746"/>
    <cellStyle name="rf6" xfId="747"/>
    <cellStyle name="Right Currency" xfId="748"/>
    <cellStyle name="Right Date" xfId="749"/>
    <cellStyle name="Right Multiple" xfId="750"/>
    <cellStyle name="Right Number" xfId="751"/>
    <cellStyle name="Right Percentage" xfId="752"/>
    <cellStyle name="Right Year" xfId="753"/>
    <cellStyle name="Row - Heading" xfId="754"/>
    <cellStyle name="Row - SubHeading" xfId="755"/>
    <cellStyle name="Salomon Logo" xfId="756"/>
    <cellStyle name="SAPBEXaggData" xfId="757"/>
    <cellStyle name="SAPBEXaggDataEmph" xfId="758"/>
    <cellStyle name="SAPBEXaggItem" xfId="759"/>
    <cellStyle name="SAPBEXaggItemX" xfId="760"/>
    <cellStyle name="SAPBEXchaText" xfId="761"/>
    <cellStyle name="SAPBEXexcBad7" xfId="762"/>
    <cellStyle name="SAPBEXexcBad8" xfId="763"/>
    <cellStyle name="SAPBEXexcBad9" xfId="764"/>
    <cellStyle name="SAPBEXexcCritical4" xfId="765"/>
    <cellStyle name="SAPBEXexcCritical5" xfId="766"/>
    <cellStyle name="SAPBEXexcCritical6" xfId="767"/>
    <cellStyle name="SAPBEXexcGood1" xfId="768"/>
    <cellStyle name="SAPBEXexcGood2" xfId="769"/>
    <cellStyle name="SAPBEXexcGood3" xfId="770"/>
    <cellStyle name="SAPBEXfilterDrill" xfId="771"/>
    <cellStyle name="SAPBEXfilterItem" xfId="772"/>
    <cellStyle name="SAPBEXfilterText" xfId="773"/>
    <cellStyle name="SAPBEXformats" xfId="774"/>
    <cellStyle name="SAPBEXheaderItem" xfId="775"/>
    <cellStyle name="SAPBEXheaderText" xfId="776"/>
    <cellStyle name="SAPBEXHLevel0" xfId="777"/>
    <cellStyle name="SAPBEXHLevel0X" xfId="778"/>
    <cellStyle name="SAPBEXHLevel1" xfId="779"/>
    <cellStyle name="SAPBEXHLevel1X" xfId="780"/>
    <cellStyle name="SAPBEXHLevel2" xfId="781"/>
    <cellStyle name="SAPBEXHLevel2X" xfId="782"/>
    <cellStyle name="SAPBEXHLevel3" xfId="783"/>
    <cellStyle name="SAPBEXHLevel3X" xfId="784"/>
    <cellStyle name="SAPBEXinputData" xfId="785"/>
    <cellStyle name="SAPBEXresData" xfId="786"/>
    <cellStyle name="SAPBEXresDataEmph" xfId="787"/>
    <cellStyle name="SAPBEXresItem" xfId="788"/>
    <cellStyle name="SAPBEXresItemX" xfId="789"/>
    <cellStyle name="SAPBEXstdData" xfId="790"/>
    <cellStyle name="SAPBEXstdDataEmph" xfId="791"/>
    <cellStyle name="SAPBEXstdItem" xfId="792"/>
    <cellStyle name="SAPBEXstdItemX" xfId="793"/>
    <cellStyle name="SAPBEXtitle" xfId="794"/>
    <cellStyle name="SAPBEXundefined" xfId="795"/>
    <cellStyle name="SAPError" xfId="796"/>
    <cellStyle name="SAPKey" xfId="797"/>
    <cellStyle name="SAPLocked" xfId="798"/>
    <cellStyle name="SAPOutput" xfId="799"/>
    <cellStyle name="SAPSpace" xfId="800"/>
    <cellStyle name="SAPText" xfId="801"/>
    <cellStyle name="SAPUnLocked" xfId="802"/>
    <cellStyle name="ScenarioInput" xfId="803"/>
    <cellStyle name="SDate" xfId="804"/>
    <cellStyle name="Section Number" xfId="805"/>
    <cellStyle name="Shaded" xfId="806"/>
    <cellStyle name="Sheet Title" xfId="807"/>
    <cellStyle name="ShortDate" xfId="808"/>
    <cellStyle name="Spreadsheet Title" xfId="1157"/>
    <cellStyle name="Standard" xfId="809"/>
    <cellStyle name="StaticText" xfId="810"/>
    <cellStyle name="std" xfId="811"/>
    <cellStyle name="Style 1" xfId="61"/>
    <cellStyle name="Style 1 2" xfId="62"/>
    <cellStyle name="Style 26" xfId="812"/>
    <cellStyle name="Style 27" xfId="813"/>
    <cellStyle name="Style 28" xfId="814"/>
    <cellStyle name="STYLE1" xfId="815"/>
    <cellStyle name="STYLE1 2" xfId="1105"/>
    <cellStyle name="STYLE1 2 2" xfId="1106"/>
    <cellStyle name="STYLE1 3" xfId="1107"/>
    <cellStyle name="Style2" xfId="816"/>
    <cellStyle name="Style3" xfId="817"/>
    <cellStyle name="Style4" xfId="818"/>
    <cellStyle name="STYLE4 2" xfId="1108"/>
    <cellStyle name="STYLE4 2 2" xfId="1109"/>
    <cellStyle name="STYLE4 3" xfId="1110"/>
    <cellStyle name="Style5" xfId="819"/>
    <cellStyle name="style9" xfId="820"/>
    <cellStyle name="Sub totals" xfId="821"/>
    <cellStyle name="Sub-total" xfId="1158"/>
    <cellStyle name="swiss" xfId="822"/>
    <cellStyle name="swiss input" xfId="823"/>
    <cellStyle name="swiss input1" xfId="824"/>
    <cellStyle name="swiss input2" xfId="825"/>
    <cellStyle name="swiss spec" xfId="826"/>
    <cellStyle name="Table Col Head" xfId="827"/>
    <cellStyle name="Table Head" xfId="828"/>
    <cellStyle name="Table Head Aligned" xfId="829"/>
    <cellStyle name="Table Head Blue" xfId="830"/>
    <cellStyle name="Table Head Green" xfId="831"/>
    <cellStyle name="Table Head_pldt" xfId="832"/>
    <cellStyle name="Table Heading" xfId="833"/>
    <cellStyle name="Table Source" xfId="834"/>
    <cellStyle name="Table Sub Head" xfId="835"/>
    <cellStyle name="Table Text" xfId="836"/>
    <cellStyle name="Table Title" xfId="837"/>
    <cellStyle name="Table Units" xfId="838"/>
    <cellStyle name="Table_Heading" xfId="1216"/>
    <cellStyle name="Technical Input" xfId="1217"/>
    <cellStyle name="Technical_Input" xfId="1218"/>
    <cellStyle name="Text" xfId="839"/>
    <cellStyle name="Text 1" xfId="840"/>
    <cellStyle name="Text 2" xfId="841"/>
    <cellStyle name="Text Head 1" xfId="842"/>
    <cellStyle name="Text Head 2" xfId="843"/>
    <cellStyle name="Text Indent 1" xfId="844"/>
    <cellStyle name="Text Indent 2" xfId="845"/>
    <cellStyle name="Text Right" xfId="846"/>
    <cellStyle name="Text Right 2" xfId="1111"/>
    <cellStyle name="text_box" xfId="847"/>
    <cellStyle name="Theirs" xfId="848"/>
    <cellStyle name="Thousands" xfId="849"/>
    <cellStyle name="Tickmark" xfId="850"/>
    <cellStyle name="Title 1" xfId="851"/>
    <cellStyle name="Title 2" xfId="852"/>
    <cellStyle name="Title 3" xfId="853"/>
    <cellStyle name="Title 4" xfId="854"/>
    <cellStyle name="Title 5" xfId="855"/>
    <cellStyle name="TOC 1" xfId="856"/>
    <cellStyle name="TOC 2" xfId="857"/>
    <cellStyle name="TOC 3" xfId="858"/>
    <cellStyle name="TOC 4" xfId="859"/>
    <cellStyle name="TOGGLEOFF" xfId="860"/>
    <cellStyle name="TOGGLEON" xfId="861"/>
    <cellStyle name="Total 1" xfId="862"/>
    <cellStyle name="Total 1 2" xfId="1112"/>
    <cellStyle name="Total 2" xfId="863"/>
    <cellStyle name="Total 2 2" xfId="1113"/>
    <cellStyle name="Total 3" xfId="864"/>
    <cellStyle name="Total 3 2" xfId="1114"/>
    <cellStyle name="Total 4" xfId="865"/>
    <cellStyle name="Total 4 2" xfId="1115"/>
    <cellStyle name="Total 5" xfId="866"/>
    <cellStyle name="Totals" xfId="867"/>
    <cellStyle name="Underline" xfId="868"/>
    <cellStyle name="Unique/Change Formula 2 2" xfId="1159"/>
    <cellStyle name="unit" xfId="1219"/>
    <cellStyle name="Units" xfId="1160"/>
    <cellStyle name="Updates" xfId="869"/>
    <cellStyle name="v" xfId="870"/>
    <cellStyle name="v 2" xfId="1116"/>
    <cellStyle name="v_AETV (TG Model) JULY TARGET" xfId="871"/>
    <cellStyle name="v_AETV (TG Model) JULY TARGET 2" xfId="1117"/>
    <cellStyle name="v_AETV (TG Model) JULY TARGET_Distribution Business" xfId="1118"/>
    <cellStyle name="v_AETV (TG Model) JULY TARGET_Distribution Business 2" xfId="1119"/>
    <cellStyle name="v_AETV (TG Model) JULY TARGET_Forecast" xfId="1120"/>
    <cellStyle name="v_AETV (TG Model) JULY TARGET_Forecast 2" xfId="1121"/>
    <cellStyle name="v_AETV (TG Model) JULY TARGET_Funding &amp; Cashflow" xfId="1122"/>
    <cellStyle name="v_AETV (TG Model) JULY TARGET_Funding &amp; Cashflow 2" xfId="1123"/>
    <cellStyle name="v_AETV (TG Model) JULY TARGET_Group P&amp;L" xfId="1124"/>
    <cellStyle name="v_AETV (TG Model) JULY TARGET_Group P&amp;L 2" xfId="1125"/>
    <cellStyle name="v_AETV (TG Model) JULY TARGET_Sheet2" xfId="1126"/>
    <cellStyle name="v_AETV (TG Model) JULY TARGET_Sheet2 2" xfId="1127"/>
    <cellStyle name="v_Construction-Monthly" xfId="872"/>
    <cellStyle name="v_Construction-Monthly 2" xfId="1128"/>
    <cellStyle name="v_Construction-Monthly_Distribution Business" xfId="1129"/>
    <cellStyle name="v_Construction-Monthly_Distribution Business 2" xfId="1130"/>
    <cellStyle name="v_Construction-Monthly_Forecast" xfId="1131"/>
    <cellStyle name="v_Construction-Monthly_Forecast 2" xfId="1132"/>
    <cellStyle name="v_Construction-Monthly_Funding &amp; Cashflow" xfId="1133"/>
    <cellStyle name="v_Construction-Monthly_Funding &amp; Cashflow 2" xfId="1134"/>
    <cellStyle name="v_Construction-Monthly_Group P&amp;L" xfId="1135"/>
    <cellStyle name="v_Construction-Monthly_Group P&amp;L 2" xfId="1136"/>
    <cellStyle name="v_Construction-Monthly_Sheet2" xfId="1137"/>
    <cellStyle name="v_Construction-Monthly_Sheet2 2" xfId="1138"/>
    <cellStyle name="v_Distribution Business" xfId="1139"/>
    <cellStyle name="v_Distribution Business 2" xfId="1140"/>
    <cellStyle name="v_Forecast" xfId="1141"/>
    <cellStyle name="v_Forecast 2" xfId="1142"/>
    <cellStyle name="v_Funding &amp; Cashflow" xfId="1143"/>
    <cellStyle name="v_Funding &amp; Cashflow 2" xfId="1144"/>
    <cellStyle name="v_Group P&amp;L" xfId="1145"/>
    <cellStyle name="v_Group P&amp;L 2" xfId="1146"/>
    <cellStyle name="v_Sheet2" xfId="1147"/>
    <cellStyle name="v_Sheet2 2" xfId="1148"/>
    <cellStyle name="Vpershare" xfId="873"/>
    <cellStyle name="Vstandard" xfId="874"/>
    <cellStyle name="Währung [0]_Übersichtstabelle_FM_24082001bu inc. EC" xfId="875"/>
    <cellStyle name="Währung_Übersichtstabelle_FM_24082001bu inc. EC" xfId="876"/>
    <cellStyle name="Warning" xfId="877"/>
    <cellStyle name="Warning Text 2" xfId="878"/>
    <cellStyle name="Word_Formula" xfId="879"/>
    <cellStyle name="x" xfId="880"/>
    <cellStyle name="x 2" xfId="1149"/>
    <cellStyle name="year" xfId="881"/>
    <cellStyle name="Year A" xfId="882"/>
    <cellStyle name="Year E" xfId="883"/>
    <cellStyle name="year_unit cost - b-mark data |CIC|" xfId="884"/>
    <cellStyle name="YearA" xfId="885"/>
    <cellStyle name="YearE" xfId="886"/>
    <cellStyle name="Yes/No" xfId="887"/>
    <cellStyle name="Yes/No 2" xfId="1150"/>
    <cellStyle name="YR_MTH" xfId="888"/>
  </cellStyles>
  <dxfs count="44">
    <dxf>
      <font>
        <color rgb="FF9C0006"/>
      </font>
      <fill>
        <patternFill>
          <bgColor rgb="FFFFC7CE"/>
        </patternFill>
      </fill>
    </dxf>
    <dxf>
      <font>
        <b/>
        <i val="0"/>
        <strike val="0"/>
        <condense val="0"/>
        <extend val="0"/>
        <outline val="0"/>
        <shadow val="0"/>
        <u val="none"/>
        <vertAlign val="baseline"/>
        <sz val="11"/>
        <color auto="1"/>
        <name val="Arial"/>
        <scheme val="none"/>
      </font>
      <numFmt numFmtId="19" formatCode="dd/mm/yyyy"/>
      <fill>
        <gradientFill degree="90">
          <stop position="0">
            <color theme="0"/>
          </stop>
          <stop position="1">
            <color theme="0"/>
          </stop>
        </gradientFill>
      </fill>
      <alignment horizontal="left" vertical="bottom" textRotation="0" wrapText="0" relativeIndent="0" justifyLastLine="0" shrinkToFit="0" readingOrder="0"/>
    </dxf>
    <dxf>
      <font>
        <b/>
        <i val="0"/>
        <strike val="0"/>
        <condense val="0"/>
        <extend val="0"/>
        <outline val="0"/>
        <shadow val="0"/>
        <u val="none"/>
        <vertAlign val="baseline"/>
        <sz val="11"/>
        <color auto="1"/>
        <name val="Arial"/>
        <scheme val="none"/>
      </font>
      <numFmt numFmtId="19" formatCode="dd/mm/yyyy"/>
      <fill>
        <gradientFill degree="90">
          <stop position="0">
            <color theme="0"/>
          </stop>
          <stop position="1">
            <color theme="0"/>
          </stop>
        </gradient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19" formatCode="dd/mm/yyyy"/>
      <fill>
        <gradientFill degree="90">
          <stop position="0">
            <color theme="0"/>
          </stop>
          <stop position="1">
            <color theme="0"/>
          </stop>
        </gradient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7"/>
      </font>
    </dxf>
    <dxf>
      <font>
        <b/>
        <i val="0"/>
        <condense val="0"/>
        <extend val="0"/>
        <color indexed="53"/>
      </font>
    </dxf>
    <dxf>
      <font>
        <b/>
        <i val="0"/>
        <condense val="0"/>
        <extend val="0"/>
        <color indexed="17"/>
      </font>
    </dxf>
    <dxf>
      <font>
        <b/>
        <i val="0"/>
        <condense val="0"/>
        <extend val="0"/>
        <color indexed="53"/>
      </font>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theme="1" tint="0.499984740745262"/>
        </patternFill>
      </fill>
    </dxf>
    <dxf>
      <fill>
        <patternFill patternType="solid">
          <bgColor theme="1"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11201</xdr:colOff>
      <xdr:row>5</xdr:row>
      <xdr:rowOff>112056</xdr:rowOff>
    </xdr:from>
    <xdr:to>
      <xdr:col>1</xdr:col>
      <xdr:colOff>2386852</xdr:colOff>
      <xdr:row>13</xdr:row>
      <xdr:rowOff>22412</xdr:rowOff>
    </xdr:to>
    <xdr:pic>
      <xdr:nvPicPr>
        <xdr:cNvPr id="2" name="Picture 1" descr="TasNetworks_logo(strap).jp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86"/>
        <a:stretch/>
      </xdr:blipFill>
      <xdr:spPr bwMode="auto">
        <a:xfrm>
          <a:off x="296951" y="1112181"/>
          <a:ext cx="2375651" cy="1434356"/>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2835086</xdr:colOff>
      <xdr:row>3</xdr:row>
      <xdr:rowOff>67235</xdr:rowOff>
    </xdr:from>
    <xdr:to>
      <xdr:col>1</xdr:col>
      <xdr:colOff>2835086</xdr:colOff>
      <xdr:row>17</xdr:row>
      <xdr:rowOff>136235</xdr:rowOff>
    </xdr:to>
    <xdr:cxnSp macro="">
      <xdr:nvCxnSpPr>
        <xdr:cNvPr id="3" name="Straight Connector 2"/>
        <xdr:cNvCxnSpPr/>
      </xdr:nvCxnSpPr>
      <xdr:spPr>
        <a:xfrm>
          <a:off x="3120836" y="638735"/>
          <a:ext cx="0" cy="2783625"/>
        </a:xfrm>
        <a:prstGeom prst="line">
          <a:avLst/>
        </a:prstGeom>
        <a:ln>
          <a:solidFill>
            <a:schemeClr val="tx2">
              <a:lumMod val="75000"/>
            </a:schemeClr>
          </a:solidFill>
          <a:prstDash val="dash"/>
        </a:ln>
      </xdr:spPr>
      <xdr:style>
        <a:lnRef idx="1">
          <a:schemeClr val="accent3"/>
        </a:lnRef>
        <a:fillRef idx="0">
          <a:schemeClr val="accent3"/>
        </a:fillRef>
        <a:effectRef idx="0">
          <a:schemeClr val="accent3"/>
        </a:effectRef>
        <a:fontRef idx="minor">
          <a:schemeClr val="tx1"/>
        </a:fontRef>
      </xdr:style>
    </xdr:cxnSp>
    <xdr:clientData/>
  </xdr:twoCellAnchor>
</xdr:wsDr>
</file>

<file path=xl/queryTables/queryTable1.xml><?xml version="1.0" encoding="utf-8"?>
<queryTable xmlns="http://schemas.openxmlformats.org/spreadsheetml/2006/main" name="Query from LNSP_PROD_1" growShrinkType="overwriteClear" preserveFormatting="0" adjustColumnWidth="0" connectionId="1" autoFormatId="16" applyNumberFormats="0" applyBorderFormats="0" applyFontFormats="0" applyPatternFormats="0" applyAlignmentFormats="0" applyWidthHeightFormats="0">
  <queryTableRefresh preserveSortFilterLayout="0" nextId="3" unboundColumnsRight="1">
    <queryTableFields count="2">
      <queryTableField id="1" tableColumnId="1"/>
      <queryTableField id="2" dataBound="0"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e_Query_from_LNSP_PROD_1" displayName="Table_Query_from_LNSP_PROD_1" ref="A3:B4" tableType="queryTable" totalsRowShown="0" dataDxfId="3">
  <autoFilter ref="A3:B4"/>
  <tableColumns count="2">
    <tableColumn id="1" uniqueName="1" name="Column1" queryTableFieldId="1" dataDxfId="2" dataCellStyle="Normal 2"/>
    <tableColumn id="2" uniqueName="2" name="Column2" queryTableFieldId="2"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1"/>
  <sheetViews>
    <sheetView showGridLines="0" zoomScaleNormal="100" workbookViewId="0">
      <selection activeCell="D18" sqref="D18"/>
    </sheetView>
  </sheetViews>
  <sheetFormatPr defaultColWidth="0" defaultRowHeight="15" customHeight="1" zeroHeight="1"/>
  <cols>
    <col min="1" max="1" width="4.28515625" customWidth="1"/>
    <col min="2" max="2" width="45.7109375" customWidth="1"/>
    <col min="3" max="3" width="38.42578125" customWidth="1"/>
    <col min="4" max="4" width="44.7109375" bestFit="1" customWidth="1"/>
    <col min="5" max="5" width="10.42578125" customWidth="1"/>
    <col min="6" max="6" width="11" customWidth="1"/>
    <col min="7" max="7" width="8.140625" customWidth="1"/>
    <col min="8" max="8" width="3.140625" customWidth="1"/>
    <col min="9" max="16384" width="9.140625" hidden="1"/>
  </cols>
  <sheetData>
    <row r="1" spans="2:6"/>
    <row r="2" spans="2:6">
      <c r="B2" s="478"/>
      <c r="C2" s="478" t="s">
        <v>447</v>
      </c>
      <c r="D2" s="478"/>
      <c r="E2" s="478"/>
      <c r="F2" s="478"/>
    </row>
    <row r="3" spans="2:6"/>
    <row r="4" spans="2:6" ht="18.75">
      <c r="C4" t="s">
        <v>448</v>
      </c>
      <c r="D4" s="479" t="s">
        <v>449</v>
      </c>
    </row>
    <row r="5" spans="2:6"/>
    <row r="6" spans="2:6"/>
    <row r="7" spans="2:6"/>
    <row r="8" spans="2:6"/>
    <row r="9" spans="2:6"/>
    <row r="10" spans="2:6"/>
    <row r="11" spans="2:6"/>
    <row r="12" spans="2:6">
      <c r="C12" s="29"/>
      <c r="D12" s="29"/>
    </row>
    <row r="13" spans="2:6"/>
    <row r="14" spans="2:6"/>
    <row r="15" spans="2:6"/>
    <row r="16" spans="2:6"/>
    <row r="17" spans="2:6"/>
    <row r="18" spans="2:6"/>
    <row r="19" spans="2:6">
      <c r="C19" s="480"/>
    </row>
    <row r="20" spans="2:6">
      <c r="B20" s="481"/>
      <c r="C20" s="481"/>
      <c r="D20" s="481"/>
      <c r="E20" s="481"/>
      <c r="F20" s="481"/>
    </row>
    <row r="21" spans="2:6">
      <c r="B21" s="482"/>
      <c r="C21" s="482"/>
      <c r="D21" s="482"/>
      <c r="E21" s="482"/>
      <c r="F21" s="482"/>
    </row>
    <row r="22" spans="2:6">
      <c r="B22" s="483"/>
      <c r="C22" s="482"/>
      <c r="D22" s="482"/>
      <c r="E22" s="482"/>
      <c r="F22" s="482"/>
    </row>
    <row r="23" spans="2:6">
      <c r="B23" s="482"/>
      <c r="C23" s="482"/>
      <c r="D23" s="482"/>
      <c r="E23" s="482"/>
      <c r="F23" s="482"/>
    </row>
    <row r="24" spans="2:6">
      <c r="B24" s="578"/>
      <c r="C24" s="579"/>
      <c r="D24" s="579"/>
      <c r="E24" s="579"/>
      <c r="F24" s="579"/>
    </row>
    <row r="25" spans="2:6">
      <c r="B25" s="579"/>
      <c r="C25" s="579"/>
      <c r="D25" s="579"/>
      <c r="E25" s="579"/>
      <c r="F25" s="579"/>
    </row>
    <row r="26" spans="2:6">
      <c r="B26" s="579"/>
      <c r="C26" s="579"/>
      <c r="D26" s="579"/>
      <c r="E26" s="579"/>
      <c r="F26" s="579"/>
    </row>
    <row r="27" spans="2:6" ht="15" customHeight="1">
      <c r="B27" s="579"/>
      <c r="C27" s="579"/>
      <c r="D27" s="579"/>
      <c r="E27" s="579"/>
      <c r="F27" s="579"/>
    </row>
    <row r="28" spans="2:6">
      <c r="B28" s="482"/>
      <c r="C28" s="482"/>
      <c r="D28" s="482"/>
      <c r="E28" s="482"/>
      <c r="F28" s="482"/>
    </row>
    <row r="29" spans="2:6">
      <c r="B29" s="483"/>
      <c r="C29" s="482"/>
      <c r="D29" s="482"/>
      <c r="E29" s="482"/>
      <c r="F29" s="482"/>
    </row>
    <row r="30" spans="2:6">
      <c r="B30" s="482"/>
      <c r="C30" s="482"/>
      <c r="D30" s="482"/>
      <c r="E30" s="482"/>
      <c r="F30" s="482"/>
    </row>
    <row r="31" spans="2:6">
      <c r="B31" s="580"/>
      <c r="C31" s="580"/>
      <c r="D31" s="580"/>
      <c r="E31" s="580"/>
      <c r="F31" s="580"/>
    </row>
    <row r="32" spans="2:6">
      <c r="B32" s="580"/>
      <c r="C32" s="580"/>
      <c r="D32" s="580"/>
      <c r="E32" s="580"/>
      <c r="F32" s="580"/>
    </row>
    <row r="33" spans="2:6">
      <c r="B33" s="580"/>
      <c r="C33" s="580"/>
      <c r="D33" s="580"/>
      <c r="E33" s="580"/>
      <c r="F33" s="580"/>
    </row>
    <row r="34" spans="2:6" ht="36" customHeight="1">
      <c r="B34" s="580"/>
      <c r="C34" s="580"/>
      <c r="D34" s="580"/>
      <c r="E34" s="580"/>
      <c r="F34" s="580"/>
    </row>
    <row r="35" spans="2:6"/>
    <row r="36" spans="2:6"/>
    <row r="37" spans="2:6" hidden="1"/>
    <row r="38" spans="2:6" hidden="1"/>
    <row r="39" spans="2:6" hidden="1"/>
    <row r="40" spans="2:6" hidden="1"/>
    <row r="41" spans="2:6" hidden="1"/>
    <row r="42" spans="2:6" hidden="1"/>
    <row r="43" spans="2:6" hidden="1"/>
    <row r="44" spans="2:6" hidden="1"/>
    <row r="45" spans="2:6" hidden="1"/>
    <row r="46" spans="2:6" hidden="1"/>
    <row r="47" spans="2:6" hidden="1"/>
    <row r="48" spans="2:6" hidden="1"/>
    <row r="49" hidden="1"/>
    <row r="50" hidden="1"/>
    <row r="51" hidden="1"/>
    <row r="52" hidden="1"/>
    <row r="53" hidden="1"/>
    <row r="54" hidden="1"/>
    <row r="55" hidden="1"/>
    <row r="56" hidden="1"/>
    <row r="57" hidden="1"/>
    <row r="58" hidden="1"/>
    <row r="59" ht="15" hidden="1" customHeight="1"/>
    <row r="60" hidden="1"/>
    <row r="61" hidden="1"/>
  </sheetData>
  <mergeCells count="2">
    <mergeCell ref="B24:F27"/>
    <mergeCell ref="B31:F34"/>
  </mergeCells>
  <pageMargins left="0.70866141732283472" right="0.70866141732283472" top="0.74803149606299213" bottom="0.74803149606299213" header="0.31496062992125984" footer="0.31496062992125984"/>
  <pageSetup paperSize="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6" tint="-0.249977111117893"/>
  </sheetPr>
  <dimension ref="B1:V113"/>
  <sheetViews>
    <sheetView workbookViewId="0">
      <selection activeCell="G24" sqref="G24"/>
    </sheetView>
  </sheetViews>
  <sheetFormatPr defaultRowHeight="15"/>
  <cols>
    <col min="1" max="1" width="4.7109375" customWidth="1"/>
    <col min="2" max="2" width="19.140625" bestFit="1" customWidth="1"/>
    <col min="3" max="3" width="12.5703125" customWidth="1"/>
    <col min="5" max="5" width="23.28515625" bestFit="1" customWidth="1"/>
    <col min="6" max="6" width="9.5703125" bestFit="1" customWidth="1"/>
    <col min="8" max="8" width="7.5703125" bestFit="1" customWidth="1"/>
    <col min="9" max="9" width="19.28515625" bestFit="1" customWidth="1"/>
    <col min="10" max="10" width="6" style="30" bestFit="1" customWidth="1"/>
    <col min="11" max="11" width="11.5703125" bestFit="1" customWidth="1"/>
    <col min="12" max="12" width="4" customWidth="1"/>
    <col min="13" max="13" width="7.5703125" bestFit="1" customWidth="1"/>
    <col min="14" max="14" width="28.140625" bestFit="1" customWidth="1"/>
    <col min="15" max="15" width="7" style="30" bestFit="1" customWidth="1"/>
    <col min="16" max="17" width="11.5703125" bestFit="1" customWidth="1"/>
    <col min="19" max="19" width="18" bestFit="1" customWidth="1"/>
    <col min="20" max="20" width="9.5703125" bestFit="1" customWidth="1"/>
    <col min="21" max="21" width="9.42578125" customWidth="1"/>
  </cols>
  <sheetData>
    <row r="1" spans="2:17">
      <c r="H1" s="343" t="s">
        <v>190</v>
      </c>
    </row>
    <row r="2" spans="2:17">
      <c r="H2" s="76"/>
      <c r="I2" s="59"/>
      <c r="J2" s="99" t="s">
        <v>168</v>
      </c>
      <c r="K2" s="100">
        <f>AVERAGE(K4:K113)</f>
        <v>73138.827272727271</v>
      </c>
      <c r="M2" s="76"/>
      <c r="N2" s="59"/>
      <c r="O2" s="99" t="s">
        <v>168</v>
      </c>
      <c r="P2" s="100">
        <f>AVERAGE(P4:P113)</f>
        <v>77710.224137931029</v>
      </c>
      <c r="Q2" s="71"/>
    </row>
    <row r="3" spans="2:17">
      <c r="B3" t="s">
        <v>444</v>
      </c>
      <c r="H3" s="79" t="s">
        <v>169</v>
      </c>
      <c r="I3" s="80" t="s">
        <v>170</v>
      </c>
      <c r="J3" s="81" t="s">
        <v>171</v>
      </c>
      <c r="K3" s="82" t="s">
        <v>172</v>
      </c>
      <c r="M3" s="83" t="s">
        <v>169</v>
      </c>
      <c r="N3" s="27" t="s">
        <v>170</v>
      </c>
      <c r="O3" s="84" t="s">
        <v>171</v>
      </c>
      <c r="P3" s="60" t="s">
        <v>172</v>
      </c>
      <c r="Q3" s="28"/>
    </row>
    <row r="4" spans="2:17">
      <c r="B4" s="1" t="s">
        <v>173</v>
      </c>
      <c r="E4" s="623" t="s">
        <v>174</v>
      </c>
      <c r="F4" s="623"/>
      <c r="H4" s="79"/>
      <c r="I4" s="80"/>
      <c r="J4" s="81">
        <v>1</v>
      </c>
      <c r="K4" s="85">
        <v>79005</v>
      </c>
      <c r="M4" s="83"/>
      <c r="N4" s="27"/>
      <c r="O4" s="84">
        <v>1</v>
      </c>
      <c r="P4" s="86">
        <v>77838</v>
      </c>
    </row>
    <row r="5" spans="2:17">
      <c r="B5" t="s">
        <v>175</v>
      </c>
      <c r="C5" s="71">
        <f>K2</f>
        <v>73138.827272727271</v>
      </c>
      <c r="E5" t="s">
        <v>176</v>
      </c>
      <c r="F5" s="87">
        <v>52</v>
      </c>
      <c r="H5" s="79"/>
      <c r="I5" s="80"/>
      <c r="J5" s="81">
        <v>1</v>
      </c>
      <c r="K5" s="85">
        <v>75929</v>
      </c>
      <c r="M5" s="83"/>
      <c r="N5" s="27"/>
      <c r="O5" s="84">
        <v>1</v>
      </c>
      <c r="P5" s="86">
        <v>78529</v>
      </c>
    </row>
    <row r="6" spans="2:17">
      <c r="B6" t="s">
        <v>191</v>
      </c>
      <c r="C6" s="48">
        <f>'Master Data'!$H$31</f>
        <v>1.0506249999999999</v>
      </c>
      <c r="E6" t="s">
        <v>178</v>
      </c>
      <c r="F6" s="87">
        <v>37.5</v>
      </c>
      <c r="H6" s="79"/>
      <c r="I6" s="80"/>
      <c r="J6" s="81">
        <v>1</v>
      </c>
      <c r="K6" s="85">
        <v>71440</v>
      </c>
      <c r="M6" s="83"/>
      <c r="N6" s="27"/>
      <c r="O6" s="84">
        <v>1</v>
      </c>
      <c r="P6" s="86">
        <v>79086</v>
      </c>
    </row>
    <row r="7" spans="2:17">
      <c r="C7" s="98">
        <f>C5*(C6)</f>
        <v>76841.480403409078</v>
      </c>
      <c r="E7" s="1" t="s">
        <v>180</v>
      </c>
      <c r="F7" s="88">
        <f>F5*F6</f>
        <v>1950</v>
      </c>
      <c r="H7" s="79"/>
      <c r="I7" s="80"/>
      <c r="J7" s="81">
        <v>1</v>
      </c>
      <c r="K7" s="85">
        <v>69133</v>
      </c>
      <c r="M7" s="83"/>
      <c r="N7" s="27"/>
      <c r="O7" s="84">
        <v>1</v>
      </c>
      <c r="P7" s="86">
        <v>79086</v>
      </c>
    </row>
    <row r="8" spans="2:17">
      <c r="B8" t="s">
        <v>177</v>
      </c>
      <c r="C8" s="48">
        <v>0.23541805746081709</v>
      </c>
      <c r="F8" s="87"/>
      <c r="H8" s="79"/>
      <c r="I8" s="80"/>
      <c r="J8" s="81">
        <v>1</v>
      </c>
      <c r="K8" s="85">
        <v>76217</v>
      </c>
      <c r="M8" s="83"/>
      <c r="N8" s="27"/>
      <c r="O8" s="84">
        <v>1</v>
      </c>
      <c r="P8" s="86">
        <v>79086</v>
      </c>
    </row>
    <row r="9" spans="2:17">
      <c r="B9" t="s">
        <v>179</v>
      </c>
      <c r="C9" s="71">
        <f>C7*(1+C8)</f>
        <v>94931.352452393083</v>
      </c>
      <c r="E9" s="58" t="s">
        <v>183</v>
      </c>
      <c r="F9" s="87"/>
      <c r="H9" s="79"/>
      <c r="I9" s="80"/>
      <c r="J9" s="81">
        <v>1</v>
      </c>
      <c r="K9" s="85">
        <v>68089</v>
      </c>
      <c r="M9" s="83"/>
      <c r="N9" s="27"/>
      <c r="O9" s="84">
        <v>1</v>
      </c>
      <c r="P9" s="86">
        <v>76954</v>
      </c>
    </row>
    <row r="10" spans="2:17">
      <c r="B10" t="s">
        <v>181</v>
      </c>
      <c r="C10" s="89">
        <f>$F$32</f>
        <v>1405.378791441113</v>
      </c>
      <c r="E10" s="1" t="s">
        <v>184</v>
      </c>
      <c r="F10" s="87"/>
      <c r="H10" s="79"/>
      <c r="I10" s="80"/>
      <c r="J10" s="81">
        <v>1</v>
      </c>
      <c r="K10" s="85">
        <v>76192</v>
      </c>
      <c r="M10" s="83"/>
      <c r="N10" s="27"/>
      <c r="O10" s="84">
        <v>1</v>
      </c>
      <c r="P10" s="86">
        <v>75691</v>
      </c>
    </row>
    <row r="11" spans="2:17" ht="15.75" thickBot="1">
      <c r="B11" s="1" t="s">
        <v>182</v>
      </c>
      <c r="C11" s="90">
        <f>C9/C10</f>
        <v>67.548587633834956</v>
      </c>
      <c r="E11" t="s">
        <v>176</v>
      </c>
      <c r="F11" s="87">
        <v>4</v>
      </c>
      <c r="H11" s="79"/>
      <c r="I11" s="80"/>
      <c r="J11" s="81">
        <v>1</v>
      </c>
      <c r="K11" s="85">
        <v>77230</v>
      </c>
      <c r="M11" s="83"/>
      <c r="N11" s="27"/>
      <c r="O11" s="84">
        <v>1</v>
      </c>
      <c r="P11" s="86">
        <v>79086</v>
      </c>
    </row>
    <row r="12" spans="2:17" ht="15.75" thickTop="1">
      <c r="E12" t="s">
        <v>178</v>
      </c>
      <c r="F12" s="87">
        <v>37.5</v>
      </c>
      <c r="H12" s="79"/>
      <c r="I12" s="80"/>
      <c r="J12" s="81">
        <v>1</v>
      </c>
      <c r="K12" s="85">
        <v>79086</v>
      </c>
      <c r="M12" s="83"/>
      <c r="N12" s="27"/>
      <c r="O12" s="84">
        <v>1</v>
      </c>
      <c r="P12" s="86">
        <v>79086</v>
      </c>
    </row>
    <row r="13" spans="2:17">
      <c r="E13" s="1" t="s">
        <v>164</v>
      </c>
      <c r="F13" s="88">
        <f>-F11*F12</f>
        <v>-150</v>
      </c>
      <c r="H13" s="79"/>
      <c r="I13" s="80"/>
      <c r="J13" s="81">
        <v>1</v>
      </c>
      <c r="K13" s="85">
        <v>67052</v>
      </c>
      <c r="M13" s="83"/>
      <c r="N13" s="27"/>
      <c r="O13" s="84">
        <v>1</v>
      </c>
      <c r="P13" s="86">
        <v>79017</v>
      </c>
    </row>
    <row r="14" spans="2:17">
      <c r="F14" s="87"/>
      <c r="H14" s="79"/>
      <c r="I14" s="80"/>
      <c r="J14" s="81">
        <v>1</v>
      </c>
      <c r="K14" s="85">
        <v>78742</v>
      </c>
      <c r="M14" s="83"/>
      <c r="N14" s="27"/>
      <c r="O14" s="84">
        <v>1</v>
      </c>
      <c r="P14" s="86">
        <v>79245</v>
      </c>
    </row>
    <row r="15" spans="2:17">
      <c r="B15" s="1" t="s">
        <v>166</v>
      </c>
      <c r="E15" s="1" t="s">
        <v>185</v>
      </c>
      <c r="F15" s="87"/>
      <c r="H15" s="79"/>
      <c r="I15" s="80"/>
      <c r="J15" s="81">
        <v>1</v>
      </c>
      <c r="K15" s="85">
        <v>77730</v>
      </c>
      <c r="M15" s="83"/>
      <c r="N15" s="27"/>
      <c r="O15" s="84">
        <v>1</v>
      </c>
      <c r="P15" s="86">
        <v>79086</v>
      </c>
    </row>
    <row r="16" spans="2:17">
      <c r="B16" t="s">
        <v>175</v>
      </c>
      <c r="C16" s="71">
        <f>P2</f>
        <v>77710.224137931029</v>
      </c>
      <c r="E16" t="s">
        <v>186</v>
      </c>
      <c r="F16" s="87">
        <v>12</v>
      </c>
      <c r="H16" s="79"/>
      <c r="I16" s="80"/>
      <c r="J16" s="81">
        <v>1</v>
      </c>
      <c r="K16" s="85">
        <v>77216</v>
      </c>
      <c r="M16" s="83"/>
      <c r="N16" s="27"/>
      <c r="O16" s="84">
        <v>1</v>
      </c>
      <c r="P16" s="86">
        <v>77204</v>
      </c>
    </row>
    <row r="17" spans="2:22">
      <c r="B17" t="s">
        <v>191</v>
      </c>
      <c r="C17" s="48">
        <f>'Master Data'!$H$31</f>
        <v>1.0506249999999999</v>
      </c>
      <c r="E17" t="s">
        <v>187</v>
      </c>
      <c r="F17" s="87">
        <v>7.5</v>
      </c>
      <c r="H17" s="79"/>
      <c r="I17" s="80"/>
      <c r="J17" s="81">
        <v>1</v>
      </c>
      <c r="K17" s="85">
        <v>77455</v>
      </c>
      <c r="M17" s="83"/>
      <c r="N17" s="27"/>
      <c r="O17" s="84">
        <v>1</v>
      </c>
      <c r="P17" s="86">
        <v>78223</v>
      </c>
    </row>
    <row r="18" spans="2:22">
      <c r="C18" s="98">
        <f>C16*(C17)</f>
        <v>81644.304234913783</v>
      </c>
      <c r="E18" s="1" t="s">
        <v>164</v>
      </c>
      <c r="F18" s="88">
        <f>-F16*F17</f>
        <v>-90</v>
      </c>
      <c r="H18" s="79"/>
      <c r="I18" s="80"/>
      <c r="J18" s="81">
        <v>1</v>
      </c>
      <c r="K18" s="85">
        <v>76086</v>
      </c>
      <c r="M18" s="83"/>
      <c r="N18" s="27"/>
      <c r="O18" s="84">
        <v>1</v>
      </c>
      <c r="P18" s="86">
        <v>79086</v>
      </c>
    </row>
    <row r="19" spans="2:22">
      <c r="B19" t="s">
        <v>177</v>
      </c>
      <c r="C19" s="48">
        <v>0.23541805746081709</v>
      </c>
      <c r="H19" s="79"/>
      <c r="I19" s="80"/>
      <c r="J19" s="81">
        <v>1</v>
      </c>
      <c r="K19" s="85">
        <v>68333</v>
      </c>
      <c r="M19" s="83"/>
      <c r="N19" s="27"/>
      <c r="O19" s="84">
        <v>1</v>
      </c>
      <c r="P19" s="86">
        <v>79086</v>
      </c>
    </row>
    <row r="20" spans="2:22">
      <c r="B20" t="s">
        <v>179</v>
      </c>
      <c r="C20" s="71">
        <f>C18*(1+C19)</f>
        <v>100864.84774063715</v>
      </c>
      <c r="E20" s="1" t="s">
        <v>188</v>
      </c>
      <c r="F20" s="87"/>
      <c r="H20" s="79"/>
      <c r="I20" s="80"/>
      <c r="J20" s="81">
        <v>1</v>
      </c>
      <c r="K20" s="85">
        <v>71978</v>
      </c>
      <c r="M20" s="83"/>
      <c r="N20" s="27"/>
      <c r="O20" s="84">
        <v>1</v>
      </c>
      <c r="P20" s="86">
        <v>77992</v>
      </c>
    </row>
    <row r="21" spans="2:22">
      <c r="B21" t="s">
        <v>181</v>
      </c>
      <c r="C21" s="89">
        <f>F36</f>
        <v>1423.5905801692043</v>
      </c>
      <c r="E21" t="s">
        <v>186</v>
      </c>
      <c r="F21" s="87">
        <v>5</v>
      </c>
      <c r="H21" s="79"/>
      <c r="I21" s="80"/>
      <c r="J21" s="81">
        <v>1</v>
      </c>
      <c r="K21" s="85">
        <v>70678</v>
      </c>
      <c r="M21" s="83"/>
      <c r="N21" s="27"/>
      <c r="O21" s="84">
        <v>1</v>
      </c>
      <c r="P21" s="86">
        <v>75955</v>
      </c>
    </row>
    <row r="22" spans="2:22" ht="15.75" thickBot="1">
      <c r="B22" s="1" t="s">
        <v>182</v>
      </c>
      <c r="C22" s="90">
        <f>C20/C21</f>
        <v>70.852427057116813</v>
      </c>
      <c r="E22" t="s">
        <v>187</v>
      </c>
      <c r="F22" s="87">
        <v>7.5</v>
      </c>
      <c r="H22" s="79"/>
      <c r="I22" s="80"/>
      <c r="J22" s="81">
        <v>1</v>
      </c>
      <c r="K22" s="85">
        <v>75691</v>
      </c>
      <c r="M22" s="83"/>
      <c r="N22" s="27"/>
      <c r="O22" s="84">
        <v>1</v>
      </c>
      <c r="P22" s="86">
        <v>79245</v>
      </c>
    </row>
    <row r="23" spans="2:22" ht="15.75" thickTop="1">
      <c r="E23" s="1" t="s">
        <v>164</v>
      </c>
      <c r="F23" s="88">
        <f>-F21*F22</f>
        <v>-37.5</v>
      </c>
      <c r="H23" s="79"/>
      <c r="I23" s="80"/>
      <c r="J23" s="81">
        <v>1</v>
      </c>
      <c r="K23" s="85">
        <v>67576</v>
      </c>
      <c r="M23" s="83"/>
      <c r="N23" s="27"/>
      <c r="O23" s="84">
        <v>1</v>
      </c>
      <c r="P23" s="86">
        <v>79086</v>
      </c>
    </row>
    <row r="24" spans="2:22">
      <c r="H24" s="79"/>
      <c r="I24" s="80"/>
      <c r="J24" s="81">
        <v>1</v>
      </c>
      <c r="K24" s="85">
        <v>67820</v>
      </c>
      <c r="M24" s="83"/>
      <c r="N24" s="27"/>
      <c r="O24" s="84">
        <v>1</v>
      </c>
      <c r="P24" s="86">
        <v>79086</v>
      </c>
    </row>
    <row r="25" spans="2:22">
      <c r="E25" t="s">
        <v>195</v>
      </c>
      <c r="F25" s="89">
        <f>F7+F13+F18+F23</f>
        <v>1672.5</v>
      </c>
      <c r="H25" s="79"/>
      <c r="I25" s="80"/>
      <c r="J25" s="81">
        <v>1</v>
      </c>
      <c r="K25" s="85">
        <v>69402</v>
      </c>
      <c r="M25" s="83"/>
      <c r="N25" s="27"/>
      <c r="O25" s="84">
        <v>1</v>
      </c>
      <c r="P25" s="86">
        <v>75166</v>
      </c>
    </row>
    <row r="26" spans="2:22">
      <c r="H26" s="79"/>
      <c r="I26" s="80"/>
      <c r="J26" s="81">
        <v>1</v>
      </c>
      <c r="K26" s="85">
        <v>78792</v>
      </c>
      <c r="M26" s="83"/>
      <c r="N26" s="27"/>
      <c r="O26" s="84">
        <v>1</v>
      </c>
      <c r="P26" s="86">
        <v>77005</v>
      </c>
    </row>
    <row r="27" spans="2:22">
      <c r="B27" s="624" t="s">
        <v>410</v>
      </c>
      <c r="C27" s="624"/>
      <c r="D27" s="624"/>
      <c r="E27" s="624"/>
      <c r="F27" s="624"/>
      <c r="H27" s="79"/>
      <c r="I27" s="80"/>
      <c r="J27" s="81">
        <v>1</v>
      </c>
      <c r="K27" s="85">
        <v>78811</v>
      </c>
      <c r="M27" s="83"/>
      <c r="N27" s="27"/>
      <c r="O27" s="84">
        <v>1</v>
      </c>
      <c r="P27" s="86">
        <v>75904</v>
      </c>
    </row>
    <row r="28" spans="2:22">
      <c r="B28" s="624"/>
      <c r="C28" s="624"/>
      <c r="D28" s="624"/>
      <c r="E28" s="624"/>
      <c r="F28" s="624"/>
      <c r="H28" s="79"/>
      <c r="I28" s="80"/>
      <c r="J28" s="81">
        <v>1</v>
      </c>
      <c r="K28" s="85">
        <v>70939</v>
      </c>
      <c r="M28" s="83"/>
      <c r="N28" s="27"/>
      <c r="O28" s="84">
        <v>1</v>
      </c>
      <c r="P28" s="86">
        <v>78467</v>
      </c>
    </row>
    <row r="29" spans="2:22">
      <c r="B29" s="29"/>
      <c r="C29" s="317"/>
      <c r="H29" s="79"/>
      <c r="I29" s="80"/>
      <c r="J29" s="81">
        <v>1</v>
      </c>
      <c r="K29" s="85">
        <v>77736</v>
      </c>
      <c r="M29" s="83"/>
      <c r="N29" s="27"/>
      <c r="O29" s="84">
        <v>1</v>
      </c>
      <c r="P29" s="86">
        <v>79084</v>
      </c>
    </row>
    <row r="30" spans="2:22">
      <c r="B30" s="29"/>
      <c r="C30" s="29"/>
      <c r="E30" s="1" t="s">
        <v>408</v>
      </c>
      <c r="H30" s="79"/>
      <c r="I30" s="80"/>
      <c r="J30" s="81">
        <v>1</v>
      </c>
      <c r="K30" s="85">
        <v>69402</v>
      </c>
      <c r="M30" s="83"/>
      <c r="N30" s="27"/>
      <c r="O30" s="84">
        <v>1</v>
      </c>
      <c r="P30" s="86">
        <v>79086</v>
      </c>
    </row>
    <row r="31" spans="2:22">
      <c r="E31" t="s">
        <v>189</v>
      </c>
      <c r="F31" s="488">
        <v>0.84028627290948466</v>
      </c>
      <c r="H31" s="79"/>
      <c r="I31" s="80"/>
      <c r="J31" s="81">
        <v>1</v>
      </c>
      <c r="K31" s="85">
        <v>73081</v>
      </c>
      <c r="M31" s="83"/>
      <c r="N31" s="27"/>
      <c r="O31" s="84">
        <v>1</v>
      </c>
      <c r="P31" s="86">
        <v>79086</v>
      </c>
      <c r="V31" s="49"/>
    </row>
    <row r="32" spans="2:22" ht="15.75" thickBot="1">
      <c r="E32" s="1" t="s">
        <v>181</v>
      </c>
      <c r="F32" s="91">
        <f>F25*F31</f>
        <v>1405.378791441113</v>
      </c>
      <c r="H32" s="79"/>
      <c r="I32" s="80"/>
      <c r="J32" s="81">
        <v>1</v>
      </c>
      <c r="K32" s="85">
        <v>79086</v>
      </c>
      <c r="M32" s="83"/>
      <c r="N32" s="27"/>
      <c r="O32" s="84">
        <v>1</v>
      </c>
      <c r="P32" s="86">
        <v>78754</v>
      </c>
    </row>
    <row r="33" spans="5:16" ht="15.75" thickTop="1">
      <c r="H33" s="79"/>
      <c r="I33" s="80"/>
      <c r="J33" s="81">
        <v>1</v>
      </c>
      <c r="K33" s="85">
        <v>69646</v>
      </c>
      <c r="M33" s="83"/>
      <c r="N33" s="27"/>
      <c r="O33" s="84">
        <v>1</v>
      </c>
      <c r="P33" s="86">
        <v>78992</v>
      </c>
    </row>
    <row r="34" spans="5:16">
      <c r="E34" s="1" t="s">
        <v>409</v>
      </c>
      <c r="H34" s="79"/>
      <c r="I34" s="80"/>
      <c r="J34" s="81">
        <v>1</v>
      </c>
      <c r="K34" s="85">
        <v>77730</v>
      </c>
      <c r="M34" s="83"/>
      <c r="N34" s="27"/>
      <c r="O34" s="84">
        <v>1</v>
      </c>
      <c r="P34" s="86">
        <v>79086</v>
      </c>
    </row>
    <row r="35" spans="5:16">
      <c r="E35" t="s">
        <v>189</v>
      </c>
      <c r="F35" s="488">
        <v>0.85117523477979329</v>
      </c>
      <c r="H35" s="79"/>
      <c r="I35" s="80"/>
      <c r="J35" s="81">
        <v>1</v>
      </c>
      <c r="K35" s="85">
        <v>69383</v>
      </c>
      <c r="M35" s="83"/>
      <c r="N35" s="27"/>
      <c r="O35" s="84">
        <v>1</v>
      </c>
      <c r="P35" s="86">
        <v>78005</v>
      </c>
    </row>
    <row r="36" spans="5:16" ht="15.75" thickBot="1">
      <c r="E36" s="1" t="s">
        <v>181</v>
      </c>
      <c r="F36" s="344">
        <f>F25*F35</f>
        <v>1423.5905801692043</v>
      </c>
      <c r="H36" s="79"/>
      <c r="I36" s="80"/>
      <c r="J36" s="81">
        <v>1</v>
      </c>
      <c r="K36" s="85">
        <v>78832</v>
      </c>
      <c r="M36" s="83"/>
      <c r="N36" s="27"/>
      <c r="O36" s="84">
        <v>1</v>
      </c>
      <c r="P36" s="86">
        <v>77967</v>
      </c>
    </row>
    <row r="37" spans="5:16" ht="15.75" thickTop="1">
      <c r="H37" s="79"/>
      <c r="I37" s="80"/>
      <c r="J37" s="81">
        <v>1</v>
      </c>
      <c r="K37" s="85">
        <v>79086</v>
      </c>
      <c r="M37" s="83"/>
      <c r="N37" s="27"/>
      <c r="O37" s="487">
        <v>0.55549999999999999</v>
      </c>
      <c r="P37" s="92">
        <v>74904</v>
      </c>
    </row>
    <row r="38" spans="5:16">
      <c r="H38" s="79"/>
      <c r="I38" s="80"/>
      <c r="J38" s="81">
        <v>1</v>
      </c>
      <c r="K38" s="85">
        <v>78504</v>
      </c>
      <c r="M38" s="83"/>
      <c r="N38" s="27"/>
      <c r="O38" s="84">
        <v>1</v>
      </c>
      <c r="P38" s="86">
        <v>79086</v>
      </c>
    </row>
    <row r="39" spans="5:16">
      <c r="H39" s="79"/>
      <c r="I39" s="80"/>
      <c r="J39" s="81">
        <v>1</v>
      </c>
      <c r="K39" s="85">
        <v>76454</v>
      </c>
      <c r="M39" s="83"/>
      <c r="N39" s="27"/>
      <c r="O39" s="84">
        <v>1</v>
      </c>
      <c r="P39" s="86">
        <v>77967</v>
      </c>
    </row>
    <row r="40" spans="5:16">
      <c r="H40" s="79"/>
      <c r="I40" s="80"/>
      <c r="J40" s="81">
        <v>1</v>
      </c>
      <c r="K40" s="85">
        <v>78717</v>
      </c>
      <c r="M40" s="83"/>
      <c r="N40" s="27"/>
      <c r="O40" s="84">
        <v>1</v>
      </c>
      <c r="P40" s="86">
        <v>78504</v>
      </c>
    </row>
    <row r="41" spans="5:16">
      <c r="H41" s="79"/>
      <c r="I41" s="80"/>
      <c r="J41" s="81">
        <v>1</v>
      </c>
      <c r="K41" s="85">
        <v>79086</v>
      </c>
      <c r="M41" s="83"/>
      <c r="N41" s="27"/>
      <c r="O41" s="84">
        <v>1</v>
      </c>
      <c r="P41" s="86">
        <v>74904</v>
      </c>
    </row>
    <row r="42" spans="5:16">
      <c r="H42" s="79"/>
      <c r="I42" s="80"/>
      <c r="J42" s="81">
        <v>1</v>
      </c>
      <c r="K42" s="85">
        <v>77716</v>
      </c>
      <c r="M42" s="83"/>
      <c r="N42" s="27"/>
      <c r="O42" s="84">
        <v>1</v>
      </c>
      <c r="P42" s="86">
        <v>79086</v>
      </c>
    </row>
    <row r="43" spans="5:16">
      <c r="H43" s="79"/>
      <c r="I43" s="80"/>
      <c r="J43" s="81">
        <v>1</v>
      </c>
      <c r="K43" s="85">
        <v>70865</v>
      </c>
      <c r="M43" s="83"/>
      <c r="N43" s="27"/>
      <c r="O43" s="84">
        <v>1</v>
      </c>
      <c r="P43" s="86">
        <v>78480</v>
      </c>
    </row>
    <row r="44" spans="5:16">
      <c r="H44" s="79"/>
      <c r="I44" s="80"/>
      <c r="J44" s="81">
        <v>1</v>
      </c>
      <c r="K44" s="85">
        <v>78967</v>
      </c>
      <c r="M44" s="83"/>
      <c r="N44" s="27"/>
      <c r="O44" s="84">
        <v>1</v>
      </c>
      <c r="P44" s="86">
        <v>78223</v>
      </c>
    </row>
    <row r="45" spans="5:16">
      <c r="H45" s="79"/>
      <c r="I45" s="80"/>
      <c r="J45" s="81">
        <v>1</v>
      </c>
      <c r="K45" s="85">
        <v>68621</v>
      </c>
      <c r="M45" s="83"/>
      <c r="N45" s="27"/>
      <c r="O45" s="84">
        <v>1</v>
      </c>
      <c r="P45" s="86">
        <v>78005</v>
      </c>
    </row>
    <row r="46" spans="5:16">
      <c r="H46" s="79"/>
      <c r="I46" s="80"/>
      <c r="J46" s="81">
        <v>1</v>
      </c>
      <c r="K46" s="85">
        <v>79086</v>
      </c>
      <c r="M46" s="83"/>
      <c r="N46" s="27"/>
      <c r="O46" s="84">
        <v>1</v>
      </c>
      <c r="P46" s="86">
        <v>72422</v>
      </c>
    </row>
    <row r="47" spans="5:16">
      <c r="H47" s="79"/>
      <c r="I47" s="80"/>
      <c r="J47" s="81">
        <v>1</v>
      </c>
      <c r="K47" s="85">
        <v>71345</v>
      </c>
      <c r="M47" s="83"/>
      <c r="N47" s="27"/>
      <c r="O47" s="84">
        <v>1</v>
      </c>
      <c r="P47" s="86">
        <v>72422</v>
      </c>
    </row>
    <row r="48" spans="5:16">
      <c r="H48" s="79"/>
      <c r="I48" s="80"/>
      <c r="J48" s="81">
        <v>1</v>
      </c>
      <c r="K48" s="85">
        <v>75691</v>
      </c>
      <c r="M48" s="83"/>
      <c r="N48" s="27"/>
      <c r="O48" s="84">
        <v>1</v>
      </c>
      <c r="P48" s="86">
        <v>78223</v>
      </c>
    </row>
    <row r="49" spans="8:16">
      <c r="H49" s="79"/>
      <c r="I49" s="80"/>
      <c r="J49" s="81">
        <v>1</v>
      </c>
      <c r="K49" s="85">
        <v>74904</v>
      </c>
      <c r="M49" s="83"/>
      <c r="N49" s="27"/>
      <c r="O49" s="84">
        <v>1</v>
      </c>
      <c r="P49" s="86">
        <v>75955</v>
      </c>
    </row>
    <row r="50" spans="8:16">
      <c r="H50" s="79"/>
      <c r="I50" s="80"/>
      <c r="J50" s="81">
        <v>1</v>
      </c>
      <c r="K50" s="85">
        <v>70652</v>
      </c>
      <c r="M50" s="83"/>
      <c r="N50" s="27"/>
      <c r="O50" s="84">
        <v>1</v>
      </c>
      <c r="P50" s="86">
        <v>78504</v>
      </c>
    </row>
    <row r="51" spans="8:16">
      <c r="H51" s="79"/>
      <c r="I51" s="80"/>
      <c r="J51" s="81">
        <v>1</v>
      </c>
      <c r="K51" s="85">
        <v>75417</v>
      </c>
      <c r="M51" s="83"/>
      <c r="N51" s="27"/>
      <c r="O51" s="84">
        <v>1</v>
      </c>
      <c r="P51" s="86">
        <v>79086</v>
      </c>
    </row>
    <row r="52" spans="8:16">
      <c r="H52" s="79"/>
      <c r="I52" s="80"/>
      <c r="J52" s="81">
        <v>1</v>
      </c>
      <c r="K52" s="85">
        <v>69351</v>
      </c>
      <c r="M52" s="83"/>
      <c r="N52" s="27"/>
      <c r="O52" s="84">
        <v>1</v>
      </c>
      <c r="P52" s="86">
        <v>74904</v>
      </c>
    </row>
    <row r="53" spans="8:16">
      <c r="H53" s="79"/>
      <c r="I53" s="80"/>
      <c r="J53" s="81">
        <v>1</v>
      </c>
      <c r="K53" s="85">
        <v>71728</v>
      </c>
      <c r="M53" s="83"/>
      <c r="N53" s="27"/>
      <c r="O53" s="84">
        <v>1</v>
      </c>
      <c r="P53" s="86">
        <v>76954</v>
      </c>
    </row>
    <row r="54" spans="8:16">
      <c r="H54" s="79"/>
      <c r="I54" s="80"/>
      <c r="J54" s="81">
        <v>1</v>
      </c>
      <c r="K54" s="85">
        <v>78236</v>
      </c>
      <c r="M54" s="83"/>
      <c r="N54" s="27"/>
      <c r="O54" s="84">
        <v>1</v>
      </c>
      <c r="P54" s="86">
        <v>76992</v>
      </c>
    </row>
    <row r="55" spans="8:16">
      <c r="H55" s="79"/>
      <c r="I55" s="80"/>
      <c r="J55" s="81">
        <v>1</v>
      </c>
      <c r="K55" s="85">
        <v>69889</v>
      </c>
      <c r="M55" s="83"/>
      <c r="N55" s="27"/>
      <c r="O55" s="84">
        <v>1</v>
      </c>
      <c r="P55" s="86">
        <v>79086</v>
      </c>
    </row>
    <row r="56" spans="8:16">
      <c r="H56" s="79"/>
      <c r="I56" s="80"/>
      <c r="J56" s="81">
        <v>1</v>
      </c>
      <c r="K56" s="85">
        <v>79086</v>
      </c>
      <c r="M56" s="83"/>
      <c r="N56" s="27"/>
      <c r="O56" s="84">
        <v>1</v>
      </c>
      <c r="P56" s="86">
        <v>72422</v>
      </c>
    </row>
    <row r="57" spans="8:16">
      <c r="H57" s="79"/>
      <c r="I57" s="80"/>
      <c r="J57" s="81">
        <v>1</v>
      </c>
      <c r="K57" s="85">
        <v>76185</v>
      </c>
      <c r="M57" s="83"/>
      <c r="N57" s="27"/>
      <c r="O57" s="84">
        <v>1</v>
      </c>
      <c r="P57" s="86">
        <v>76904</v>
      </c>
    </row>
    <row r="58" spans="8:16">
      <c r="H58" s="79"/>
      <c r="I58" s="80"/>
      <c r="J58" s="81">
        <v>1</v>
      </c>
      <c r="K58" s="85">
        <v>71139</v>
      </c>
      <c r="M58" s="83"/>
      <c r="N58" s="27"/>
      <c r="O58" s="84">
        <v>1</v>
      </c>
      <c r="P58" s="86">
        <v>78992</v>
      </c>
    </row>
    <row r="59" spans="8:16">
      <c r="H59" s="79"/>
      <c r="I59" s="80"/>
      <c r="J59" s="81">
        <v>1</v>
      </c>
      <c r="K59" s="85">
        <v>73152</v>
      </c>
      <c r="M59" s="83"/>
      <c r="N59" s="27"/>
      <c r="O59" s="84">
        <v>1</v>
      </c>
      <c r="P59" s="86">
        <v>78417</v>
      </c>
    </row>
    <row r="60" spans="8:16">
      <c r="H60" s="79"/>
      <c r="I60" s="80"/>
      <c r="J60" s="81">
        <v>1</v>
      </c>
      <c r="K60" s="85">
        <v>76679</v>
      </c>
      <c r="M60" s="83"/>
      <c r="N60" s="27"/>
      <c r="O60" s="84">
        <v>1</v>
      </c>
      <c r="P60" s="86">
        <v>76442</v>
      </c>
    </row>
    <row r="61" spans="8:16">
      <c r="H61" s="79"/>
      <c r="I61" s="80"/>
      <c r="J61" s="81">
        <v>1</v>
      </c>
      <c r="K61" s="85">
        <v>78017</v>
      </c>
      <c r="M61" s="77"/>
      <c r="N61" s="55"/>
      <c r="O61" s="56">
        <v>1</v>
      </c>
      <c r="P61" s="93">
        <v>76954</v>
      </c>
    </row>
    <row r="62" spans="8:16">
      <c r="H62" s="79"/>
      <c r="I62" s="80"/>
      <c r="J62" s="81">
        <v>1</v>
      </c>
      <c r="K62" s="85">
        <v>70376</v>
      </c>
    </row>
    <row r="63" spans="8:16">
      <c r="H63" s="79"/>
      <c r="I63" s="80"/>
      <c r="J63" s="81">
        <v>1</v>
      </c>
      <c r="K63" s="85">
        <v>77743</v>
      </c>
    </row>
    <row r="64" spans="8:16">
      <c r="H64" s="79"/>
      <c r="I64" s="80"/>
      <c r="J64" s="81">
        <v>1</v>
      </c>
      <c r="K64" s="85">
        <v>71703</v>
      </c>
    </row>
    <row r="65" spans="8:11">
      <c r="H65" s="79"/>
      <c r="I65" s="80"/>
      <c r="J65" s="81">
        <v>1</v>
      </c>
      <c r="K65" s="85">
        <v>75867</v>
      </c>
    </row>
    <row r="66" spans="8:11">
      <c r="H66" s="79"/>
      <c r="I66" s="80"/>
      <c r="J66" s="81">
        <v>1</v>
      </c>
      <c r="K66" s="85">
        <v>78555</v>
      </c>
    </row>
    <row r="67" spans="8:11">
      <c r="H67" s="79"/>
      <c r="I67" s="80"/>
      <c r="J67" s="81">
        <v>1</v>
      </c>
      <c r="K67" s="85">
        <v>69345</v>
      </c>
    </row>
    <row r="68" spans="8:11">
      <c r="H68" s="79"/>
      <c r="I68" s="80"/>
      <c r="J68" s="81">
        <v>1</v>
      </c>
      <c r="K68" s="85">
        <v>68354</v>
      </c>
    </row>
    <row r="69" spans="8:11">
      <c r="H69" s="79"/>
      <c r="I69" s="80"/>
      <c r="J69" s="81">
        <v>1</v>
      </c>
      <c r="K69" s="85">
        <v>69351</v>
      </c>
    </row>
    <row r="70" spans="8:11">
      <c r="H70" s="79"/>
      <c r="I70" s="80"/>
      <c r="J70" s="81">
        <v>1</v>
      </c>
      <c r="K70" s="85">
        <v>71440</v>
      </c>
    </row>
    <row r="71" spans="8:11">
      <c r="H71" s="79"/>
      <c r="I71" s="80"/>
      <c r="J71" s="81">
        <v>1</v>
      </c>
      <c r="K71" s="85">
        <v>70703</v>
      </c>
    </row>
    <row r="72" spans="8:11">
      <c r="H72" s="79"/>
      <c r="I72" s="80"/>
      <c r="J72" s="81">
        <v>1</v>
      </c>
      <c r="K72" s="85">
        <v>78267</v>
      </c>
    </row>
    <row r="73" spans="8:11">
      <c r="H73" s="79"/>
      <c r="I73" s="80"/>
      <c r="J73" s="81">
        <v>1</v>
      </c>
      <c r="K73" s="85">
        <v>76467</v>
      </c>
    </row>
    <row r="74" spans="8:11">
      <c r="H74" s="79"/>
      <c r="I74" s="80"/>
      <c r="J74" s="81">
        <v>1</v>
      </c>
      <c r="K74" s="85">
        <v>76954</v>
      </c>
    </row>
    <row r="75" spans="8:11">
      <c r="H75" s="79"/>
      <c r="I75" s="80"/>
      <c r="J75" s="81">
        <v>1</v>
      </c>
      <c r="K75" s="85">
        <v>70677</v>
      </c>
    </row>
    <row r="76" spans="8:11">
      <c r="H76" s="79"/>
      <c r="I76" s="80"/>
      <c r="J76" s="81">
        <v>1</v>
      </c>
      <c r="K76" s="85">
        <v>70401</v>
      </c>
    </row>
    <row r="77" spans="8:11">
      <c r="H77" s="79"/>
      <c r="I77" s="80"/>
      <c r="J77" s="81">
        <v>1</v>
      </c>
      <c r="K77" s="85">
        <v>73305</v>
      </c>
    </row>
    <row r="78" spans="8:11">
      <c r="H78" s="79"/>
      <c r="I78" s="80"/>
      <c r="J78" s="81">
        <v>1</v>
      </c>
      <c r="K78" s="85">
        <v>69351</v>
      </c>
    </row>
    <row r="79" spans="8:11">
      <c r="H79" s="79"/>
      <c r="I79" s="80"/>
      <c r="J79" s="81">
        <v>1</v>
      </c>
      <c r="K79" s="85">
        <v>65392</v>
      </c>
    </row>
    <row r="80" spans="8:11">
      <c r="H80" s="79"/>
      <c r="I80" s="80"/>
      <c r="J80" s="81">
        <v>1</v>
      </c>
      <c r="K80" s="85">
        <v>70939</v>
      </c>
    </row>
    <row r="81" spans="8:11">
      <c r="H81" s="79"/>
      <c r="I81" s="80"/>
      <c r="J81" s="81">
        <v>1</v>
      </c>
      <c r="K81" s="85">
        <v>68576</v>
      </c>
    </row>
    <row r="82" spans="8:11">
      <c r="H82" s="79"/>
      <c r="I82" s="80"/>
      <c r="J82" s="81">
        <v>1</v>
      </c>
      <c r="K82" s="85">
        <v>76467</v>
      </c>
    </row>
    <row r="83" spans="8:11">
      <c r="H83" s="79"/>
      <c r="I83" s="80"/>
      <c r="J83" s="81">
        <v>1</v>
      </c>
      <c r="K83" s="85">
        <v>70101</v>
      </c>
    </row>
    <row r="84" spans="8:11">
      <c r="H84" s="79"/>
      <c r="I84" s="80"/>
      <c r="J84" s="81">
        <v>1</v>
      </c>
      <c r="K84" s="85">
        <v>69639</v>
      </c>
    </row>
    <row r="85" spans="8:11">
      <c r="H85" s="79"/>
      <c r="I85" s="80"/>
      <c r="J85" s="81">
        <v>1</v>
      </c>
      <c r="K85" s="85">
        <v>69633</v>
      </c>
    </row>
    <row r="86" spans="8:11">
      <c r="H86" s="79"/>
      <c r="I86" s="80"/>
      <c r="J86" s="81">
        <v>1</v>
      </c>
      <c r="K86" s="85">
        <v>68851</v>
      </c>
    </row>
    <row r="87" spans="8:11">
      <c r="H87" s="79"/>
      <c r="I87" s="80"/>
      <c r="J87" s="81">
        <v>1</v>
      </c>
      <c r="K87" s="85">
        <v>78998</v>
      </c>
    </row>
    <row r="88" spans="8:11">
      <c r="H88" s="79"/>
      <c r="I88" s="80"/>
      <c r="J88" s="81">
        <v>1</v>
      </c>
      <c r="K88" s="85">
        <v>77204</v>
      </c>
    </row>
    <row r="89" spans="8:11">
      <c r="H89" s="79"/>
      <c r="I89" s="80"/>
      <c r="J89" s="81">
        <v>1</v>
      </c>
      <c r="K89" s="85">
        <v>71345</v>
      </c>
    </row>
    <row r="90" spans="8:11">
      <c r="H90" s="79"/>
      <c r="I90" s="80"/>
      <c r="J90" s="81">
        <v>1</v>
      </c>
      <c r="K90" s="85">
        <v>78529</v>
      </c>
    </row>
    <row r="91" spans="8:11">
      <c r="H91" s="79"/>
      <c r="I91" s="80"/>
      <c r="J91" s="81">
        <v>1</v>
      </c>
      <c r="K91" s="85">
        <v>71189</v>
      </c>
    </row>
    <row r="92" spans="8:11">
      <c r="H92" s="79"/>
      <c r="I92" s="80"/>
      <c r="J92" s="81">
        <v>1</v>
      </c>
      <c r="K92" s="85">
        <v>69351</v>
      </c>
    </row>
    <row r="93" spans="8:11">
      <c r="H93" s="79"/>
      <c r="I93" s="80"/>
      <c r="J93" s="81">
        <v>1</v>
      </c>
      <c r="K93" s="85">
        <v>70076</v>
      </c>
    </row>
    <row r="94" spans="8:11">
      <c r="H94" s="79"/>
      <c r="I94" s="80"/>
      <c r="J94" s="81">
        <v>1</v>
      </c>
      <c r="K94" s="85">
        <v>72614</v>
      </c>
    </row>
    <row r="95" spans="8:11">
      <c r="H95" s="79"/>
      <c r="I95" s="80"/>
      <c r="J95" s="81">
        <v>1</v>
      </c>
      <c r="K95" s="85">
        <v>75404</v>
      </c>
    </row>
    <row r="96" spans="8:11">
      <c r="H96" s="79"/>
      <c r="I96" s="80"/>
      <c r="J96" s="81">
        <v>1</v>
      </c>
      <c r="K96" s="85">
        <v>69383</v>
      </c>
    </row>
    <row r="97" spans="8:11">
      <c r="H97" s="79"/>
      <c r="I97" s="80"/>
      <c r="J97" s="81">
        <v>1</v>
      </c>
      <c r="K97" s="85">
        <v>68589</v>
      </c>
    </row>
    <row r="98" spans="8:11">
      <c r="H98" s="79"/>
      <c r="I98" s="80"/>
      <c r="J98" s="81">
        <v>1</v>
      </c>
      <c r="K98" s="85">
        <v>76454</v>
      </c>
    </row>
    <row r="99" spans="8:11">
      <c r="H99" s="79"/>
      <c r="I99" s="80"/>
      <c r="J99" s="81">
        <v>1</v>
      </c>
      <c r="K99" s="85">
        <v>77716</v>
      </c>
    </row>
    <row r="100" spans="8:11">
      <c r="H100" s="79"/>
      <c r="I100" s="80"/>
      <c r="J100" s="81">
        <v>1</v>
      </c>
      <c r="K100" s="85">
        <v>79086</v>
      </c>
    </row>
    <row r="101" spans="8:11">
      <c r="H101" s="79"/>
      <c r="I101" s="80"/>
      <c r="J101" s="81">
        <v>1</v>
      </c>
      <c r="K101" s="85">
        <v>69008</v>
      </c>
    </row>
    <row r="102" spans="8:11">
      <c r="H102" s="79"/>
      <c r="I102" s="80"/>
      <c r="J102" s="81">
        <v>1</v>
      </c>
      <c r="K102" s="85">
        <v>68008</v>
      </c>
    </row>
    <row r="103" spans="8:11">
      <c r="H103" s="79"/>
      <c r="I103" s="80"/>
      <c r="J103" s="81">
        <v>1</v>
      </c>
      <c r="K103" s="85">
        <v>68258</v>
      </c>
    </row>
    <row r="104" spans="8:11">
      <c r="H104" s="79"/>
      <c r="I104" s="80"/>
      <c r="J104" s="81">
        <v>1</v>
      </c>
      <c r="K104" s="85">
        <v>64142</v>
      </c>
    </row>
    <row r="105" spans="8:11">
      <c r="H105" s="79"/>
      <c r="I105" s="80"/>
      <c r="J105" s="81">
        <v>1</v>
      </c>
      <c r="K105" s="85">
        <v>69258</v>
      </c>
    </row>
    <row r="106" spans="8:11">
      <c r="H106" s="79"/>
      <c r="I106" s="80"/>
      <c r="J106" s="81">
        <v>1</v>
      </c>
      <c r="K106" s="85">
        <v>68758</v>
      </c>
    </row>
    <row r="107" spans="8:11">
      <c r="H107" s="79"/>
      <c r="I107" s="80"/>
      <c r="J107" s="81">
        <v>1</v>
      </c>
      <c r="K107" s="85">
        <v>69820</v>
      </c>
    </row>
    <row r="108" spans="8:11">
      <c r="H108" s="79"/>
      <c r="I108" s="80"/>
      <c r="J108" s="81">
        <v>1</v>
      </c>
      <c r="K108" s="85">
        <v>68333</v>
      </c>
    </row>
    <row r="109" spans="8:11">
      <c r="H109" s="79"/>
      <c r="I109" s="80"/>
      <c r="J109" s="81">
        <v>1</v>
      </c>
      <c r="K109" s="85">
        <v>66354</v>
      </c>
    </row>
    <row r="110" spans="8:11">
      <c r="H110" s="79"/>
      <c r="I110" s="80"/>
      <c r="J110" s="81">
        <v>1</v>
      </c>
      <c r="K110" s="85">
        <v>66354</v>
      </c>
    </row>
    <row r="111" spans="8:11">
      <c r="H111" s="79"/>
      <c r="I111" s="80"/>
      <c r="J111" s="81">
        <v>1</v>
      </c>
      <c r="K111" s="85">
        <v>66354</v>
      </c>
    </row>
    <row r="112" spans="8:11">
      <c r="H112" s="79"/>
      <c r="I112" s="80"/>
      <c r="J112" s="81">
        <v>1</v>
      </c>
      <c r="K112" s="85">
        <v>79086</v>
      </c>
    </row>
    <row r="113" spans="8:11">
      <c r="H113" s="94"/>
      <c r="I113" s="95"/>
      <c r="J113" s="96">
        <v>1</v>
      </c>
      <c r="K113" s="97">
        <v>67052</v>
      </c>
    </row>
  </sheetData>
  <mergeCells count="2">
    <mergeCell ref="E4:F4"/>
    <mergeCell ref="B27:F28"/>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7" tint="-0.249977111117893"/>
  </sheetPr>
  <dimension ref="A1:K131"/>
  <sheetViews>
    <sheetView workbookViewId="0">
      <selection activeCell="B2" sqref="B2"/>
    </sheetView>
  </sheetViews>
  <sheetFormatPr defaultRowHeight="15"/>
  <cols>
    <col min="1" max="1" width="7.140625" customWidth="1"/>
    <col min="2" max="2" width="83.28515625" style="4" bestFit="1" customWidth="1"/>
    <col min="3" max="3" width="13.42578125" style="4" customWidth="1"/>
    <col min="4" max="4" width="10.28515625" bestFit="1" customWidth="1"/>
    <col min="14" max="14" width="97.7109375" bestFit="1" customWidth="1"/>
  </cols>
  <sheetData>
    <row r="1" spans="2:7">
      <c r="B1" s="342" t="s">
        <v>472</v>
      </c>
    </row>
    <row r="3" spans="2:7" ht="21">
      <c r="B3" s="201" t="s">
        <v>126</v>
      </c>
      <c r="C3" s="625" t="s">
        <v>127</v>
      </c>
      <c r="D3" s="625"/>
      <c r="E3" s="625"/>
      <c r="F3" s="485"/>
      <c r="G3" s="486"/>
    </row>
    <row r="4" spans="2:7">
      <c r="B4" s="126"/>
      <c r="C4" s="114" t="s">
        <v>128</v>
      </c>
      <c r="D4" s="114" t="s">
        <v>129</v>
      </c>
      <c r="E4" s="112" t="s">
        <v>130</v>
      </c>
      <c r="F4" s="149"/>
      <c r="G4" s="202"/>
    </row>
    <row r="5" spans="2:7">
      <c r="B5" s="203" t="s">
        <v>131</v>
      </c>
      <c r="C5" s="149"/>
      <c r="D5" s="149"/>
      <c r="E5" s="149"/>
      <c r="F5" s="149"/>
      <c r="G5" s="202"/>
    </row>
    <row r="6" spans="2:7">
      <c r="B6" s="126" t="s">
        <v>132</v>
      </c>
      <c r="C6" s="149" t="s">
        <v>466</v>
      </c>
      <c r="D6" s="204" t="s">
        <v>467</v>
      </c>
      <c r="E6" s="477">
        <v>5</v>
      </c>
      <c r="F6" s="149" t="s">
        <v>143</v>
      </c>
      <c r="G6" s="205"/>
    </row>
    <row r="7" spans="2:7">
      <c r="B7" s="126" t="s">
        <v>133</v>
      </c>
      <c r="C7" s="149" t="s">
        <v>466</v>
      </c>
      <c r="D7" s="204" t="s">
        <v>467</v>
      </c>
      <c r="E7" s="477">
        <v>5</v>
      </c>
      <c r="F7" s="149" t="s">
        <v>143</v>
      </c>
      <c r="G7" s="205"/>
    </row>
    <row r="8" spans="2:7">
      <c r="B8" s="126" t="s">
        <v>57</v>
      </c>
      <c r="C8" s="149" t="s">
        <v>138</v>
      </c>
      <c r="D8" s="204" t="s">
        <v>138</v>
      </c>
      <c r="E8" s="477">
        <v>8</v>
      </c>
      <c r="F8" s="149" t="s">
        <v>143</v>
      </c>
      <c r="G8" s="205"/>
    </row>
    <row r="9" spans="2:7">
      <c r="B9" s="126" t="s">
        <v>58</v>
      </c>
      <c r="C9" s="149" t="s">
        <v>138</v>
      </c>
      <c r="D9" s="204" t="s">
        <v>138</v>
      </c>
      <c r="E9" s="477">
        <v>8</v>
      </c>
      <c r="F9" s="149" t="s">
        <v>143</v>
      </c>
      <c r="G9" s="205"/>
    </row>
    <row r="10" spans="2:7">
      <c r="B10" s="126" t="s">
        <v>75</v>
      </c>
      <c r="C10" s="149" t="s">
        <v>466</v>
      </c>
      <c r="D10" s="204" t="s">
        <v>468</v>
      </c>
      <c r="E10" s="477">
        <v>5</v>
      </c>
      <c r="F10" s="149" t="s">
        <v>143</v>
      </c>
      <c r="G10" s="205"/>
    </row>
    <row r="11" spans="2:7">
      <c r="B11" s="126" t="s">
        <v>134</v>
      </c>
      <c r="C11" s="149" t="s">
        <v>466</v>
      </c>
      <c r="D11" s="204" t="s">
        <v>467</v>
      </c>
      <c r="E11" s="477">
        <v>5</v>
      </c>
      <c r="F11" s="149" t="s">
        <v>143</v>
      </c>
      <c r="G11" s="205"/>
    </row>
    <row r="12" spans="2:7">
      <c r="B12" s="126" t="s">
        <v>2</v>
      </c>
      <c r="C12" s="149" t="s">
        <v>466</v>
      </c>
      <c r="D12" s="204" t="s">
        <v>467</v>
      </c>
      <c r="E12" s="477">
        <v>5</v>
      </c>
      <c r="F12" s="149" t="s">
        <v>143</v>
      </c>
      <c r="G12" s="205"/>
    </row>
    <row r="13" spans="2:7">
      <c r="B13" s="126"/>
      <c r="C13" s="149"/>
      <c r="D13" s="149"/>
      <c r="E13" s="477"/>
      <c r="F13" s="149"/>
      <c r="G13" s="202"/>
    </row>
    <row r="14" spans="2:7">
      <c r="B14" s="203" t="s">
        <v>135</v>
      </c>
      <c r="C14" s="149"/>
      <c r="D14" s="149"/>
      <c r="E14" s="477"/>
      <c r="F14" s="149"/>
      <c r="G14" s="202"/>
    </row>
    <row r="15" spans="2:7">
      <c r="B15" s="126" t="s">
        <v>217</v>
      </c>
      <c r="C15" s="149" t="s">
        <v>136</v>
      </c>
      <c r="D15" s="204" t="s">
        <v>467</v>
      </c>
      <c r="E15" s="477">
        <v>12</v>
      </c>
      <c r="F15" s="149" t="s">
        <v>143</v>
      </c>
      <c r="G15" s="205"/>
    </row>
    <row r="16" spans="2:7">
      <c r="B16" s="126" t="s">
        <v>68</v>
      </c>
      <c r="C16" s="149" t="s">
        <v>469</v>
      </c>
      <c r="D16" s="204" t="s">
        <v>467</v>
      </c>
      <c r="E16" s="477">
        <v>10</v>
      </c>
      <c r="F16" s="149" t="s">
        <v>143</v>
      </c>
      <c r="G16" s="205"/>
    </row>
    <row r="17" spans="1:7">
      <c r="B17" s="126" t="s">
        <v>351</v>
      </c>
      <c r="C17" s="149" t="s">
        <v>136</v>
      </c>
      <c r="D17" s="204" t="s">
        <v>467</v>
      </c>
      <c r="E17" s="477">
        <v>12</v>
      </c>
      <c r="F17" s="149" t="s">
        <v>143</v>
      </c>
      <c r="G17" s="205"/>
    </row>
    <row r="18" spans="1:7">
      <c r="B18" s="126" t="s">
        <v>226</v>
      </c>
      <c r="C18" s="149" t="s">
        <v>136</v>
      </c>
      <c r="D18" s="204" t="s">
        <v>467</v>
      </c>
      <c r="E18" s="477">
        <v>12</v>
      </c>
      <c r="F18" s="149" t="s">
        <v>143</v>
      </c>
      <c r="G18" s="205"/>
    </row>
    <row r="19" spans="1:7">
      <c r="B19" s="126" t="s">
        <v>350</v>
      </c>
      <c r="C19" s="149" t="s">
        <v>136</v>
      </c>
      <c r="D19" s="204" t="s">
        <v>467</v>
      </c>
      <c r="E19" s="477">
        <v>12</v>
      </c>
      <c r="F19" s="149" t="s">
        <v>143</v>
      </c>
      <c r="G19" s="205"/>
    </row>
    <row r="20" spans="1:7">
      <c r="B20" s="126" t="s">
        <v>137</v>
      </c>
      <c r="C20" s="149" t="s">
        <v>138</v>
      </c>
      <c r="D20" s="149" t="s">
        <v>139</v>
      </c>
      <c r="E20" s="477">
        <v>6</v>
      </c>
      <c r="F20" s="149" t="s">
        <v>143</v>
      </c>
      <c r="G20" s="205"/>
    </row>
    <row r="21" spans="1:7">
      <c r="B21" s="126" t="s">
        <v>228</v>
      </c>
      <c r="C21" s="149" t="s">
        <v>138</v>
      </c>
      <c r="D21" s="149" t="s">
        <v>139</v>
      </c>
      <c r="E21" s="477">
        <v>6</v>
      </c>
      <c r="F21" s="149" t="s">
        <v>143</v>
      </c>
      <c r="G21" s="205"/>
    </row>
    <row r="22" spans="1:7">
      <c r="B22" s="126" t="s">
        <v>227</v>
      </c>
      <c r="C22" s="149" t="s">
        <v>138</v>
      </c>
      <c r="D22" s="149" t="s">
        <v>139</v>
      </c>
      <c r="E22" s="477">
        <v>6</v>
      </c>
      <c r="F22" s="149" t="s">
        <v>143</v>
      </c>
      <c r="G22" s="205"/>
    </row>
    <row r="23" spans="1:7" ht="15" customHeight="1">
      <c r="B23" s="126" t="s">
        <v>88</v>
      </c>
      <c r="C23" s="149" t="s">
        <v>138</v>
      </c>
      <c r="D23" s="149" t="s">
        <v>139</v>
      </c>
      <c r="E23" s="477">
        <v>6</v>
      </c>
      <c r="F23" s="149" t="s">
        <v>143</v>
      </c>
      <c r="G23" s="205"/>
    </row>
    <row r="24" spans="1:7" ht="15" customHeight="1">
      <c r="B24" s="126" t="s">
        <v>140</v>
      </c>
      <c r="C24" s="149" t="s">
        <v>470</v>
      </c>
      <c r="D24" s="149" t="s">
        <v>471</v>
      </c>
      <c r="E24" s="477">
        <v>20</v>
      </c>
      <c r="F24" s="149" t="s">
        <v>143</v>
      </c>
      <c r="G24" s="205"/>
    </row>
    <row r="25" spans="1:7" ht="15" customHeight="1">
      <c r="B25" s="126"/>
      <c r="C25" s="149"/>
      <c r="D25" s="149"/>
      <c r="E25" s="149"/>
      <c r="F25" s="149"/>
      <c r="G25" s="202"/>
    </row>
    <row r="26" spans="1:7" ht="15" customHeight="1">
      <c r="B26" s="126"/>
      <c r="C26" s="149"/>
      <c r="D26" s="149"/>
      <c r="E26" s="206">
        <f>SUM(E6:E24)</f>
        <v>143</v>
      </c>
      <c r="F26" s="149"/>
      <c r="G26" s="207"/>
    </row>
    <row r="27" spans="1:7" ht="15" customHeight="1">
      <c r="B27" s="127"/>
      <c r="C27" s="151"/>
      <c r="D27" s="151"/>
      <c r="E27" s="151"/>
      <c r="F27" s="151"/>
      <c r="G27" s="128"/>
    </row>
    <row r="28" spans="1:7" ht="15" customHeight="1">
      <c r="B28"/>
      <c r="D28" s="4"/>
    </row>
    <row r="29" spans="1:7" ht="15" customHeight="1"/>
    <row r="30" spans="1:7" ht="15" customHeight="1"/>
    <row r="31" spans="1:7" ht="15" customHeight="1">
      <c r="A31" s="29"/>
      <c r="B31" s="29"/>
      <c r="C31" s="340"/>
    </row>
    <row r="32" spans="1:7" ht="15" customHeight="1">
      <c r="A32" s="341"/>
      <c r="B32" s="290"/>
      <c r="C32" s="290"/>
    </row>
    <row r="33" spans="1:11" ht="15" customHeight="1">
      <c r="A33" s="29"/>
      <c r="B33" s="29"/>
      <c r="C33" s="29"/>
    </row>
    <row r="34" spans="1:11" ht="15" customHeight="1">
      <c r="A34" s="29"/>
      <c r="B34" s="29"/>
      <c r="C34" s="29"/>
    </row>
    <row r="35" spans="1:11" ht="15" customHeight="1">
      <c r="A35" s="29"/>
      <c r="B35" s="29"/>
      <c r="C35" s="29"/>
    </row>
    <row r="36" spans="1:11" ht="15" customHeight="1">
      <c r="A36" s="29"/>
      <c r="B36" s="29"/>
      <c r="C36" s="29"/>
      <c r="K36" t="s">
        <v>141</v>
      </c>
    </row>
    <row r="37" spans="1:11" ht="15" customHeight="1">
      <c r="A37" s="29"/>
      <c r="B37" s="29"/>
      <c r="C37" s="29"/>
    </row>
    <row r="38" spans="1:11" ht="15" customHeight="1">
      <c r="A38" s="29"/>
      <c r="B38" s="29"/>
      <c r="C38" s="29"/>
    </row>
    <row r="39" spans="1:11">
      <c r="A39" s="29"/>
      <c r="B39" s="29"/>
      <c r="C39" s="29"/>
    </row>
    <row r="40" spans="1:11">
      <c r="A40" s="29"/>
      <c r="B40" s="29"/>
      <c r="C40" s="29"/>
    </row>
    <row r="41" spans="1:11">
      <c r="A41" s="29"/>
      <c r="B41" s="29"/>
      <c r="C41" s="29"/>
    </row>
    <row r="42" spans="1:11">
      <c r="A42" s="29"/>
      <c r="B42" s="29"/>
      <c r="C42" s="29"/>
    </row>
    <row r="43" spans="1:11">
      <c r="A43" s="29"/>
      <c r="B43" s="29"/>
      <c r="C43" s="29"/>
    </row>
    <row r="44" spans="1:11">
      <c r="A44" s="29"/>
      <c r="B44" s="29"/>
      <c r="C44" s="29"/>
    </row>
    <row r="45" spans="1:11">
      <c r="A45" s="29"/>
      <c r="B45" s="29"/>
      <c r="C45" s="29"/>
    </row>
    <row r="46" spans="1:11">
      <c r="A46" s="29"/>
      <c r="B46" s="29"/>
      <c r="C46" s="29"/>
    </row>
    <row r="47" spans="1:11">
      <c r="A47" s="29"/>
      <c r="B47" s="29"/>
      <c r="C47" s="29"/>
    </row>
    <row r="48" spans="1:11">
      <c r="A48" s="29"/>
      <c r="B48" s="29"/>
      <c r="C48" s="29"/>
    </row>
    <row r="49" spans="1:3">
      <c r="A49" s="29"/>
      <c r="B49" s="29"/>
      <c r="C49" s="29"/>
    </row>
    <row r="50" spans="1:3">
      <c r="A50" s="29"/>
      <c r="B50" s="29"/>
      <c r="C50" s="29"/>
    </row>
    <row r="51" spans="1:3">
      <c r="A51" s="29"/>
      <c r="B51" s="29"/>
      <c r="C51" s="29"/>
    </row>
    <row r="52" spans="1:3">
      <c r="A52" s="29"/>
      <c r="B52" s="29"/>
      <c r="C52" s="29"/>
    </row>
    <row r="53" spans="1:3">
      <c r="A53" s="29"/>
      <c r="B53" s="29"/>
      <c r="C53" s="29"/>
    </row>
    <row r="54" spans="1:3">
      <c r="A54" s="29"/>
      <c r="B54" s="29"/>
      <c r="C54" s="29"/>
    </row>
    <row r="55" spans="1:3">
      <c r="A55" s="29"/>
      <c r="B55" s="29"/>
      <c r="C55" s="29"/>
    </row>
    <row r="56" spans="1:3">
      <c r="A56" s="29"/>
      <c r="B56" s="29"/>
      <c r="C56" s="29"/>
    </row>
    <row r="57" spans="1:3">
      <c r="A57" s="29"/>
      <c r="B57" s="29"/>
      <c r="C57" s="29"/>
    </row>
    <row r="58" spans="1:3">
      <c r="A58" s="29"/>
      <c r="B58" s="29"/>
      <c r="C58" s="29"/>
    </row>
    <row r="59" spans="1:3">
      <c r="A59" s="29"/>
      <c r="B59" s="29"/>
      <c r="C59" s="29"/>
    </row>
    <row r="60" spans="1:3">
      <c r="A60" s="29"/>
      <c r="B60" s="29"/>
      <c r="C60" s="29"/>
    </row>
    <row r="61" spans="1:3">
      <c r="A61" s="29"/>
      <c r="B61" s="29"/>
      <c r="C61" s="29"/>
    </row>
    <row r="62" spans="1:3">
      <c r="A62" s="29"/>
      <c r="B62" s="29"/>
      <c r="C62" s="29"/>
    </row>
    <row r="63" spans="1:3">
      <c r="A63" s="29"/>
      <c r="B63" s="29"/>
      <c r="C63" s="29"/>
    </row>
    <row r="64" spans="1:3">
      <c r="A64" s="29"/>
      <c r="B64" s="29"/>
      <c r="C64" s="29"/>
    </row>
    <row r="65" spans="1:3">
      <c r="A65" s="29"/>
      <c r="B65" s="29"/>
      <c r="C65" s="29"/>
    </row>
    <row r="66" spans="1:3">
      <c r="A66" s="29"/>
      <c r="B66" s="29"/>
      <c r="C66" s="29"/>
    </row>
    <row r="67" spans="1:3">
      <c r="A67" s="29"/>
      <c r="B67" s="29"/>
      <c r="C67" s="29"/>
    </row>
    <row r="68" spans="1:3">
      <c r="A68" s="29"/>
      <c r="B68" s="29"/>
      <c r="C68" s="29"/>
    </row>
    <row r="69" spans="1:3">
      <c r="A69" s="29"/>
      <c r="B69" s="29"/>
      <c r="C69" s="29"/>
    </row>
    <row r="70" spans="1:3">
      <c r="A70" s="29"/>
      <c r="B70" s="29"/>
      <c r="C70" s="29"/>
    </row>
    <row r="71" spans="1:3">
      <c r="A71" s="29"/>
      <c r="B71" s="29"/>
      <c r="C71" s="29"/>
    </row>
    <row r="72" spans="1:3">
      <c r="A72" s="29"/>
      <c r="B72" s="29"/>
      <c r="C72" s="29"/>
    </row>
    <row r="73" spans="1:3">
      <c r="A73" s="29"/>
      <c r="B73" s="29"/>
      <c r="C73" s="29"/>
    </row>
    <row r="74" spans="1:3">
      <c r="A74" s="29"/>
      <c r="B74" s="29"/>
      <c r="C74" s="29"/>
    </row>
    <row r="75" spans="1:3">
      <c r="A75" s="29"/>
      <c r="B75" s="29"/>
      <c r="C75" s="29"/>
    </row>
    <row r="76" spans="1:3">
      <c r="A76" s="29"/>
      <c r="B76" s="29"/>
      <c r="C76" s="29"/>
    </row>
    <row r="77" spans="1:3">
      <c r="A77" s="29"/>
      <c r="B77" s="29"/>
      <c r="C77" s="29"/>
    </row>
    <row r="78" spans="1:3">
      <c r="A78" s="29"/>
      <c r="B78" s="29"/>
      <c r="C78" s="29"/>
    </row>
    <row r="79" spans="1:3">
      <c r="A79" s="29"/>
      <c r="B79" s="29"/>
      <c r="C79" s="29"/>
    </row>
    <row r="80" spans="1:3">
      <c r="A80" s="29"/>
      <c r="B80" s="29"/>
      <c r="C80" s="29"/>
    </row>
    <row r="81" spans="1:3">
      <c r="A81" s="29"/>
      <c r="B81" s="29"/>
      <c r="C81" s="29"/>
    </row>
    <row r="82" spans="1:3">
      <c r="A82" s="29"/>
      <c r="B82" s="29"/>
      <c r="C82" s="29"/>
    </row>
    <row r="83" spans="1:3">
      <c r="A83" s="29"/>
      <c r="B83" s="29"/>
      <c r="C83" s="29"/>
    </row>
    <row r="84" spans="1:3">
      <c r="A84" s="29"/>
      <c r="B84" s="29"/>
      <c r="C84" s="29"/>
    </row>
    <row r="85" spans="1:3">
      <c r="A85" s="29"/>
      <c r="B85" s="29"/>
      <c r="C85" s="29"/>
    </row>
    <row r="86" spans="1:3">
      <c r="A86" s="29"/>
      <c r="B86" s="29"/>
      <c r="C86" s="29"/>
    </row>
    <row r="87" spans="1:3">
      <c r="A87" s="29"/>
      <c r="B87" s="29"/>
      <c r="C87" s="29"/>
    </row>
    <row r="88" spans="1:3">
      <c r="A88" s="29"/>
      <c r="B88" s="29"/>
      <c r="C88" s="29"/>
    </row>
    <row r="89" spans="1:3">
      <c r="A89" s="29"/>
      <c r="B89" s="29"/>
      <c r="C89" s="29"/>
    </row>
    <row r="90" spans="1:3">
      <c r="A90" s="29"/>
      <c r="B90" s="29"/>
      <c r="C90" s="29"/>
    </row>
    <row r="91" spans="1:3">
      <c r="A91" s="29"/>
      <c r="B91" s="29"/>
      <c r="C91" s="29"/>
    </row>
    <row r="92" spans="1:3">
      <c r="A92" s="29"/>
      <c r="B92" s="29"/>
      <c r="C92" s="29"/>
    </row>
    <row r="93" spans="1:3">
      <c r="A93" s="29"/>
      <c r="B93" s="29"/>
      <c r="C93" s="29"/>
    </row>
    <row r="94" spans="1:3">
      <c r="A94" s="29"/>
      <c r="B94" s="29"/>
      <c r="C94" s="29"/>
    </row>
    <row r="95" spans="1:3">
      <c r="A95" s="29"/>
      <c r="B95" s="29"/>
      <c r="C95" s="29"/>
    </row>
    <row r="96" spans="1:3">
      <c r="A96" s="29"/>
      <c r="B96" s="29"/>
      <c r="C96" s="29"/>
    </row>
    <row r="97" spans="1:3">
      <c r="A97" s="29"/>
      <c r="B97" s="29"/>
      <c r="C97" s="29"/>
    </row>
    <row r="98" spans="1:3">
      <c r="A98" s="29"/>
      <c r="B98" s="29"/>
      <c r="C98" s="29"/>
    </row>
    <row r="99" spans="1:3">
      <c r="A99" s="29"/>
      <c r="B99" s="29"/>
      <c r="C99" s="29"/>
    </row>
    <row r="100" spans="1:3">
      <c r="A100" s="29"/>
      <c r="B100" s="29"/>
      <c r="C100" s="29"/>
    </row>
    <row r="101" spans="1:3">
      <c r="A101" s="29"/>
      <c r="B101" s="29"/>
      <c r="C101" s="29"/>
    </row>
    <row r="102" spans="1:3">
      <c r="A102" s="29"/>
      <c r="B102" s="29"/>
      <c r="C102" s="29"/>
    </row>
    <row r="103" spans="1:3">
      <c r="A103" s="29"/>
      <c r="B103" s="29"/>
      <c r="C103" s="29"/>
    </row>
    <row r="104" spans="1:3">
      <c r="A104" s="29"/>
      <c r="B104" s="29"/>
      <c r="C104" s="29"/>
    </row>
    <row r="105" spans="1:3">
      <c r="A105" s="29"/>
      <c r="B105" s="29"/>
      <c r="C105" s="29"/>
    </row>
    <row r="106" spans="1:3">
      <c r="A106" s="29"/>
      <c r="B106" s="29"/>
      <c r="C106" s="29"/>
    </row>
    <row r="107" spans="1:3">
      <c r="A107" s="29"/>
      <c r="B107" s="29"/>
      <c r="C107" s="29"/>
    </row>
    <row r="108" spans="1:3">
      <c r="A108" s="29"/>
      <c r="B108" s="29"/>
      <c r="C108" s="29"/>
    </row>
    <row r="109" spans="1:3">
      <c r="A109" s="29"/>
      <c r="B109" s="29"/>
      <c r="C109" s="29"/>
    </row>
    <row r="110" spans="1:3">
      <c r="A110" s="29"/>
      <c r="B110" s="29"/>
      <c r="C110" s="29"/>
    </row>
    <row r="111" spans="1:3">
      <c r="A111" s="29"/>
      <c r="B111" s="29"/>
      <c r="C111" s="29"/>
    </row>
    <row r="112" spans="1:3">
      <c r="A112" s="29"/>
      <c r="B112" s="29"/>
      <c r="C112" s="29"/>
    </row>
    <row r="113" spans="1:3">
      <c r="A113" s="29"/>
      <c r="B113" s="29"/>
      <c r="C113" s="29"/>
    </row>
    <row r="114" spans="1:3">
      <c r="A114" s="29"/>
      <c r="B114" s="29"/>
      <c r="C114" s="29"/>
    </row>
    <row r="115" spans="1:3">
      <c r="A115" s="29"/>
      <c r="B115" s="29"/>
      <c r="C115" s="29"/>
    </row>
    <row r="116" spans="1:3">
      <c r="A116" s="29"/>
      <c r="B116" s="29"/>
      <c r="C116" s="29"/>
    </row>
    <row r="117" spans="1:3">
      <c r="A117" s="29"/>
      <c r="B117" s="29"/>
      <c r="C117" s="29"/>
    </row>
    <row r="118" spans="1:3">
      <c r="A118" s="29"/>
      <c r="B118" s="29"/>
      <c r="C118" s="29"/>
    </row>
    <row r="119" spans="1:3">
      <c r="A119" s="29"/>
      <c r="B119" s="29"/>
      <c r="C119" s="29"/>
    </row>
    <row r="120" spans="1:3">
      <c r="A120" s="29"/>
      <c r="B120" s="29"/>
      <c r="C120" s="29"/>
    </row>
    <row r="121" spans="1:3">
      <c r="A121" s="29"/>
      <c r="B121" s="29"/>
      <c r="C121" s="29"/>
    </row>
    <row r="122" spans="1:3">
      <c r="A122" s="29"/>
      <c r="B122" s="29"/>
      <c r="C122" s="29"/>
    </row>
    <row r="123" spans="1:3">
      <c r="A123" s="29"/>
      <c r="B123" s="29"/>
      <c r="C123" s="29"/>
    </row>
    <row r="124" spans="1:3">
      <c r="A124" s="29"/>
      <c r="B124" s="29"/>
      <c r="C124" s="29"/>
    </row>
    <row r="125" spans="1:3">
      <c r="A125" s="29"/>
      <c r="B125" s="29"/>
      <c r="C125" s="29"/>
    </row>
    <row r="126" spans="1:3">
      <c r="A126" s="29"/>
      <c r="B126" s="29"/>
      <c r="C126" s="29"/>
    </row>
    <row r="127" spans="1:3">
      <c r="A127" s="29"/>
      <c r="B127" s="29"/>
      <c r="C127" s="29"/>
    </row>
    <row r="128" spans="1:3">
      <c r="A128" s="29"/>
      <c r="B128" s="29"/>
      <c r="C128" s="29"/>
    </row>
    <row r="129" spans="1:3">
      <c r="A129" s="29"/>
      <c r="B129" s="29"/>
      <c r="C129" s="29"/>
    </row>
    <row r="130" spans="1:3">
      <c r="A130" s="29"/>
      <c r="B130" s="29"/>
      <c r="C130" s="29"/>
    </row>
    <row r="131" spans="1:3">
      <c r="A131" s="29"/>
      <c r="B131" s="29"/>
      <c r="C131" s="29"/>
    </row>
  </sheetData>
  <mergeCells count="1">
    <mergeCell ref="C3:E3"/>
  </mergeCells>
  <conditionalFormatting sqref="B33:B129">
    <cfRule type="duplicateValues" dxfId="0" priority="45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workbookViewId="0">
      <selection activeCell="B19" sqref="B19:K22"/>
    </sheetView>
  </sheetViews>
  <sheetFormatPr defaultRowHeight="15"/>
  <sheetData>
    <row r="2" spans="2:11">
      <c r="B2" s="1" t="s">
        <v>413</v>
      </c>
    </row>
    <row r="3" spans="2:11">
      <c r="B3" s="581" t="s">
        <v>420</v>
      </c>
      <c r="C3" s="582"/>
      <c r="D3" s="582"/>
      <c r="E3" s="582"/>
      <c r="F3" s="582"/>
      <c r="G3" s="582"/>
      <c r="H3" s="582"/>
      <c r="I3" s="582"/>
      <c r="J3" s="582"/>
      <c r="K3" s="583"/>
    </row>
    <row r="4" spans="2:11">
      <c r="B4" s="584"/>
      <c r="C4" s="585"/>
      <c r="D4" s="585"/>
      <c r="E4" s="585"/>
      <c r="F4" s="585"/>
      <c r="G4" s="585"/>
      <c r="H4" s="585"/>
      <c r="I4" s="585"/>
      <c r="J4" s="585"/>
      <c r="K4" s="586"/>
    </row>
    <row r="5" spans="2:11">
      <c r="B5" s="584"/>
      <c r="C5" s="585"/>
      <c r="D5" s="585"/>
      <c r="E5" s="585"/>
      <c r="F5" s="585"/>
      <c r="G5" s="585"/>
      <c r="H5" s="585"/>
      <c r="I5" s="585"/>
      <c r="J5" s="585"/>
      <c r="K5" s="586"/>
    </row>
    <row r="6" spans="2:11">
      <c r="B6" s="587"/>
      <c r="C6" s="588"/>
      <c r="D6" s="588"/>
      <c r="E6" s="588"/>
      <c r="F6" s="588"/>
      <c r="G6" s="588"/>
      <c r="H6" s="588"/>
      <c r="I6" s="588"/>
      <c r="J6" s="588"/>
      <c r="K6" s="589"/>
    </row>
    <row r="7" spans="2:11">
      <c r="B7" s="581" t="s">
        <v>418</v>
      </c>
      <c r="C7" s="582"/>
      <c r="D7" s="582"/>
      <c r="E7" s="582"/>
      <c r="F7" s="582"/>
      <c r="G7" s="582"/>
      <c r="H7" s="582"/>
      <c r="I7" s="582"/>
      <c r="J7" s="582"/>
      <c r="K7" s="583"/>
    </row>
    <row r="8" spans="2:11">
      <c r="B8" s="584"/>
      <c r="C8" s="585"/>
      <c r="D8" s="585"/>
      <c r="E8" s="585"/>
      <c r="F8" s="585"/>
      <c r="G8" s="585"/>
      <c r="H8" s="585"/>
      <c r="I8" s="585"/>
      <c r="J8" s="585"/>
      <c r="K8" s="586"/>
    </row>
    <row r="9" spans="2:11">
      <c r="B9" s="587"/>
      <c r="C9" s="588"/>
      <c r="D9" s="588"/>
      <c r="E9" s="588"/>
      <c r="F9" s="588"/>
      <c r="G9" s="588"/>
      <c r="H9" s="588"/>
      <c r="I9" s="588"/>
      <c r="J9" s="588"/>
      <c r="K9" s="589"/>
    </row>
    <row r="10" spans="2:11">
      <c r="B10" s="581" t="s">
        <v>474</v>
      </c>
      <c r="C10" s="582"/>
      <c r="D10" s="582"/>
      <c r="E10" s="582"/>
      <c r="F10" s="582"/>
      <c r="G10" s="582"/>
      <c r="H10" s="582"/>
      <c r="I10" s="582"/>
      <c r="J10" s="582"/>
      <c r="K10" s="583"/>
    </row>
    <row r="11" spans="2:11">
      <c r="B11" s="587"/>
      <c r="C11" s="588"/>
      <c r="D11" s="588"/>
      <c r="E11" s="588"/>
      <c r="F11" s="588"/>
      <c r="G11" s="588"/>
      <c r="H11" s="588"/>
      <c r="I11" s="588"/>
      <c r="J11" s="588"/>
      <c r="K11" s="589"/>
    </row>
    <row r="12" spans="2:11">
      <c r="B12" s="581" t="s">
        <v>416</v>
      </c>
      <c r="C12" s="582"/>
      <c r="D12" s="582"/>
      <c r="E12" s="582"/>
      <c r="F12" s="582"/>
      <c r="G12" s="582"/>
      <c r="H12" s="582"/>
      <c r="I12" s="582"/>
      <c r="J12" s="582"/>
      <c r="K12" s="583"/>
    </row>
    <row r="13" spans="2:11">
      <c r="B13" s="584"/>
      <c r="C13" s="585"/>
      <c r="D13" s="585"/>
      <c r="E13" s="585"/>
      <c r="F13" s="585"/>
      <c r="G13" s="585"/>
      <c r="H13" s="585"/>
      <c r="I13" s="585"/>
      <c r="J13" s="585"/>
      <c r="K13" s="586"/>
    </row>
    <row r="14" spans="2:11">
      <c r="B14" s="584"/>
      <c r="C14" s="585"/>
      <c r="D14" s="585"/>
      <c r="E14" s="585"/>
      <c r="F14" s="585"/>
      <c r="G14" s="585"/>
      <c r="H14" s="585"/>
      <c r="I14" s="585"/>
      <c r="J14" s="585"/>
      <c r="K14" s="586"/>
    </row>
    <row r="15" spans="2:11">
      <c r="B15" s="584"/>
      <c r="C15" s="585"/>
      <c r="D15" s="585"/>
      <c r="E15" s="585"/>
      <c r="F15" s="585"/>
      <c r="G15" s="585"/>
      <c r="H15" s="585"/>
      <c r="I15" s="585"/>
      <c r="J15" s="585"/>
      <c r="K15" s="586"/>
    </row>
    <row r="16" spans="2:11">
      <c r="B16" s="587"/>
      <c r="C16" s="588"/>
      <c r="D16" s="588"/>
      <c r="E16" s="588"/>
      <c r="F16" s="588"/>
      <c r="G16" s="588"/>
      <c r="H16" s="588"/>
      <c r="I16" s="588"/>
      <c r="J16" s="588"/>
      <c r="K16" s="589"/>
    </row>
    <row r="17" spans="2:11">
      <c r="B17" s="581" t="s">
        <v>417</v>
      </c>
      <c r="C17" s="582"/>
      <c r="D17" s="582"/>
      <c r="E17" s="582"/>
      <c r="F17" s="582"/>
      <c r="G17" s="582"/>
      <c r="H17" s="582"/>
      <c r="I17" s="582"/>
      <c r="J17" s="582"/>
      <c r="K17" s="583"/>
    </row>
    <row r="18" spans="2:11">
      <c r="B18" s="587"/>
      <c r="C18" s="588"/>
      <c r="D18" s="588"/>
      <c r="E18" s="588"/>
      <c r="F18" s="588"/>
      <c r="G18" s="588"/>
      <c r="H18" s="588"/>
      <c r="I18" s="588"/>
      <c r="J18" s="588"/>
      <c r="K18" s="589"/>
    </row>
    <row r="19" spans="2:11">
      <c r="B19" s="581" t="s">
        <v>419</v>
      </c>
      <c r="C19" s="582"/>
      <c r="D19" s="582"/>
      <c r="E19" s="582"/>
      <c r="F19" s="582"/>
      <c r="G19" s="582"/>
      <c r="H19" s="582"/>
      <c r="I19" s="582"/>
      <c r="J19" s="582"/>
      <c r="K19" s="583"/>
    </row>
    <row r="20" spans="2:11">
      <c r="B20" s="584"/>
      <c r="C20" s="585"/>
      <c r="D20" s="585"/>
      <c r="E20" s="585"/>
      <c r="F20" s="585"/>
      <c r="G20" s="585"/>
      <c r="H20" s="585"/>
      <c r="I20" s="585"/>
      <c r="J20" s="585"/>
      <c r="K20" s="586"/>
    </row>
    <row r="21" spans="2:11">
      <c r="B21" s="584"/>
      <c r="C21" s="585"/>
      <c r="D21" s="585"/>
      <c r="E21" s="585"/>
      <c r="F21" s="585"/>
      <c r="G21" s="585"/>
      <c r="H21" s="585"/>
      <c r="I21" s="585"/>
      <c r="J21" s="585"/>
      <c r="K21" s="586"/>
    </row>
    <row r="22" spans="2:11">
      <c r="B22" s="587"/>
      <c r="C22" s="588"/>
      <c r="D22" s="588"/>
      <c r="E22" s="588"/>
      <c r="F22" s="588"/>
      <c r="G22" s="588"/>
      <c r="H22" s="588"/>
      <c r="I22" s="588"/>
      <c r="J22" s="588"/>
      <c r="K22" s="589"/>
    </row>
    <row r="25" spans="2:11">
      <c r="B25" s="397" t="s">
        <v>414</v>
      </c>
      <c r="C25" s="51"/>
      <c r="D25" s="51"/>
      <c r="E25" s="51"/>
      <c r="F25" s="51"/>
      <c r="G25" s="51"/>
      <c r="H25" s="51"/>
      <c r="I25" s="51"/>
      <c r="J25" s="51"/>
      <c r="K25" s="51"/>
    </row>
    <row r="26" spans="2:11">
      <c r="B26" s="590" t="s">
        <v>415</v>
      </c>
      <c r="C26" s="591"/>
      <c r="D26" s="591"/>
      <c r="E26" s="591"/>
      <c r="F26" s="591"/>
      <c r="G26" s="591"/>
      <c r="H26" s="591"/>
      <c r="I26" s="591"/>
      <c r="J26" s="591"/>
      <c r="K26" s="592"/>
    </row>
    <row r="27" spans="2:11">
      <c r="B27" s="593"/>
      <c r="C27" s="594"/>
      <c r="D27" s="594"/>
      <c r="E27" s="594"/>
      <c r="F27" s="594"/>
      <c r="G27" s="594"/>
      <c r="H27" s="594"/>
      <c r="I27" s="594"/>
      <c r="J27" s="594"/>
      <c r="K27" s="595"/>
    </row>
    <row r="28" spans="2:11">
      <c r="B28" s="596"/>
      <c r="C28" s="597"/>
      <c r="D28" s="597"/>
      <c r="E28" s="597"/>
      <c r="F28" s="597"/>
      <c r="G28" s="597"/>
      <c r="H28" s="597"/>
      <c r="I28" s="597"/>
      <c r="J28" s="597"/>
      <c r="K28" s="598"/>
    </row>
    <row r="29" spans="2:11">
      <c r="B29" s="581" t="s">
        <v>421</v>
      </c>
      <c r="C29" s="582"/>
      <c r="D29" s="582"/>
      <c r="E29" s="582"/>
      <c r="F29" s="582"/>
      <c r="G29" s="582"/>
      <c r="H29" s="582"/>
      <c r="I29" s="582"/>
      <c r="J29" s="582"/>
      <c r="K29" s="583"/>
    </row>
    <row r="30" spans="2:11">
      <c r="B30" s="584"/>
      <c r="C30" s="585"/>
      <c r="D30" s="585"/>
      <c r="E30" s="585"/>
      <c r="F30" s="585"/>
      <c r="G30" s="585"/>
      <c r="H30" s="585"/>
      <c r="I30" s="585"/>
      <c r="J30" s="585"/>
      <c r="K30" s="586"/>
    </row>
    <row r="31" spans="2:11">
      <c r="B31" s="584"/>
      <c r="C31" s="585"/>
      <c r="D31" s="585"/>
      <c r="E31" s="585"/>
      <c r="F31" s="585"/>
      <c r="G31" s="585"/>
      <c r="H31" s="585"/>
      <c r="I31" s="585"/>
      <c r="J31" s="585"/>
      <c r="K31" s="586"/>
    </row>
    <row r="32" spans="2:11">
      <c r="B32" s="587"/>
      <c r="C32" s="588"/>
      <c r="D32" s="588"/>
      <c r="E32" s="588"/>
      <c r="F32" s="588"/>
      <c r="G32" s="588"/>
      <c r="H32" s="588"/>
      <c r="I32" s="588"/>
      <c r="J32" s="588"/>
      <c r="K32" s="589"/>
    </row>
    <row r="33" spans="2:11">
      <c r="B33" s="581" t="s">
        <v>422</v>
      </c>
      <c r="C33" s="582"/>
      <c r="D33" s="582"/>
      <c r="E33" s="582"/>
      <c r="F33" s="582"/>
      <c r="G33" s="582"/>
      <c r="H33" s="582"/>
      <c r="I33" s="582"/>
      <c r="J33" s="582"/>
      <c r="K33" s="583"/>
    </row>
    <row r="34" spans="2:11">
      <c r="B34" s="584"/>
      <c r="C34" s="585"/>
      <c r="D34" s="585"/>
      <c r="E34" s="585"/>
      <c r="F34" s="585"/>
      <c r="G34" s="585"/>
      <c r="H34" s="585"/>
      <c r="I34" s="585"/>
      <c r="J34" s="585"/>
      <c r="K34" s="586"/>
    </row>
    <row r="35" spans="2:11">
      <c r="B35" s="587"/>
      <c r="C35" s="588"/>
      <c r="D35" s="588"/>
      <c r="E35" s="588"/>
      <c r="F35" s="588"/>
      <c r="G35" s="588"/>
      <c r="H35" s="588"/>
      <c r="I35" s="588"/>
      <c r="J35" s="588"/>
      <c r="K35" s="589"/>
    </row>
    <row r="36" spans="2:11">
      <c r="B36" s="581" t="s">
        <v>478</v>
      </c>
      <c r="C36" s="582"/>
      <c r="D36" s="582"/>
      <c r="E36" s="582"/>
      <c r="F36" s="582"/>
      <c r="G36" s="582"/>
      <c r="H36" s="582"/>
      <c r="I36" s="582"/>
      <c r="J36" s="582"/>
      <c r="K36" s="583"/>
    </row>
    <row r="37" spans="2:11">
      <c r="B37" s="584"/>
      <c r="C37" s="585"/>
      <c r="D37" s="585"/>
      <c r="E37" s="585"/>
      <c r="F37" s="585"/>
      <c r="G37" s="585"/>
      <c r="H37" s="585"/>
      <c r="I37" s="585"/>
      <c r="J37" s="585"/>
      <c r="K37" s="586"/>
    </row>
    <row r="38" spans="2:11">
      <c r="B38" s="587"/>
      <c r="C38" s="588"/>
      <c r="D38" s="588"/>
      <c r="E38" s="588"/>
      <c r="F38" s="588"/>
      <c r="G38" s="588"/>
      <c r="H38" s="588"/>
      <c r="I38" s="588"/>
      <c r="J38" s="588"/>
      <c r="K38" s="589"/>
    </row>
    <row r="39" spans="2:11">
      <c r="B39" s="581" t="s">
        <v>424</v>
      </c>
      <c r="C39" s="582"/>
      <c r="D39" s="582"/>
      <c r="E39" s="582"/>
      <c r="F39" s="582"/>
      <c r="G39" s="582"/>
      <c r="H39" s="582"/>
      <c r="I39" s="582"/>
      <c r="J39" s="582"/>
      <c r="K39" s="583"/>
    </row>
    <row r="40" spans="2:11">
      <c r="B40" s="584"/>
      <c r="C40" s="585"/>
      <c r="D40" s="585"/>
      <c r="E40" s="585"/>
      <c r="F40" s="585"/>
      <c r="G40" s="585"/>
      <c r="H40" s="585"/>
      <c r="I40" s="585"/>
      <c r="J40" s="585"/>
      <c r="K40" s="586"/>
    </row>
    <row r="41" spans="2:11">
      <c r="B41" s="587"/>
      <c r="C41" s="588"/>
      <c r="D41" s="588"/>
      <c r="E41" s="588"/>
      <c r="F41" s="588"/>
      <c r="G41" s="588"/>
      <c r="H41" s="588"/>
      <c r="I41" s="588"/>
      <c r="J41" s="588"/>
      <c r="K41" s="589"/>
    </row>
  </sheetData>
  <mergeCells count="11">
    <mergeCell ref="B33:K35"/>
    <mergeCell ref="B36:K38"/>
    <mergeCell ref="B39:K41"/>
    <mergeCell ref="B12:K16"/>
    <mergeCell ref="B3:K6"/>
    <mergeCell ref="B26:K28"/>
    <mergeCell ref="B7:K9"/>
    <mergeCell ref="B10:K11"/>
    <mergeCell ref="B29:K32"/>
    <mergeCell ref="B17:K18"/>
    <mergeCell ref="B19:K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112"/>
  <sheetViews>
    <sheetView workbookViewId="0">
      <pane xSplit="1" ySplit="4" topLeftCell="B47" activePane="bottomRight" state="frozen"/>
      <selection pane="topRight" activeCell="B1" sqref="B1"/>
      <selection pane="bottomLeft" activeCell="A5" sqref="A5"/>
      <selection pane="bottomRight" activeCell="A62" sqref="A62"/>
    </sheetView>
  </sheetViews>
  <sheetFormatPr defaultRowHeight="15"/>
  <cols>
    <col min="1" max="1" width="97.7109375" bestFit="1" customWidth="1"/>
    <col min="2" max="4" width="14.5703125" customWidth="1"/>
    <col min="6" max="8" width="14.5703125" customWidth="1"/>
  </cols>
  <sheetData>
    <row r="1" spans="1:8">
      <c r="C1" s="224" t="s">
        <v>313</v>
      </c>
      <c r="G1" s="224" t="s">
        <v>313</v>
      </c>
    </row>
    <row r="2" spans="1:8">
      <c r="B2" s="599"/>
      <c r="C2" s="600"/>
      <c r="D2" s="601"/>
      <c r="F2" s="599"/>
      <c r="G2" s="600"/>
      <c r="H2" s="601"/>
    </row>
    <row r="3" spans="1:8">
      <c r="A3" s="27"/>
      <c r="B3" s="602" t="str">
        <f>'Master Data'!I29</f>
        <v>2017-18</v>
      </c>
      <c r="C3" s="603"/>
      <c r="D3" s="604"/>
      <c r="F3" s="602" t="str">
        <f>'Master Data'!J29</f>
        <v>2018-19</v>
      </c>
      <c r="G3" s="603"/>
      <c r="H3" s="604"/>
    </row>
    <row r="4" spans="1:8" ht="29.25" customHeight="1">
      <c r="A4" s="55"/>
      <c r="B4" s="305" t="s">
        <v>123</v>
      </c>
      <c r="C4" s="306" t="s">
        <v>124</v>
      </c>
      <c r="D4" s="307" t="s">
        <v>125</v>
      </c>
      <c r="F4" s="305" t="s">
        <v>123</v>
      </c>
      <c r="G4" s="306" t="s">
        <v>124</v>
      </c>
      <c r="H4" s="307" t="s">
        <v>125</v>
      </c>
    </row>
    <row r="5" spans="1:8">
      <c r="A5">
        <f>'Table of fees'!B4</f>
        <v>0</v>
      </c>
      <c r="B5" s="31">
        <f>IFERROR(VLOOKUP($A5,'Volumes - Report Summary'!$C:$AF,MATCH(B$3,'Volumes - Report Summary'!$C$6:$AF$6,0),FALSE),0)</f>
        <v>0</v>
      </c>
      <c r="C5" s="302">
        <f>IFERROR(VLOOKUP($A5,'Cost buildup'!C:AR,MATCH($C$1,'Cost buildup'!$C$3:$AR$3,0),FALSE),0)</f>
        <v>0</v>
      </c>
      <c r="D5" s="72">
        <f t="shared" ref="D5" si="0">B5*C5</f>
        <v>0</v>
      </c>
      <c r="F5" s="31">
        <f>IFERROR(VLOOKUP($A5,'Volumes - Report Summary'!$C:$AF,MATCH(F$3,'Volumes - Report Summary'!$C$6:$AF$6,0),FALSE),0)</f>
        <v>0</v>
      </c>
      <c r="G5" s="302">
        <f>C5*(1+'Master Data'!$J$30)</f>
        <v>0</v>
      </c>
      <c r="H5" s="72">
        <f t="shared" ref="H5" si="1">F5*G5</f>
        <v>0</v>
      </c>
    </row>
    <row r="6" spans="1:8">
      <c r="A6" t="str">
        <f>'Table of fees'!B5</f>
        <v>Site visit - no appointment</v>
      </c>
      <c r="B6" s="31">
        <f>IFERROR(VLOOKUP($A6,'Volumes - Report Summary'!$C:$AF,MATCH(B$3,'Volumes - Report Summary'!$C$6:$AF$6,0),FALSE),0)</f>
        <v>52308</v>
      </c>
      <c r="C6" s="302">
        <f>IFERROR(VLOOKUP($A6,'Cost buildup'!C:AR,MATCH($C$1,'Cost buildup'!$C$3:$AR$3,0),FALSE),0)</f>
        <v>59.696278038567222</v>
      </c>
      <c r="D6" s="72">
        <f t="shared" ref="D6:D40" si="2">B6*C6</f>
        <v>3122592.9116413742</v>
      </c>
      <c r="F6" s="31">
        <f>IFERROR(VLOOKUP($A6,'Volumes - Report Summary'!$C:$AF,MATCH(F$3,'Volumes - Report Summary'!$C$6:$AF$6,0),FALSE),0)</f>
        <v>52287</v>
      </c>
      <c r="G6" s="302">
        <f>C6*(1+'Master Data'!$J$30)</f>
        <v>61.188684989531396</v>
      </c>
      <c r="H6" s="72">
        <f t="shared" ref="H6:H69" si="3">F6*G6</f>
        <v>3199372.7720476282</v>
      </c>
    </row>
    <row r="7" spans="1:8">
      <c r="A7" t="str">
        <f>'Table of fees'!B6</f>
        <v>Site visit - non-scheduled visit</v>
      </c>
      <c r="B7" s="31">
        <f>IFERROR(VLOOKUP($A7,'Volumes - Report Summary'!$C:$AF,MATCH(B$3,'Volumes - Report Summary'!$C$6:$AF$6,0),FALSE),0)</f>
        <v>1036</v>
      </c>
      <c r="C7" s="302">
        <f>IFERROR(VLOOKUP(A7,'Cost buildup'!C:AR,MATCH($C$1,'Cost buildup'!$C$3:$AR$3,0),FALSE),0)</f>
        <v>141.82035708892127</v>
      </c>
      <c r="D7" s="72">
        <f t="shared" si="2"/>
        <v>146925.88994412243</v>
      </c>
      <c r="F7" s="31">
        <f>IFERROR(VLOOKUP($A7,'Volumes - Report Summary'!$C:$AF,MATCH(F$3,'Volumes - Report Summary'!$C$6:$AF$6,0),FALSE),0)</f>
        <v>951</v>
      </c>
      <c r="G7" s="302">
        <f>C7*(1+'Master Data'!$J$30)</f>
        <v>145.36586601614428</v>
      </c>
      <c r="H7" s="72">
        <f t="shared" si="3"/>
        <v>138242.9385813532</v>
      </c>
    </row>
    <row r="8" spans="1:8">
      <c r="A8" t="str">
        <f>'Table of fees'!B7</f>
        <v>Site visit - same day premium service</v>
      </c>
      <c r="B8" s="31">
        <f>IFERROR(VLOOKUP($A8,'Volumes - Report Summary'!$C:$AF,MATCH(B$3,'Volumes - Report Summary'!$C$6:$AF$6,0),FALSE),0)</f>
        <v>210</v>
      </c>
      <c r="C8" s="302">
        <f>IFERROR(VLOOKUP(A8,'Cost buildup'!C:AR,MATCH($C$1,'Cost buildup'!$C$3:$AR$3,0),FALSE),0)</f>
        <v>265.65562182017186</v>
      </c>
      <c r="D8" s="72">
        <f t="shared" si="2"/>
        <v>55787.680582236091</v>
      </c>
      <c r="F8" s="31">
        <f>IFERROR(VLOOKUP($A8,'Volumes - Report Summary'!$C:$AF,MATCH(F$3,'Volumes - Report Summary'!$C$6:$AF$6,0),FALSE),0)</f>
        <v>161</v>
      </c>
      <c r="G8" s="302">
        <f>C8*(1+'Master Data'!$J$30)</f>
        <v>272.29701236567615</v>
      </c>
      <c r="H8" s="72">
        <f t="shared" si="3"/>
        <v>43839.818990873864</v>
      </c>
    </row>
    <row r="9" spans="1:8">
      <c r="A9" t="str">
        <f>'Table of fees'!B8</f>
        <v>Site visit - after hours</v>
      </c>
      <c r="B9" s="31">
        <f>IFERROR(VLOOKUP($A9,'Volumes - Report Summary'!$C:$AF,MATCH(B$3,'Volumes - Report Summary'!$C$6:$AF$6,0),FALSE),0)</f>
        <v>10</v>
      </c>
      <c r="C9" s="302">
        <f>IFERROR(VLOOKUP(A9,'Cost buildup'!C:AR,MATCH($C$1,'Cost buildup'!$C$3:$AR$3,0),FALSE),0)</f>
        <v>712.32028416467995</v>
      </c>
      <c r="D9" s="72">
        <f t="shared" si="2"/>
        <v>7123.2028416467992</v>
      </c>
      <c r="F9" s="31">
        <f>IFERROR(VLOOKUP($A9,'Volumes - Report Summary'!$C:$AF,MATCH(F$3,'Volumes - Report Summary'!$C$6:$AF$6,0),FALSE),0)</f>
        <v>10</v>
      </c>
      <c r="G9" s="302">
        <f>C9*(1+'Master Data'!$J$30)</f>
        <v>730.12829126879683</v>
      </c>
      <c r="H9" s="72">
        <f t="shared" si="3"/>
        <v>7301.2829126879678</v>
      </c>
    </row>
    <row r="10" spans="1:8">
      <c r="A10" t="str">
        <f>'Table of fees'!B9</f>
        <v>Site visit - credit actions or site issues</v>
      </c>
      <c r="B10" s="31">
        <f>IFERROR(VLOOKUP($A10,'Volumes - Report Summary'!$C:$AF,MATCH(B$3,'Volumes - Report Summary'!$C$6:$AF$6,0),FALSE),0)</f>
        <v>1528</v>
      </c>
      <c r="C10" s="302">
        <f>IFERROR(VLOOKUP(A10,'Cost buildup'!C:AR,MATCH($C$1,'Cost buildup'!$C$3:$AR$3,0),FALSE),0)</f>
        <v>138.2824546389877</v>
      </c>
      <c r="D10" s="72">
        <f t="shared" si="2"/>
        <v>211295.5906883732</v>
      </c>
      <c r="F10" s="31">
        <f>IFERROR(VLOOKUP($A10,'Volumes - Report Summary'!$C:$AF,MATCH(F$3,'Volumes - Report Summary'!$C$6:$AF$6,0),FALSE),0)</f>
        <v>1527</v>
      </c>
      <c r="G10" s="302">
        <f>C10*(1+'Master Data'!$J$30)</f>
        <v>141.73951600496238</v>
      </c>
      <c r="H10" s="72">
        <f t="shared" si="3"/>
        <v>216436.24093957755</v>
      </c>
    </row>
    <row r="11" spans="1:8">
      <c r="A11" t="str">
        <f>'Table of fees'!B10</f>
        <v>Site visit – credit actions pillar box/pole top</v>
      </c>
      <c r="B11" s="31">
        <f>IFERROR(VLOOKUP($A11,'Volumes - Report Summary'!$C:$AF,MATCH(B$3,'Volumes - Report Summary'!$C$6:$AF$6,0),FALSE),0)</f>
        <v>1</v>
      </c>
      <c r="C11" s="302">
        <f>IFERROR(VLOOKUP(A11,'Cost buildup'!C:AR,MATCH($C$1,'Cost buildup'!$C$3:$AR$3,0),FALSE),0)</f>
        <v>247.73191781585254</v>
      </c>
      <c r="D11" s="72">
        <f t="shared" si="2"/>
        <v>247.73191781585254</v>
      </c>
      <c r="F11" s="31">
        <f>IFERROR(VLOOKUP($A11,'Volumes - Report Summary'!$C:$AF,MATCH(F$3,'Volumes - Report Summary'!$C$6:$AF$6,0),FALSE),0)</f>
        <v>1</v>
      </c>
      <c r="G11" s="302">
        <f>C11*(1+'Master Data'!$J$30)</f>
        <v>253.92521576124884</v>
      </c>
      <c r="H11" s="72">
        <f t="shared" si="3"/>
        <v>253.92521576124884</v>
      </c>
    </row>
    <row r="12" spans="1:8">
      <c r="A12" t="str">
        <f>'Table of fees'!B11</f>
        <v>Site visit – current transformer (CT) metering</v>
      </c>
      <c r="B12" s="31">
        <f>IFERROR(VLOOKUP($A12,'Volumes - Report Summary'!$C:$AF,MATCH(B$3,'Volumes - Report Summary'!$C$6:$AF$6,0),FALSE),0)</f>
        <v>42</v>
      </c>
      <c r="C12" s="302">
        <f>IFERROR(VLOOKUP(A12,'Cost buildup'!C:AR,MATCH($C$1,'Cost buildup'!$C$3:$AR$3,0),FALSE),0)</f>
        <v>128.87239470622987</v>
      </c>
      <c r="D12" s="72">
        <f t="shared" si="2"/>
        <v>5412.6405776616548</v>
      </c>
      <c r="F12" s="31">
        <f>IFERROR(VLOOKUP($A12,'Volumes - Report Summary'!$C:$AF,MATCH(F$3,'Volumes - Report Summary'!$C$6:$AF$6,0),FALSE),0)</f>
        <v>43</v>
      </c>
      <c r="G12" s="302">
        <f>C12*(1+'Master Data'!$J$30)</f>
        <v>132.09420457388561</v>
      </c>
      <c r="H12" s="72">
        <f t="shared" si="3"/>
        <v>5680.0507966770811</v>
      </c>
    </row>
    <row r="13" spans="1:8">
      <c r="A13" t="str">
        <f>'Table of fees'!B12</f>
        <v>Site visit – pillar box/pole top</v>
      </c>
      <c r="B13" s="31">
        <f>IFERROR(VLOOKUP($A13,'Volumes - Report Summary'!$C:$AF,MATCH(B$3,'Volumes - Report Summary'!$C$6:$AF$6,0),FALSE),0)</f>
        <v>1</v>
      </c>
      <c r="C13" s="302">
        <f>IFERROR(VLOOKUP(A13,'Cost buildup'!C:AR,MATCH($C$1,'Cost buildup'!$C$3:$AR$3,0),FALSE),0)</f>
        <v>247.73191781585254</v>
      </c>
      <c r="D13" s="72">
        <f t="shared" si="2"/>
        <v>247.73191781585254</v>
      </c>
      <c r="F13" s="31">
        <f>IFERROR(VLOOKUP($A13,'Volumes - Report Summary'!$C:$AF,MATCH(F$3,'Volumes - Report Summary'!$C$6:$AF$6,0),FALSE),0)</f>
        <v>1</v>
      </c>
      <c r="G13" s="302">
        <f>C13*(1+'Master Data'!$J$30)</f>
        <v>253.92521576124884</v>
      </c>
      <c r="H13" s="72">
        <f t="shared" si="3"/>
        <v>253.92521576124884</v>
      </c>
    </row>
    <row r="14" spans="1:8">
      <c r="A14" t="str">
        <f>'Table of fees'!B13</f>
        <v>Site visit -  pillar box/pole top Wasted Visit</v>
      </c>
      <c r="B14" s="31">
        <f>IFERROR(VLOOKUP($A14,'Volumes - Report Summary'!$C:$AF,MATCH(B$3,'Volumes - Report Summary'!$C$6:$AF$6,0),FALSE),0)</f>
        <v>1</v>
      </c>
      <c r="C14" s="302">
        <f>IFERROR(VLOOKUP(A14,'Cost buildup'!C:AR,MATCH($C$1,'Cost buildup'!$C$3:$AR$3,0),FALSE),0)</f>
        <v>147.87514743860049</v>
      </c>
      <c r="D14" s="72">
        <f t="shared" si="2"/>
        <v>147.87514743860049</v>
      </c>
      <c r="F14" s="31">
        <f>IFERROR(VLOOKUP($A14,'Volumes - Report Summary'!$C:$AF,MATCH(F$3,'Volumes - Report Summary'!$C$6:$AF$6,0),FALSE),0)</f>
        <v>1</v>
      </c>
      <c r="G14" s="302">
        <f>C14*(1+'Master Data'!$J$30)</f>
        <v>151.5720261245655</v>
      </c>
      <c r="H14" s="72">
        <f t="shared" si="3"/>
        <v>151.5720261245655</v>
      </c>
    </row>
    <row r="15" spans="1:8">
      <c r="A15" t="str">
        <f>'Table of fees'!B14</f>
        <v>Transfer of retailer</v>
      </c>
      <c r="B15" s="31">
        <f>IFERROR(VLOOKUP($A15,'Volumes - Report Summary'!$C:$AF,MATCH(B$3,'Volumes - Report Summary'!$C$6:$AF$6,0),FALSE),0)</f>
        <v>0</v>
      </c>
      <c r="C15" s="302">
        <f>IFERROR(VLOOKUP(A15,'Cost buildup'!C:AR,MATCH($C$1,'Cost buildup'!$C$3:$AR$3,0),FALSE),0)</f>
        <v>0</v>
      </c>
      <c r="D15" s="72">
        <f t="shared" si="2"/>
        <v>0</v>
      </c>
      <c r="F15" s="31">
        <f>IFERROR(VLOOKUP($A15,'Volumes - Report Summary'!$C:$AF,MATCH(F$3,'Volumes - Report Summary'!$C$6:$AF$6,0),FALSE),0)</f>
        <v>0</v>
      </c>
      <c r="G15" s="302">
        <f>C15*(1+'Master Data'!$J$30)</f>
        <v>0</v>
      </c>
      <c r="H15" s="72">
        <f t="shared" si="3"/>
        <v>0</v>
      </c>
    </row>
    <row r="16" spans="1:8">
      <c r="A16">
        <f>'Table of fees'!B15</f>
        <v>0</v>
      </c>
      <c r="B16" s="31">
        <f>IFERROR(VLOOKUP($A16,'Volumes - Report Summary'!$C:$AF,MATCH(B$3,'Volumes - Report Summary'!$C$6:$AF$6,0),FALSE),0)</f>
        <v>0</v>
      </c>
      <c r="C16" s="302">
        <f>IFERROR(VLOOKUP(A16,'Cost buildup'!C:AR,MATCH($C$1,'Cost buildup'!$C$3:$AR$3,0),FALSE),0)</f>
        <v>0</v>
      </c>
      <c r="D16" s="72">
        <f t="shared" si="2"/>
        <v>0</v>
      </c>
      <c r="F16" s="31">
        <f>IFERROR(VLOOKUP($A16,'Volumes - Report Summary'!$C:$AF,MATCH(F$3,'Volumes - Report Summary'!$C$6:$AF$6,0),FALSE),0)</f>
        <v>0</v>
      </c>
      <c r="G16" s="302">
        <f>C16*(1+'Master Data'!$J$30)</f>
        <v>0</v>
      </c>
      <c r="H16" s="72">
        <f t="shared" si="3"/>
        <v>0</v>
      </c>
    </row>
    <row r="17" spans="1:8">
      <c r="A17" t="str">
        <f>'Table of fees'!B16</f>
        <v>Tariff alteration - single phase</v>
      </c>
      <c r="B17" s="31">
        <f>IFERROR(VLOOKUP($A17,'Volumes - Report Summary'!$C:$AF,MATCH(B$3,'Volumes - Report Summary'!$C$6:$AF$6,0),FALSE),0)</f>
        <v>5774</v>
      </c>
      <c r="C17" s="302">
        <f>IFERROR(VLOOKUP(A17,'Cost buildup'!C:AR,MATCH($C$1,'Cost buildup'!$C$3:$AR$3,0),FALSE),0)</f>
        <v>139.68116293555215</v>
      </c>
      <c r="D17" s="72">
        <f t="shared" si="2"/>
        <v>806519.03478987818</v>
      </c>
      <c r="F17" s="31">
        <f>IFERROR(VLOOKUP($A17,'Volumes - Report Summary'!$C:$AF,MATCH(F$3,'Volumes - Report Summary'!$C$6:$AF$6,0),FALSE),0)</f>
        <v>5595</v>
      </c>
      <c r="G17" s="302">
        <f>C17*(1+'Master Data'!$J$30)</f>
        <v>143.17319200894093</v>
      </c>
      <c r="H17" s="72">
        <f t="shared" si="3"/>
        <v>801054.00929002452</v>
      </c>
    </row>
    <row r="18" spans="1:8">
      <c r="A18" t="str">
        <f>'Table of fees'!B17</f>
        <v>Tariff alteration - multi phase</v>
      </c>
      <c r="B18" s="31">
        <f>IFERROR(VLOOKUP($A18,'Volumes - Report Summary'!$C:$AF,MATCH(B$3,'Volumes - Report Summary'!$C$6:$AF$6,0),FALSE),0)</f>
        <v>999</v>
      </c>
      <c r="C18" s="302">
        <f>IFERROR(VLOOKUP(A18,'Cost buildup'!C:AR,MATCH($C$1,'Cost buildup'!$C$3:$AR$3,0),FALSE),0)</f>
        <v>182.91623585284131</v>
      </c>
      <c r="D18" s="72">
        <f t="shared" si="2"/>
        <v>182733.31961698848</v>
      </c>
      <c r="F18" s="31">
        <f>IFERROR(VLOOKUP($A18,'Volumes - Report Summary'!$C:$AF,MATCH(F$3,'Volumes - Report Summary'!$C$6:$AF$6,0),FALSE),0)</f>
        <v>1019</v>
      </c>
      <c r="G18" s="302">
        <f>C18*(1+'Master Data'!$J$30)</f>
        <v>187.48914174916231</v>
      </c>
      <c r="H18" s="72">
        <f t="shared" si="3"/>
        <v>191051.43544239641</v>
      </c>
    </row>
    <row r="19" spans="1:8">
      <c r="A19" t="str">
        <f>'Table of fees'!B18</f>
        <v>Adjust time clock</v>
      </c>
      <c r="B19" s="31">
        <f>IFERROR(VLOOKUP($A19,'Volumes - Report Summary'!$C:$AF,MATCH(B$3,'Volumes - Report Summary'!$C$6:$AF$6,0),FALSE),0)</f>
        <v>1</v>
      </c>
      <c r="C19" s="302">
        <f>IFERROR(VLOOKUP(A19,'Cost buildup'!C:AR,MATCH($C$1,'Cost buildup'!$C$3:$AR$3,0),FALSE),0)</f>
        <v>81.313814497211808</v>
      </c>
      <c r="D19" s="72">
        <f t="shared" si="2"/>
        <v>81.313814497211808</v>
      </c>
      <c r="F19" s="31">
        <f>IFERROR(VLOOKUP($A19,'Volumes - Report Summary'!$C:$AF,MATCH(F$3,'Volumes - Report Summary'!$C$6:$AF$6,0),FALSE),0)</f>
        <v>1</v>
      </c>
      <c r="G19" s="302">
        <f>C19*(1+'Master Data'!$J$30)</f>
        <v>83.346659859642102</v>
      </c>
      <c r="H19" s="72">
        <f t="shared" si="3"/>
        <v>83.346659859642102</v>
      </c>
    </row>
    <row r="20" spans="1:8">
      <c r="A20" t="str">
        <f>'Table of fees'!B19</f>
        <v>Install pulse outputs</v>
      </c>
      <c r="B20" s="31">
        <f>IFERROR(VLOOKUP($A20,'Volumes - Report Summary'!$C:$AF,MATCH(B$3,'Volumes - Report Summary'!$C$6:$AF$6,0),FALSE),0)</f>
        <v>46</v>
      </c>
      <c r="C20" s="302">
        <f>IFERROR(VLOOKUP(A20,'Cost buildup'!C:AR,MATCH($C$1,'Cost buildup'!$C$3:$AR$3,0),FALSE),0)</f>
        <v>128.87239470622987</v>
      </c>
      <c r="D20" s="72">
        <f t="shared" si="2"/>
        <v>5928.1301564865744</v>
      </c>
      <c r="F20" s="31">
        <f>IFERROR(VLOOKUP($A20,'Volumes - Report Summary'!$C:$AF,MATCH(F$3,'Volumes - Report Summary'!$C$6:$AF$6,0),FALSE),0)</f>
        <v>49</v>
      </c>
      <c r="G20" s="302">
        <f>C20*(1+'Master Data'!$J$30)</f>
        <v>132.09420457388561</v>
      </c>
      <c r="H20" s="72">
        <f t="shared" si="3"/>
        <v>6472.6160241203943</v>
      </c>
    </row>
    <row r="21" spans="1:8">
      <c r="A21" t="str">
        <f>'Table of fees'!B20</f>
        <v>Remove meter - single phase</v>
      </c>
      <c r="B21" s="31">
        <f>IFERROR(VLOOKUP($A21,'Volumes - Report Summary'!$C:$AF,MATCH(B$3,'Volumes - Report Summary'!$C$6:$AF$6,0),FALSE),0)</f>
        <v>231</v>
      </c>
      <c r="C21" s="302">
        <f>IFERROR(VLOOKUP(A21,'Cost buildup'!C:AR,MATCH($C$1,'Cost buildup'!$C$3:$AR$3,0),FALSE),0)</f>
        <v>139.68116293555215</v>
      </c>
      <c r="D21" s="72">
        <f t="shared" si="2"/>
        <v>32266.348638112548</v>
      </c>
      <c r="F21" s="31">
        <f>IFERROR(VLOOKUP($A21,'Volumes - Report Summary'!$C:$AF,MATCH(F$3,'Volumes - Report Summary'!$C$6:$AF$6,0),FALSE),0)</f>
        <v>236</v>
      </c>
      <c r="G21" s="302">
        <f>C21*(1+'Master Data'!$J$30)</f>
        <v>143.17319200894093</v>
      </c>
      <c r="H21" s="72">
        <f t="shared" si="3"/>
        <v>33788.87331411006</v>
      </c>
    </row>
    <row r="22" spans="1:8">
      <c r="A22" t="str">
        <f>'Table of fees'!B21</f>
        <v>Remove meter - multi phase</v>
      </c>
      <c r="B22" s="31">
        <f>IFERROR(VLOOKUP($A22,'Volumes - Report Summary'!$C:$AF,MATCH(B$3,'Volumes - Report Summary'!$C$6:$AF$6,0),FALSE),0)</f>
        <v>19</v>
      </c>
      <c r="C22" s="302">
        <f>IFERROR(VLOOKUP(A22,'Cost buildup'!C:AR,MATCH($C$1,'Cost buildup'!$C$3:$AR$3,0),FALSE),0)</f>
        <v>182.91623585284131</v>
      </c>
      <c r="D22" s="72">
        <f t="shared" si="2"/>
        <v>3475.408481203985</v>
      </c>
      <c r="F22" s="31">
        <f>IFERROR(VLOOKUP($A22,'Volumes - Report Summary'!$C:$AF,MATCH(F$3,'Volumes - Report Summary'!$C$6:$AF$6,0),FALSE),0)</f>
        <v>19</v>
      </c>
      <c r="G22" s="302">
        <f>C22*(1+'Master Data'!$J$30)</f>
        <v>187.48914174916231</v>
      </c>
      <c r="H22" s="72">
        <f t="shared" si="3"/>
        <v>3562.293693234084</v>
      </c>
    </row>
    <row r="23" spans="1:8">
      <c r="A23" t="str">
        <f>'Table of fees'!B22</f>
        <v>Meter alteration - after hours visit</v>
      </c>
      <c r="B23" s="31">
        <f>IFERROR(VLOOKUP($A23,'Volumes - Report Summary'!$C:$AF,MATCH(B$3,'Volumes - Report Summary'!$C$6:$AF$6,0),FALSE),0)</f>
        <v>1</v>
      </c>
      <c r="C23" s="302">
        <f>IFERROR(VLOOKUP(A23,'Cost buildup'!C:AR,MATCH($C$1,'Cost buildup'!$C$3:$AR$3,0),FALSE),0)</f>
        <v>712.32028416467995</v>
      </c>
      <c r="D23" s="72">
        <f t="shared" si="2"/>
        <v>712.32028416467995</v>
      </c>
      <c r="F23" s="31">
        <f>IFERROR(VLOOKUP($A23,'Volumes - Report Summary'!$C:$AF,MATCH(F$3,'Volumes - Report Summary'!$C$6:$AF$6,0),FALSE),0)</f>
        <v>1</v>
      </c>
      <c r="G23" s="302">
        <f>C23*(1+'Master Data'!$J$30)</f>
        <v>730.12829126879683</v>
      </c>
      <c r="H23" s="72">
        <f t="shared" si="3"/>
        <v>730.12829126879683</v>
      </c>
    </row>
    <row r="24" spans="1:8">
      <c r="A24" t="str">
        <f>'Table of fees'!B23</f>
        <v>Meter alteration Wasted Visit</v>
      </c>
      <c r="B24" s="31">
        <f>IFERROR(VLOOKUP($A24,'Volumes - Report Summary'!$C:$AF,MATCH(B$3,'Volumes - Report Summary'!$C$6:$AF$6,0),FALSE),0)</f>
        <v>458</v>
      </c>
      <c r="C24" s="302">
        <f>IFERROR(VLOOKUP(A24,'Cost buildup'!C:AR,MATCH($C$1,'Cost buildup'!$C$3:$AR$3,0),FALSE),0)</f>
        <v>85.637321788940724</v>
      </c>
      <c r="D24" s="72">
        <f t="shared" si="2"/>
        <v>39221.893379334855</v>
      </c>
      <c r="F24" s="31">
        <f>IFERROR(VLOOKUP($A24,'Volumes - Report Summary'!$C:$AF,MATCH(F$3,'Volumes - Report Summary'!$C$6:$AF$6,0),FALSE),0)</f>
        <v>467</v>
      </c>
      <c r="G24" s="302">
        <f>C24*(1+'Master Data'!$J$30)</f>
        <v>87.778254833664235</v>
      </c>
      <c r="H24" s="72">
        <f t="shared" si="3"/>
        <v>40992.445007321199</v>
      </c>
    </row>
    <row r="25" spans="1:8">
      <c r="A25">
        <f>'Table of fees'!B24</f>
        <v>0</v>
      </c>
      <c r="B25" s="31">
        <f>IFERROR(VLOOKUP($A25,'Volumes - Report Summary'!$C:$AF,MATCH(B$3,'Volumes - Report Summary'!$C$6:$AF$6,0),FALSE),0)</f>
        <v>0</v>
      </c>
      <c r="C25" s="302">
        <f>IFERROR(VLOOKUP(A25,'Cost buildup'!C:AR,MATCH($C$1,'Cost buildup'!$C$3:$AR$3,0),FALSE),0)</f>
        <v>0</v>
      </c>
      <c r="D25" s="72">
        <f t="shared" ref="D25" si="4">B25*C25</f>
        <v>0</v>
      </c>
      <c r="F25" s="31">
        <f>IFERROR(VLOOKUP($A25,'Volumes - Report Summary'!$C:$AF,MATCH(F$3,'Volumes - Report Summary'!$C$6:$AF$6,0),FALSE),0)</f>
        <v>0</v>
      </c>
      <c r="G25" s="302">
        <f>C25*(1+'Master Data'!$J$30)</f>
        <v>0</v>
      </c>
      <c r="H25" s="72">
        <f t="shared" si="3"/>
        <v>0</v>
      </c>
    </row>
    <row r="26" spans="1:8">
      <c r="A26" t="str">
        <f>'Table of fees'!B25</f>
        <v>Meter test - single phase</v>
      </c>
      <c r="B26" s="31">
        <f>IFERROR(VLOOKUP($A26,'Volumes - Report Summary'!$C:$AF,MATCH(B$3,'Volumes - Report Summary'!$C$6:$AF$6,0),FALSE),0)</f>
        <v>10</v>
      </c>
      <c r="C26" s="302">
        <f>IFERROR(VLOOKUP(A26,'Cost buildup'!C:AR,MATCH($C$1,'Cost buildup'!$C$3:$AR$3,0),FALSE),0)</f>
        <v>215.34254054080813</v>
      </c>
      <c r="D26" s="72">
        <f t="shared" si="2"/>
        <v>2153.4254054080811</v>
      </c>
      <c r="F26" s="31">
        <f>IFERROR(VLOOKUP($A26,'Volumes - Report Summary'!$C:$AF,MATCH(F$3,'Volumes - Report Summary'!$C$6:$AF$6,0),FALSE),0)</f>
        <v>10</v>
      </c>
      <c r="G26" s="302">
        <f>C26*(1+'Master Data'!$J$30)</f>
        <v>220.72610405432832</v>
      </c>
      <c r="H26" s="72">
        <f t="shared" si="3"/>
        <v>2207.2610405432833</v>
      </c>
    </row>
    <row r="27" spans="1:8">
      <c r="A27" t="str">
        <f>'Table of fees'!B26</f>
        <v>Meter test - multi phase</v>
      </c>
      <c r="B27" s="31">
        <f>IFERROR(VLOOKUP($A27,'Volumes - Report Summary'!$C:$AF,MATCH(B$3,'Volumes - Report Summary'!$C$6:$AF$6,0),FALSE),0)</f>
        <v>1</v>
      </c>
      <c r="C27" s="302">
        <f>IFERROR(VLOOKUP(A27,'Cost buildup'!C:AR,MATCH($C$1,'Cost buildup'!$C$3:$AR$3,0),FALSE),0)</f>
        <v>409.9003686686093</v>
      </c>
      <c r="D27" s="72">
        <f t="shared" si="2"/>
        <v>409.9003686686093</v>
      </c>
      <c r="F27" s="31">
        <f>IFERROR(VLOOKUP($A27,'Volumes - Report Summary'!$C:$AF,MATCH(F$3,'Volumes - Report Summary'!$C$6:$AF$6,0),FALSE),0)</f>
        <v>1</v>
      </c>
      <c r="G27" s="302">
        <f>C27*(1+'Master Data'!$J$30)</f>
        <v>420.14787788532448</v>
      </c>
      <c r="H27" s="72">
        <f t="shared" si="3"/>
        <v>420.14787788532448</v>
      </c>
    </row>
    <row r="28" spans="1:8">
      <c r="A28" t="str">
        <f>'Table of fees'!B27</f>
        <v>Meter test – current transformer (CT)</v>
      </c>
      <c r="B28" s="31">
        <f>IFERROR(VLOOKUP($A28,'Volumes - Report Summary'!$C:$AF,MATCH(B$3,'Volumes - Report Summary'!$C$6:$AF$6,0),FALSE),0)</f>
        <v>1</v>
      </c>
      <c r="C28" s="302">
        <f>IFERROR(VLOOKUP(A28,'Cost buildup'!C:AR,MATCH($C$1,'Cost buildup'!$C$3:$AR$3,0),FALSE),0)</f>
        <v>453.13544158589843</v>
      </c>
      <c r="D28" s="72">
        <f t="shared" si="2"/>
        <v>453.13544158589843</v>
      </c>
      <c r="F28" s="31">
        <f>IFERROR(VLOOKUP($A28,'Volumes - Report Summary'!$C:$AF,MATCH(F$3,'Volumes - Report Summary'!$C$6:$AF$6,0),FALSE),0)</f>
        <v>1</v>
      </c>
      <c r="G28" s="302">
        <f>C28*(1+'Master Data'!$J$30)</f>
        <v>464.46382762554583</v>
      </c>
      <c r="H28" s="72">
        <f t="shared" si="3"/>
        <v>464.46382762554583</v>
      </c>
    </row>
    <row r="29" spans="1:8">
      <c r="A29" t="str">
        <f>'Table of fees'!B28</f>
        <v>Meter test - after hours</v>
      </c>
      <c r="B29" s="31">
        <f>IFERROR(VLOOKUP($A29,'Volumes - Report Summary'!$C:$AF,MATCH(B$3,'Volumes - Report Summary'!$C$6:$AF$6,0),FALSE),0)</f>
        <v>1</v>
      </c>
      <c r="C29" s="302">
        <f>IFERROR(VLOOKUP(A29,'Cost buildup'!C:AR,MATCH($C$1,'Cost buildup'!$C$3:$AR$3,0),FALSE),0)</f>
        <v>712.32028416467995</v>
      </c>
      <c r="D29" s="72">
        <f t="shared" si="2"/>
        <v>712.32028416467995</v>
      </c>
      <c r="F29" s="31">
        <f>IFERROR(VLOOKUP($A29,'Volumes - Report Summary'!$C:$AF,MATCH(F$3,'Volumes - Report Summary'!$C$6:$AF$6,0),FALSE),0)</f>
        <v>1</v>
      </c>
      <c r="G29" s="302">
        <f>C29*(1+'Master Data'!$J$30)</f>
        <v>730.12829126879683</v>
      </c>
      <c r="H29" s="72">
        <f t="shared" si="3"/>
        <v>730.12829126879683</v>
      </c>
    </row>
    <row r="30" spans="1:8">
      <c r="A30" t="str">
        <f>'Table of fees'!B29</f>
        <v>Meter test - wasted visit</v>
      </c>
      <c r="B30" s="31">
        <f>IFERROR(VLOOKUP($A30,'Volumes - Report Summary'!$C:$AF,MATCH(B$3,'Volumes - Report Summary'!$C$6:$AF$6,0),FALSE),0)</f>
        <v>1</v>
      </c>
      <c r="C30" s="302">
        <f>IFERROR(VLOOKUP(A30,'Cost buildup'!C:AR,MATCH($C$1,'Cost buildup'!$C$3:$AR$3,0),FALSE),0)</f>
        <v>85.637321788940724</v>
      </c>
      <c r="D30" s="72">
        <f t="shared" si="2"/>
        <v>85.637321788940724</v>
      </c>
      <c r="F30" s="31">
        <f>IFERROR(VLOOKUP($A30,'Volumes - Report Summary'!$C:$AF,MATCH(F$3,'Volumes - Report Summary'!$C$6:$AF$6,0),FALSE),0)</f>
        <v>1</v>
      </c>
      <c r="G30" s="302">
        <f>C30*(1+'Master Data'!$J$30)</f>
        <v>87.778254833664235</v>
      </c>
      <c r="H30" s="72">
        <f t="shared" si="3"/>
        <v>87.778254833664235</v>
      </c>
    </row>
    <row r="31" spans="1:8">
      <c r="A31">
        <f>'Table of fees'!B30</f>
        <v>0</v>
      </c>
      <c r="B31" s="31">
        <f>IFERROR(VLOOKUP($A31,'Volumes - Report Summary'!$C:$AF,MATCH(B$3,'Volumes - Report Summary'!$C$6:$AF$6,0),FALSE),0)</f>
        <v>0</v>
      </c>
      <c r="C31" s="302">
        <f>IFERROR(VLOOKUP(A31,'Cost buildup'!C:AR,MATCH($C$1,'Cost buildup'!$C$3:$AR$3,0),FALSE),0)</f>
        <v>0</v>
      </c>
      <c r="D31" s="72">
        <f t="shared" si="2"/>
        <v>0</v>
      </c>
      <c r="F31" s="31">
        <f>IFERROR(VLOOKUP($A31,'Volumes - Report Summary'!$C:$AF,MATCH(F$3,'Volumes - Report Summary'!$C$6:$AF$6,0),FALSE),0)</f>
        <v>0</v>
      </c>
      <c r="G31" s="302">
        <f>C31*(1+'Master Data'!$J$30)</f>
        <v>0</v>
      </c>
      <c r="H31" s="72">
        <f t="shared" si="3"/>
        <v>0</v>
      </c>
    </row>
    <row r="32" spans="1:8">
      <c r="A32" t="str">
        <f>'Table of fees'!B31</f>
        <v>Remove service &amp; meters</v>
      </c>
      <c r="B32" s="31">
        <f>IFERROR(VLOOKUP($A32,'Volumes - Report Summary'!$C:$AF,MATCH(B$3,'Volumes - Report Summary'!$C$6:$AF$6,0),FALSE),0)</f>
        <v>310</v>
      </c>
      <c r="C32" s="302">
        <f>IFERROR(VLOOKUP(A32,'Cost buildup'!C:AR,MATCH($C$1,'Cost buildup'!$C$3:$AR$3,0),FALSE),0)</f>
        <v>260.20274526365677</v>
      </c>
      <c r="D32" s="72">
        <f t="shared" si="2"/>
        <v>80662.851031733604</v>
      </c>
      <c r="F32" s="31">
        <f>IFERROR(VLOOKUP($A32,'Volumes - Report Summary'!$C:$AF,MATCH(F$3,'Volumes - Report Summary'!$C$6:$AF$6,0),FALSE),0)</f>
        <v>310</v>
      </c>
      <c r="G32" s="302">
        <f>C32*(1+'Master Data'!$J$30)</f>
        <v>266.70781389524814</v>
      </c>
      <c r="H32" s="72">
        <f t="shared" si="3"/>
        <v>82679.422307526926</v>
      </c>
    </row>
    <row r="33" spans="1:8">
      <c r="A33" t="str">
        <f>'Table of fees'!B32</f>
        <v>Supply abolishment - after hours</v>
      </c>
      <c r="B33" s="31">
        <f>IFERROR(VLOOKUP($A33,'Volumes - Report Summary'!$C:$AF,MATCH(B$3,'Volumes - Report Summary'!$C$6:$AF$6,0),FALSE),0)</f>
        <v>1</v>
      </c>
      <c r="C33" s="302">
        <f>IFERROR(VLOOKUP(A33,'Cost buildup'!C:AR,MATCH($C$1,'Cost buildup'!$C$3:$AR$3,0),FALSE),0)</f>
        <v>1493.8839372422358</v>
      </c>
      <c r="D33" s="72">
        <f t="shared" si="2"/>
        <v>1493.8839372422358</v>
      </c>
      <c r="F33" s="31">
        <f>IFERROR(VLOOKUP($A33,'Volumes - Report Summary'!$C:$AF,MATCH(F$3,'Volumes - Report Summary'!$C$6:$AF$6,0),FALSE),0)</f>
        <v>1</v>
      </c>
      <c r="G33" s="302">
        <f>C33*(1+'Master Data'!$J$30)</f>
        <v>1531.2310356732914</v>
      </c>
      <c r="H33" s="72">
        <f t="shared" si="3"/>
        <v>1531.2310356732914</v>
      </c>
    </row>
    <row r="34" spans="1:8">
      <c r="A34" t="str">
        <f>'Table of fees'!B33</f>
        <v>Supply abolishment - wasted visit</v>
      </c>
      <c r="B34" s="31">
        <f>IFERROR(VLOOKUP($A34,'Volumes - Report Summary'!$C:$AF,MATCH(B$3,'Volumes - Report Summary'!$C$6:$AF$6,0),FALSE),0)</f>
        <v>20</v>
      </c>
      <c r="C34" s="302">
        <f>IFERROR(VLOOKUP(A34,'Cost buildup'!C:AR,MATCH($C$1,'Cost buildup'!$C$3:$AR$3,0),FALSE),0)</f>
        <v>169.42386310251854</v>
      </c>
      <c r="D34" s="72">
        <f t="shared" si="2"/>
        <v>3388.4772620503709</v>
      </c>
      <c r="F34" s="31">
        <f>IFERROR(VLOOKUP($A34,'Volumes - Report Summary'!$C:$AF,MATCH(F$3,'Volumes - Report Summary'!$C$6:$AF$6,0),FALSE),0)</f>
        <v>20</v>
      </c>
      <c r="G34" s="302">
        <f>C34*(1+'Master Data'!$J$30)</f>
        <v>173.65945968008148</v>
      </c>
      <c r="H34" s="72">
        <f t="shared" si="3"/>
        <v>3473.1891936016295</v>
      </c>
    </row>
    <row r="35" spans="1:8">
      <c r="A35">
        <f>'Table of fees'!B34</f>
        <v>0</v>
      </c>
      <c r="B35" s="31">
        <f>IFERROR(VLOOKUP($A35,'Volumes - Report Summary'!$C:$AF,MATCH(B$3,'Volumes - Report Summary'!$C$6:$AF$6,0),FALSE),0)</f>
        <v>0</v>
      </c>
      <c r="C35" s="302">
        <f>IFERROR(VLOOKUP(A35,'Cost buildup'!C:AR,MATCH($C$1,'Cost buildup'!$C$3:$AR$3,0),FALSE),0)</f>
        <v>0</v>
      </c>
      <c r="D35" s="72">
        <f t="shared" si="2"/>
        <v>0</v>
      </c>
      <c r="F35" s="31">
        <f>IFERROR(VLOOKUP($A35,'Volumes - Report Summary'!$C:$AF,MATCH(F$3,'Volumes - Report Summary'!$C$6:$AF$6,0),FALSE),0)</f>
        <v>0</v>
      </c>
      <c r="G35" s="302">
        <f>C35*(1+'Master Data'!$J$30)</f>
        <v>0</v>
      </c>
      <c r="H35" s="72">
        <f t="shared" si="3"/>
        <v>0</v>
      </c>
    </row>
    <row r="36" spans="1:8">
      <c r="A36" t="str">
        <f>'Table of fees'!B35</f>
        <v xml:space="preserve">Tee-up/Appointment </v>
      </c>
      <c r="B36" s="31">
        <f>IFERROR(VLOOKUP($A36,'Volumes - Report Summary'!$C:$AF,MATCH(B$3,'Volumes - Report Summary'!$C$6:$AF$6,0),FALSE),0)</f>
        <v>260</v>
      </c>
      <c r="C36" s="302">
        <f>IFERROR(VLOOKUP(A36,'Cost buildup'!C:AR,MATCH($C$1,'Cost buildup'!$C$3:$AR$3,0),FALSE),0)</f>
        <v>146.00220327696695</v>
      </c>
      <c r="D36" s="72">
        <f t="shared" si="2"/>
        <v>37960.572852011406</v>
      </c>
      <c r="F36" s="31">
        <f>IFERROR(VLOOKUP($A36,'Volumes - Report Summary'!$C:$AF,MATCH(F$3,'Volumes - Report Summary'!$C$6:$AF$6,0),FALSE),0)</f>
        <v>265</v>
      </c>
      <c r="G36" s="302">
        <f>C36*(1+'Master Data'!$J$30)</f>
        <v>149.65225835889112</v>
      </c>
      <c r="H36" s="72">
        <f t="shared" si="3"/>
        <v>39657.848465106144</v>
      </c>
    </row>
    <row r="37" spans="1:8">
      <c r="A37" t="str">
        <f>'Table of fees'!B36</f>
        <v>Tee-up/Appointment – after hours</v>
      </c>
      <c r="B37" s="31">
        <f>IFERROR(VLOOKUP($A37,'Volumes - Report Summary'!$C:$AF,MATCH(B$3,'Volumes - Report Summary'!$C$6:$AF$6,0),FALSE),0)</f>
        <v>1</v>
      </c>
      <c r="C37" s="302">
        <f>IFERROR(VLOOKUP(A37,'Cost buildup'!C:AR,MATCH($C$1,'Cost buildup'!$C$3:$AR$3,0),FALSE),0)</f>
        <v>1481.4131097944314</v>
      </c>
      <c r="D37" s="72">
        <f t="shared" si="2"/>
        <v>1481.4131097944314</v>
      </c>
      <c r="F37" s="31">
        <f>IFERROR(VLOOKUP($A37,'Volumes - Report Summary'!$C:$AF,MATCH(F$3,'Volumes - Report Summary'!$C$6:$AF$6,0),FALSE),0)</f>
        <v>1</v>
      </c>
      <c r="G37" s="302">
        <f>C37*(1+'Master Data'!$J$30)</f>
        <v>1518.4484375392922</v>
      </c>
      <c r="H37" s="72">
        <f t="shared" si="3"/>
        <v>1518.4484375392922</v>
      </c>
    </row>
    <row r="38" spans="1:8">
      <c r="A38" t="str">
        <f>'Table of fees'!B37</f>
        <v>Tee-up/Appointment – no truck – after hours</v>
      </c>
      <c r="B38" s="31">
        <f>IFERROR(VLOOKUP($A38,'Volumes - Report Summary'!$C:$AF,MATCH(B$3,'Volumes - Report Summary'!$C$6:$AF$6,0),FALSE),0)</f>
        <v>1</v>
      </c>
      <c r="C38" s="302">
        <f>IFERROR(VLOOKUP(A38,'Cost buildup'!C:AR,MATCH($C$1,'Cost buildup'!$C$3:$AR$3,0),FALSE),0)</f>
        <v>712.32028416467995</v>
      </c>
      <c r="D38" s="72">
        <f t="shared" si="2"/>
        <v>712.32028416467995</v>
      </c>
      <c r="F38" s="31">
        <f>IFERROR(VLOOKUP($A38,'Volumes - Report Summary'!$C:$AF,MATCH(F$3,'Volumes - Report Summary'!$C$6:$AF$6,0),FALSE),0)</f>
        <v>1</v>
      </c>
      <c r="G38" s="302">
        <f>C38*(1+'Master Data'!$J$30)</f>
        <v>730.12829126879683</v>
      </c>
      <c r="H38" s="72">
        <f t="shared" si="3"/>
        <v>730.12829126879683</v>
      </c>
    </row>
    <row r="39" spans="1:8">
      <c r="A39" t="str">
        <f>'Table of fees'!B38</f>
        <v>Tee-up/Appointment – wasted visit</v>
      </c>
      <c r="B39" s="31">
        <f>IFERROR(VLOOKUP($A39,'Volumes - Report Summary'!$C:$AF,MATCH(B$3,'Volumes - Report Summary'!$C$6:$AF$6,0),FALSE),0)</f>
        <v>1</v>
      </c>
      <c r="C39" s="302">
        <f>IFERROR(VLOOKUP(A39,'Cost buildup'!C:AR,MATCH($C$1,'Cost buildup'!$C$3:$AR$3,0),FALSE),0)</f>
        <v>95.915206931382997</v>
      </c>
      <c r="D39" s="72">
        <f t="shared" si="2"/>
        <v>95.915206931382997</v>
      </c>
      <c r="F39" s="31">
        <f>IFERROR(VLOOKUP($A39,'Volumes - Report Summary'!$C:$AF,MATCH(F$3,'Volumes - Report Summary'!$C$6:$AF$6,0),FALSE),0)</f>
        <v>1</v>
      </c>
      <c r="G39" s="302">
        <f>C39*(1+'Master Data'!$J$30)</f>
        <v>98.313087104667559</v>
      </c>
      <c r="H39" s="72">
        <f t="shared" si="3"/>
        <v>98.313087104667559</v>
      </c>
    </row>
    <row r="40" spans="1:8">
      <c r="A40">
        <f>'Table of fees'!B39</f>
        <v>0</v>
      </c>
      <c r="B40" s="31">
        <f>IFERROR(VLOOKUP($A40,'Volumes - Report Summary'!$C:$AF,MATCH(B$3,'Volumes - Report Summary'!$C$6:$AF$6,0),FALSE),0)</f>
        <v>0</v>
      </c>
      <c r="C40" s="302">
        <f>IFERROR(VLOOKUP(A40,'Cost buildup'!C:AR,MATCH($C$1,'Cost buildup'!$C$3:$AR$3,0),FALSE),0)</f>
        <v>0</v>
      </c>
      <c r="D40" s="72">
        <f t="shared" si="2"/>
        <v>0</v>
      </c>
      <c r="F40" s="31">
        <f>IFERROR(VLOOKUP($A40,'Volumes - Report Summary'!$C:$AF,MATCH(F$3,'Volumes - Report Summary'!$C$6:$AF$6,0),FALSE),0)</f>
        <v>0</v>
      </c>
      <c r="G40" s="302">
        <f>C40*(1+'Master Data'!$J$30)</f>
        <v>0</v>
      </c>
      <c r="H40" s="72">
        <f t="shared" si="3"/>
        <v>0</v>
      </c>
    </row>
    <row r="41" spans="1:8">
      <c r="A41" t="str">
        <f>'Table of fees'!B40</f>
        <v>Open turret</v>
      </c>
      <c r="B41" s="31">
        <f>IFERROR(VLOOKUP($A41,'Volumes - Report Summary'!$C:$AF,MATCH(B$3,'Volumes - Report Summary'!$C$6:$AF$6,0),FALSE),0)</f>
        <v>1</v>
      </c>
      <c r="C41" s="302">
        <f>IFERROR(VLOOKUP(A41,'Cost buildup'!C:AR,MATCH($C$1,'Cost buildup'!$C$3:$AR$3,0),FALSE),0)</f>
        <v>137.63739667317239</v>
      </c>
      <c r="D41" s="72">
        <f t="shared" ref="D41:D94" si="5">B41*C41</f>
        <v>137.63739667317239</v>
      </c>
      <c r="F41" s="31">
        <f>IFERROR(VLOOKUP($A41,'Volumes - Report Summary'!$C:$AF,MATCH(F$3,'Volumes - Report Summary'!$C$6:$AF$6,0),FALSE),0)</f>
        <v>1</v>
      </c>
      <c r="G41" s="302">
        <f>C41*(1+'Master Data'!$J$30)</f>
        <v>141.07833159000168</v>
      </c>
      <c r="H41" s="72">
        <f t="shared" si="3"/>
        <v>141.07833159000168</v>
      </c>
    </row>
    <row r="42" spans="1:8">
      <c r="A42" t="str">
        <f>'Table of fees'!B41</f>
        <v>Data download</v>
      </c>
      <c r="B42" s="31">
        <f>IFERROR(VLOOKUP($A42,'Volumes - Report Summary'!$C:$AF,MATCH(B$3,'Volumes - Report Summary'!$C$6:$AF$6,0),FALSE),0)</f>
        <v>1</v>
      </c>
      <c r="C42" s="302">
        <f>IFERROR(VLOOKUP(A42,'Cost buildup'!C:AR,MATCH($C$1,'Cost buildup'!$C$3:$AR$3,0),FALSE),0)</f>
        <v>275.37663662352838</v>
      </c>
      <c r="D42" s="72">
        <f t="shared" si="5"/>
        <v>275.37663662352838</v>
      </c>
      <c r="F42" s="31">
        <f>IFERROR(VLOOKUP($A42,'Volumes - Report Summary'!$C:$AF,MATCH(F$3,'Volumes - Report Summary'!$C$6:$AF$6,0),FALSE),0)</f>
        <v>1</v>
      </c>
      <c r="G42" s="302">
        <f>C42*(1+'Master Data'!$J$30)</f>
        <v>282.26105253911658</v>
      </c>
      <c r="H42" s="72">
        <f t="shared" si="3"/>
        <v>282.26105253911658</v>
      </c>
    </row>
    <row r="43" spans="1:8">
      <c r="A43" t="str">
        <f>'Table of fees'!B42</f>
        <v>Alteration to unmetered supply</v>
      </c>
      <c r="B43" s="31">
        <f>IFERROR(VLOOKUP($A43,'Volumes - Report Summary'!$C:$AF,MATCH(B$3,'Volumes - Report Summary'!$C$6:$AF$6,0),FALSE),0)</f>
        <v>10</v>
      </c>
      <c r="C43" s="302">
        <f>IFERROR(VLOOKUP(A43,'Cost buildup'!C:AR,MATCH($C$1,'Cost buildup'!$C$3:$AR$3,0),FALSE),0)</f>
        <v>212.76789119154836</v>
      </c>
      <c r="D43" s="72">
        <f t="shared" si="5"/>
        <v>2127.6789119154837</v>
      </c>
      <c r="F43" s="31">
        <f>IFERROR(VLOOKUP($A43,'Volumes - Report Summary'!$C:$AF,MATCH(F$3,'Volumes - Report Summary'!$C$6:$AF$6,0),FALSE),0)</f>
        <v>10</v>
      </c>
      <c r="G43" s="302">
        <f>C43*(1+'Master Data'!$J$30)</f>
        <v>218.08708847133704</v>
      </c>
      <c r="H43" s="72">
        <f t="shared" si="3"/>
        <v>2180.8708847133703</v>
      </c>
    </row>
    <row r="44" spans="1:8">
      <c r="A44" t="str">
        <f>'Table of fees'!B43</f>
        <v>Meter Relocation</v>
      </c>
      <c r="B44" s="31">
        <f>IFERROR(VLOOKUP($A44,'Volumes - Report Summary'!$C:$AF,MATCH(B$3,'Volumes - Report Summary'!$C$6:$AF$6,0),FALSE),0)</f>
        <v>1</v>
      </c>
      <c r="C44" s="302">
        <f>IFERROR(VLOOKUP(A44,'Cost buildup'!C:AR,MATCH($C$1,'Cost buildup'!$C$3:$AR$3,0),FALSE),0)</f>
        <v>165.45564187679813</v>
      </c>
      <c r="D44" s="72">
        <f t="shared" si="5"/>
        <v>165.45564187679813</v>
      </c>
      <c r="F44" s="31">
        <f>IFERROR(VLOOKUP($A44,'Volumes - Report Summary'!$C:$AF,MATCH(F$3,'Volumes - Report Summary'!$C$6:$AF$6,0),FALSE),0)</f>
        <v>1</v>
      </c>
      <c r="G44" s="302">
        <f>C44*(1+'Master Data'!$J$30)</f>
        <v>169.59203292371805</v>
      </c>
      <c r="H44" s="72">
        <f t="shared" si="3"/>
        <v>169.59203292371805</v>
      </c>
    </row>
    <row r="45" spans="1:8">
      <c r="A45" t="str">
        <f>'Table of fees'!B44</f>
        <v>Miscellaneous service</v>
      </c>
      <c r="B45" s="31">
        <f>IFERROR(VLOOKUP($A45,'Volumes - Report Summary'!$C:$AF,MATCH(B$3,'Volumes - Report Summary'!$C$6:$AF$6,0),FALSE),0)</f>
        <v>1</v>
      </c>
      <c r="C45" s="302">
        <f>IFERROR(VLOOKUP(A45,'Cost buildup'!C:AR,MATCH($C$1,'Cost buildup'!$C$3:$AR$3,0),FALSE),0)</f>
        <v>125.11564758677638</v>
      </c>
      <c r="D45" s="72">
        <f t="shared" si="5"/>
        <v>125.11564758677638</v>
      </c>
      <c r="F45" s="31">
        <f>IFERROR(VLOOKUP($A45,'Volumes - Report Summary'!$C:$AF,MATCH(F$3,'Volumes - Report Summary'!$C$6:$AF$6,0),FALSE),0)</f>
        <v>1</v>
      </c>
      <c r="G45" s="302">
        <f>C45*(1+'Master Data'!$J$30)</f>
        <v>128.24353877644577</v>
      </c>
      <c r="H45" s="72">
        <f t="shared" si="3"/>
        <v>128.24353877644577</v>
      </c>
    </row>
    <row r="46" spans="1:8">
      <c r="A46" t="str">
        <f>'Table of fees'!B45</f>
        <v>Miscellaneous service – after hours</v>
      </c>
      <c r="B46" s="31">
        <f>IFERROR(VLOOKUP($A46,'Volumes - Report Summary'!$C:$AF,MATCH(B$3,'Volumes - Report Summary'!$C$6:$AF$6,0),FALSE),0)</f>
        <v>1</v>
      </c>
      <c r="C46" s="302">
        <f>IFERROR(VLOOKUP(A46,'Cost buildup'!C:AR,MATCH($C$1,'Cost buildup'!$C$3:$AR$3,0),FALSE),0)</f>
        <v>839.8118483565886</v>
      </c>
      <c r="D46" s="72">
        <f t="shared" si="5"/>
        <v>839.8118483565886</v>
      </c>
      <c r="F46" s="31">
        <f>IFERROR(VLOOKUP($A46,'Volumes - Report Summary'!$C:$AF,MATCH(F$3,'Volumes - Report Summary'!$C$6:$AF$6,0),FALSE),0)</f>
        <v>1</v>
      </c>
      <c r="G46" s="302">
        <f>C46*(1+'Master Data'!$J$30)</f>
        <v>860.80714456550322</v>
      </c>
      <c r="H46" s="72">
        <f t="shared" si="3"/>
        <v>860.80714456550322</v>
      </c>
    </row>
    <row r="47" spans="1:8">
      <c r="A47" t="str">
        <f>'Table of fees'!B46</f>
        <v>Miscellaneous service – wasted visit</v>
      </c>
      <c r="B47" s="31">
        <f>IFERROR(VLOOKUP($A47,'Volumes - Report Summary'!$C:$AF,MATCH(B$3,'Volumes - Report Summary'!$C$6:$AF$6,0),FALSE),0)</f>
        <v>1</v>
      </c>
      <c r="C47" s="302">
        <f>IFERROR(VLOOKUP(A47,'Cost buildup'!C:AR,MATCH($C$1,'Cost buildup'!$C$3:$AR$3,0),FALSE),0)</f>
        <v>100.07214941398439</v>
      </c>
      <c r="D47" s="72">
        <f t="shared" si="5"/>
        <v>100.07214941398439</v>
      </c>
      <c r="F47" s="31">
        <f>IFERROR(VLOOKUP($A47,'Volumes - Report Summary'!$C:$AF,MATCH(F$3,'Volumes - Report Summary'!$C$6:$AF$6,0),FALSE),0)</f>
        <v>1</v>
      </c>
      <c r="G47" s="302">
        <f>C47*(1+'Master Data'!$J$30)</f>
        <v>102.57395314933399</v>
      </c>
      <c r="H47" s="72">
        <f t="shared" si="3"/>
        <v>102.57395314933399</v>
      </c>
    </row>
    <row r="48" spans="1:8">
      <c r="A48">
        <f>'Table of fees'!B47</f>
        <v>0</v>
      </c>
      <c r="B48" s="31">
        <f>IFERROR(VLOOKUP($A48,'Volumes - Report Summary'!$C:$AF,MATCH(B$3,'Volumes - Report Summary'!$C$6:$AF$6,0),FALSE),0)</f>
        <v>0</v>
      </c>
      <c r="C48" s="302">
        <f>IFERROR(VLOOKUP(A48,'Cost buildup'!C:AR,MATCH($C$1,'Cost buildup'!$C$3:$AR$3,0),FALSE),0)</f>
        <v>0</v>
      </c>
      <c r="D48" s="72">
        <f t="shared" si="5"/>
        <v>0</v>
      </c>
      <c r="F48" s="31">
        <f>IFERROR(VLOOKUP($A48,'Volumes - Report Summary'!$C:$AF,MATCH(F$3,'Volumes - Report Summary'!$C$6:$AF$6,0),FALSE),0)</f>
        <v>0</v>
      </c>
      <c r="G48" s="302">
        <f>C48*(1+'Master Data'!$J$30)</f>
        <v>0</v>
      </c>
      <c r="H48" s="72">
        <f t="shared" si="3"/>
        <v>0</v>
      </c>
    </row>
    <row r="49" spans="1:8">
      <c r="A49" t="str">
        <f>'Table of fees'!B48</f>
        <v>Overhead service, single span - single phase</v>
      </c>
      <c r="B49" s="31">
        <f>IFERROR(VLOOKUP($A49,'Volumes - Report Summary'!$C:$AF,MATCH(B$3,'Volumes - Report Summary'!$C$6:$AF$6,0),FALSE),0)</f>
        <v>1288</v>
      </c>
      <c r="C49" s="302">
        <f>IFERROR(VLOOKUP(A49,'Cost buildup'!C:AR,MATCH($C$1,'Cost buildup'!$C$3:$AR$3,0),FALSE),0)</f>
        <v>550.58903150912454</v>
      </c>
      <c r="D49" s="72">
        <f t="shared" si="5"/>
        <v>709158.67258375243</v>
      </c>
      <c r="F49" s="31">
        <f>IFERROR(VLOOKUP($A49,'Volumes - Report Summary'!$C:$AF,MATCH(F$3,'Volumes - Report Summary'!$C$6:$AF$6,0),FALSE),0)</f>
        <v>1313</v>
      </c>
      <c r="G49" s="302">
        <f>C49*(1+'Master Data'!$J$30)</f>
        <v>564.35375729685256</v>
      </c>
      <c r="H49" s="72">
        <f t="shared" si="3"/>
        <v>740996.48333076737</v>
      </c>
    </row>
    <row r="50" spans="1:8">
      <c r="A50" t="str">
        <f>'Table of fees'!B49</f>
        <v>Overhead service, single span - multi phase</v>
      </c>
      <c r="B50" s="31">
        <f>IFERROR(VLOOKUP($A50,'Volumes - Report Summary'!$C:$AF,MATCH(B$3,'Volumes - Report Summary'!$C$6:$AF$6,0),FALSE),0)</f>
        <v>113</v>
      </c>
      <c r="C50" s="302">
        <f>IFERROR(VLOOKUP(A50,'Cost buildup'!C:AR,MATCH($C$1,'Cost buildup'!$C$3:$AR$3,0),FALSE),0)</f>
        <v>776.7050177173868</v>
      </c>
      <c r="D50" s="72">
        <f t="shared" si="5"/>
        <v>87767.667002064714</v>
      </c>
      <c r="F50" s="31">
        <f>IFERROR(VLOOKUP($A50,'Volumes - Report Summary'!$C:$AF,MATCH(F$3,'Volumes - Report Summary'!$C$6:$AF$6,0),FALSE),0)</f>
        <v>115</v>
      </c>
      <c r="G50" s="302">
        <f>C50*(1+'Master Data'!$J$30)</f>
        <v>796.12264316032145</v>
      </c>
      <c r="H50" s="72">
        <f t="shared" si="3"/>
        <v>91554.103963436966</v>
      </c>
    </row>
    <row r="51" spans="1:8">
      <c r="A51" t="str">
        <f>'Table of fees'!B50</f>
        <v xml:space="preserve">Underground service in turret/cabinet - single phase </v>
      </c>
      <c r="B51" s="31">
        <f>IFERROR(VLOOKUP($A51,'Volumes - Report Summary'!$C:$AF,MATCH(B$3,'Volumes - Report Summary'!$C$6:$AF$6,0),FALSE),0)</f>
        <v>792</v>
      </c>
      <c r="C51" s="302">
        <f>IFERROR(VLOOKUP(A51,'Cost buildup'!C:AR,MATCH($C$1,'Cost buildup'!$C$3:$AR$3,0),FALSE),0)</f>
        <v>180.81430236564509</v>
      </c>
      <c r="D51" s="72">
        <f t="shared" si="5"/>
        <v>143204.92747359091</v>
      </c>
      <c r="F51" s="31">
        <f>IFERROR(VLOOKUP($A51,'Volumes - Report Summary'!$C:$AF,MATCH(F$3,'Volumes - Report Summary'!$C$6:$AF$6,0),FALSE),0)</f>
        <v>807</v>
      </c>
      <c r="G51" s="302">
        <f>C51*(1+'Master Data'!$J$30)</f>
        <v>185.33465992478619</v>
      </c>
      <c r="H51" s="72">
        <f t="shared" si="3"/>
        <v>149565.07055930246</v>
      </c>
    </row>
    <row r="52" spans="1:8">
      <c r="A52" t="str">
        <f>'Table of fees'!B51</f>
        <v xml:space="preserve">Underground service in turret/cabinet - multi phase </v>
      </c>
      <c r="B52" s="31">
        <f>IFERROR(VLOOKUP($A52,'Volumes - Report Summary'!$C:$AF,MATCH(B$3,'Volumes - Report Summary'!$C$6:$AF$6,0),FALSE),0)</f>
        <v>72</v>
      </c>
      <c r="C52" s="302">
        <f>IFERROR(VLOOKUP(A52,'Cost buildup'!C:AR,MATCH($C$1,'Cost buildup'!$C$3:$AR$3,0),FALSE),0)</f>
        <v>226.5125969644613</v>
      </c>
      <c r="D52" s="72">
        <f t="shared" si="5"/>
        <v>16308.906981441214</v>
      </c>
      <c r="F52" s="31">
        <f>IFERROR(VLOOKUP($A52,'Volumes - Report Summary'!$C:$AF,MATCH(F$3,'Volumes - Report Summary'!$C$6:$AF$6,0),FALSE),0)</f>
        <v>74</v>
      </c>
      <c r="G52" s="302">
        <f>C52*(1+'Master Data'!$J$30)</f>
        <v>232.1754118885728</v>
      </c>
      <c r="H52" s="72">
        <f t="shared" si="3"/>
        <v>17180.980479754387</v>
      </c>
    </row>
    <row r="53" spans="1:8">
      <c r="A53" t="str">
        <f>'Table of fees'!B52</f>
        <v>Underground service with pole mounted fuse - single phase</v>
      </c>
      <c r="B53" s="31">
        <f>IFERROR(VLOOKUP($A53,'Volumes - Report Summary'!$C:$AF,MATCH(B$3,'Volumes - Report Summary'!$C$6:$AF$6,0),FALSE),0)</f>
        <v>772</v>
      </c>
      <c r="C53" s="302">
        <f>IFERROR(VLOOKUP(A53,'Cost buildup'!C:AR,MATCH($C$1,'Cost buildup'!$C$3:$AR$3,0),FALSE),0)</f>
        <v>421.4625148296422</v>
      </c>
      <c r="D53" s="72">
        <f t="shared" si="5"/>
        <v>325369.06144848379</v>
      </c>
      <c r="F53" s="31">
        <f>IFERROR(VLOOKUP($A53,'Volumes - Report Summary'!$C:$AF,MATCH(F$3,'Volumes - Report Summary'!$C$6:$AF$6,0),FALSE),0)</f>
        <v>787</v>
      </c>
      <c r="G53" s="302">
        <f>C53*(1+'Master Data'!$J$30)</f>
        <v>431.99907770038322</v>
      </c>
      <c r="H53" s="72">
        <f t="shared" si="3"/>
        <v>339983.27415020159</v>
      </c>
    </row>
    <row r="54" spans="1:8">
      <c r="A54" t="str">
        <f>'Table of fees'!B53</f>
        <v>Underground service with pole mounted fuse - multi phase</v>
      </c>
      <c r="B54" s="31">
        <f>IFERROR(VLOOKUP($A54,'Volumes - Report Summary'!$C:$AF,MATCH(B$3,'Volumes - Report Summary'!$C$6:$AF$6,0),FALSE),0)</f>
        <v>62</v>
      </c>
      <c r="C54" s="302">
        <f>IFERROR(VLOOKUP(A54,'Cost buildup'!C:AR,MATCH($C$1,'Cost buildup'!$C$3:$AR$3,0),FALSE),0)</f>
        <v>529.18042381493103</v>
      </c>
      <c r="D54" s="72">
        <f t="shared" si="5"/>
        <v>32809.186276525725</v>
      </c>
      <c r="F54" s="31">
        <f>IFERROR(VLOOKUP($A54,'Volumes - Report Summary'!$C:$AF,MATCH(F$3,'Volumes - Report Summary'!$C$6:$AF$6,0),FALSE),0)</f>
        <v>64</v>
      </c>
      <c r="G54" s="302">
        <f>C54*(1+'Master Data'!$J$30)</f>
        <v>542.40993441030423</v>
      </c>
      <c r="H54" s="72">
        <f t="shared" si="3"/>
        <v>34714.235802259471</v>
      </c>
    </row>
    <row r="55" spans="1:8">
      <c r="A55" t="str">
        <f>'Table of fees'!B54</f>
        <v>Basic connection – after hours</v>
      </c>
      <c r="B55" s="31">
        <f>IFERROR(VLOOKUP($A55,'Volumes - Report Summary'!$C:$AF,MATCH(B$3,'Volumes - Report Summary'!$C$6:$AF$6,0),FALSE),0)</f>
        <v>1</v>
      </c>
      <c r="C55" s="302">
        <f>IFERROR(VLOOKUP(A55,'Cost buildup'!C:AR,MATCH($C$1,'Cost buildup'!$C$3:$AR$3,0),FALSE),0)</f>
        <v>1548.6157619996759</v>
      </c>
      <c r="D55" s="72">
        <f t="shared" si="5"/>
        <v>1548.6157619996759</v>
      </c>
      <c r="F55" s="31">
        <f>IFERROR(VLOOKUP($A55,'Volumes - Report Summary'!$C:$AF,MATCH(F$3,'Volumes - Report Summary'!$C$6:$AF$6,0),FALSE),0)</f>
        <v>1</v>
      </c>
      <c r="G55" s="302">
        <f>C55*(1+'Master Data'!$J$30)</f>
        <v>1587.3311560496677</v>
      </c>
      <c r="H55" s="72">
        <f t="shared" si="3"/>
        <v>1587.3311560496677</v>
      </c>
    </row>
    <row r="56" spans="1:8">
      <c r="A56" t="str">
        <f>'Table of fees'!B55</f>
        <v>Connection establishment - wasted visit</v>
      </c>
      <c r="B56" s="31">
        <f>IFERROR(VLOOKUP($A56,'Volumes - Report Summary'!$C:$AF,MATCH(B$3,'Volumes - Report Summary'!$C$6:$AF$6,0),FALSE),0)</f>
        <v>10</v>
      </c>
      <c r="C56" s="302">
        <f>IFERROR(VLOOKUP(A56,'Cost buildup'!C:AR,MATCH($C$1,'Cost buildup'!$C$3:$AR$3,0),FALSE),0)</f>
        <v>154.79200820727101</v>
      </c>
      <c r="D56" s="72">
        <f t="shared" si="5"/>
        <v>1547.9200820727101</v>
      </c>
      <c r="F56" s="31">
        <f>IFERROR(VLOOKUP($A56,'Volumes - Report Summary'!$C:$AF,MATCH(F$3,'Volumes - Report Summary'!$C$6:$AF$6,0),FALSE),0)</f>
        <v>10</v>
      </c>
      <c r="G56" s="302">
        <f>C56*(1+'Master Data'!$J$30)</f>
        <v>158.66180841245279</v>
      </c>
      <c r="H56" s="72">
        <f t="shared" si="3"/>
        <v>1586.6180841245277</v>
      </c>
    </row>
    <row r="57" spans="1:8">
      <c r="A57">
        <f>'Table of fees'!B56</f>
        <v>0</v>
      </c>
      <c r="B57" s="31">
        <f>IFERROR(VLOOKUP($A57,'Volumes - Report Summary'!$C:$AF,MATCH(B$3,'Volumes - Report Summary'!$C$6:$AF$6,0),FALSE),0)</f>
        <v>0</v>
      </c>
      <c r="C57" s="302">
        <f>IFERROR(VLOOKUP(A57,'Cost buildup'!C:AR,MATCH($C$1,'Cost buildup'!$C$3:$AR$3,0),FALSE),0)</f>
        <v>0</v>
      </c>
      <c r="D57" s="72">
        <f t="shared" si="5"/>
        <v>0</v>
      </c>
      <c r="F57" s="31">
        <f>IFERROR(VLOOKUP($A57,'Volumes - Report Summary'!$C:$AF,MATCH(F$3,'Volumes - Report Summary'!$C$6:$AF$6,0),FALSE),0)</f>
        <v>0</v>
      </c>
      <c r="G57" s="302">
        <f>C57*(1+'Master Data'!$J$30)</f>
        <v>0</v>
      </c>
      <c r="H57" s="72">
        <f t="shared" si="3"/>
        <v>0</v>
      </c>
    </row>
    <row r="58" spans="1:8">
      <c r="A58">
        <f>'Table of fees'!B56</f>
        <v>0</v>
      </c>
      <c r="B58" s="31">
        <f>IFERROR(VLOOKUP($A58,'Volumes - Report Summary'!$C:$AF,MATCH(B$3,'Volumes - Report Summary'!$C$6:$AF$6,0),FALSE),0)</f>
        <v>0</v>
      </c>
      <c r="C58" s="302">
        <f>IFERROR(VLOOKUP(A58,'Cost buildup'!C:AR,MATCH($C$1,'Cost buildup'!$C$3:$AR$3,0),FALSE),0)</f>
        <v>0</v>
      </c>
      <c r="D58" s="72">
        <f t="shared" si="5"/>
        <v>0</v>
      </c>
      <c r="F58" s="31">
        <f>IFERROR(VLOOKUP($A58,'Volumes - Report Summary'!$C:$AF,MATCH(F$3,'Volumes - Report Summary'!$C$6:$AF$6,0),FALSE),0)</f>
        <v>0</v>
      </c>
      <c r="G58" s="302">
        <f>C58*(1+'Master Data'!$J$30)</f>
        <v>0</v>
      </c>
      <c r="H58" s="72">
        <f t="shared" si="3"/>
        <v>0</v>
      </c>
    </row>
    <row r="59" spans="1:8">
      <c r="A59" t="str">
        <f>'Table of fees'!B57</f>
        <v>Modify existing connection for micro embedded generation - single phase</v>
      </c>
      <c r="B59" s="31">
        <f>IFERROR(VLOOKUP($A59,'Volumes - Report Summary'!$C:$AF,MATCH(B$3,'Volumes - Report Summary'!$C$6:$AF$6,0),FALSE),0)</f>
        <v>2186.1964928950338</v>
      </c>
      <c r="C59" s="302">
        <f>IFERROR(VLOOKUP(A59,'Cost buildup'!C:AR,MATCH($C$1,'Cost buildup'!$C$3:$AR$3,0),FALSE),0)</f>
        <v>171.27464357788142</v>
      </c>
      <c r="D59" s="72">
        <f t="shared" si="5"/>
        <v>374440.02511181129</v>
      </c>
      <c r="F59" s="31">
        <f>IFERROR(VLOOKUP($A59,'Volumes - Report Summary'!$C:$AF,MATCH(F$3,'Volumes - Report Summary'!$C$6:$AF$6,0),FALSE),0)</f>
        <v>2229.9204227529344</v>
      </c>
      <c r="G59" s="302">
        <f>C59*(1+'Master Data'!$J$30)</f>
        <v>175.55650966732844</v>
      </c>
      <c r="H59" s="72">
        <f t="shared" si="3"/>
        <v>391477.04625439865</v>
      </c>
    </row>
    <row r="60" spans="1:8">
      <c r="A60" t="str">
        <f>'Table of fees'!B58</f>
        <v>Modify existing connection for micro embedded generation - multi phase</v>
      </c>
      <c r="B60" s="31">
        <f>IFERROR(VLOOKUP($A60,'Volumes - Report Summary'!$C:$AF,MATCH(B$3,'Volumes - Report Summary'!$C$6:$AF$6,0),FALSE),0)</f>
        <v>176.40350710496602</v>
      </c>
      <c r="C60" s="302">
        <f>IFERROR(VLOOKUP(A60,'Cost buildup'!C:AR,MATCH($C$1,'Cost buildup'!$C$3:$AR$3,0),FALSE),0)</f>
        <v>214.50971649517061</v>
      </c>
      <c r="D60" s="72">
        <f t="shared" si="5"/>
        <v>37840.266297840077</v>
      </c>
      <c r="F60" s="31">
        <f>IFERROR(VLOOKUP($A60,'Volumes - Report Summary'!$C:$AF,MATCH(F$3,'Volumes - Report Summary'!$C$6:$AF$6,0),FALSE),0)</f>
        <v>179.93157724706535</v>
      </c>
      <c r="G60" s="302">
        <f>C60*(1+'Master Data'!$J$30)</f>
        <v>219.87245940754985</v>
      </c>
      <c r="H60" s="72">
        <f t="shared" si="3"/>
        <v>39561.998414391797</v>
      </c>
    </row>
    <row r="61" spans="1:8">
      <c r="A61" t="str">
        <f>'Table of fees'!B59</f>
        <v>Renewable energy connection - after hours</v>
      </c>
      <c r="B61" s="31">
        <f>IFERROR(VLOOKUP($A61,'Volumes - Report Summary'!$C:$AF,MATCH(B$3,'Volumes - Report Summary'!$C$6:$AF$6,0),FALSE),0)</f>
        <v>1</v>
      </c>
      <c r="C61" s="302">
        <f>IFERROR(VLOOKUP(A61,'Cost buildup'!C:AR,MATCH($C$1,'Cost buildup'!$C$3:$AR$3,0),FALSE),0)</f>
        <v>1378.8632004981312</v>
      </c>
      <c r="D61" s="72">
        <f t="shared" si="5"/>
        <v>1378.8632004981312</v>
      </c>
      <c r="F61" s="31">
        <f>IFERROR(VLOOKUP($A61,'Volumes - Report Summary'!$C:$AF,MATCH(F$3,'Volumes - Report Summary'!$C$6:$AF$6,0),FALSE),0)</f>
        <v>1</v>
      </c>
      <c r="G61" s="302">
        <f>C61*(1+'Master Data'!$J$30)</f>
        <v>1413.3347805105843</v>
      </c>
      <c r="H61" s="72">
        <f t="shared" si="3"/>
        <v>1413.3347805105843</v>
      </c>
    </row>
    <row r="62" spans="1:8">
      <c r="A62" t="str">
        <f>'Table of fees'!B60</f>
        <v>Renewable energy connection – wasted visit</v>
      </c>
      <c r="B62" s="31">
        <f>IFERROR(VLOOKUP($A62,'Volumes - Report Summary'!$C:$AF,MATCH(B$3,'Volumes - Report Summary'!$C$6:$AF$6,0),FALSE),0)</f>
        <v>1</v>
      </c>
      <c r="C62" s="302">
        <f>IFERROR(VLOOKUP(A62,'Cost buildup'!C:AR,MATCH($C$1,'Cost buildup'!$C$3:$AR$3,0),FALSE),0)</f>
        <v>117.23080243127001</v>
      </c>
      <c r="D62" s="72">
        <f t="shared" si="5"/>
        <v>117.23080243127001</v>
      </c>
      <c r="F62" s="31">
        <f>IFERROR(VLOOKUP($A62,'Volumes - Report Summary'!$C:$AF,MATCH(F$3,'Volumes - Report Summary'!$C$6:$AF$6,0),FALSE),0)</f>
        <v>1</v>
      </c>
      <c r="G62" s="302">
        <f>C62*(1+'Master Data'!$J$30)</f>
        <v>120.16157249205175</v>
      </c>
      <c r="H62" s="72">
        <f t="shared" si="3"/>
        <v>120.16157249205175</v>
      </c>
    </row>
    <row r="63" spans="1:8">
      <c r="A63">
        <f>'Table of fees'!B61</f>
        <v>0</v>
      </c>
      <c r="B63" s="31">
        <f>IFERROR(VLOOKUP($A63,'Volumes - Report Summary'!$C:$AF,MATCH(B$3,'Volumes - Report Summary'!$C$6:$AF$6,0),FALSE),0)</f>
        <v>0</v>
      </c>
      <c r="C63" s="302">
        <f>IFERROR(VLOOKUP(A63,'Cost buildup'!C:AR,MATCH($C$1,'Cost buildup'!$C$3:$AR$3,0),FALSE),0)</f>
        <v>0</v>
      </c>
      <c r="D63" s="72">
        <f t="shared" si="5"/>
        <v>0</v>
      </c>
      <c r="F63" s="31">
        <f>IFERROR(VLOOKUP($A63,'Volumes - Report Summary'!$C:$AF,MATCH(F$3,'Volumes - Report Summary'!$C$6:$AF$6,0),FALSE),0)</f>
        <v>0</v>
      </c>
      <c r="G63" s="302">
        <f>C63*(1+'Master Data'!$J$30)</f>
        <v>0</v>
      </c>
      <c r="H63" s="72">
        <f t="shared" si="3"/>
        <v>0</v>
      </c>
    </row>
    <row r="64" spans="1:8">
      <c r="A64" t="str">
        <f>'Table of fees'!B62</f>
        <v>Disconnect/reconnect overhead service for facia repairs - single phase</v>
      </c>
      <c r="B64" s="31">
        <f>IFERROR(VLOOKUP($A64,'Volumes - Report Summary'!$C:$AF,MATCH(B$3,'Volumes - Report Summary'!$C$6:$AF$6,0),FALSE),0)</f>
        <v>20</v>
      </c>
      <c r="C64" s="302">
        <f>IFERROR(VLOOKUP(A64,'Cost buildup'!C:AR,MATCH($C$1,'Cost buildup'!$C$3:$AR$3,0),FALSE),0)</f>
        <v>322.21995627463144</v>
      </c>
      <c r="D64" s="72">
        <f t="shared" si="5"/>
        <v>6444.3991254926286</v>
      </c>
      <c r="F64" s="31">
        <f>IFERROR(VLOOKUP($A64,'Volumes - Report Summary'!$C:$AF,MATCH(F$3,'Volumes - Report Summary'!$C$6:$AF$6,0),FALSE),0)</f>
        <v>20</v>
      </c>
      <c r="G64" s="302">
        <f>C64*(1+'Master Data'!$J$30)</f>
        <v>330.27545518149719</v>
      </c>
      <c r="H64" s="72">
        <f t="shared" si="3"/>
        <v>6605.5091036299436</v>
      </c>
    </row>
    <row r="65" spans="1:8">
      <c r="A65" t="str">
        <f>'Table of fees'!B63</f>
        <v>Disconnect/reconnect overhead service for facia repairs - multi phase</v>
      </c>
      <c r="B65" s="31">
        <f>IFERROR(VLOOKUP($A65,'Volumes - Report Summary'!$C:$AF,MATCH(B$3,'Volumes - Report Summary'!$C$6:$AF$6,0),FALSE),0)</f>
        <v>20</v>
      </c>
      <c r="C65" s="302">
        <f>IFERROR(VLOOKUP(A65,'Cost buildup'!C:AR,MATCH($C$1,'Cost buildup'!$C$3:$AR$3,0),FALSE),0)</f>
        <v>412.9988384357697</v>
      </c>
      <c r="D65" s="72">
        <f t="shared" si="5"/>
        <v>8259.9767687153944</v>
      </c>
      <c r="F65" s="31">
        <f>IFERROR(VLOOKUP($A65,'Volumes - Report Summary'!$C:$AF,MATCH(F$3,'Volumes - Report Summary'!$C$6:$AF$6,0),FALSE),0)</f>
        <v>20</v>
      </c>
      <c r="G65" s="302">
        <f>C65*(1+'Master Data'!$J$30)</f>
        <v>423.32380939666393</v>
      </c>
      <c r="H65" s="72">
        <f t="shared" si="3"/>
        <v>8466.4761879332782</v>
      </c>
    </row>
    <row r="66" spans="1:8">
      <c r="A66" t="str">
        <f>'Table of fees'!B64</f>
        <v>Temporary disconnect/reconnect – after hours</v>
      </c>
      <c r="B66" s="31">
        <f>IFERROR(VLOOKUP($A66,'Volumes - Report Summary'!$C:$AF,MATCH(B$3,'Volumes - Report Summary'!$C$6:$AF$6,0),FALSE),0)</f>
        <v>1</v>
      </c>
      <c r="C66" s="302">
        <f>IFERROR(VLOOKUP(A66,'Cost buildup'!C:AR,MATCH($C$1,'Cost buildup'!$C$3:$AR$3,0),FALSE),0)</f>
        <v>1510.5117071726413</v>
      </c>
      <c r="D66" s="72">
        <f t="shared" si="5"/>
        <v>1510.5117071726413</v>
      </c>
      <c r="F66" s="31">
        <f>IFERROR(VLOOKUP($A66,'Volumes - Report Summary'!$C:$AF,MATCH(F$3,'Volumes - Report Summary'!$C$6:$AF$6,0),FALSE),0)</f>
        <v>1</v>
      </c>
      <c r="G66" s="302">
        <f>C66*(1+'Master Data'!$J$30)</f>
        <v>1548.2744998519572</v>
      </c>
      <c r="H66" s="72">
        <f t="shared" si="3"/>
        <v>1548.2744998519572</v>
      </c>
    </row>
    <row r="67" spans="1:8">
      <c r="A67" t="str">
        <f>'Table of fees'!B65</f>
        <v>Temporary disconnect/reconnect – wasted visit</v>
      </c>
      <c r="B67" s="31">
        <f>IFERROR(VLOOKUP($A67,'Volumes - Report Summary'!$C:$AF,MATCH(B$3,'Volumes - Report Summary'!$C$6:$AF$6,0),FALSE),0)</f>
        <v>1</v>
      </c>
      <c r="C67" s="302">
        <f>IFERROR(VLOOKUP(A67,'Cost buildup'!C:AR,MATCH($C$1,'Cost buildup'!$C$3:$AR$3,0),FALSE),0)</f>
        <v>186.05163303292414</v>
      </c>
      <c r="D67" s="72">
        <f t="shared" si="5"/>
        <v>186.05163303292414</v>
      </c>
      <c r="F67" s="31">
        <f>IFERROR(VLOOKUP($A67,'Volumes - Report Summary'!$C:$AF,MATCH(F$3,'Volumes - Report Summary'!$C$6:$AF$6,0),FALSE),0)</f>
        <v>1</v>
      </c>
      <c r="G67" s="302">
        <f>C67*(1+'Master Data'!$J$30)</f>
        <v>190.70292385874723</v>
      </c>
      <c r="H67" s="72">
        <f t="shared" si="3"/>
        <v>190.70292385874723</v>
      </c>
    </row>
    <row r="68" spans="1:8">
      <c r="A68">
        <f>'Table of fees'!B66</f>
        <v>0</v>
      </c>
      <c r="B68" s="31">
        <f>IFERROR(VLOOKUP($A68,'Volumes - Report Summary'!$C:$AF,MATCH(B$3,'Volumes - Report Summary'!$C$6:$AF$6,0),FALSE),0)</f>
        <v>0</v>
      </c>
      <c r="C68" s="302">
        <f>IFERROR(VLOOKUP(A68,'Cost buildup'!C:AR,MATCH($C$1,'Cost buildup'!$C$3:$AR$3,0),FALSE),0)</f>
        <v>0</v>
      </c>
      <c r="D68" s="72">
        <f t="shared" si="5"/>
        <v>0</v>
      </c>
      <c r="F68" s="31">
        <f>IFERROR(VLOOKUP($A68,'Volumes - Report Summary'!$C:$AF,MATCH(F$3,'Volumes - Report Summary'!$C$6:$AF$6,0),FALSE),0)</f>
        <v>0</v>
      </c>
      <c r="G68" s="302">
        <f>C68*(1+'Master Data'!$J$30)</f>
        <v>0</v>
      </c>
      <c r="H68" s="72">
        <f t="shared" si="3"/>
        <v>0</v>
      </c>
    </row>
    <row r="69" spans="1:8">
      <c r="A69" t="str">
        <f>'Table of fees'!B67</f>
        <v>Connection alteration – overhead single phase</v>
      </c>
      <c r="B69" s="31">
        <f>IFERROR(VLOOKUP($A69,'Volumes - Report Summary'!$C:$AF,MATCH(B$3,'Volumes - Report Summary'!$C$6:$AF$6,0),FALSE),0)</f>
        <v>582</v>
      </c>
      <c r="C69" s="302">
        <f>IFERROR(VLOOKUP(A69,'Cost buildup'!C:AR,MATCH($C$1,'Cost buildup'!$C$3:$AR$3,0),FALSE),0)</f>
        <v>322.21995627463144</v>
      </c>
      <c r="D69" s="72">
        <f t="shared" si="5"/>
        <v>187532.01455183551</v>
      </c>
      <c r="F69" s="31">
        <f>IFERROR(VLOOKUP($A69,'Volumes - Report Summary'!$C:$AF,MATCH(F$3,'Volumes - Report Summary'!$C$6:$AF$6,0),FALSE),0)</f>
        <v>594</v>
      </c>
      <c r="G69" s="302">
        <f>C69*(1+'Master Data'!$J$30)</f>
        <v>330.27545518149719</v>
      </c>
      <c r="H69" s="72">
        <f t="shared" si="3"/>
        <v>196183.62037780933</v>
      </c>
    </row>
    <row r="70" spans="1:8">
      <c r="A70" t="str">
        <f>'Table of fees'!B68</f>
        <v>Connection alteration – overhead multi phase</v>
      </c>
      <c r="B70" s="31">
        <f>IFERROR(VLOOKUP($A70,'Volumes - Report Summary'!$C:$AF,MATCH(B$3,'Volumes - Report Summary'!$C$6:$AF$6,0),FALSE),0)</f>
        <v>136</v>
      </c>
      <c r="C70" s="302">
        <f>IFERROR(VLOOKUP(A70,'Cost buildup'!C:AR,MATCH($C$1,'Cost buildup'!$C$3:$AR$3,0),FALSE),0)</f>
        <v>412.9988384357697</v>
      </c>
      <c r="D70" s="72">
        <f t="shared" si="5"/>
        <v>56167.842027264676</v>
      </c>
      <c r="F70" s="31">
        <f>IFERROR(VLOOKUP($A70,'Volumes - Report Summary'!$C:$AF,MATCH(F$3,'Volumes - Report Summary'!$C$6:$AF$6,0),FALSE),0)</f>
        <v>139</v>
      </c>
      <c r="G70" s="302">
        <f>C70*(1+'Master Data'!$J$30)</f>
        <v>423.32380939666393</v>
      </c>
      <c r="H70" s="72">
        <f t="shared" ref="H70:H99" si="6">F70*G70</f>
        <v>58842.009506136288</v>
      </c>
    </row>
    <row r="71" spans="1:8">
      <c r="A71" t="str">
        <f>'Table of fees'!B69</f>
        <v>Connection of new consumer mains to an existing installation – underground single phase to turret or pole</v>
      </c>
      <c r="B71" s="31">
        <f>IFERROR(VLOOKUP($A71,'Volumes - Report Summary'!$C:$AF,MATCH(B$3,'Volumes - Report Summary'!$C$6:$AF$6,0),FALSE),0)</f>
        <v>166</v>
      </c>
      <c r="C71" s="302">
        <f>IFERROR(VLOOKUP(A71,'Cost buildup'!C:AR,MATCH($C$1,'Cost buildup'!$C$3:$AR$3,0),FALSE),0)</f>
        <v>225.18779700076078</v>
      </c>
      <c r="D71" s="72">
        <f t="shared" si="5"/>
        <v>37381.174302126288</v>
      </c>
      <c r="F71" s="31">
        <f>IFERROR(VLOOKUP($A71,'Volumes - Report Summary'!$C:$AF,MATCH(F$3,'Volumes - Report Summary'!$C$6:$AF$6,0),FALSE),0)</f>
        <v>169</v>
      </c>
      <c r="G71" s="302">
        <f>C71*(1+'Master Data'!$J$30)</f>
        <v>230.81749192577979</v>
      </c>
      <c r="H71" s="72">
        <f t="shared" si="6"/>
        <v>39008.156135456782</v>
      </c>
    </row>
    <row r="72" spans="1:8">
      <c r="A72" t="str">
        <f>'Table of fees'!B70</f>
        <v>Connection of new consumer mains to an existing installation – underground multi phase to turret or pole</v>
      </c>
      <c r="B72" s="31">
        <f>IFERROR(VLOOKUP($A72,'Volumes - Report Summary'!$C:$AF,MATCH(B$3,'Volumes - Report Summary'!$C$6:$AF$6,0),FALSE),0)</f>
        <v>114</v>
      </c>
      <c r="C72" s="302">
        <f>IFERROR(VLOOKUP(A72,'Cost buildup'!C:AR,MATCH($C$1,'Cost buildup'!$C$3:$AR$3,0),FALSE),0)</f>
        <v>275.27479334634478</v>
      </c>
      <c r="D72" s="72">
        <f t="shared" si="5"/>
        <v>31381.326441483307</v>
      </c>
      <c r="F72" s="31">
        <f>IFERROR(VLOOKUP($A72,'Volumes - Report Summary'!$C:$AF,MATCH(F$3,'Volumes - Report Summary'!$C$6:$AF$6,0),FALSE),0)</f>
        <v>116</v>
      </c>
      <c r="G72" s="302">
        <f>C72*(1+'Master Data'!$J$30)</f>
        <v>282.15666318000336</v>
      </c>
      <c r="H72" s="72">
        <f t="shared" si="6"/>
        <v>32730.172928880391</v>
      </c>
    </row>
    <row r="73" spans="1:8">
      <c r="A73" t="str">
        <f>'Table of fees'!B71</f>
        <v>Augment single phase overhead  service to multi phase supply</v>
      </c>
      <c r="B73" s="31">
        <f>IFERROR(VLOOKUP($A73,'Volumes - Report Summary'!$C:$AF,MATCH(B$3,'Volumes - Report Summary'!$C$6:$AF$6,0),FALSE),0)</f>
        <v>1</v>
      </c>
      <c r="C73" s="302">
        <f>IFERROR(VLOOKUP(A73,'Cost buildup'!C:AR,MATCH($C$1,'Cost buildup'!$C$3:$AR$3,0),FALSE),0)</f>
        <v>844.78917933824039</v>
      </c>
      <c r="D73" s="72">
        <f t="shared" si="5"/>
        <v>844.78917933824039</v>
      </c>
      <c r="F73" s="31">
        <f>IFERROR(VLOOKUP($A73,'Volumes - Report Summary'!$C:$AF,MATCH(F$3,'Volumes - Report Summary'!$C$6:$AF$6,0),FALSE),0)</f>
        <v>1</v>
      </c>
      <c r="G73" s="302">
        <f>C73*(1+'Master Data'!$J$30)</f>
        <v>865.90890882169629</v>
      </c>
      <c r="H73" s="72">
        <f t="shared" si="6"/>
        <v>865.90890882169629</v>
      </c>
    </row>
    <row r="74" spans="1:8">
      <c r="A74" t="str">
        <f>'Table of fees'!B72</f>
        <v>Augment multi phase overhead  service to single phase supply</v>
      </c>
      <c r="B74" s="31">
        <f>IFERROR(VLOOKUP($A74,'Volumes - Report Summary'!$C:$AF,MATCH(B$3,'Volumes - Report Summary'!$C$6:$AF$6,0),FALSE),0)</f>
        <v>1</v>
      </c>
      <c r="C74" s="302">
        <f>IFERROR(VLOOKUP(A74,'Cost buildup'!C:AR,MATCH($C$1,'Cost buildup'!$C$3:$AR$3,0),FALSE),0)</f>
        <v>618.67319312997824</v>
      </c>
      <c r="D74" s="72">
        <f t="shared" si="5"/>
        <v>618.67319312997824</v>
      </c>
      <c r="F74" s="31">
        <f>IFERROR(VLOOKUP($A74,'Volumes - Report Summary'!$C:$AF,MATCH(F$3,'Volumes - Report Summary'!$C$6:$AF$6,0),FALSE),0)</f>
        <v>1</v>
      </c>
      <c r="G74" s="302">
        <f>C74*(1+'Master Data'!$J$30)</f>
        <v>634.14002295822763</v>
      </c>
      <c r="H74" s="72">
        <f t="shared" si="6"/>
        <v>634.14002295822763</v>
      </c>
    </row>
    <row r="75" spans="1:8">
      <c r="A75" t="str">
        <f>'Table of fees'!B73</f>
        <v>Augment single phase overhead  service to underground supply (turret)</v>
      </c>
      <c r="B75" s="31">
        <f>IFERROR(VLOOKUP($A75,'Volumes - Report Summary'!$C:$AF,MATCH(B$3,'Volumes - Report Summary'!$C$6:$AF$6,0),FALSE),0)</f>
        <v>1</v>
      </c>
      <c r="C75" s="302">
        <f>IFERROR(VLOOKUP(A75,'Cost buildup'!C:AR,MATCH($C$1,'Cost buildup'!$C$3:$AR$3,0),FALSE),0)</f>
        <v>391.52989171804592</v>
      </c>
      <c r="D75" s="72">
        <f t="shared" si="5"/>
        <v>391.52989171804592</v>
      </c>
      <c r="F75" s="31">
        <f>IFERROR(VLOOKUP($A75,'Volumes - Report Summary'!$C:$AF,MATCH(F$3,'Volumes - Report Summary'!$C$6:$AF$6,0),FALSE),0)</f>
        <v>1</v>
      </c>
      <c r="G75" s="302">
        <f>C75*(1+'Master Data'!$J$30)</f>
        <v>401.31813901099702</v>
      </c>
      <c r="H75" s="72">
        <f t="shared" si="6"/>
        <v>401.31813901099702</v>
      </c>
    </row>
    <row r="76" spans="1:8">
      <c r="A76" t="str">
        <f>'Table of fees'!B74</f>
        <v>Augment multi phase overhead service  to underground supply (turret)</v>
      </c>
      <c r="B76" s="31">
        <f>IFERROR(VLOOKUP($A76,'Volumes - Report Summary'!$C:$AF,MATCH(B$3,'Volumes - Report Summary'!$C$6:$AF$6,0),FALSE),0)</f>
        <v>1</v>
      </c>
      <c r="C76" s="302">
        <f>IFERROR(VLOOKUP(A76,'Cost buildup'!C:AR,MATCH($C$1,'Cost buildup'!$C$3:$AR$3,0),FALSE),0)</f>
        <v>482.30877387918417</v>
      </c>
      <c r="D76" s="72">
        <f t="shared" si="5"/>
        <v>482.30877387918417</v>
      </c>
      <c r="F76" s="31">
        <f>IFERROR(VLOOKUP($A76,'Volumes - Report Summary'!$C:$AF,MATCH(F$3,'Volumes - Report Summary'!$C$6:$AF$6,0),FALSE),0)</f>
        <v>1</v>
      </c>
      <c r="G76" s="302">
        <f>C76*(1+'Master Data'!$J$30)</f>
        <v>494.36649322616375</v>
      </c>
      <c r="H76" s="72">
        <f t="shared" si="6"/>
        <v>494.36649322616375</v>
      </c>
    </row>
    <row r="77" spans="1:8">
      <c r="A77" t="str">
        <f>'Table of fees'!B75</f>
        <v>Augment single phase overhead service  to underground supply (pole)</v>
      </c>
      <c r="B77" s="31">
        <f>IFERROR(VLOOKUP($A77,'Volumes - Report Summary'!$C:$AF,MATCH(B$3,'Volumes - Report Summary'!$C$6:$AF$6,0),FALSE),0)</f>
        <v>1</v>
      </c>
      <c r="C77" s="302">
        <f>IFERROR(VLOOKUP(A77,'Cost buildup'!C:AR,MATCH($C$1,'Cost buildup'!$C$3:$AR$3,0),FALSE),0)</f>
        <v>489.54667645049585</v>
      </c>
      <c r="D77" s="72">
        <f t="shared" si="5"/>
        <v>489.54667645049585</v>
      </c>
      <c r="F77" s="31">
        <f>IFERROR(VLOOKUP($A77,'Volumes - Report Summary'!$C:$AF,MATCH(F$3,'Volumes - Report Summary'!$C$6:$AF$6,0),FALSE),0)</f>
        <v>1</v>
      </c>
      <c r="G77" s="302">
        <f>C77*(1+'Master Data'!$J$30)</f>
        <v>501.78534336175818</v>
      </c>
      <c r="H77" s="72">
        <f t="shared" si="6"/>
        <v>501.78534336175818</v>
      </c>
    </row>
    <row r="78" spans="1:8">
      <c r="A78" t="str">
        <f>'Table of fees'!B76</f>
        <v>Augment multi phase overhead service  to underground supply (pole)</v>
      </c>
      <c r="B78" s="31">
        <f>IFERROR(VLOOKUP($A78,'Volumes - Report Summary'!$C:$AF,MATCH(B$3,'Volumes - Report Summary'!$C$6:$AF$6,0),FALSE),0)</f>
        <v>1</v>
      </c>
      <c r="C78" s="302">
        <f>IFERROR(VLOOKUP(A78,'Cost buildup'!C:AR,MATCH($C$1,'Cost buildup'!$C$3:$AR$3,0),FALSE),0)</f>
        <v>597.26458543578462</v>
      </c>
      <c r="D78" s="72">
        <f t="shared" si="5"/>
        <v>597.26458543578462</v>
      </c>
      <c r="F78" s="31">
        <f>IFERROR(VLOOKUP($A78,'Volumes - Report Summary'!$C:$AF,MATCH(F$3,'Volumes - Report Summary'!$C$6:$AF$6,0),FALSE),0)</f>
        <v>1</v>
      </c>
      <c r="G78" s="302">
        <f>C78*(1+'Master Data'!$J$30)</f>
        <v>612.19620007167919</v>
      </c>
      <c r="H78" s="72">
        <f t="shared" si="6"/>
        <v>612.19620007167919</v>
      </c>
    </row>
    <row r="79" spans="1:8">
      <c r="A79" t="str">
        <f>'Table of fees'!B77</f>
        <v>Basic connection alteration – after hours</v>
      </c>
      <c r="B79" s="31">
        <f>IFERROR(VLOOKUP($A79,'Volumes - Report Summary'!$C:$AF,MATCH(B$3,'Volumes - Report Summary'!$C$6:$AF$6,0),FALSE),0)</f>
        <v>1</v>
      </c>
      <c r="C79" s="302">
        <f>IFERROR(VLOOKUP(A79,'Cost buildup'!C:AR,MATCH($C$1,'Cost buildup'!$C$3:$AR$3,0),FALSE),0)</f>
        <v>1510.5117071726413</v>
      </c>
      <c r="D79" s="72">
        <f t="shared" si="5"/>
        <v>1510.5117071726413</v>
      </c>
      <c r="F79" s="31">
        <f>IFERROR(VLOOKUP($A79,'Volumes - Report Summary'!$C:$AF,MATCH(F$3,'Volumes - Report Summary'!$C$6:$AF$6,0),FALSE),0)</f>
        <v>1</v>
      </c>
      <c r="G79" s="302">
        <f>C79*(1+'Master Data'!$J$30)</f>
        <v>1548.2744998519572</v>
      </c>
      <c r="H79" s="72">
        <f t="shared" si="6"/>
        <v>1548.2744998519572</v>
      </c>
    </row>
    <row r="80" spans="1:8">
      <c r="A80" t="str">
        <f>'Table of fees'!B78</f>
        <v>Basic connection wasted visit</v>
      </c>
      <c r="B80" s="31">
        <f>IFERROR(VLOOKUP($A80,'Volumes - Report Summary'!$C:$AF,MATCH(B$3,'Volumes - Report Summary'!$C$6:$AF$6,0),FALSE),0)</f>
        <v>208</v>
      </c>
      <c r="C80" s="302">
        <f>IFERROR(VLOOKUP(A80,'Cost buildup'!C:AR,MATCH($C$1,'Cost buildup'!$C$3:$AR$3,0),FALSE),0)</f>
        <v>174.70427276278184</v>
      </c>
      <c r="D80" s="72">
        <f t="shared" si="5"/>
        <v>36338.488734658626</v>
      </c>
      <c r="F80" s="31">
        <f>IFERROR(VLOOKUP($A80,'Volumes - Report Summary'!$C:$AF,MATCH(F$3,'Volumes - Report Summary'!$C$6:$AF$6,0),FALSE),0)</f>
        <v>212</v>
      </c>
      <c r="G80" s="302">
        <f>C80*(1+'Master Data'!$J$30)</f>
        <v>179.07187958185136</v>
      </c>
      <c r="H80" s="72">
        <f t="shared" si="6"/>
        <v>37963.238471352488</v>
      </c>
    </row>
    <row r="81" spans="1:8">
      <c r="A81">
        <f>'Table of fees'!B79</f>
        <v>0</v>
      </c>
      <c r="B81" s="31">
        <f>IFERROR(VLOOKUP($A81,'Volumes - Report Summary'!$C:$AF,MATCH(B$3,'Volumes - Report Summary'!$C$6:$AF$6,0),FALSE),0)</f>
        <v>0</v>
      </c>
      <c r="C81" s="302">
        <f>IFERROR(VLOOKUP(A81,'Cost buildup'!C:AR,MATCH($C$1,'Cost buildup'!$C$3:$AR$3,0),FALSE),0)</f>
        <v>0</v>
      </c>
      <c r="D81" s="72">
        <f t="shared" si="5"/>
        <v>0</v>
      </c>
      <c r="F81" s="31">
        <f>IFERROR(VLOOKUP($A81,'Volumes - Report Summary'!$C:$AF,MATCH(F$3,'Volumes - Report Summary'!$C$6:$AF$6,0),FALSE),0)</f>
        <v>0</v>
      </c>
      <c r="G81" s="302">
        <f>C81*(1+'Master Data'!$J$30)</f>
        <v>0</v>
      </c>
      <c r="H81" s="72">
        <f t="shared" si="6"/>
        <v>0</v>
      </c>
    </row>
    <row r="82" spans="1:8">
      <c r="A82" s="4"/>
      <c r="B82" s="442"/>
      <c r="C82" s="445"/>
      <c r="D82" s="484"/>
      <c r="E82" s="4"/>
      <c r="F82" s="442"/>
      <c r="G82" s="445"/>
      <c r="H82" s="484"/>
    </row>
    <row r="83" spans="1:8">
      <c r="B83" s="31"/>
      <c r="C83" s="302"/>
      <c r="D83" s="72"/>
      <c r="F83" s="31"/>
      <c r="G83" s="302"/>
      <c r="H83" s="72"/>
    </row>
    <row r="84" spans="1:8">
      <c r="A84" t="str">
        <f>'Table of fees'!B81</f>
        <v>Standard Application Fee</v>
      </c>
      <c r="B84" s="31">
        <f>IFERROR(VLOOKUP($A84,'Volumes - Report Summary'!$C:$AF,MATCH(B$3,'Volumes - Report Summary'!$C$6:$AF$6,0),FALSE),0)</f>
        <v>1</v>
      </c>
      <c r="C84" s="302">
        <f>IFERROR(VLOOKUP(A84,'Customer Choice Cost buildup'!C:AR,MATCH($C$1,'Customer Choice Cost buildup'!$C$3:$AR$3,0),FALSE),0)</f>
        <v>200</v>
      </c>
      <c r="D84" s="72">
        <f t="shared" si="5"/>
        <v>200</v>
      </c>
      <c r="F84" s="31">
        <f>IFERROR(VLOOKUP($A84,'Volumes - Report Summary'!$C:$AF,MATCH(F$3,'Volumes - Report Summary'!$C$6:$AF$6,0),FALSE),0)</f>
        <v>1</v>
      </c>
      <c r="G84" s="302">
        <f>C84*(1+'Master Data'!$J$30)</f>
        <v>204.99999999999997</v>
      </c>
      <c r="H84" s="72">
        <f>F84*G84</f>
        <v>204.99999999999997</v>
      </c>
    </row>
    <row r="85" spans="1:8">
      <c r="A85" t="str">
        <f>'Table of fees'!B82</f>
        <v>Application Fee - Customer Choice</v>
      </c>
      <c r="B85" s="31">
        <f>IFERROR(VLOOKUP($A85,'Volumes - Report Summary'!$C:$AF,MATCH(B$3,'Volumes - Report Summary'!$C$6:$AF$6,0),FALSE),0)</f>
        <v>0</v>
      </c>
      <c r="C85" s="302">
        <f>IFERROR(VLOOKUP(A85,'Customer Choice Cost buildup'!C:AR,MATCH($C$1,'Customer Choice Cost buildup'!$C$3:$AR$3,0),FALSE),0)</f>
        <v>1886.5126194032803</v>
      </c>
      <c r="D85" s="72">
        <f t="shared" si="5"/>
        <v>0</v>
      </c>
      <c r="F85" s="31">
        <f>IFERROR(VLOOKUP($A85,'Volumes - Report Summary'!$C:$AF,MATCH(F$3,'Volumes - Report Summary'!$C$6:$AF$6,0),FALSE),0)</f>
        <v>0</v>
      </c>
      <c r="G85" s="302">
        <f>C85*(1+'Master Data'!$J$30)</f>
        <v>1933.6754348883621</v>
      </c>
      <c r="H85" s="72">
        <f t="shared" si="6"/>
        <v>0</v>
      </c>
    </row>
    <row r="86" spans="1:8">
      <c r="A86">
        <f>'Table of fees'!B83</f>
        <v>0</v>
      </c>
      <c r="B86" s="31">
        <f>IFERROR(VLOOKUP($A86,'Volumes - Report Summary'!$C:$AF,MATCH(B$3,'Volumes - Report Summary'!$C$6:$AF$6,0),FALSE),0)</f>
        <v>0</v>
      </c>
      <c r="C86" s="302">
        <f>IFERROR(VLOOKUP(A86,'Customer Choice Cost buildup'!C:AR,MATCH($C$1,'Customer Choice Cost buildup'!$C$3:$AR$3,0),FALSE),0)</f>
        <v>0</v>
      </c>
      <c r="D86" s="72">
        <f t="shared" si="5"/>
        <v>0</v>
      </c>
      <c r="F86" s="31">
        <f>IFERROR(VLOOKUP($A86,'Volumes - Report Summary'!$C:$AF,MATCH(F$3,'Volumes - Report Summary'!$C$6:$AF$6,0),FALSE),0)</f>
        <v>0</v>
      </c>
      <c r="G86" s="302">
        <f>C86*(1+'Master Data'!$J$30)</f>
        <v>0</v>
      </c>
      <c r="H86" s="72">
        <f t="shared" si="6"/>
        <v>0</v>
      </c>
    </row>
    <row r="87" spans="1:8">
      <c r="A87" t="str">
        <f>'Table of fees'!B84</f>
        <v>Large - Design Audit Fee (small)</v>
      </c>
      <c r="B87" s="31">
        <f>IFERROR(VLOOKUP($A87,'Volumes - Report Summary'!$C:$AF,MATCH(B$3,'Volumes - Report Summary'!$C$6:$AF$6,0),FALSE),0)</f>
        <v>1</v>
      </c>
      <c r="C87" s="302">
        <f>IFERROR(VLOOKUP(A87,'Customer Choice Cost buildup'!C:AR,MATCH($C$1,'Customer Choice Cost buildup'!$C$3:$AR$3,0),FALSE),0)</f>
        <v>1382.4121387539967</v>
      </c>
      <c r="D87" s="72">
        <f t="shared" si="5"/>
        <v>1382.4121387539967</v>
      </c>
      <c r="F87" s="31">
        <f>IFERROR(VLOOKUP($A87,'Volumes - Report Summary'!$C:$AF,MATCH(F$3,'Volumes - Report Summary'!$C$6:$AF$6,0),FALSE),0)</f>
        <v>1</v>
      </c>
      <c r="G87" s="302">
        <f>C87*(1+'Master Data'!$J$30)</f>
        <v>1416.9724422228464</v>
      </c>
      <c r="H87" s="72">
        <f t="shared" si="6"/>
        <v>1416.9724422228464</v>
      </c>
    </row>
    <row r="88" spans="1:8">
      <c r="A88" t="str">
        <f>'Table of fees'!B85</f>
        <v>Large - Design Audit Fee (large)</v>
      </c>
      <c r="B88" s="31">
        <f>IFERROR(VLOOKUP($A88,'Volumes - Report Summary'!$C:$AF,MATCH(B$3,'Volumes - Report Summary'!$C$6:$AF$6,0),FALSE),0)</f>
        <v>1</v>
      </c>
      <c r="C88" s="302">
        <f>IFERROR(VLOOKUP(A88,'Customer Choice Cost buildup'!C:AR,MATCH($C$1,'Customer Choice Cost buildup'!$C$3:$AR$3,0),FALSE),0)</f>
        <v>1844.8191185738772</v>
      </c>
      <c r="D88" s="72">
        <f t="shared" si="5"/>
        <v>1844.8191185738772</v>
      </c>
      <c r="F88" s="31">
        <f>IFERROR(VLOOKUP($A88,'Volumes - Report Summary'!$C:$AF,MATCH(F$3,'Volumes - Report Summary'!$C$6:$AF$6,0),FALSE),0)</f>
        <v>1</v>
      </c>
      <c r="G88" s="302">
        <f>C88*(1+'Master Data'!$J$30)</f>
        <v>1890.9395965382239</v>
      </c>
      <c r="H88" s="72">
        <f t="shared" si="6"/>
        <v>1890.9395965382239</v>
      </c>
    </row>
    <row r="89" spans="1:8">
      <c r="A89" t="str">
        <f>'Table of fees'!B86</f>
        <v>Large - Design Audit Fee (major)</v>
      </c>
      <c r="B89" s="31">
        <f>IFERROR(VLOOKUP($A89,'Volumes - Report Summary'!$C:$AF,MATCH(B$3,'Volumes - Report Summary'!$C$6:$AF$6,0),FALSE),0)</f>
        <v>1</v>
      </c>
      <c r="C89" s="302">
        <f>IFERROR(VLOOKUP(A89,'Customer Choice Cost buildup'!C:AR,MATCH($C$1,'Customer Choice Cost buildup'!$C$3:$AR$3,0),FALSE),0)</f>
        <v>2944.8886772030683</v>
      </c>
      <c r="D89" s="72">
        <f t="shared" si="5"/>
        <v>2944.8886772030683</v>
      </c>
      <c r="F89" s="31">
        <f>IFERROR(VLOOKUP($A89,'Volumes - Report Summary'!$C:$AF,MATCH(F$3,'Volumes - Report Summary'!$C$6:$AF$6,0),FALSE),0)</f>
        <v>1</v>
      </c>
      <c r="G89" s="302">
        <f>C89*(1+'Master Data'!$J$30)</f>
        <v>3018.5108941331446</v>
      </c>
      <c r="H89" s="72">
        <f t="shared" si="6"/>
        <v>3018.5108941331446</v>
      </c>
    </row>
    <row r="90" spans="1:8">
      <c r="A90" t="str">
        <f>'Table of fees'!B87</f>
        <v>Large - Construction Audit Fee (small)</v>
      </c>
      <c r="B90" s="31">
        <f>IFERROR(VLOOKUP($A90,'Volumes - Report Summary'!$C:$AF,MATCH(B$3,'Volumes - Report Summary'!$C$6:$AF$6,0),FALSE),0)</f>
        <v>1</v>
      </c>
      <c r="C90" s="302">
        <f>IFERROR(VLOOKUP(A90,'Customer Choice Cost buildup'!C:AR,MATCH($C$1,'Customer Choice Cost buildup'!$C$3:$AR$3,0),FALSE),0)</f>
        <v>4755.9474815573785</v>
      </c>
      <c r="D90" s="72">
        <f t="shared" si="5"/>
        <v>4755.9474815573785</v>
      </c>
      <c r="F90" s="31">
        <f>IFERROR(VLOOKUP($A90,'Volumes - Report Summary'!$C:$AF,MATCH(F$3,'Volumes - Report Summary'!$C$6:$AF$6,0),FALSE),0)</f>
        <v>1</v>
      </c>
      <c r="G90" s="302">
        <f>C90*(1+'Master Data'!$J$30)</f>
        <v>4874.846168596313</v>
      </c>
      <c r="H90" s="72">
        <f t="shared" si="6"/>
        <v>4874.846168596313</v>
      </c>
    </row>
    <row r="91" spans="1:8">
      <c r="A91" t="str">
        <f>'Table of fees'!B88</f>
        <v>Large - Construction Audit Fee (large)</v>
      </c>
      <c r="B91" s="31">
        <f>IFERROR(VLOOKUP($A91,'Volumes - Report Summary'!$C:$AF,MATCH(B$3,'Volumes - Report Summary'!$C$6:$AF$6,0),FALSE),0)</f>
        <v>1</v>
      </c>
      <c r="C91" s="302">
        <f>IFERROR(VLOOKUP(A91,'Customer Choice Cost buildup'!C:AR,MATCH($C$1,'Customer Choice Cost buildup'!$C$3:$AR$3,0),FALSE),0)</f>
        <v>5944.934351946722</v>
      </c>
      <c r="D91" s="72">
        <f t="shared" si="5"/>
        <v>5944.934351946722</v>
      </c>
      <c r="F91" s="31">
        <f>IFERROR(VLOOKUP($A91,'Volumes - Report Summary'!$C:$AF,MATCH(F$3,'Volumes - Report Summary'!$C$6:$AF$6,0),FALSE),0)</f>
        <v>1</v>
      </c>
      <c r="G91" s="302">
        <f>C91*(1+'Master Data'!$J$30)</f>
        <v>6093.5577107453892</v>
      </c>
      <c r="H91" s="72">
        <f t="shared" si="6"/>
        <v>6093.5577107453892</v>
      </c>
    </row>
    <row r="92" spans="1:8">
      <c r="A92" t="str">
        <f>'Table of fees'!B89</f>
        <v>Large - Construction Audit Fee (major)</v>
      </c>
      <c r="B92" s="31">
        <f>IFERROR(VLOOKUP($A92,'Volumes - Report Summary'!$C:$AF,MATCH(B$3,'Volumes - Report Summary'!$C$6:$AF$6,0),FALSE),0)</f>
        <v>1</v>
      </c>
      <c r="C92" s="302">
        <f>IFERROR(VLOOKUP(A92,'Customer Choice Cost buildup'!C:AR,MATCH($C$1,'Customer Choice Cost buildup'!$C$3:$AR$3,0),FALSE),0)</f>
        <v>7379.7493657745254</v>
      </c>
      <c r="D92" s="72">
        <f t="shared" si="5"/>
        <v>7379.7493657745254</v>
      </c>
      <c r="F92" s="31">
        <f>IFERROR(VLOOKUP($A92,'Volumes - Report Summary'!$C:$AF,MATCH(F$3,'Volumes - Report Summary'!$C$6:$AF$6,0),FALSE),0)</f>
        <v>1</v>
      </c>
      <c r="G92" s="302">
        <f>C92*(1+'Master Data'!$J$30)</f>
        <v>7564.2430999188882</v>
      </c>
      <c r="H92" s="72">
        <f t="shared" si="6"/>
        <v>7564.2430999188882</v>
      </c>
    </row>
    <row r="93" spans="1:8">
      <c r="A93">
        <f>'Table of fees'!B90</f>
        <v>0</v>
      </c>
      <c r="B93" s="31">
        <f>IFERROR(VLOOKUP($A93,'Volumes - Report Summary'!$C:$AF,MATCH(B$3,'Volumes - Report Summary'!$C$6:$AF$6,0),FALSE),0)</f>
        <v>0</v>
      </c>
      <c r="C93" s="302">
        <f>IFERROR(VLOOKUP(A93,'Customer Choice Cost buildup'!C:AR,MATCH($C$1,'Customer Choice Cost buildup'!$C$3:$AR$3,0),FALSE),0)</f>
        <v>0</v>
      </c>
      <c r="D93" s="72">
        <f t="shared" si="5"/>
        <v>0</v>
      </c>
      <c r="F93" s="31">
        <f>IFERROR(VLOOKUP($A93,'Volumes - Report Summary'!$C:$AF,MATCH(F$3,'Volumes - Report Summary'!$C$6:$AF$6,0),FALSE),0)</f>
        <v>0</v>
      </c>
      <c r="G93" s="302">
        <f>C93*(1+'Master Data'!$J$30)</f>
        <v>0</v>
      </c>
      <c r="H93" s="72">
        <f t="shared" si="6"/>
        <v>0</v>
      </c>
    </row>
    <row r="94" spans="1:8">
      <c r="A94" t="str">
        <f>'Table of fees'!B91</f>
        <v>Small - Design Audit Fee (small)</v>
      </c>
      <c r="B94" s="31">
        <f>IFERROR(VLOOKUP($A94,'Volumes - Report Summary'!$C:$AF,MATCH(B$3,'Volumes - Report Summary'!$C$6:$AF$6,0),FALSE),0)</f>
        <v>1</v>
      </c>
      <c r="C94" s="302">
        <f>IFERROR(VLOOKUP(A94,'Customer Choice Cost buildup'!C:AR,MATCH($C$1,'Customer Choice Cost buildup'!$C$3:$AR$3,0),FALSE),0)</f>
        <v>441.61742156830752</v>
      </c>
      <c r="D94" s="72">
        <f t="shared" si="5"/>
        <v>441.61742156830752</v>
      </c>
      <c r="F94" s="31">
        <f>IFERROR(VLOOKUP($A94,'Volumes - Report Summary'!$C:$AF,MATCH(F$3,'Volumes - Report Summary'!$C$6:$AF$6,0),FALSE),0)</f>
        <v>1</v>
      </c>
      <c r="G94" s="302">
        <f>C94*(1+'Master Data'!$J$30)</f>
        <v>452.65785710751516</v>
      </c>
      <c r="H94" s="72">
        <f t="shared" si="6"/>
        <v>452.65785710751516</v>
      </c>
    </row>
    <row r="95" spans="1:8">
      <c r="A95" t="str">
        <f>'Table of fees'!B92</f>
        <v>Small - Design Audit Fee (large)</v>
      </c>
      <c r="B95" s="31">
        <f>IFERROR(VLOOKUP($A95,'Volumes - Report Summary'!$C:$AF,MATCH(B$3,'Volumes - Report Summary'!$C$6:$AF$6,0),FALSE),0)</f>
        <v>1</v>
      </c>
      <c r="C95" s="302">
        <f>IFERROR(VLOOKUP(A95,'Customer Choice Cost buildup'!C:AR,MATCH($C$1,'Customer Choice Cost buildup'!$C$3:$AR$3,0),FALSE),0)</f>
        <v>670.22221669680118</v>
      </c>
      <c r="D95" s="72">
        <f t="shared" ref="D95:D99" si="7">B95*C95</f>
        <v>670.22221669680118</v>
      </c>
      <c r="F95" s="31">
        <f>IFERROR(VLOOKUP($A95,'Volumes - Report Summary'!$C:$AF,MATCH(F$3,'Volumes - Report Summary'!$C$6:$AF$6,0),FALSE),0)</f>
        <v>1</v>
      </c>
      <c r="G95" s="302">
        <f>C95*(1+'Master Data'!$J$30)</f>
        <v>686.97777211422112</v>
      </c>
      <c r="H95" s="72">
        <f t="shared" si="6"/>
        <v>686.97777211422112</v>
      </c>
    </row>
    <row r="96" spans="1:8">
      <c r="A96" t="str">
        <f>'Table of fees'!B93</f>
        <v>Small - Design Audit Fee (major)</v>
      </c>
      <c r="B96" s="31">
        <f>IFERROR(VLOOKUP($A96,'Volumes - Report Summary'!$C:$AF,MATCH(B$3,'Volumes - Report Summary'!$C$6:$AF$6,0),FALSE),0)</f>
        <v>1</v>
      </c>
      <c r="C96" s="302">
        <f>IFERROR(VLOOKUP(A96,'Customer Choice Cost buildup'!C:AR,MATCH($C$1,'Customer Choice Cost buildup'!$C$3:$AR$3,0),FALSE),0)</f>
        <v>943.25630970164013</v>
      </c>
      <c r="D96" s="72">
        <f t="shared" si="7"/>
        <v>943.25630970164013</v>
      </c>
      <c r="F96" s="31">
        <f>IFERROR(VLOOKUP($A96,'Volumes - Report Summary'!$C:$AF,MATCH(F$3,'Volumes - Report Summary'!$C$6:$AF$6,0),FALSE),0)</f>
        <v>1</v>
      </c>
      <c r="G96" s="302">
        <f>C96*(1+'Master Data'!$J$30)</f>
        <v>966.83771744418107</v>
      </c>
      <c r="H96" s="72">
        <f t="shared" si="6"/>
        <v>966.83771744418107</v>
      </c>
    </row>
    <row r="97" spans="1:8">
      <c r="A97" t="str">
        <f>'Table of fees'!B94</f>
        <v>Small - Construction Audit Fee (small)</v>
      </c>
      <c r="B97" s="31">
        <f>IFERROR(VLOOKUP($A97,'Volumes - Report Summary'!$C:$AF,MATCH(B$3,'Volumes - Report Summary'!$C$6:$AF$6,0),FALSE),0)</f>
        <v>1</v>
      </c>
      <c r="C97" s="302">
        <f>IFERROR(VLOOKUP(A97,'Customer Choice Cost buildup'!C:AR,MATCH($C$1,'Customer Choice Cost buildup'!$C$3:$AR$3,0),FALSE),0)</f>
        <v>951.18949631147564</v>
      </c>
      <c r="D97" s="72">
        <f t="shared" si="7"/>
        <v>951.18949631147564</v>
      </c>
      <c r="F97" s="31">
        <f>IFERROR(VLOOKUP($A97,'Volumes - Report Summary'!$C:$AF,MATCH(F$3,'Volumes - Report Summary'!$C$6:$AF$6,0),FALSE),0)</f>
        <v>1</v>
      </c>
      <c r="G97" s="302">
        <f>C97*(1+'Master Data'!$J$30)</f>
        <v>974.96923371926243</v>
      </c>
      <c r="H97" s="72">
        <f t="shared" si="6"/>
        <v>974.96923371926243</v>
      </c>
    </row>
    <row r="98" spans="1:8">
      <c r="A98" t="str">
        <f>'Table of fees'!B95</f>
        <v>Small - Construction Audit Fee (large)</v>
      </c>
      <c r="B98" s="31">
        <f>IFERROR(VLOOKUP($A98,'Volumes - Report Summary'!$C:$AF,MATCH(B$3,'Volumes - Report Summary'!$C$6:$AF$6,0),FALSE),0)</f>
        <v>1</v>
      </c>
      <c r="C98" s="302">
        <f>IFERROR(VLOOKUP(A98,'Customer Choice Cost buildup'!C:AR,MATCH($C$1,'Customer Choice Cost buildup'!$C$3:$AR$3,0),FALSE),0)</f>
        <v>1902.3789926229513</v>
      </c>
      <c r="D98" s="72">
        <f t="shared" si="7"/>
        <v>1902.3789926229513</v>
      </c>
      <c r="F98" s="31">
        <f>IFERROR(VLOOKUP($A98,'Volumes - Report Summary'!$C:$AF,MATCH(F$3,'Volumes - Report Summary'!$C$6:$AF$6,0),FALSE),0)</f>
        <v>1</v>
      </c>
      <c r="G98" s="302">
        <f>C98*(1+'Master Data'!$J$30)</f>
        <v>1949.9384674385249</v>
      </c>
      <c r="H98" s="72">
        <f t="shared" si="6"/>
        <v>1949.9384674385249</v>
      </c>
    </row>
    <row r="99" spans="1:8">
      <c r="A99" t="str">
        <f>'Table of fees'!B96</f>
        <v>Small - Construction Audit Fee (major)</v>
      </c>
      <c r="B99" s="31">
        <f>IFERROR(VLOOKUP($A99,'Volumes - Report Summary'!$C:$AF,MATCH(B$3,'Volumes - Report Summary'!$C$6:$AF$6,0),FALSE),0)</f>
        <v>1</v>
      </c>
      <c r="C99" s="302">
        <f>IFERROR(VLOOKUP(A99,'Customer Choice Cost buildup'!C:AR,MATCH($C$1,'Customer Choice Cost buildup'!$C$3:$AR$3,0),FALSE),0)</f>
        <v>2951.8997463098099</v>
      </c>
      <c r="D99" s="72">
        <f t="shared" si="7"/>
        <v>2951.8997463098099</v>
      </c>
      <c r="F99" s="31">
        <f>IFERROR(VLOOKUP($A99,'Volumes - Report Summary'!$C:$AF,MATCH(F$3,'Volumes - Report Summary'!$C$6:$AF$6,0),FALSE),0)</f>
        <v>1</v>
      </c>
      <c r="G99" s="302">
        <f>C99*(1+'Master Data'!$J$30)</f>
        <v>3025.6972399675547</v>
      </c>
      <c r="H99" s="72">
        <f t="shared" si="6"/>
        <v>3025.6972399675547</v>
      </c>
    </row>
    <row r="100" spans="1:8">
      <c r="A100">
        <f>'Table of fees'!B97</f>
        <v>0</v>
      </c>
      <c r="B100" s="31">
        <f>IFERROR(VLOOKUP($A100,'Volumes - Report Summary'!$C:$AF,MATCH(B$3,'Volumes - Report Summary'!$C$6:$AF$6,0),FALSE),0)</f>
        <v>0</v>
      </c>
      <c r="C100" s="302">
        <f>IFERROR(VLOOKUP(A100,'Customer Choice Cost buildup'!C:AR,MATCH($C$1,'Customer Choice Cost buildup'!$C$3:$AR$3,0),FALSE),0)</f>
        <v>0</v>
      </c>
      <c r="D100" s="72">
        <f t="shared" ref="D100:D108" si="8">B100*C100</f>
        <v>0</v>
      </c>
      <c r="F100" s="31">
        <f>IFERROR(VLOOKUP($A100,'Volumes - Report Summary'!$C:$AF,MATCH(F$3,'Volumes - Report Summary'!$C$6:$AF$6,0),FALSE),0)</f>
        <v>0</v>
      </c>
      <c r="G100" s="302">
        <f>C100*(1+'Master Data'!$J$30)</f>
        <v>0</v>
      </c>
      <c r="H100" s="72">
        <f t="shared" ref="H100:H108" si="9">F100*G100</f>
        <v>0</v>
      </c>
    </row>
    <row r="101" spans="1:8">
      <c r="A101">
        <f>'Table of fees'!B98</f>
        <v>0</v>
      </c>
      <c r="B101" s="31">
        <f>IFERROR(VLOOKUP($A101,'Volumes - Report Summary'!$C:$AF,MATCH(B$3,'Volumes - Report Summary'!$C$6:$AF$6,0),FALSE),0)</f>
        <v>0</v>
      </c>
      <c r="C101" s="302">
        <f>IFERROR(VLOOKUP(A101,'Customer Choice Cost buildup'!C:AR,MATCH($C$1,'Customer Choice Cost buildup'!$C$3:$AR$3,0),FALSE),0)</f>
        <v>0</v>
      </c>
      <c r="D101" s="72">
        <f t="shared" si="8"/>
        <v>0</v>
      </c>
      <c r="F101" s="31">
        <f>IFERROR(VLOOKUP($A101,'Volumes - Report Summary'!$C:$AF,MATCH(F$3,'Volumes - Report Summary'!$C$6:$AF$6,0),FALSE),0)</f>
        <v>0</v>
      </c>
      <c r="G101" s="302">
        <f>C101*(1+'Master Data'!$J$30)</f>
        <v>0</v>
      </c>
      <c r="H101" s="72">
        <f t="shared" si="9"/>
        <v>0</v>
      </c>
    </row>
    <row r="102" spans="1:8">
      <c r="A102">
        <f>'Table of fees'!B99</f>
        <v>0</v>
      </c>
      <c r="B102" s="31">
        <f>IFERROR(VLOOKUP($A102,'Volumes - Report Summary'!$C:$AF,MATCH(B$3,'Volumes - Report Summary'!$C$6:$AF$6,0),FALSE),0)</f>
        <v>0</v>
      </c>
      <c r="C102" s="302">
        <f>IFERROR(VLOOKUP(A102,'Customer Choice Cost buildup'!C:AR,MATCH($C$1,'Customer Choice Cost buildup'!$C$3:$AR$3,0),FALSE),0)</f>
        <v>0</v>
      </c>
      <c r="D102" s="72">
        <f t="shared" si="8"/>
        <v>0</v>
      </c>
      <c r="F102" s="31">
        <f>IFERROR(VLOOKUP($A102,'Volumes - Report Summary'!$C:$AF,MATCH(F$3,'Volumes - Report Summary'!$C$6:$AF$6,0),FALSE),0)</f>
        <v>0</v>
      </c>
      <c r="G102" s="302">
        <f>C102*(1+'Master Data'!$J$30)</f>
        <v>0</v>
      </c>
      <c r="H102" s="72">
        <f t="shared" si="9"/>
        <v>0</v>
      </c>
    </row>
    <row r="103" spans="1:8">
      <c r="A103">
        <f>'Table of fees'!B100</f>
        <v>0</v>
      </c>
      <c r="B103" s="31">
        <f>IFERROR(VLOOKUP($A103,'Volumes - Report Summary'!$C:$AF,MATCH(B$3,'Volumes - Report Summary'!$C$6:$AF$6,0),FALSE),0)</f>
        <v>0</v>
      </c>
      <c r="C103" s="302">
        <f>IFERROR(VLOOKUP(A103,'Customer Choice Cost buildup'!C:AR,MATCH($C$1,'Customer Choice Cost buildup'!$C$3:$AR$3,0),FALSE),0)</f>
        <v>0</v>
      </c>
      <c r="D103" s="72">
        <f t="shared" si="8"/>
        <v>0</v>
      </c>
      <c r="F103" s="31">
        <f>IFERROR(VLOOKUP($A103,'Volumes - Report Summary'!$C:$AF,MATCH(F$3,'Volumes - Report Summary'!$C$6:$AF$6,0),FALSE),0)</f>
        <v>0</v>
      </c>
      <c r="G103" s="302">
        <f>C103*(1+'Master Data'!$J$30)</f>
        <v>0</v>
      </c>
      <c r="H103" s="72">
        <f t="shared" si="9"/>
        <v>0</v>
      </c>
    </row>
    <row r="104" spans="1:8">
      <c r="A104">
        <f>'Table of fees'!B101</f>
        <v>0</v>
      </c>
      <c r="B104" s="31">
        <f>IFERROR(VLOOKUP($A104,'Volumes - Report Summary'!$C:$AF,MATCH(B$3,'Volumes - Report Summary'!$C$6:$AF$6,0),FALSE),0)</f>
        <v>0</v>
      </c>
      <c r="C104" s="302">
        <f>IFERROR(VLOOKUP(A104,'Customer Choice Cost buildup'!C:AR,MATCH($C$1,'Customer Choice Cost buildup'!$C$3:$AR$3,0),FALSE),0)</f>
        <v>0</v>
      </c>
      <c r="D104" s="72">
        <f t="shared" si="8"/>
        <v>0</v>
      </c>
      <c r="F104" s="31">
        <f>IFERROR(VLOOKUP($A104,'Volumes - Report Summary'!$C:$AF,MATCH(F$3,'Volumes - Report Summary'!$C$6:$AF$6,0),FALSE),0)</f>
        <v>0</v>
      </c>
      <c r="G104" s="302">
        <f>C104*(1+'Master Data'!$J$30)</f>
        <v>0</v>
      </c>
      <c r="H104" s="72">
        <f t="shared" si="9"/>
        <v>0</v>
      </c>
    </row>
    <row r="105" spans="1:8">
      <c r="A105">
        <f>'Table of fees'!B102</f>
        <v>0</v>
      </c>
      <c r="B105" s="31">
        <f>IFERROR(VLOOKUP($A105,'Volumes - Report Summary'!$C:$AF,MATCH(B$3,'Volumes - Report Summary'!$C$6:$AF$6,0),FALSE),0)</f>
        <v>0</v>
      </c>
      <c r="C105" s="302">
        <f>IFERROR(VLOOKUP(A105,'Customer Choice Cost buildup'!C:AR,MATCH($C$1,'Customer Choice Cost buildup'!$C$3:$AR$3,0),FALSE),0)</f>
        <v>0</v>
      </c>
      <c r="D105" s="72">
        <f t="shared" si="8"/>
        <v>0</v>
      </c>
      <c r="F105" s="31">
        <f>IFERROR(VLOOKUP($A105,'Volumes - Report Summary'!$C:$AF,MATCH(F$3,'Volumes - Report Summary'!$C$6:$AF$6,0),FALSE),0)</f>
        <v>0</v>
      </c>
      <c r="G105" s="302">
        <f>C105*(1+'Master Data'!$J$30)</f>
        <v>0</v>
      </c>
      <c r="H105" s="72">
        <f t="shared" si="9"/>
        <v>0</v>
      </c>
    </row>
    <row r="106" spans="1:8">
      <c r="A106">
        <f>'Table of fees'!B103</f>
        <v>0</v>
      </c>
      <c r="B106" s="31">
        <f>IFERROR(VLOOKUP($A106,'Volumes - Report Summary'!$C:$AF,MATCH(B$3,'Volumes - Report Summary'!$C$6:$AF$6,0),FALSE),0)</f>
        <v>0</v>
      </c>
      <c r="C106" s="302">
        <f>IFERROR(VLOOKUP(A106,'Customer Choice Cost buildup'!C:AR,MATCH($C$1,'Customer Choice Cost buildup'!$C$3:$AR$3,0),FALSE),0)</f>
        <v>0</v>
      </c>
      <c r="D106" s="72">
        <f t="shared" si="8"/>
        <v>0</v>
      </c>
      <c r="F106" s="31">
        <f>IFERROR(VLOOKUP($A106,'Volumes - Report Summary'!$C:$AF,MATCH(F$3,'Volumes - Report Summary'!$C$6:$AF$6,0),FALSE),0)</f>
        <v>0</v>
      </c>
      <c r="G106" s="302">
        <f>C106*(1+'Master Data'!$J$30)</f>
        <v>0</v>
      </c>
      <c r="H106" s="72">
        <f t="shared" si="9"/>
        <v>0</v>
      </c>
    </row>
    <row r="107" spans="1:8">
      <c r="A107">
        <f>'Table of fees'!B104</f>
        <v>0</v>
      </c>
      <c r="B107" s="31">
        <f>IFERROR(VLOOKUP($A107,'Volumes - Report Summary'!$C:$AF,MATCH(B$3,'Volumes - Report Summary'!$C$6:$AF$6,0),FALSE),0)</f>
        <v>0</v>
      </c>
      <c r="C107" s="302">
        <f>IFERROR(VLOOKUP(A107,'Customer Choice Cost buildup'!C:AR,MATCH($C$1,'Customer Choice Cost buildup'!$C$3:$AR$3,0),FALSE),0)</f>
        <v>0</v>
      </c>
      <c r="D107" s="72">
        <f t="shared" si="8"/>
        <v>0</v>
      </c>
      <c r="F107" s="31">
        <f>IFERROR(VLOOKUP($A107,'Volumes - Report Summary'!$C:$AF,MATCH(F$3,'Volumes - Report Summary'!$C$6:$AF$6,0),FALSE),0)</f>
        <v>0</v>
      </c>
      <c r="G107" s="302">
        <f>C107*(1+'Master Data'!$J$30)</f>
        <v>0</v>
      </c>
      <c r="H107" s="72">
        <f t="shared" si="9"/>
        <v>0</v>
      </c>
    </row>
    <row r="108" spans="1:8">
      <c r="A108">
        <f>'Table of fees'!B105</f>
        <v>0</v>
      </c>
      <c r="B108" s="31">
        <f>IFERROR(VLOOKUP($A108,'Volumes - Report Summary'!$C:$AF,MATCH(B$3,'Volumes - Report Summary'!$C$6:$AF$6,0),FALSE),0)</f>
        <v>0</v>
      </c>
      <c r="C108" s="302">
        <f>IFERROR(VLOOKUP(A108,'Customer Choice Cost buildup'!C:AR,MATCH($C$1,'Customer Choice Cost buildup'!$C$3:$AR$3,0),FALSE),0)</f>
        <v>0</v>
      </c>
      <c r="D108" s="72">
        <f t="shared" si="8"/>
        <v>0</v>
      </c>
      <c r="F108" s="31">
        <f>IFERROR(VLOOKUP($A108,'Volumes - Report Summary'!$C:$AF,MATCH(F$3,'Volumes - Report Summary'!$C$6:$AF$6,0),FALSE),0)</f>
        <v>0</v>
      </c>
      <c r="G108" s="302">
        <f>C108*(1+'Master Data'!$J$30)</f>
        <v>0</v>
      </c>
      <c r="H108" s="72">
        <f t="shared" si="9"/>
        <v>0</v>
      </c>
    </row>
    <row r="109" spans="1:8" s="4" customFormat="1">
      <c r="B109" s="442"/>
      <c r="C109" s="443"/>
      <c r="D109" s="444"/>
      <c r="F109" s="442"/>
      <c r="G109" s="445"/>
      <c r="H109" s="444"/>
    </row>
    <row r="110" spans="1:8">
      <c r="B110" s="308">
        <f>SUM(B5:B109)</f>
        <v>70032.600000000006</v>
      </c>
      <c r="C110" s="304"/>
      <c r="D110" s="309">
        <f>SUM(D5:D109)</f>
        <v>6888041.0927955797</v>
      </c>
      <c r="F110" s="308">
        <f>SUM(F5:F109)</f>
        <v>69872.851999999999</v>
      </c>
      <c r="G110" s="304"/>
      <c r="H110" s="309">
        <f>SUM(H5:H109)</f>
        <v>7056189.3979868619</v>
      </c>
    </row>
    <row r="111" spans="1:8">
      <c r="B111" s="303"/>
      <c r="F111" s="303"/>
    </row>
    <row r="112" spans="1:8">
      <c r="B112" s="129"/>
      <c r="C112" s="27"/>
      <c r="D112" s="27"/>
      <c r="F112" s="129"/>
      <c r="G112" s="27"/>
      <c r="H112" s="27"/>
    </row>
  </sheetData>
  <autoFilter ref="A4:D111"/>
  <mergeCells count="4">
    <mergeCell ref="B2:D2"/>
    <mergeCell ref="B3:D3"/>
    <mergeCell ref="F2:H2"/>
    <mergeCell ref="F3:H3"/>
  </mergeCells>
  <conditionalFormatting sqref="B5:C109">
    <cfRule type="cellIs" dxfId="43" priority="16" operator="equal">
      <formula>0</formula>
    </cfRule>
  </conditionalFormatting>
  <conditionalFormatting sqref="F5:F109">
    <cfRule type="cellIs" dxfId="42" priority="2" operator="equal">
      <formula>0</formula>
    </cfRule>
  </conditionalFormatting>
  <conditionalFormatting sqref="G5:G109">
    <cfRule type="cellIs" dxfId="41" priority="1"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2:V96"/>
  <sheetViews>
    <sheetView zoomScale="70" zoomScaleNormal="70" workbookViewId="0">
      <pane ySplit="3" topLeftCell="A13" activePane="bottomLeft" state="frozen"/>
      <selection activeCell="H9" sqref="H9"/>
      <selection pane="bottomLeft" activeCell="B60" sqref="B60"/>
    </sheetView>
  </sheetViews>
  <sheetFormatPr defaultRowHeight="15" outlineLevelCol="1"/>
  <cols>
    <col min="1" max="1" width="45.7109375" bestFit="1" customWidth="1"/>
    <col min="2" max="2" width="66" style="27" bestFit="1" customWidth="1"/>
    <col min="3" max="3" width="14" customWidth="1"/>
    <col min="4" max="4" width="16.28515625" bestFit="1" customWidth="1"/>
    <col min="5" max="5" width="12.85546875" customWidth="1"/>
    <col min="6" max="6" width="12.140625" customWidth="1"/>
    <col min="7" max="10" width="16.5703125" customWidth="1"/>
    <col min="11" max="11" width="18.140625" customWidth="1"/>
    <col min="12" max="12" width="18.140625" customWidth="1" outlineLevel="1"/>
    <col min="13" max="13" width="18.140625" customWidth="1"/>
    <col min="14" max="14" width="17" customWidth="1"/>
    <col min="15" max="16" width="19.28515625" customWidth="1"/>
    <col min="17" max="17" width="89.7109375" customWidth="1"/>
    <col min="18" max="18" width="9.5703125" bestFit="1" customWidth="1"/>
  </cols>
  <sheetData>
    <row r="2" spans="1:22" ht="15.75" thickBot="1">
      <c r="K2" s="605" t="str">
        <f>'Master Data'!I29</f>
        <v>2017-18</v>
      </c>
      <c r="L2" s="605"/>
      <c r="M2" s="576" t="str">
        <f>'Master Data'!J29</f>
        <v>2018-19</v>
      </c>
      <c r="N2" s="518"/>
    </row>
    <row r="3" spans="1:22" ht="45">
      <c r="A3" s="130" t="s">
        <v>1</v>
      </c>
      <c r="B3" s="131" t="s">
        <v>0</v>
      </c>
      <c r="C3" s="132" t="s">
        <v>144</v>
      </c>
      <c r="D3" s="132" t="str">
        <f>'Cost buildup'!N3</f>
        <v>Labour Cost</v>
      </c>
      <c r="E3" s="132" t="str">
        <f>'Cost buildup'!P3</f>
        <v>Material Cost</v>
      </c>
      <c r="F3" s="132" t="str">
        <f>'Cost buildup'!S3</f>
        <v>Vehicle Cost</v>
      </c>
      <c r="G3" s="132" t="str">
        <f>'Cost buildup'!AA3</f>
        <v>WSD overheads Hourly rate (indirect cost)</v>
      </c>
      <c r="H3" s="132" t="str">
        <f>'Cost buildup'!AB3</f>
        <v>Shared Services overheads % expenditure</v>
      </c>
      <c r="I3" s="132" t="str">
        <f>'Cost buildup'!Z3</f>
        <v>Total Direct &amp; Supervision</v>
      </c>
      <c r="J3" s="155" t="str">
        <f>'Cost buildup'!AH3</f>
        <v>Total Other</v>
      </c>
      <c r="K3" s="133" t="s">
        <v>146</v>
      </c>
      <c r="L3" s="134" t="s">
        <v>198</v>
      </c>
      <c r="M3" s="571" t="s">
        <v>146</v>
      </c>
      <c r="N3" s="291"/>
      <c r="O3" s="291"/>
      <c r="P3" s="291"/>
      <c r="Q3" s="291"/>
      <c r="R3" s="516"/>
      <c r="S3" s="516"/>
      <c r="T3" s="516"/>
      <c r="U3" s="516"/>
      <c r="V3" s="516"/>
    </row>
    <row r="4" spans="1:22">
      <c r="A4" s="119" t="s">
        <v>156</v>
      </c>
      <c r="B4" s="173"/>
      <c r="C4" s="78"/>
      <c r="D4" s="78"/>
      <c r="E4" s="78"/>
      <c r="F4" s="78"/>
      <c r="G4" s="78"/>
      <c r="H4" s="78"/>
      <c r="I4" s="180"/>
      <c r="J4" s="78"/>
      <c r="K4" s="118"/>
      <c r="L4" s="118"/>
      <c r="M4" s="572"/>
      <c r="N4" s="291"/>
      <c r="O4" s="291"/>
      <c r="P4" s="291"/>
      <c r="Q4" s="291"/>
      <c r="R4" s="29"/>
      <c r="S4" s="29"/>
      <c r="T4" s="29"/>
      <c r="U4" s="29"/>
      <c r="V4" s="29"/>
    </row>
    <row r="5" spans="1:22">
      <c r="A5" s="110" t="s">
        <v>2</v>
      </c>
      <c r="B5" s="111" t="s">
        <v>3</v>
      </c>
      <c r="C5" s="121"/>
      <c r="D5" s="121">
        <f>VLOOKUP($B5,'Cost buildup'!$C$3:$AN$200,MATCH('Table of fees'!D$3,'Cost buildup'!$C$3:$AN$3,0),FALSE)</f>
        <v>21.255728117135043</v>
      </c>
      <c r="E5" s="121">
        <f>VLOOKUP($B5,'Cost buildup'!$C$3:$AN$200,MATCH('Table of fees'!E$3,'Cost buildup'!$C$3:$AN$3,0),FALSE)</f>
        <v>0</v>
      </c>
      <c r="F5" s="121">
        <f>VLOOKUP($B5,'Cost buildup'!$C$3:$AN$200,MATCH('Table of fees'!F$3,'Cost buildup'!$C$3:$AN$3,0),FALSE)</f>
        <v>2.0599065056743595</v>
      </c>
      <c r="G5" s="121">
        <f>VLOOKUP($B5,'Cost buildup'!$C$3:$AN$200,MATCH('Table of fees'!G$3,'Cost buildup'!$C$3:$AN$3,0),FALSE)</f>
        <v>11.703498619441547</v>
      </c>
      <c r="H5" s="121">
        <f>VLOOKUP($B5,'Cost buildup'!$C$3:$AN$200,MATCH('Table of fees'!H$3,'Cost buildup'!$C$3:$AN$3,0),FALSE)</f>
        <v>2.5713067281191853</v>
      </c>
      <c r="I5" s="121">
        <f>VLOOKUP($B5,'Cost buildup'!$C$3:$AN$200,MATCH('Table of fees'!I$3,'Cost buildup'!$C$3:$AN$3,0),FALSE)</f>
        <v>18.70555968878417</v>
      </c>
      <c r="J5" s="121">
        <f>VLOOKUP($B5,'Cost buildup'!$C$3:$AN$200,MATCH('Table of fees'!J$3,'Cost buildup'!$C$3:$AN$3,0),FALSE)</f>
        <v>3.4002783794129203</v>
      </c>
      <c r="K5" s="135">
        <f>ROUND(SUM(D5:J5),2)</f>
        <v>59.7</v>
      </c>
      <c r="L5" s="135">
        <f>K5</f>
        <v>59.7</v>
      </c>
      <c r="M5" s="573">
        <f>ROUND(K5*(1+'Master Data'!$J$30),2)</f>
        <v>61.19</v>
      </c>
      <c r="N5" s="512"/>
      <c r="O5" s="513"/>
      <c r="P5" s="513"/>
      <c r="Q5" s="29"/>
      <c r="R5" s="310"/>
      <c r="S5" s="310"/>
      <c r="T5" s="310"/>
      <c r="U5" s="310"/>
      <c r="V5" s="310"/>
    </row>
    <row r="6" spans="1:22">
      <c r="A6" s="110" t="s">
        <v>2</v>
      </c>
      <c r="B6" s="111" t="s">
        <v>4</v>
      </c>
      <c r="C6" s="121"/>
      <c r="D6" s="121">
        <f>VLOOKUP($B6,'Cost buildup'!$C$3:$AN$200,MATCH('Table of fees'!D$3,'Cost buildup'!$C$3:$AN$3,0),FALSE)</f>
        <v>56.681941645693442</v>
      </c>
      <c r="E6" s="121">
        <f>VLOOKUP($B6,'Cost buildup'!$C$3:$AN$200,MATCH('Table of fees'!E$3,'Cost buildup'!$C$3:$AN$3,0),FALSE)</f>
        <v>0</v>
      </c>
      <c r="F6" s="121">
        <f>VLOOKUP($B6,'Cost buildup'!$C$3:$AN$200,MATCH('Table of fees'!F$3,'Cost buildup'!$C$3:$AN$3,0),FALSE)</f>
        <v>5.4930840151316263</v>
      </c>
      <c r="G6" s="121">
        <f>VLOOKUP($B6,'Cost buildup'!$C$3:$AN$200,MATCH('Table of fees'!G$3,'Cost buildup'!$C$3:$AN$3,0),FALSE)</f>
        <v>31.209329651844129</v>
      </c>
      <c r="H6" s="121">
        <f>VLOOKUP($B6,'Cost buildup'!$C$3:$AN$200,MATCH('Table of fees'!H$3,'Cost buildup'!$C$3:$AN$3,0),FALSE)</f>
        <v>6.1086494895278882</v>
      </c>
      <c r="I6" s="121">
        <f>VLOOKUP($B6,'Cost buildup'!$C$3:$AN$200,MATCH('Table of fees'!I$3,'Cost buildup'!$C$3:$AN$3,0),FALSE)</f>
        <v>34.249316103990438</v>
      </c>
      <c r="J6" s="121">
        <f>VLOOKUP($B6,'Cost buildup'!$C$3:$AN$200,MATCH('Table of fees'!J$3,'Cost buildup'!$C$3:$AN$3,0),FALSE)</f>
        <v>8.0780361827337277</v>
      </c>
      <c r="K6" s="135">
        <f t="shared" ref="K6:K69" si="0">ROUND(SUM(D6:J6),2)</f>
        <v>141.82</v>
      </c>
      <c r="L6" s="135">
        <f t="shared" ref="L6:L68" si="1">K6</f>
        <v>141.82</v>
      </c>
      <c r="M6" s="573">
        <f>ROUND(K6*(1+'Master Data'!$J$30),2)</f>
        <v>145.37</v>
      </c>
      <c r="N6" s="512"/>
      <c r="O6" s="513"/>
      <c r="P6" s="513"/>
      <c r="Q6" s="29"/>
      <c r="R6" s="310"/>
      <c r="S6" s="310"/>
      <c r="T6" s="310"/>
      <c r="U6" s="310"/>
      <c r="V6" s="310"/>
    </row>
    <row r="7" spans="1:22">
      <c r="A7" s="110" t="s">
        <v>2</v>
      </c>
      <c r="B7" s="111" t="s">
        <v>5</v>
      </c>
      <c r="C7" s="121"/>
      <c r="D7" s="121">
        <f>VLOOKUP($B7,'Cost buildup'!$C$3:$AN$200,MATCH('Table of fees'!D$3,'Cost buildup'!$C$3:$AN$3,0),FALSE)</f>
        <v>80.299417331399042</v>
      </c>
      <c r="E7" s="121">
        <f>VLOOKUP($B7,'Cost buildup'!$C$3:$AN$200,MATCH('Table of fees'!E$3,'Cost buildup'!$C$3:$AN$3,0),FALSE)</f>
        <v>0</v>
      </c>
      <c r="F7" s="121">
        <f>VLOOKUP($B7,'Cost buildup'!$C$3:$AN$200,MATCH('Table of fees'!F$3,'Cost buildup'!$C$3:$AN$3,0),FALSE)</f>
        <v>7.7818690214364699</v>
      </c>
      <c r="G7" s="121">
        <f>VLOOKUP($B7,'Cost buildup'!$C$3:$AN$200,MATCH('Table of fees'!G$3,'Cost buildup'!$C$3:$AN$3,0),FALSE)</f>
        <v>44.213217006779175</v>
      </c>
      <c r="H7" s="121">
        <f>VLOOKUP($B7,'Cost buildup'!$C$3:$AN$200,MATCH('Table of fees'!H$3,'Cost buildup'!$C$3:$AN$3,0),FALSE)</f>
        <v>11.442624401266412</v>
      </c>
      <c r="I7" s="121">
        <f>VLOOKUP($B7,'Cost buildup'!$C$3:$AN$200,MATCH('Table of fees'!I$3,'Cost buildup'!$C$3:$AN$3,0),FALSE)</f>
        <v>106.78684604161967</v>
      </c>
      <c r="J7" s="121">
        <f>VLOOKUP($B7,'Cost buildup'!$C$3:$AN$200,MATCH('Table of fees'!J$3,'Cost buildup'!$C$3:$AN$3,0),FALSE)</f>
        <v>15.131648017671049</v>
      </c>
      <c r="K7" s="135">
        <f t="shared" si="0"/>
        <v>265.66000000000003</v>
      </c>
      <c r="L7" s="135">
        <f t="shared" si="1"/>
        <v>265.66000000000003</v>
      </c>
      <c r="M7" s="573">
        <f>ROUND(K7*(1+'Master Data'!$J$30),2)</f>
        <v>272.3</v>
      </c>
      <c r="N7" s="512"/>
      <c r="O7" s="513"/>
      <c r="P7" s="513"/>
      <c r="Q7" s="29"/>
      <c r="R7" s="310"/>
      <c r="S7" s="310"/>
      <c r="T7" s="310"/>
      <c r="U7" s="310"/>
      <c r="V7" s="310"/>
    </row>
    <row r="8" spans="1:22">
      <c r="A8" s="110" t="s">
        <v>2</v>
      </c>
      <c r="B8" s="111" t="s">
        <v>6</v>
      </c>
      <c r="C8" s="121"/>
      <c r="D8" s="121">
        <f>VLOOKUP($B8,'Cost buildup'!$C$3:$AN$200,MATCH('Table of fees'!D$3,'Cost buildup'!$C$3:$AN$3,0),FALSE)</f>
        <v>283.40970822846725</v>
      </c>
      <c r="E8" s="121">
        <f>VLOOKUP($B8,'Cost buildup'!$C$3:$AN$200,MATCH('Table of fees'!E$3,'Cost buildup'!$C$3:$AN$3,0),FALSE)</f>
        <v>0</v>
      </c>
      <c r="F8" s="121">
        <f>VLOOKUP($B8,'Cost buildup'!$C$3:$AN$200,MATCH('Table of fees'!F$3,'Cost buildup'!$C$3:$AN$3,0),FALSE)</f>
        <v>27.46542007565813</v>
      </c>
      <c r="G8" s="121">
        <f>VLOOKUP($B8,'Cost buildup'!$C$3:$AN$200,MATCH('Table of fees'!G$3,'Cost buildup'!$C$3:$AN$3,0),FALSE)</f>
        <v>156.04664825922063</v>
      </c>
      <c r="H8" s="121">
        <f>VLOOKUP($B8,'Cost buildup'!$C$3:$AN$200,MATCH('Table of fees'!H$3,'Cost buildup'!$C$3:$AN$3,0),FALSE)</f>
        <v>30.681878325229864</v>
      </c>
      <c r="I8" s="121">
        <f>VLOOKUP($B8,'Cost buildup'!$C$3:$AN$200,MATCH('Table of fees'!I$3,'Cost buildup'!$C$3:$AN$3,0),FALSE)</f>
        <v>174.14312384084687</v>
      </c>
      <c r="J8" s="121">
        <f>VLOOKUP($B8,'Cost buildup'!$C$3:$AN$200,MATCH('Table of fees'!J$3,'Cost buildup'!$C$3:$AN$3,0),FALSE)</f>
        <v>40.57350543525714</v>
      </c>
      <c r="K8" s="135">
        <f t="shared" si="0"/>
        <v>712.32</v>
      </c>
      <c r="L8" s="135">
        <f t="shared" si="1"/>
        <v>712.32</v>
      </c>
      <c r="M8" s="573">
        <f>ROUND(K8*(1+'Master Data'!$J$30),2)</f>
        <v>730.13</v>
      </c>
      <c r="N8" s="512"/>
      <c r="O8" s="513"/>
      <c r="P8" s="513"/>
      <c r="Q8" s="29"/>
      <c r="R8" s="310"/>
      <c r="S8" s="310"/>
      <c r="T8" s="310"/>
      <c r="U8" s="310"/>
      <c r="V8" s="310"/>
    </row>
    <row r="9" spans="1:22">
      <c r="A9" s="110" t="s">
        <v>2</v>
      </c>
      <c r="B9" s="111" t="s">
        <v>7</v>
      </c>
      <c r="C9" s="121"/>
      <c r="D9" s="121">
        <f>VLOOKUP($B9,'Cost buildup'!$C$3:$AN$200,MATCH('Table of fees'!D$3,'Cost buildup'!$C$3:$AN$3,0),FALSE)</f>
        <v>66.128931919975685</v>
      </c>
      <c r="E9" s="121">
        <f>VLOOKUP($B9,'Cost buildup'!$C$3:$AN$200,MATCH('Table of fees'!E$3,'Cost buildup'!$C$3:$AN$3,0),FALSE)</f>
        <v>0</v>
      </c>
      <c r="F9" s="121">
        <f>VLOOKUP($B9,'Cost buildup'!$C$3:$AN$200,MATCH('Table of fees'!F$3,'Cost buildup'!$C$3:$AN$3,0),FALSE)</f>
        <v>3.2042990088267818</v>
      </c>
      <c r="G9" s="121">
        <f>VLOOKUP($B9,'Cost buildup'!$C$3:$AN$200,MATCH('Table of fees'!G$3,'Cost buildup'!$C$3:$AN$3,0),FALSE)</f>
        <v>36.410884593818146</v>
      </c>
      <c r="H9" s="121">
        <f>VLOOKUP($B9,'Cost buildup'!$C$3:$AN$200,MATCH('Table of fees'!H$3,'Cost buildup'!$C$3:$AN$3,0),FALSE)</f>
        <v>5.9562608872256426</v>
      </c>
      <c r="I9" s="121">
        <f>VLOOKUP($B9,'Cost buildup'!$C$3:$AN$200,MATCH('Table of fees'!I$3,'Cost buildup'!$C$3:$AN$3,0),FALSE)</f>
        <v>18.70555968878417</v>
      </c>
      <c r="J9" s="121">
        <f>VLOOKUP($B9,'Cost buildup'!$C$3:$AN$200,MATCH('Table of fees'!J$3,'Cost buildup'!$C$3:$AN$3,0),FALSE)</f>
        <v>7.8765185403572788</v>
      </c>
      <c r="K9" s="135">
        <f t="shared" si="0"/>
        <v>138.28</v>
      </c>
      <c r="L9" s="135">
        <f t="shared" si="1"/>
        <v>138.28</v>
      </c>
      <c r="M9" s="573">
        <f>ROUND(K9*(1+'Master Data'!$J$30),2)</f>
        <v>141.74</v>
      </c>
      <c r="N9" s="512"/>
      <c r="O9" s="513"/>
      <c r="P9" s="513"/>
      <c r="Q9" s="29"/>
      <c r="R9" s="310"/>
      <c r="S9" s="310"/>
      <c r="T9" s="310"/>
      <c r="U9" s="310"/>
      <c r="V9" s="310"/>
    </row>
    <row r="10" spans="1:22">
      <c r="A10" s="110" t="s">
        <v>2</v>
      </c>
      <c r="B10" s="111" t="s">
        <v>215</v>
      </c>
      <c r="C10" s="121"/>
      <c r="D10" s="121">
        <f>VLOOKUP($B10,'Cost buildup'!$C$3:$AN$200,MATCH('Table of fees'!D$3,'Cost buildup'!$C$3:$AN$3,0),FALSE)</f>
        <v>118.08737842852801</v>
      </c>
      <c r="E10" s="121">
        <f>VLOOKUP($B10,'Cost buildup'!$C$3:$AN$200,MATCH('Table of fees'!E$3,'Cost buildup'!$C$3:$AN$3,0),FALSE)</f>
        <v>0</v>
      </c>
      <c r="F10" s="121">
        <f>VLOOKUP($B10,'Cost buildup'!$C$3:$AN$200,MATCH('Table of fees'!F$3,'Cost buildup'!$C$3:$AN$3,0),FALSE)</f>
        <v>21.138228582395328</v>
      </c>
      <c r="G10" s="121">
        <f>VLOOKUP($B10,'Cost buildup'!$C$3:$AN$200,MATCH('Table of fees'!G$3,'Cost buildup'!$C$3:$AN$3,0),FALSE)</f>
        <v>65.01943677467527</v>
      </c>
      <c r="H10" s="121">
        <f>VLOOKUP($B10,'Cost buildup'!$C$3:$AN$200,MATCH('Table of fees'!H$3,'Cost buildup'!$C$3:$AN$3,0),FALSE)</f>
        <v>10.670594013218636</v>
      </c>
      <c r="I10" s="121">
        <f>VLOOKUP($B10,'Cost buildup'!$C$3:$AN$200,MATCH('Table of fees'!I$3,'Cost buildup'!$C$3:$AN$3,0),FALSE)</f>
        <v>18.705559688784174</v>
      </c>
      <c r="J10" s="121">
        <f>VLOOKUP($B10,'Cost buildup'!$C$3:$AN$200,MATCH('Table of fees'!J$3,'Cost buildup'!$C$3:$AN$3,0),FALSE)</f>
        <v>14.110720328251126</v>
      </c>
      <c r="K10" s="135">
        <f t="shared" si="0"/>
        <v>247.73</v>
      </c>
      <c r="L10" s="135">
        <f t="shared" si="1"/>
        <v>247.73</v>
      </c>
      <c r="M10" s="573">
        <f>ROUND(K10*(1+'Master Data'!$J$30),2)</f>
        <v>253.92</v>
      </c>
      <c r="N10" s="512"/>
      <c r="O10" s="513"/>
      <c r="P10" s="513"/>
      <c r="Q10" s="29"/>
      <c r="R10" s="310"/>
      <c r="S10" s="310"/>
      <c r="T10" s="310"/>
      <c r="U10" s="310"/>
      <c r="V10" s="310"/>
    </row>
    <row r="11" spans="1:22">
      <c r="A11" s="110" t="s">
        <v>2</v>
      </c>
      <c r="B11" s="111" t="s">
        <v>481</v>
      </c>
      <c r="C11" s="121"/>
      <c r="D11" s="121">
        <f>VLOOKUP($B11,'Cost buildup'!$C$3:$AN$200,MATCH('Table of fees'!D$3,'Cost buildup'!$C$3:$AN$3,0),FALSE)</f>
        <v>59.043689214264006</v>
      </c>
      <c r="E11" s="121">
        <f>VLOOKUP($B11,'Cost buildup'!$C$3:$AN$200,MATCH('Table of fees'!E$3,'Cost buildup'!$C$3:$AN$3,0),FALSE)</f>
        <v>0</v>
      </c>
      <c r="F11" s="121">
        <f>VLOOKUP($B11,'Cost buildup'!$C$3:$AN$200,MATCH('Table of fees'!F$3,'Cost buildup'!$C$3:$AN$3,0),FALSE)</f>
        <v>5.7219625157621108</v>
      </c>
      <c r="G11" s="121">
        <f>VLOOKUP($B11,'Cost buildup'!$C$3:$AN$200,MATCH('Table of fees'!G$3,'Cost buildup'!$C$3:$AN$3,0),FALSE)</f>
        <v>32.509718387337635</v>
      </c>
      <c r="H11" s="121">
        <f>VLOOKUP($B11,'Cost buildup'!$C$3:$AN$200,MATCH('Table of fees'!H$3,'Cost buildup'!$C$3:$AN$3,0),FALSE)</f>
        <v>5.5509399658530771</v>
      </c>
      <c r="I11" s="121">
        <f>VLOOKUP($B11,'Cost buildup'!$C$3:$AN$200,MATCH('Table of fees'!I$3,'Cost buildup'!$C$3:$AN$3,0),FALSE)</f>
        <v>18.70555968878417</v>
      </c>
      <c r="J11" s="121">
        <f>VLOOKUP($B11,'Cost buildup'!$C$3:$AN$200,MATCH('Table of fees'!J$3,'Cost buildup'!$C$3:$AN$3,0),FALSE)</f>
        <v>7.3405249342288617</v>
      </c>
      <c r="K11" s="135">
        <f t="shared" si="0"/>
        <v>128.87</v>
      </c>
      <c r="L11" s="135">
        <f t="shared" si="1"/>
        <v>128.87</v>
      </c>
      <c r="M11" s="573">
        <f>ROUND(K11*(1+'Master Data'!$J$30),2)</f>
        <v>132.09</v>
      </c>
      <c r="N11" s="512"/>
      <c r="O11" s="513"/>
      <c r="P11" s="513"/>
      <c r="Q11" s="29"/>
      <c r="R11" s="310"/>
      <c r="S11" s="310"/>
      <c r="T11" s="310"/>
      <c r="U11" s="310"/>
      <c r="V11" s="310"/>
    </row>
    <row r="12" spans="1:22">
      <c r="A12" s="110" t="s">
        <v>2</v>
      </c>
      <c r="B12" s="111" t="s">
        <v>149</v>
      </c>
      <c r="C12" s="121"/>
      <c r="D12" s="121">
        <f>VLOOKUP($B12,'Cost buildup'!$C$3:$AN$200,MATCH('Table of fees'!D$3,'Cost buildup'!$C$3:$AN$3,0),FALSE)</f>
        <v>118.08737842852801</v>
      </c>
      <c r="E12" s="121">
        <f>VLOOKUP($B12,'Cost buildup'!$C$3:$AN$200,MATCH('Table of fees'!E$3,'Cost buildup'!$C$3:$AN$3,0),FALSE)</f>
        <v>0</v>
      </c>
      <c r="F12" s="121">
        <f>VLOOKUP($B12,'Cost buildup'!$C$3:$AN$200,MATCH('Table of fees'!F$3,'Cost buildup'!$C$3:$AN$3,0),FALSE)</f>
        <v>21.138228582395328</v>
      </c>
      <c r="G12" s="121">
        <f>VLOOKUP($B12,'Cost buildup'!$C$3:$AN$200,MATCH('Table of fees'!G$3,'Cost buildup'!$C$3:$AN$3,0),FALSE)</f>
        <v>65.01943677467527</v>
      </c>
      <c r="H12" s="121">
        <f>VLOOKUP($B12,'Cost buildup'!$C$3:$AN$200,MATCH('Table of fees'!H$3,'Cost buildup'!$C$3:$AN$3,0),FALSE)</f>
        <v>10.670594013218636</v>
      </c>
      <c r="I12" s="121">
        <f>VLOOKUP($B12,'Cost buildup'!$C$3:$AN$200,MATCH('Table of fees'!I$3,'Cost buildup'!$C$3:$AN$3,0),FALSE)</f>
        <v>18.705559688784174</v>
      </c>
      <c r="J12" s="121">
        <f>VLOOKUP($B12,'Cost buildup'!$C$3:$AN$200,MATCH('Table of fees'!J$3,'Cost buildup'!$C$3:$AN$3,0),FALSE)</f>
        <v>14.110720328251126</v>
      </c>
      <c r="K12" s="135">
        <f t="shared" si="0"/>
        <v>247.73</v>
      </c>
      <c r="L12" s="135">
        <f t="shared" si="1"/>
        <v>247.73</v>
      </c>
      <c r="M12" s="573">
        <f>ROUND(K12*(1+'Master Data'!$J$30),2)</f>
        <v>253.92</v>
      </c>
      <c r="N12" s="512"/>
      <c r="O12" s="513"/>
      <c r="P12" s="513"/>
      <c r="Q12" s="29"/>
      <c r="R12" s="310"/>
      <c r="S12" s="310"/>
      <c r="T12" s="310"/>
      <c r="U12" s="310"/>
      <c r="V12" s="310"/>
    </row>
    <row r="13" spans="1:22">
      <c r="A13" s="110" t="s">
        <v>2</v>
      </c>
      <c r="B13" s="111" t="s">
        <v>216</v>
      </c>
      <c r="C13" s="121"/>
      <c r="D13" s="121">
        <f>VLOOKUP($B13,'Cost buildup'!$C$3:$AN$200,MATCH('Table of fees'!D$3,'Cost buildup'!$C$3:$AN$3,0),FALSE)</f>
        <v>66.128931919975685</v>
      </c>
      <c r="E13" s="121">
        <f>VLOOKUP($B13,'Cost buildup'!$C$3:$AN$200,MATCH('Table of fees'!E$3,'Cost buildup'!$C$3:$AN$3,0),FALSE)</f>
        <v>0</v>
      </c>
      <c r="F13" s="121">
        <f>VLOOKUP($B13,'Cost buildup'!$C$3:$AN$200,MATCH('Table of fees'!F$3,'Cost buildup'!$C$3:$AN$3,0),FALSE)</f>
        <v>11.837408006141382</v>
      </c>
      <c r="G13" s="121">
        <f>VLOOKUP($B13,'Cost buildup'!$C$3:$AN$200,MATCH('Table of fees'!G$3,'Cost buildup'!$C$3:$AN$3,0),FALSE)</f>
        <v>36.410884593818146</v>
      </c>
      <c r="H13" s="121">
        <f>VLOOKUP($B13,'Cost buildup'!$C$3:$AN$200,MATCH('Table of fees'!H$3,'Cost buildup'!$C$3:$AN$3,0),FALSE)</f>
        <v>6.369448381435741</v>
      </c>
      <c r="I13" s="121">
        <f>VLOOKUP($B13,'Cost buildup'!$C$3:$AN$200,MATCH('Table of fees'!I$3,'Cost buildup'!$C$3:$AN$3,0),FALSE)</f>
        <v>18.705559688784174</v>
      </c>
      <c r="J13" s="121">
        <f>VLOOKUP($B13,'Cost buildup'!$C$3:$AN$200,MATCH('Table of fees'!J$3,'Cost buildup'!$C$3:$AN$3,0),FALSE)</f>
        <v>8.4229148484453695</v>
      </c>
      <c r="K13" s="135">
        <f t="shared" si="0"/>
        <v>147.88</v>
      </c>
      <c r="L13" s="135">
        <f t="shared" si="1"/>
        <v>147.88</v>
      </c>
      <c r="M13" s="573">
        <f>ROUND(K13*(1+'Master Data'!$J$30),2)</f>
        <v>151.58000000000001</v>
      </c>
      <c r="N13" s="512"/>
      <c r="O13" s="513"/>
      <c r="P13" s="513"/>
      <c r="Q13" s="29"/>
      <c r="R13" s="310"/>
      <c r="S13" s="310"/>
      <c r="T13" s="310"/>
      <c r="U13" s="310"/>
      <c r="V13" s="310"/>
    </row>
    <row r="14" spans="1:22">
      <c r="A14" s="110" t="s">
        <v>2</v>
      </c>
      <c r="B14" s="111" t="s">
        <v>34</v>
      </c>
      <c r="C14" s="121"/>
      <c r="D14" s="121">
        <f>VLOOKUP($B14,'Cost buildup'!$C$3:$AN$200,MATCH('Table of fees'!D$3,'Cost buildup'!$C$3:$AN$3,0),FALSE)</f>
        <v>0</v>
      </c>
      <c r="E14" s="121">
        <f>VLOOKUP($B14,'Cost buildup'!$C$3:$AN$200,MATCH('Table of fees'!E$3,'Cost buildup'!$C$3:$AN$3,0),FALSE)</f>
        <v>0</v>
      </c>
      <c r="F14" s="121">
        <f>VLOOKUP($B14,'Cost buildup'!$C$3:$AN$200,MATCH('Table of fees'!F$3,'Cost buildup'!$C$3:$AN$3,0),FALSE)</f>
        <v>0</v>
      </c>
      <c r="G14" s="121">
        <f>VLOOKUP($B14,'Cost buildup'!$C$3:$AN$200,MATCH('Table of fees'!G$3,'Cost buildup'!$C$3:$AN$3,0),FALSE)</f>
        <v>0</v>
      </c>
      <c r="H14" s="121">
        <f>VLOOKUP($B14,'Cost buildup'!$C$3:$AN$200,MATCH('Table of fees'!H$3,'Cost buildup'!$C$3:$AN$3,0),FALSE)</f>
        <v>0</v>
      </c>
      <c r="I14" s="121">
        <f>VLOOKUP($B14,'Cost buildup'!$C$3:$AN$200,MATCH('Table of fees'!I$3,'Cost buildup'!$C$3:$AN$3,0),FALSE)</f>
        <v>0</v>
      </c>
      <c r="J14" s="121">
        <f>VLOOKUP($B14,'Cost buildup'!$C$3:$AN$200,MATCH('Table of fees'!J$3,'Cost buildup'!$C$3:$AN$3,0),FALSE)</f>
        <v>0</v>
      </c>
      <c r="K14" s="135">
        <f t="shared" si="0"/>
        <v>0</v>
      </c>
      <c r="L14" s="135">
        <f t="shared" si="1"/>
        <v>0</v>
      </c>
      <c r="M14" s="573">
        <f>ROUND(K14*(1+'Master Data'!$J$30),2)</f>
        <v>0</v>
      </c>
      <c r="N14" s="512"/>
      <c r="O14" s="513"/>
      <c r="P14" s="513"/>
      <c r="Q14" s="29"/>
      <c r="R14" s="310"/>
      <c r="S14" s="310"/>
      <c r="T14" s="310"/>
      <c r="U14" s="310"/>
      <c r="V14" s="310"/>
    </row>
    <row r="15" spans="1:22">
      <c r="A15" s="120" t="s">
        <v>33</v>
      </c>
      <c r="B15" s="112"/>
      <c r="C15" s="113"/>
      <c r="D15" s="113"/>
      <c r="E15" s="113"/>
      <c r="F15" s="113"/>
      <c r="G15" s="113"/>
      <c r="H15" s="113"/>
      <c r="I15" s="113"/>
      <c r="J15" s="113"/>
      <c r="K15" s="118"/>
      <c r="L15" s="118"/>
      <c r="M15" s="572"/>
      <c r="N15" s="514"/>
      <c r="O15" s="515"/>
      <c r="P15" s="515"/>
      <c r="Q15" s="290"/>
      <c r="R15" s="29"/>
      <c r="S15" s="29"/>
      <c r="T15" s="29"/>
      <c r="U15" s="29"/>
      <c r="V15" s="29"/>
    </row>
    <row r="16" spans="1:22">
      <c r="A16" s="110" t="s">
        <v>33</v>
      </c>
      <c r="B16" s="111" t="s">
        <v>36</v>
      </c>
      <c r="C16" s="121"/>
      <c r="D16" s="121">
        <f>VLOOKUP($B16,'Cost buildup'!$C$3:$AN$200,MATCH('Table of fees'!D$3,'Cost buildup'!$C$3:$AN$3,0),FALSE)</f>
        <v>64.948058135690403</v>
      </c>
      <c r="E16" s="121">
        <f>VLOOKUP($B16,'Cost buildup'!$C$3:$AN$200,MATCH('Table of fees'!E$3,'Cost buildup'!$C$3:$AN$3,0),FALSE)</f>
        <v>0</v>
      </c>
      <c r="F16" s="121">
        <f>VLOOKUP($B16,'Cost buildup'!$C$3:$AN$200,MATCH('Table of fees'!F$3,'Cost buildup'!$C$3:$AN$3,0),FALSE)</f>
        <v>6.2941587673383212</v>
      </c>
      <c r="G16" s="121">
        <f>VLOOKUP($B16,'Cost buildup'!$C$3:$AN$200,MATCH('Table of fees'!G$3,'Cost buildup'!$C$3:$AN$3,0),FALSE)</f>
        <v>35.760690226071397</v>
      </c>
      <c r="H16" s="121">
        <f>VLOOKUP($B16,'Cost buildup'!$C$3:$AN$200,MATCH('Table of fees'!H$3,'Cost buildup'!$C$3:$AN$3,0),FALSE)</f>
        <v>6.0165076592489966</v>
      </c>
      <c r="I16" s="121">
        <f>VLOOKUP($B16,'Cost buildup'!$C$3:$AN$200,MATCH('Table of fees'!I$3,'Cost buildup'!$C$3:$AN$3,0),FALSE)</f>
        <v>18.70555968878417</v>
      </c>
      <c r="J16" s="121">
        <f>VLOOKUP($B16,'Cost buildup'!$C$3:$AN$200,MATCH('Table of fees'!J$3,'Cost buildup'!$C$3:$AN$3,0),FALSE)</f>
        <v>7.9561884584188505</v>
      </c>
      <c r="K16" s="135">
        <f t="shared" si="0"/>
        <v>139.68</v>
      </c>
      <c r="L16" s="135">
        <f t="shared" si="1"/>
        <v>139.68</v>
      </c>
      <c r="M16" s="573">
        <f>ROUND(K16*(1+'Master Data'!$J$30),2)</f>
        <v>143.16999999999999</v>
      </c>
      <c r="N16" s="512"/>
      <c r="O16" s="515"/>
      <c r="P16" s="515"/>
      <c r="Q16" s="29"/>
      <c r="R16" s="310"/>
      <c r="S16" s="310"/>
      <c r="T16" s="310"/>
      <c r="U16" s="310"/>
      <c r="V16" s="310"/>
    </row>
    <row r="17" spans="1:22">
      <c r="A17" s="110" t="s">
        <v>33</v>
      </c>
      <c r="B17" s="111" t="s">
        <v>315</v>
      </c>
      <c r="C17" s="121"/>
      <c r="D17" s="121">
        <f>VLOOKUP($B17,'Cost buildup'!$C$3:$AN$200,MATCH('Table of fees'!D$3,'Cost buildup'!$C$3:$AN$3,0),FALSE)</f>
        <v>88.565533821396002</v>
      </c>
      <c r="E17" s="121">
        <f>VLOOKUP($B17,'Cost buildup'!$C$3:$AN$200,MATCH('Table of fees'!E$3,'Cost buildup'!$C$3:$AN$3,0),FALSE)</f>
        <v>0</v>
      </c>
      <c r="F17" s="121">
        <f>VLOOKUP($B17,'Cost buildup'!$C$3:$AN$200,MATCH('Table of fees'!F$3,'Cost buildup'!$C$3:$AN$3,0),FALSE)</f>
        <v>8.5829437736431657</v>
      </c>
      <c r="G17" s="121">
        <f>VLOOKUP($B17,'Cost buildup'!$C$3:$AN$200,MATCH('Table of fees'!G$3,'Cost buildup'!$C$3:$AN$3,0),FALSE)</f>
        <v>48.764577581006449</v>
      </c>
      <c r="H17" s="121">
        <f>VLOOKUP($B17,'Cost buildup'!$C$3:$AN$200,MATCH('Table of fees'!H$3,'Cost buildup'!$C$3:$AN$3,0),FALSE)</f>
        <v>7.8787784328326778</v>
      </c>
      <c r="I17" s="121">
        <f>VLOOKUP($B17,'Cost buildup'!$C$3:$AN$200,MATCH('Table of fees'!I$3,'Cost buildup'!$C$3:$AN$3,0),FALSE)</f>
        <v>18.70555968878417</v>
      </c>
      <c r="J17" s="121">
        <f>VLOOKUP($B17,'Cost buildup'!$C$3:$AN$200,MATCH('Table of fees'!J$3,'Cost buildup'!$C$3:$AN$3,0),FALSE)</f>
        <v>10.418842555178815</v>
      </c>
      <c r="K17" s="135">
        <f t="shared" si="0"/>
        <v>182.92</v>
      </c>
      <c r="L17" s="135">
        <f t="shared" si="1"/>
        <v>182.92</v>
      </c>
      <c r="M17" s="573">
        <f>ROUND(K17*(1+'Master Data'!$J$30),2)</f>
        <v>187.49</v>
      </c>
      <c r="N17" s="512"/>
      <c r="O17" s="515"/>
      <c r="P17" s="515"/>
      <c r="Q17" s="29"/>
      <c r="R17" s="310"/>
      <c r="S17" s="310"/>
      <c r="T17" s="310"/>
      <c r="U17" s="310"/>
      <c r="V17" s="310"/>
    </row>
    <row r="18" spans="1:22">
      <c r="A18" s="110" t="s">
        <v>33</v>
      </c>
      <c r="B18" s="111" t="s">
        <v>39</v>
      </c>
      <c r="C18" s="121"/>
      <c r="D18" s="121">
        <f>VLOOKUP($B18,'Cost buildup'!$C$3:$AN$200,MATCH('Table of fees'!D$3,'Cost buildup'!$C$3:$AN$3,0),FALSE)</f>
        <v>33.064465959987842</v>
      </c>
      <c r="E18" s="121">
        <f>VLOOKUP($B18,'Cost buildup'!$C$3:$AN$200,MATCH('Table of fees'!E$3,'Cost buildup'!$C$3:$AN$3,0),FALSE)</f>
        <v>0</v>
      </c>
      <c r="F18" s="121">
        <f>VLOOKUP($B18,'Cost buildup'!$C$3:$AN$200,MATCH('Table of fees'!F$3,'Cost buildup'!$C$3:$AN$3,0),FALSE)</f>
        <v>3.2042990088267818</v>
      </c>
      <c r="G18" s="121">
        <f>VLOOKUP($B18,'Cost buildup'!$C$3:$AN$200,MATCH('Table of fees'!G$3,'Cost buildup'!$C$3:$AN$3,0),FALSE)</f>
        <v>18.205442296909073</v>
      </c>
      <c r="H18" s="121">
        <f>VLOOKUP($B18,'Cost buildup'!$C$3:$AN$200,MATCH('Table of fees'!H$3,'Cost buildup'!$C$3:$AN$3,0),FALSE)</f>
        <v>3.5024421149110259</v>
      </c>
      <c r="I18" s="121">
        <f>VLOOKUP($B18,'Cost buildup'!$C$3:$AN$200,MATCH('Table of fees'!I$3,'Cost buildup'!$C$3:$AN$3,0),FALSE)</f>
        <v>18.705559688784174</v>
      </c>
      <c r="J18" s="121">
        <f>VLOOKUP($B18,'Cost buildup'!$C$3:$AN$200,MATCH('Table of fees'!J$3,'Cost buildup'!$C$3:$AN$3,0),FALSE)</f>
        <v>4.631605427792902</v>
      </c>
      <c r="K18" s="135">
        <f t="shared" si="0"/>
        <v>81.31</v>
      </c>
      <c r="L18" s="135">
        <f t="shared" si="1"/>
        <v>81.31</v>
      </c>
      <c r="M18" s="573">
        <f>ROUND(K18*(1+'Master Data'!$J$30),2)</f>
        <v>83.34</v>
      </c>
      <c r="N18" s="512"/>
      <c r="O18" s="515"/>
      <c r="P18" s="515"/>
      <c r="Q18" s="29"/>
      <c r="R18" s="310"/>
      <c r="S18" s="310"/>
      <c r="T18" s="310"/>
      <c r="U18" s="310"/>
      <c r="V18" s="310"/>
    </row>
    <row r="19" spans="1:22">
      <c r="A19" s="110" t="s">
        <v>33</v>
      </c>
      <c r="B19" s="111" t="s">
        <v>41</v>
      </c>
      <c r="C19" s="121"/>
      <c r="D19" s="121">
        <f>VLOOKUP($B19,'Cost buildup'!$C$3:$AN$200,MATCH('Table of fees'!D$3,'Cost buildup'!$C$3:$AN$3,0),FALSE)</f>
        <v>59.043689214264006</v>
      </c>
      <c r="E19" s="121">
        <f>VLOOKUP($B19,'Cost buildup'!$C$3:$AN$200,MATCH('Table of fees'!E$3,'Cost buildup'!$C$3:$AN$3,0),FALSE)</f>
        <v>0</v>
      </c>
      <c r="F19" s="121">
        <f>VLOOKUP($B19,'Cost buildup'!$C$3:$AN$200,MATCH('Table of fees'!F$3,'Cost buildup'!$C$3:$AN$3,0),FALSE)</f>
        <v>5.7219625157621108</v>
      </c>
      <c r="G19" s="121">
        <f>VLOOKUP($B19,'Cost buildup'!$C$3:$AN$200,MATCH('Table of fees'!G$3,'Cost buildup'!$C$3:$AN$3,0),FALSE)</f>
        <v>32.509718387337635</v>
      </c>
      <c r="H19" s="121">
        <f>VLOOKUP($B19,'Cost buildup'!$C$3:$AN$200,MATCH('Table of fees'!H$3,'Cost buildup'!$C$3:$AN$3,0),FALSE)</f>
        <v>5.5509399658530771</v>
      </c>
      <c r="I19" s="121">
        <f>VLOOKUP($B19,'Cost buildup'!$C$3:$AN$200,MATCH('Table of fees'!I$3,'Cost buildup'!$C$3:$AN$3,0),FALSE)</f>
        <v>18.70555968878417</v>
      </c>
      <c r="J19" s="121">
        <f>VLOOKUP($B19,'Cost buildup'!$C$3:$AN$200,MATCH('Table of fees'!J$3,'Cost buildup'!$C$3:$AN$3,0),FALSE)</f>
        <v>7.3405249342288617</v>
      </c>
      <c r="K19" s="135">
        <f t="shared" si="0"/>
        <v>128.87</v>
      </c>
      <c r="L19" s="135">
        <f t="shared" si="1"/>
        <v>128.87</v>
      </c>
      <c r="M19" s="573">
        <f>ROUND(K19*(1+'Master Data'!$J$30),2)</f>
        <v>132.09</v>
      </c>
      <c r="N19" s="512"/>
      <c r="O19" s="515"/>
      <c r="P19" s="515"/>
      <c r="Q19" s="29"/>
      <c r="R19" s="310"/>
      <c r="S19" s="310"/>
      <c r="T19" s="310"/>
      <c r="U19" s="310"/>
      <c r="V19" s="310"/>
    </row>
    <row r="20" spans="1:22">
      <c r="A20" s="110" t="s">
        <v>33</v>
      </c>
      <c r="B20" s="111" t="s">
        <v>214</v>
      </c>
      <c r="C20" s="121"/>
      <c r="D20" s="121">
        <f>VLOOKUP($B20,'Cost buildup'!$C$3:$AN$200,MATCH('Table of fees'!D$3,'Cost buildup'!$C$3:$AN$3,0),FALSE)</f>
        <v>64.948058135690403</v>
      </c>
      <c r="E20" s="121">
        <f>VLOOKUP($B20,'Cost buildup'!$C$3:$AN$200,MATCH('Table of fees'!E$3,'Cost buildup'!$C$3:$AN$3,0),FALSE)</f>
        <v>0</v>
      </c>
      <c r="F20" s="121">
        <f>VLOOKUP($B20,'Cost buildup'!$C$3:$AN$200,MATCH('Table of fees'!F$3,'Cost buildup'!$C$3:$AN$3,0),FALSE)</f>
        <v>6.2941587673383212</v>
      </c>
      <c r="G20" s="121">
        <f>VLOOKUP($B20,'Cost buildup'!$C$3:$AN$200,MATCH('Table of fees'!G$3,'Cost buildup'!$C$3:$AN$3,0),FALSE)</f>
        <v>35.760690226071397</v>
      </c>
      <c r="H20" s="121">
        <f>VLOOKUP($B20,'Cost buildup'!$C$3:$AN$200,MATCH('Table of fees'!H$3,'Cost buildup'!$C$3:$AN$3,0),FALSE)</f>
        <v>6.0165076592489966</v>
      </c>
      <c r="I20" s="121">
        <f>VLOOKUP($B20,'Cost buildup'!$C$3:$AN$200,MATCH('Table of fees'!I$3,'Cost buildup'!$C$3:$AN$3,0),FALSE)</f>
        <v>18.70555968878417</v>
      </c>
      <c r="J20" s="121">
        <f>VLOOKUP($B20,'Cost buildup'!$C$3:$AN$200,MATCH('Table of fees'!J$3,'Cost buildup'!$C$3:$AN$3,0),FALSE)</f>
        <v>7.9561884584188505</v>
      </c>
      <c r="K20" s="135">
        <f t="shared" si="0"/>
        <v>139.68</v>
      </c>
      <c r="L20" s="135">
        <f t="shared" si="1"/>
        <v>139.68</v>
      </c>
      <c r="M20" s="573">
        <f>ROUND(K20*(1+'Master Data'!$J$30),2)</f>
        <v>143.16999999999999</v>
      </c>
      <c r="N20" s="512"/>
      <c r="O20" s="515"/>
      <c r="P20" s="515"/>
      <c r="Q20" s="29"/>
      <c r="R20" s="310"/>
      <c r="S20" s="310"/>
      <c r="T20" s="310"/>
      <c r="U20" s="310"/>
      <c r="V20" s="310"/>
    </row>
    <row r="21" spans="1:22">
      <c r="A21" s="110" t="s">
        <v>33</v>
      </c>
      <c r="B21" s="111" t="s">
        <v>314</v>
      </c>
      <c r="C21" s="121"/>
      <c r="D21" s="121">
        <f>VLOOKUP($B21,'Cost buildup'!$C$3:$AN$200,MATCH('Table of fees'!D$3,'Cost buildup'!$C$3:$AN$3,0),FALSE)</f>
        <v>88.565533821396002</v>
      </c>
      <c r="E21" s="121">
        <f>VLOOKUP($B21,'Cost buildup'!$C$3:$AN$200,MATCH('Table of fees'!E$3,'Cost buildup'!$C$3:$AN$3,0),FALSE)</f>
        <v>0</v>
      </c>
      <c r="F21" s="121">
        <f>VLOOKUP($B21,'Cost buildup'!$C$3:$AN$200,MATCH('Table of fees'!F$3,'Cost buildup'!$C$3:$AN$3,0),FALSE)</f>
        <v>8.5829437736431657</v>
      </c>
      <c r="G21" s="121">
        <f>VLOOKUP($B21,'Cost buildup'!$C$3:$AN$200,MATCH('Table of fees'!G$3,'Cost buildup'!$C$3:$AN$3,0),FALSE)</f>
        <v>48.764577581006449</v>
      </c>
      <c r="H21" s="121">
        <f>VLOOKUP($B21,'Cost buildup'!$C$3:$AN$200,MATCH('Table of fees'!H$3,'Cost buildup'!$C$3:$AN$3,0),FALSE)</f>
        <v>7.8787784328326778</v>
      </c>
      <c r="I21" s="121">
        <f>VLOOKUP($B21,'Cost buildup'!$C$3:$AN$200,MATCH('Table of fees'!I$3,'Cost buildup'!$C$3:$AN$3,0),FALSE)</f>
        <v>18.70555968878417</v>
      </c>
      <c r="J21" s="121">
        <f>VLOOKUP($B21,'Cost buildup'!$C$3:$AN$200,MATCH('Table of fees'!J$3,'Cost buildup'!$C$3:$AN$3,0),FALSE)</f>
        <v>10.418842555178815</v>
      </c>
      <c r="K21" s="135">
        <f t="shared" si="0"/>
        <v>182.92</v>
      </c>
      <c r="L21" s="135">
        <f t="shared" si="1"/>
        <v>182.92</v>
      </c>
      <c r="M21" s="573">
        <f>ROUND(K21*(1+'Master Data'!$J$30),2)</f>
        <v>187.49</v>
      </c>
      <c r="N21" s="512"/>
      <c r="O21" s="515"/>
      <c r="P21" s="515"/>
      <c r="Q21" s="29"/>
      <c r="R21" s="310"/>
      <c r="S21" s="310"/>
      <c r="T21" s="310"/>
      <c r="U21" s="310"/>
      <c r="V21" s="310"/>
    </row>
    <row r="22" spans="1:22">
      <c r="A22" s="110" t="s">
        <v>33</v>
      </c>
      <c r="B22" s="111" t="s">
        <v>45</v>
      </c>
      <c r="C22" s="121"/>
      <c r="D22" s="121">
        <f>VLOOKUP($B22,'Cost buildup'!$C$3:$AN$200,MATCH('Table of fees'!D$3,'Cost buildup'!$C$3:$AN$3,0),FALSE)</f>
        <v>283.40970822846725</v>
      </c>
      <c r="E22" s="121">
        <f>VLOOKUP($B22,'Cost buildup'!$C$3:$AN$200,MATCH('Table of fees'!E$3,'Cost buildup'!$C$3:$AN$3,0),FALSE)</f>
        <v>0</v>
      </c>
      <c r="F22" s="121">
        <f>VLOOKUP($B22,'Cost buildup'!$C$3:$AN$200,MATCH('Table of fees'!F$3,'Cost buildup'!$C$3:$AN$3,0),FALSE)</f>
        <v>27.46542007565813</v>
      </c>
      <c r="G22" s="121">
        <f>VLOOKUP($B22,'Cost buildup'!$C$3:$AN$200,MATCH('Table of fees'!G$3,'Cost buildup'!$C$3:$AN$3,0),FALSE)</f>
        <v>156.04664825922063</v>
      </c>
      <c r="H22" s="121">
        <f>VLOOKUP($B22,'Cost buildup'!$C$3:$AN$200,MATCH('Table of fees'!H$3,'Cost buildup'!$C$3:$AN$3,0),FALSE)</f>
        <v>30.681878325229864</v>
      </c>
      <c r="I22" s="121">
        <f>VLOOKUP($B22,'Cost buildup'!$C$3:$AN$200,MATCH('Table of fees'!I$3,'Cost buildup'!$C$3:$AN$3,0),FALSE)</f>
        <v>174.14312384084687</v>
      </c>
      <c r="J22" s="121">
        <f>VLOOKUP($B22,'Cost buildup'!$C$3:$AN$200,MATCH('Table of fees'!J$3,'Cost buildup'!$C$3:$AN$3,0),FALSE)</f>
        <v>40.57350543525714</v>
      </c>
      <c r="K22" s="135">
        <f t="shared" si="0"/>
        <v>712.32</v>
      </c>
      <c r="L22" s="135">
        <f t="shared" si="1"/>
        <v>712.32</v>
      </c>
      <c r="M22" s="573">
        <f>ROUND(K22*(1+'Master Data'!$J$30),2)</f>
        <v>730.13</v>
      </c>
      <c r="N22" s="512"/>
      <c r="O22" s="515"/>
      <c r="P22" s="515"/>
      <c r="Q22" s="29"/>
      <c r="R22" s="310"/>
      <c r="S22" s="310"/>
      <c r="T22" s="310"/>
      <c r="U22" s="310"/>
      <c r="V22" s="310"/>
    </row>
    <row r="23" spans="1:22">
      <c r="A23" s="110" t="s">
        <v>33</v>
      </c>
      <c r="B23" s="111" t="s">
        <v>47</v>
      </c>
      <c r="C23" s="121"/>
      <c r="D23" s="121">
        <f>VLOOKUP($B23,'Cost buildup'!$C$3:$AN$200,MATCH('Table of fees'!D$3,'Cost buildup'!$C$3:$AN$3,0),FALSE)</f>
        <v>35.426213528558407</v>
      </c>
      <c r="E23" s="121">
        <f>VLOOKUP($B23,'Cost buildup'!$C$3:$AN$200,MATCH('Table of fees'!E$3,'Cost buildup'!$C$3:$AN$3,0),FALSE)</f>
        <v>0</v>
      </c>
      <c r="F23" s="121">
        <f>VLOOKUP($B23,'Cost buildup'!$C$3:$AN$200,MATCH('Table of fees'!F$3,'Cost buildup'!$C$3:$AN$3,0),FALSE)</f>
        <v>3.4331775094572663</v>
      </c>
      <c r="G23" s="121">
        <f>VLOOKUP($B23,'Cost buildup'!$C$3:$AN$200,MATCH('Table of fees'!G$3,'Cost buildup'!$C$3:$AN$3,0),FALSE)</f>
        <v>19.505831032402579</v>
      </c>
      <c r="H23" s="121">
        <f>VLOOKUP($B23,'Cost buildup'!$C$3:$AN$200,MATCH('Table of fees'!H$3,'Cost buildup'!$C$3:$AN$3,0),FALSE)</f>
        <v>3.6886691922693942</v>
      </c>
      <c r="I23" s="121">
        <f>VLOOKUP($B23,'Cost buildup'!$C$3:$AN$200,MATCH('Table of fees'!I$3,'Cost buildup'!$C$3:$AN$3,0),FALSE)</f>
        <v>18.70555968878417</v>
      </c>
      <c r="J23" s="121">
        <f>VLOOKUP($B23,'Cost buildup'!$C$3:$AN$200,MATCH('Table of fees'!J$3,'Cost buildup'!$C$3:$AN$3,0),FALSE)</f>
        <v>4.8778708374688984</v>
      </c>
      <c r="K23" s="135">
        <f t="shared" si="0"/>
        <v>85.64</v>
      </c>
      <c r="L23" s="135">
        <f t="shared" si="1"/>
        <v>85.64</v>
      </c>
      <c r="M23" s="573">
        <f>ROUND(K23*(1+'Master Data'!$J$30),2)</f>
        <v>87.78</v>
      </c>
      <c r="N23" s="512"/>
      <c r="O23" s="515"/>
      <c r="P23" s="515"/>
      <c r="Q23" s="29"/>
      <c r="R23" s="310"/>
      <c r="S23" s="310"/>
      <c r="T23" s="310"/>
      <c r="U23" s="310"/>
      <c r="V23" s="310"/>
    </row>
    <row r="24" spans="1:22">
      <c r="A24" s="120" t="s">
        <v>48</v>
      </c>
      <c r="B24" s="112"/>
      <c r="C24" s="113"/>
      <c r="D24" s="113"/>
      <c r="E24" s="113"/>
      <c r="F24" s="113"/>
      <c r="G24" s="113"/>
      <c r="H24" s="113"/>
      <c r="I24" s="113"/>
      <c r="J24" s="113"/>
      <c r="K24" s="118"/>
      <c r="L24" s="118"/>
      <c r="M24" s="572"/>
      <c r="N24" s="514"/>
      <c r="O24" s="515"/>
      <c r="P24" s="515"/>
      <c r="Q24" s="290"/>
      <c r="R24" s="310"/>
      <c r="S24" s="310"/>
      <c r="T24" s="310"/>
      <c r="U24" s="310"/>
      <c r="V24" s="310"/>
    </row>
    <row r="25" spans="1:22">
      <c r="A25" s="110" t="s">
        <v>48</v>
      </c>
      <c r="B25" s="111" t="s">
        <v>50</v>
      </c>
      <c r="C25" s="121"/>
      <c r="D25" s="121">
        <f>VLOOKUP($B25,'Cost buildup'!$C$3:$AN$200,MATCH('Table of fees'!D$3,'Cost buildup'!$C$3:$AN$3,0),FALSE)</f>
        <v>106.27864058567521</v>
      </c>
      <c r="E25" s="121">
        <f>VLOOKUP($B25,'Cost buildup'!$C$3:$AN$200,MATCH('Table of fees'!E$3,'Cost buildup'!$C$3:$AN$3,0),FALSE)</f>
        <v>0</v>
      </c>
      <c r="F25" s="121">
        <f>VLOOKUP($B25,'Cost buildup'!$C$3:$AN$200,MATCH('Table of fees'!F$3,'Cost buildup'!$C$3:$AN$3,0),FALSE)</f>
        <v>10.299532528371799</v>
      </c>
      <c r="G25" s="121">
        <f>VLOOKUP($B25,'Cost buildup'!$C$3:$AN$200,MATCH('Table of fees'!G$3,'Cost buildup'!$C$3:$AN$3,0),FALSE)</f>
        <v>58.517493097207733</v>
      </c>
      <c r="H25" s="121">
        <f>VLOOKUP($B25,'Cost buildup'!$C$3:$AN$200,MATCH('Table of fees'!H$3,'Cost buildup'!$C$3:$AN$3,0),FALSE)</f>
        <v>9.2754815130204378</v>
      </c>
      <c r="I25" s="121">
        <f>VLOOKUP($B25,'Cost buildup'!$C$3:$AN$200,MATCH('Table of fees'!I$3,'Cost buildup'!$C$3:$AN$3,0),FALSE)</f>
        <v>18.70555968878417</v>
      </c>
      <c r="J25" s="121">
        <f>VLOOKUP($B25,'Cost buildup'!$C$3:$AN$200,MATCH('Table of fees'!J$3,'Cost buildup'!$C$3:$AN$3,0),FALSE)</f>
        <v>12.265833127748785</v>
      </c>
      <c r="K25" s="135">
        <f t="shared" si="0"/>
        <v>215.34</v>
      </c>
      <c r="L25" s="135">
        <f t="shared" si="1"/>
        <v>215.34</v>
      </c>
      <c r="M25" s="573">
        <f>ROUND(K25*(1+'Master Data'!$J$30),2)</f>
        <v>220.72</v>
      </c>
      <c r="N25" s="512"/>
      <c r="O25" s="515"/>
      <c r="P25" s="515"/>
      <c r="Q25" s="29"/>
      <c r="R25" s="310"/>
      <c r="S25" s="310"/>
      <c r="T25" s="310"/>
      <c r="U25" s="310"/>
      <c r="V25" s="310"/>
    </row>
    <row r="26" spans="1:22">
      <c r="A26" s="110" t="s">
        <v>48</v>
      </c>
      <c r="B26" s="111" t="s">
        <v>52</v>
      </c>
      <c r="C26" s="121"/>
      <c r="D26" s="121">
        <f>VLOOKUP($B26,'Cost buildup'!$C$3:$AN$200,MATCH('Table of fees'!D$3,'Cost buildup'!$C$3:$AN$3,0),FALSE)</f>
        <v>212.55728117135041</v>
      </c>
      <c r="E26" s="121">
        <f>VLOOKUP($B26,'Cost buildup'!$C$3:$AN$200,MATCH('Table of fees'!E$3,'Cost buildup'!$C$3:$AN$3,0),FALSE)</f>
        <v>0</v>
      </c>
      <c r="F26" s="121">
        <f>VLOOKUP($B26,'Cost buildup'!$C$3:$AN$200,MATCH('Table of fees'!F$3,'Cost buildup'!$C$3:$AN$3,0),FALSE)</f>
        <v>20.599065056743598</v>
      </c>
      <c r="G26" s="121">
        <f>VLOOKUP($B26,'Cost buildup'!$C$3:$AN$200,MATCH('Table of fees'!G$3,'Cost buildup'!$C$3:$AN$3,0),FALSE)</f>
        <v>117.03498619441547</v>
      </c>
      <c r="H26" s="121">
        <f>VLOOKUP($B26,'Cost buildup'!$C$3:$AN$200,MATCH('Table of fees'!H$3,'Cost buildup'!$C$3:$AN$3,0),FALSE)</f>
        <v>17.655699994147007</v>
      </c>
      <c r="I26" s="121">
        <f>VLOOKUP($B26,'Cost buildup'!$C$3:$AN$200,MATCH('Table of fees'!I$3,'Cost buildup'!$C$3:$AN$3,0),FALSE)</f>
        <v>18.705559688784174</v>
      </c>
      <c r="J26" s="121">
        <f>VLOOKUP($B26,'Cost buildup'!$C$3:$AN$200,MATCH('Table of fees'!J$3,'Cost buildup'!$C$3:$AN$3,0),FALSE)</f>
        <v>23.347776563168619</v>
      </c>
      <c r="K26" s="135">
        <f t="shared" si="0"/>
        <v>409.9</v>
      </c>
      <c r="L26" s="135">
        <f t="shared" si="1"/>
        <v>409.9</v>
      </c>
      <c r="M26" s="573">
        <f>ROUND(K26*(1+'Master Data'!$J$30),2)</f>
        <v>420.15</v>
      </c>
      <c r="N26" s="512"/>
      <c r="O26" s="515"/>
      <c r="P26" s="515"/>
      <c r="Q26" s="29"/>
      <c r="R26" s="310"/>
      <c r="S26" s="310"/>
      <c r="T26" s="310"/>
      <c r="U26" s="310"/>
      <c r="V26" s="310"/>
    </row>
    <row r="27" spans="1:22">
      <c r="A27" s="110" t="s">
        <v>48</v>
      </c>
      <c r="B27" s="111" t="s">
        <v>482</v>
      </c>
      <c r="C27" s="121"/>
      <c r="D27" s="121">
        <f>VLOOKUP($B27,'Cost buildup'!$C$3:$AN$200,MATCH('Table of fees'!D$3,'Cost buildup'!$C$3:$AN$3,0),FALSE)</f>
        <v>236.17475685705602</v>
      </c>
      <c r="E27" s="121">
        <f>VLOOKUP($B27,'Cost buildup'!$C$3:$AN$200,MATCH('Table of fees'!E$3,'Cost buildup'!$C$3:$AN$3,0),FALSE)</f>
        <v>0</v>
      </c>
      <c r="F27" s="121">
        <f>VLOOKUP($B27,'Cost buildup'!$C$3:$AN$200,MATCH('Table of fees'!F$3,'Cost buildup'!$C$3:$AN$3,0),FALSE)</f>
        <v>22.887850063048443</v>
      </c>
      <c r="G27" s="121">
        <f>VLOOKUP($B27,'Cost buildup'!$C$3:$AN$200,MATCH('Table of fees'!G$3,'Cost buildup'!$C$3:$AN$3,0),FALSE)</f>
        <v>130.03887354935054</v>
      </c>
      <c r="H27" s="121">
        <f>VLOOKUP($B27,'Cost buildup'!$C$3:$AN$200,MATCH('Table of fees'!H$3,'Cost buildup'!$C$3:$AN$3,0),FALSE)</f>
        <v>19.517970767730688</v>
      </c>
      <c r="I27" s="121">
        <f>VLOOKUP($B27,'Cost buildup'!$C$3:$AN$200,MATCH('Table of fees'!I$3,'Cost buildup'!$C$3:$AN$3,0),FALSE)</f>
        <v>18.705559688784174</v>
      </c>
      <c r="J27" s="121">
        <f>VLOOKUP($B27,'Cost buildup'!$C$3:$AN$200,MATCH('Table of fees'!J$3,'Cost buildup'!$C$3:$AN$3,0),FALSE)</f>
        <v>25.810430659928581</v>
      </c>
      <c r="K27" s="135">
        <f t="shared" si="0"/>
        <v>453.14</v>
      </c>
      <c r="L27" s="135">
        <f t="shared" si="1"/>
        <v>453.14</v>
      </c>
      <c r="M27" s="573">
        <f>ROUND(K27*(1+'Master Data'!$J$30),2)</f>
        <v>464.47</v>
      </c>
      <c r="N27" s="512"/>
      <c r="O27" s="515"/>
      <c r="P27" s="515"/>
      <c r="Q27" s="29"/>
      <c r="R27" s="310"/>
      <c r="S27" s="310"/>
      <c r="T27" s="310"/>
      <c r="U27" s="310"/>
      <c r="V27" s="310"/>
    </row>
    <row r="28" spans="1:22">
      <c r="A28" s="110" t="s">
        <v>48</v>
      </c>
      <c r="B28" s="111" t="s">
        <v>55</v>
      </c>
      <c r="C28" s="121"/>
      <c r="D28" s="121">
        <f>VLOOKUP($B28,'Cost buildup'!$C$3:$AN$200,MATCH('Table of fees'!D$3,'Cost buildup'!$C$3:$AN$3,0),FALSE)</f>
        <v>283.40970822846725</v>
      </c>
      <c r="E28" s="121">
        <f>VLOOKUP($B28,'Cost buildup'!$C$3:$AN$200,MATCH('Table of fees'!E$3,'Cost buildup'!$C$3:$AN$3,0),FALSE)</f>
        <v>0</v>
      </c>
      <c r="F28" s="121">
        <f>VLOOKUP($B28,'Cost buildup'!$C$3:$AN$200,MATCH('Table of fees'!F$3,'Cost buildup'!$C$3:$AN$3,0),FALSE)</f>
        <v>27.46542007565813</v>
      </c>
      <c r="G28" s="121">
        <f>VLOOKUP($B28,'Cost buildup'!$C$3:$AN$200,MATCH('Table of fees'!G$3,'Cost buildup'!$C$3:$AN$3,0),FALSE)</f>
        <v>156.04664825922063</v>
      </c>
      <c r="H28" s="121">
        <f>VLOOKUP($B28,'Cost buildup'!$C$3:$AN$200,MATCH('Table of fees'!H$3,'Cost buildup'!$C$3:$AN$3,0),FALSE)</f>
        <v>30.681878325229864</v>
      </c>
      <c r="I28" s="121">
        <f>VLOOKUP($B28,'Cost buildup'!$C$3:$AN$200,MATCH('Table of fees'!I$3,'Cost buildup'!$C$3:$AN$3,0),FALSE)</f>
        <v>174.14312384084687</v>
      </c>
      <c r="J28" s="121">
        <f>VLOOKUP($B28,'Cost buildup'!$C$3:$AN$200,MATCH('Table of fees'!J$3,'Cost buildup'!$C$3:$AN$3,0),FALSE)</f>
        <v>40.57350543525714</v>
      </c>
      <c r="K28" s="135">
        <f t="shared" si="0"/>
        <v>712.32</v>
      </c>
      <c r="L28" s="135">
        <f t="shared" si="1"/>
        <v>712.32</v>
      </c>
      <c r="M28" s="573">
        <f>ROUND(K28*(1+'Master Data'!$J$30),2)</f>
        <v>730.13</v>
      </c>
      <c r="N28" s="512"/>
      <c r="O28" s="515"/>
      <c r="P28" s="515"/>
      <c r="Q28" s="29"/>
      <c r="R28" s="310"/>
      <c r="S28" s="310"/>
      <c r="T28" s="310"/>
      <c r="U28" s="310"/>
      <c r="V28" s="310"/>
    </row>
    <row r="29" spans="1:22">
      <c r="A29" s="110" t="s">
        <v>48</v>
      </c>
      <c r="B29" s="111" t="s">
        <v>475</v>
      </c>
      <c r="C29" s="121"/>
      <c r="D29" s="121">
        <f>VLOOKUP($B29,'Cost buildup'!$C$3:$AN$200,MATCH('Table of fees'!D$3,'Cost buildup'!$C$3:$AN$3,0),FALSE)</f>
        <v>35.426213528558407</v>
      </c>
      <c r="E29" s="121">
        <f>VLOOKUP($B29,'Cost buildup'!$C$3:$AN$200,MATCH('Table of fees'!E$3,'Cost buildup'!$C$3:$AN$3,0),FALSE)</f>
        <v>0</v>
      </c>
      <c r="F29" s="121">
        <f>VLOOKUP($B29,'Cost buildup'!$C$3:$AN$200,MATCH('Table of fees'!F$3,'Cost buildup'!$C$3:$AN$3,0),FALSE)</f>
        <v>3.4331775094572663</v>
      </c>
      <c r="G29" s="121">
        <f>VLOOKUP($B29,'Cost buildup'!$C$3:$AN$200,MATCH('Table of fees'!G$3,'Cost buildup'!$C$3:$AN$3,0),FALSE)</f>
        <v>19.505831032402579</v>
      </c>
      <c r="H29" s="121">
        <f>VLOOKUP($B29,'Cost buildup'!$C$3:$AN$200,MATCH('Table of fees'!H$3,'Cost buildup'!$C$3:$AN$3,0),FALSE)</f>
        <v>3.6886691922693946</v>
      </c>
      <c r="I29" s="121">
        <f>VLOOKUP($B29,'Cost buildup'!$C$3:$AN$200,MATCH('Table of fees'!I$3,'Cost buildup'!$C$3:$AN$3,0),FALSE)</f>
        <v>18.705559688784174</v>
      </c>
      <c r="J29" s="121">
        <f>VLOOKUP($B29,'Cost buildup'!$C$3:$AN$200,MATCH('Table of fees'!J$3,'Cost buildup'!$C$3:$AN$3,0),FALSE)</f>
        <v>4.8778708374688984</v>
      </c>
      <c r="K29" s="135">
        <f t="shared" si="0"/>
        <v>85.64</v>
      </c>
      <c r="L29" s="135">
        <f t="shared" si="1"/>
        <v>85.64</v>
      </c>
      <c r="M29" s="573">
        <f>ROUND(K29*(1+'Master Data'!$J$30),2)</f>
        <v>87.78</v>
      </c>
      <c r="N29" s="512"/>
      <c r="O29" s="515"/>
      <c r="P29" s="515"/>
      <c r="Q29" s="29"/>
      <c r="R29" s="310"/>
      <c r="S29" s="310"/>
      <c r="T29" s="310"/>
      <c r="U29" s="310"/>
      <c r="V29" s="310"/>
    </row>
    <row r="30" spans="1:22">
      <c r="A30" s="120" t="s">
        <v>58</v>
      </c>
      <c r="B30" s="112"/>
      <c r="C30" s="113"/>
      <c r="D30" s="113"/>
      <c r="E30" s="113"/>
      <c r="F30" s="113"/>
      <c r="G30" s="113"/>
      <c r="H30" s="113"/>
      <c r="I30" s="113"/>
      <c r="J30" s="113"/>
      <c r="K30" s="118"/>
      <c r="L30" s="118"/>
      <c r="M30" s="572"/>
      <c r="N30" s="514"/>
      <c r="O30" s="515"/>
      <c r="P30" s="515"/>
      <c r="Q30" s="290"/>
      <c r="R30" s="310"/>
      <c r="S30" s="310"/>
      <c r="T30" s="310"/>
      <c r="U30" s="310"/>
      <c r="V30" s="310"/>
    </row>
    <row r="31" spans="1:22">
      <c r="A31" s="110" t="s">
        <v>58</v>
      </c>
      <c r="B31" s="111" t="s">
        <v>60</v>
      </c>
      <c r="C31" s="121"/>
      <c r="D31" s="121">
        <f>VLOOKUP($B31,'Cost buildup'!$C$3:$AN$200,MATCH('Table of fees'!D$3,'Cost buildup'!$C$3:$AN$3,0),FALSE)</f>
        <v>118.08737842852801</v>
      </c>
      <c r="E31" s="121">
        <f>VLOOKUP($B31,'Cost buildup'!$C$3:$AN$200,MATCH('Table of fees'!E$3,'Cost buildup'!$C$3:$AN$3,0),FALSE)</f>
        <v>0</v>
      </c>
      <c r="F31" s="121">
        <f>VLOOKUP($B31,'Cost buildup'!$C$3:$AN$200,MATCH('Table of fees'!F$3,'Cost buildup'!$C$3:$AN$3,0),FALSE)</f>
        <v>21.138228582395328</v>
      </c>
      <c r="G31" s="121">
        <f>VLOOKUP($B31,'Cost buildup'!$C$3:$AN$200,MATCH('Table of fees'!G$3,'Cost buildup'!$C$3:$AN$3,0),FALSE)</f>
        <v>65.01943677467527</v>
      </c>
      <c r="H31" s="121">
        <f>VLOOKUP($B31,'Cost buildup'!$C$3:$AN$200,MATCH('Table of fees'!H$3,'Cost buildup'!$C$3:$AN$3,0),FALSE)</f>
        <v>11.20775183235496</v>
      </c>
      <c r="I31" s="121">
        <f>VLOOKUP($B31,'Cost buildup'!$C$3:$AN$200,MATCH('Table of fees'!I$3,'Cost buildup'!$C$3:$AN$3,0),FALSE)</f>
        <v>29.928895502054669</v>
      </c>
      <c r="J31" s="121">
        <f>VLOOKUP($B31,'Cost buildup'!$C$3:$AN$200,MATCH('Table of fees'!J$3,'Cost buildup'!$C$3:$AN$3,0),FALSE)</f>
        <v>14.821054143648498</v>
      </c>
      <c r="K31" s="135">
        <f t="shared" si="0"/>
        <v>260.2</v>
      </c>
      <c r="L31" s="135">
        <f t="shared" si="1"/>
        <v>260.2</v>
      </c>
      <c r="M31" s="573">
        <f>ROUND(K31*(1+'Master Data'!$J$30),2)</f>
        <v>266.70999999999998</v>
      </c>
      <c r="N31" s="512"/>
      <c r="O31" s="515"/>
      <c r="P31" s="515"/>
      <c r="Q31" s="29"/>
      <c r="R31" s="310"/>
      <c r="S31" s="310"/>
      <c r="T31" s="310"/>
      <c r="U31" s="310"/>
      <c r="V31" s="310"/>
    </row>
    <row r="32" spans="1:22">
      <c r="A32" s="110" t="s">
        <v>58</v>
      </c>
      <c r="B32" s="111" t="s">
        <v>62</v>
      </c>
      <c r="C32" s="121"/>
      <c r="D32" s="121">
        <f>VLOOKUP($B32,'Cost buildup'!$C$3:$AN$200,MATCH('Table of fees'!D$3,'Cost buildup'!$C$3:$AN$3,0),FALSE)</f>
        <v>566.8194164569345</v>
      </c>
      <c r="E32" s="121">
        <f>VLOOKUP($B32,'Cost buildup'!$C$3:$AN$200,MATCH('Table of fees'!E$3,'Cost buildup'!$C$3:$AN$3,0),FALSE)</f>
        <v>0</v>
      </c>
      <c r="F32" s="121">
        <f>VLOOKUP($B32,'Cost buildup'!$C$3:$AN$200,MATCH('Table of fees'!F$3,'Cost buildup'!$C$3:$AN$3,0),FALSE)</f>
        <v>101.46349719549757</v>
      </c>
      <c r="G32" s="121">
        <f>VLOOKUP($B32,'Cost buildup'!$C$3:$AN$200,MATCH('Table of fees'!G$3,'Cost buildup'!$C$3:$AN$3,0),FALSE)</f>
        <v>312.09329651844126</v>
      </c>
      <c r="H32" s="121">
        <f>VLOOKUP($B32,'Cost buildup'!$C$3:$AN$200,MATCH('Table of fees'!H$3,'Cost buildup'!$C$3:$AN$3,0),FALSE)</f>
        <v>64.346286654227953</v>
      </c>
      <c r="I32" s="121">
        <f>VLOOKUP($B32,'Cost buildup'!$C$3:$AN$200,MATCH('Table of fees'!I$3,'Cost buildup'!$C$3:$AN$3,0),FALSE)</f>
        <v>364.0703523282707</v>
      </c>
      <c r="J32" s="121">
        <f>VLOOKUP($B32,'Cost buildup'!$C$3:$AN$200,MATCH('Table of fees'!J$3,'Cost buildup'!$C$3:$AN$3,0),FALSE)</f>
        <v>85.091088088863685</v>
      </c>
      <c r="K32" s="135">
        <f t="shared" si="0"/>
        <v>1493.88</v>
      </c>
      <c r="L32" s="135">
        <f t="shared" si="1"/>
        <v>1493.88</v>
      </c>
      <c r="M32" s="573">
        <f>ROUND(K32*(1+'Master Data'!$J$30),2)</f>
        <v>1531.23</v>
      </c>
      <c r="N32" s="512"/>
      <c r="O32" s="515"/>
      <c r="P32" s="515"/>
      <c r="Q32" s="29"/>
      <c r="R32" s="310"/>
      <c r="S32" s="310"/>
      <c r="T32" s="310"/>
      <c r="U32" s="310"/>
      <c r="V32" s="310"/>
    </row>
    <row r="33" spans="1:22">
      <c r="A33" s="110" t="s">
        <v>58</v>
      </c>
      <c r="B33" s="111" t="s">
        <v>64</v>
      </c>
      <c r="C33" s="121"/>
      <c r="D33" s="121">
        <f>VLOOKUP($B33,'Cost buildup'!$C$3:$AN$200,MATCH('Table of fees'!D$3,'Cost buildup'!$C$3:$AN$3,0),FALSE)</f>
        <v>70.852427057116813</v>
      </c>
      <c r="E33" s="121">
        <f>VLOOKUP($B33,'Cost buildup'!$C$3:$AN$200,MATCH('Table of fees'!E$3,'Cost buildup'!$C$3:$AN$3,0),FALSE)</f>
        <v>0</v>
      </c>
      <c r="F33" s="121">
        <f>VLOOKUP($B33,'Cost buildup'!$C$3:$AN$200,MATCH('Table of fees'!F$3,'Cost buildup'!$C$3:$AN$3,0),FALSE)</f>
        <v>12.682937149437196</v>
      </c>
      <c r="G33" s="121">
        <f>VLOOKUP($B33,'Cost buildup'!$C$3:$AN$200,MATCH('Table of fees'!G$3,'Cost buildup'!$C$3:$AN$3,0),FALSE)</f>
        <v>39.011662064805158</v>
      </c>
      <c r="H33" s="121">
        <f>VLOOKUP($B33,'Cost buildup'!$C$3:$AN$200,MATCH('Table of fees'!H$3,'Cost buildup'!$C$3:$AN$3,0),FALSE)</f>
        <v>7.2976194398250547</v>
      </c>
      <c r="I33" s="121">
        <f>VLOOKUP($B33,'Cost buildup'!$C$3:$AN$200,MATCH('Table of fees'!I$3,'Cost buildup'!$C$3:$AN$3,0),FALSE)</f>
        <v>29.928895502054679</v>
      </c>
      <c r="J33" s="121">
        <f>VLOOKUP($B33,'Cost buildup'!$C$3:$AN$200,MATCH('Table of fees'!J$3,'Cost buildup'!$C$3:$AN$3,0),FALSE)</f>
        <v>9.6503218892796294</v>
      </c>
      <c r="K33" s="135">
        <f t="shared" si="0"/>
        <v>169.42</v>
      </c>
      <c r="L33" s="135">
        <f t="shared" si="1"/>
        <v>169.42</v>
      </c>
      <c r="M33" s="573">
        <f>ROUND(K33*(1+'Master Data'!$J$30),2)</f>
        <v>173.66</v>
      </c>
      <c r="N33" s="512"/>
      <c r="O33" s="515"/>
      <c r="P33" s="515"/>
      <c r="Q33" s="29"/>
      <c r="R33" s="310"/>
      <c r="S33" s="310"/>
      <c r="T33" s="310"/>
      <c r="U33" s="310"/>
      <c r="V33" s="310"/>
    </row>
    <row r="34" spans="1:22">
      <c r="A34" s="120" t="s">
        <v>75</v>
      </c>
      <c r="B34" s="112"/>
      <c r="C34" s="113"/>
      <c r="D34" s="113"/>
      <c r="E34" s="113"/>
      <c r="F34" s="113"/>
      <c r="G34" s="113"/>
      <c r="H34" s="113"/>
      <c r="I34" s="113"/>
      <c r="J34" s="113"/>
      <c r="K34" s="118"/>
      <c r="L34" s="118"/>
      <c r="M34" s="572"/>
      <c r="N34" s="514"/>
      <c r="O34" s="515"/>
      <c r="P34" s="515"/>
      <c r="Q34" s="290"/>
      <c r="R34" s="310"/>
      <c r="S34" s="310"/>
      <c r="T34" s="310"/>
      <c r="U34" s="310"/>
      <c r="V34" s="310"/>
    </row>
    <row r="35" spans="1:22">
      <c r="A35" s="110" t="s">
        <v>75</v>
      </c>
      <c r="B35" s="111" t="s">
        <v>483</v>
      </c>
      <c r="C35" s="121"/>
      <c r="D35" s="121">
        <f>VLOOKUP($B35,'Cost buildup'!$C$3:$AN$200,MATCH('Table of fees'!D$3,'Cost buildup'!$C$3:$AN$3,0),FALSE)</f>
        <v>59.043689214264006</v>
      </c>
      <c r="E35" s="121">
        <f>VLOOKUP($B35,'Cost buildup'!$C$3:$AN$200,MATCH('Table of fees'!E$3,'Cost buildup'!$C$3:$AN$3,0),FALSE)</f>
        <v>0</v>
      </c>
      <c r="F35" s="121">
        <f>VLOOKUP($B35,'Cost buildup'!$C$3:$AN$200,MATCH('Table of fees'!F$3,'Cost buildup'!$C$3:$AN$3,0),FALSE)</f>
        <v>21.138228582395328</v>
      </c>
      <c r="G35" s="121">
        <f>VLOOKUP($B35,'Cost buildup'!$C$3:$AN$200,MATCH('Table of fees'!G$3,'Cost buildup'!$C$3:$AN$3,0),FALSE)</f>
        <v>32.509718387337635</v>
      </c>
      <c r="H35" s="121">
        <f>VLOOKUP($B35,'Cost buildup'!$C$3:$AN$200,MATCH('Table of fees'!H$3,'Cost buildup'!$C$3:$AN$3,0),FALSE)</f>
        <v>6.2887747769425344</v>
      </c>
      <c r="I35" s="121">
        <f>VLOOKUP($B35,'Cost buildup'!$C$3:$AN$200,MATCH('Table of fees'!I$3,'Cost buildup'!$C$3:$AN$3,0),FALSE)</f>
        <v>18.70555968878417</v>
      </c>
      <c r="J35" s="121">
        <f>VLOOKUP($B35,'Cost buildup'!$C$3:$AN$200,MATCH('Table of fees'!J$3,'Cost buildup'!$C$3:$AN$3,0),FALSE)</f>
        <v>8.3162326272433091</v>
      </c>
      <c r="K35" s="135">
        <f t="shared" si="0"/>
        <v>146</v>
      </c>
      <c r="L35" s="135">
        <f t="shared" si="1"/>
        <v>146</v>
      </c>
      <c r="M35" s="573">
        <f>ROUND(K35*(1+'Master Data'!$J$30),2)</f>
        <v>149.65</v>
      </c>
      <c r="N35" s="512"/>
      <c r="O35" s="515"/>
      <c r="P35" s="515"/>
      <c r="Q35" s="29"/>
      <c r="R35" s="310"/>
      <c r="S35" s="310"/>
      <c r="T35" s="310"/>
      <c r="U35" s="310"/>
      <c r="V35" s="310"/>
    </row>
    <row r="36" spans="1:22">
      <c r="A36" s="110" t="s">
        <v>75</v>
      </c>
      <c r="B36" s="111" t="s">
        <v>484</v>
      </c>
      <c r="C36" s="121"/>
      <c r="D36" s="121">
        <f>VLOOKUP($B36,'Cost buildup'!$C$3:$AN$200,MATCH('Table of fees'!D$3,'Cost buildup'!$C$3:$AN$3,0),FALSE)</f>
        <v>566.8194164569345</v>
      </c>
      <c r="E36" s="121">
        <f>VLOOKUP($B36,'Cost buildup'!$C$3:$AN$200,MATCH('Table of fees'!E$3,'Cost buildup'!$C$3:$AN$3,0),FALSE)</f>
        <v>0</v>
      </c>
      <c r="F36" s="121">
        <f>VLOOKUP($B36,'Cost buildup'!$C$3:$AN$200,MATCH('Table of fees'!F$3,'Cost buildup'!$C$3:$AN$3,0),FALSE)</f>
        <v>101.46349719549757</v>
      </c>
      <c r="G36" s="121">
        <f>VLOOKUP($B36,'Cost buildup'!$C$3:$AN$200,MATCH('Table of fees'!G$3,'Cost buildup'!$C$3:$AN$3,0),FALSE)</f>
        <v>312.09329651844126</v>
      </c>
      <c r="H36" s="121">
        <f>VLOOKUP($B36,'Cost buildup'!$C$3:$AN$200,MATCH('Table of fees'!H$3,'Cost buildup'!$C$3:$AN$3,0),FALSE)</f>
        <v>63.809128835091613</v>
      </c>
      <c r="I36" s="121">
        <f>VLOOKUP($B36,'Cost buildup'!$C$3:$AN$200,MATCH('Table of fees'!I$3,'Cost buildup'!$C$3:$AN$3,0),FALSE)</f>
        <v>352.84701651500018</v>
      </c>
      <c r="J36" s="121">
        <f>VLOOKUP($B36,'Cost buildup'!$C$3:$AN$200,MATCH('Table of fees'!J$3,'Cost buildup'!$C$3:$AN$3,0),FALSE)</f>
        <v>84.380754273466309</v>
      </c>
      <c r="K36" s="135">
        <f t="shared" si="0"/>
        <v>1481.41</v>
      </c>
      <c r="L36" s="135">
        <f t="shared" si="1"/>
        <v>1481.41</v>
      </c>
      <c r="M36" s="573">
        <f>ROUND(K36*(1+'Master Data'!$J$30),2)</f>
        <v>1518.45</v>
      </c>
      <c r="N36" s="512"/>
      <c r="O36" s="515"/>
      <c r="P36" s="515"/>
      <c r="Q36" s="29"/>
      <c r="R36" s="310"/>
      <c r="S36" s="310"/>
      <c r="T36" s="310"/>
      <c r="U36" s="310"/>
      <c r="V36" s="310"/>
    </row>
    <row r="37" spans="1:22">
      <c r="A37" s="110" t="s">
        <v>75</v>
      </c>
      <c r="B37" s="111" t="s">
        <v>485</v>
      </c>
      <c r="C37" s="121"/>
      <c r="D37" s="121">
        <f>VLOOKUP($B37,'Cost buildup'!$C$3:$AN$200,MATCH('Table of fees'!D$3,'Cost buildup'!$C$3:$AN$3,0),FALSE)</f>
        <v>283.40970822846725</v>
      </c>
      <c r="E37" s="121">
        <f>VLOOKUP($B37,'Cost buildup'!$C$3:$AN$200,MATCH('Table of fees'!E$3,'Cost buildup'!$C$3:$AN$3,0),FALSE)</f>
        <v>0</v>
      </c>
      <c r="F37" s="121">
        <f>VLOOKUP($B37,'Cost buildup'!$C$3:$AN$200,MATCH('Table of fees'!F$3,'Cost buildup'!$C$3:$AN$3,0),FALSE)</f>
        <v>27.46542007565813</v>
      </c>
      <c r="G37" s="121">
        <f>VLOOKUP($B37,'Cost buildup'!$C$3:$AN$200,MATCH('Table of fees'!G$3,'Cost buildup'!$C$3:$AN$3,0),FALSE)</f>
        <v>156.04664825922063</v>
      </c>
      <c r="H37" s="121">
        <f>VLOOKUP($B37,'Cost buildup'!$C$3:$AN$200,MATCH('Table of fees'!H$3,'Cost buildup'!$C$3:$AN$3,0),FALSE)</f>
        <v>30.681878325229864</v>
      </c>
      <c r="I37" s="121">
        <f>VLOOKUP($B37,'Cost buildup'!$C$3:$AN$200,MATCH('Table of fees'!I$3,'Cost buildup'!$C$3:$AN$3,0),FALSE)</f>
        <v>174.14312384084687</v>
      </c>
      <c r="J37" s="121">
        <f>VLOOKUP($B37,'Cost buildup'!$C$3:$AN$200,MATCH('Table of fees'!J$3,'Cost buildup'!$C$3:$AN$3,0),FALSE)</f>
        <v>40.57350543525714</v>
      </c>
      <c r="K37" s="135">
        <f t="shared" si="0"/>
        <v>712.32</v>
      </c>
      <c r="L37" s="135">
        <f t="shared" si="1"/>
        <v>712.32</v>
      </c>
      <c r="M37" s="573">
        <f>ROUND(K37*(1+'Master Data'!$J$30),2)</f>
        <v>730.13</v>
      </c>
      <c r="N37" s="512"/>
      <c r="O37" s="515"/>
      <c r="P37" s="515"/>
      <c r="Q37" s="29"/>
      <c r="R37" s="310"/>
      <c r="S37" s="310"/>
      <c r="T37" s="310"/>
      <c r="U37" s="310"/>
      <c r="V37" s="310"/>
    </row>
    <row r="38" spans="1:22">
      <c r="A38" s="110" t="s">
        <v>75</v>
      </c>
      <c r="B38" s="111" t="s">
        <v>486</v>
      </c>
      <c r="C38" s="121"/>
      <c r="D38" s="121">
        <f>VLOOKUP($B38,'Cost buildup'!$C$3:$AN$200,MATCH('Table of fees'!D$3,'Cost buildup'!$C$3:$AN$3,0),FALSE)</f>
        <v>35.426213528558407</v>
      </c>
      <c r="E38" s="121">
        <f>VLOOKUP($B38,'Cost buildup'!$C$3:$AN$200,MATCH('Table of fees'!E$3,'Cost buildup'!$C$3:$AN$3,0),FALSE)</f>
        <v>0</v>
      </c>
      <c r="F38" s="121">
        <f>VLOOKUP($B38,'Cost buildup'!$C$3:$AN$200,MATCH('Table of fees'!F$3,'Cost buildup'!$C$3:$AN$3,0),FALSE)</f>
        <v>12.682937149437196</v>
      </c>
      <c r="G38" s="121">
        <f>VLOOKUP($B38,'Cost buildup'!$C$3:$AN$200,MATCH('Table of fees'!G$3,'Cost buildup'!$C$3:$AN$3,0),FALSE)</f>
        <v>19.505831032402579</v>
      </c>
      <c r="H38" s="121">
        <f>VLOOKUP($B38,'Cost buildup'!$C$3:$AN$200,MATCH('Table of fees'!H$3,'Cost buildup'!$C$3:$AN$3,0),FALSE)</f>
        <v>4.1313700789230694</v>
      </c>
      <c r="I38" s="121">
        <f>VLOOKUP($B38,'Cost buildup'!$C$3:$AN$200,MATCH('Table of fees'!I$3,'Cost buildup'!$C$3:$AN$3,0),FALSE)</f>
        <v>18.705559688784174</v>
      </c>
      <c r="J38" s="121">
        <f>VLOOKUP($B38,'Cost buildup'!$C$3:$AN$200,MATCH('Table of fees'!J$3,'Cost buildup'!$C$3:$AN$3,0),FALSE)</f>
        <v>5.4632954532775679</v>
      </c>
      <c r="K38" s="135">
        <f t="shared" si="0"/>
        <v>95.92</v>
      </c>
      <c r="L38" s="135">
        <f t="shared" si="1"/>
        <v>95.92</v>
      </c>
      <c r="M38" s="573">
        <f>ROUND(K38*(1+'Master Data'!$J$30),2)</f>
        <v>98.32</v>
      </c>
      <c r="N38" s="512"/>
      <c r="O38" s="515"/>
      <c r="P38" s="515"/>
      <c r="Q38" s="29"/>
      <c r="R38" s="310"/>
      <c r="S38" s="310"/>
      <c r="T38" s="310"/>
      <c r="U38" s="310"/>
      <c r="V38" s="310"/>
    </row>
    <row r="39" spans="1:22">
      <c r="A39" s="120" t="s">
        <v>88</v>
      </c>
      <c r="B39" s="112"/>
      <c r="C39" s="113"/>
      <c r="D39" s="113"/>
      <c r="E39" s="113"/>
      <c r="F39" s="113"/>
      <c r="G39" s="113"/>
      <c r="H39" s="113"/>
      <c r="I39" s="113"/>
      <c r="J39" s="113"/>
      <c r="K39" s="118"/>
      <c r="L39" s="118"/>
      <c r="M39" s="572"/>
      <c r="N39" s="514"/>
      <c r="O39" s="515"/>
      <c r="P39" s="515"/>
      <c r="Q39" s="290"/>
      <c r="R39" s="310"/>
      <c r="S39" s="310"/>
      <c r="T39" s="310"/>
      <c r="U39" s="310"/>
      <c r="V39" s="310"/>
    </row>
    <row r="40" spans="1:22">
      <c r="A40" s="110" t="s">
        <v>88</v>
      </c>
      <c r="B40" s="111" t="s">
        <v>78</v>
      </c>
      <c r="C40" s="121"/>
      <c r="D40" s="121">
        <f>VLOOKUP($B40,'Cost buildup'!$C$3:$AN$200,MATCH('Table of fees'!D$3,'Cost buildup'!$C$3:$AN$3,0),FALSE)</f>
        <v>53.139320292837603</v>
      </c>
      <c r="E40" s="121">
        <f>VLOOKUP($B40,'Cost buildup'!$C$3:$AN$200,MATCH('Table of fees'!E$3,'Cost buildup'!$C$3:$AN$3,0),FALSE)</f>
        <v>0</v>
      </c>
      <c r="F40" s="121">
        <f>VLOOKUP($B40,'Cost buildup'!$C$3:$AN$200,MATCH('Table of fees'!F$3,'Cost buildup'!$C$3:$AN$3,0),FALSE)</f>
        <v>19.024405724155795</v>
      </c>
      <c r="G40" s="121">
        <f>VLOOKUP($B40,'Cost buildup'!$C$3:$AN$200,MATCH('Table of fees'!G$3,'Cost buildup'!$C$3:$AN$3,0),FALSE)</f>
        <v>29.258746548603867</v>
      </c>
      <c r="H40" s="121">
        <f>VLOOKUP($B40,'Cost buildup'!$C$3:$AN$200,MATCH('Table of fees'!H$3,'Cost buildup'!$C$3:$AN$3,0),FALSE)</f>
        <v>5.9284762088164422</v>
      </c>
      <c r="I40" s="121">
        <f>VLOOKUP($B40,'Cost buildup'!$C$3:$AN$200,MATCH('Table of fees'!I$3,'Cost buildup'!$C$3:$AN$3,0),FALSE)</f>
        <v>22.446671626541004</v>
      </c>
      <c r="J40" s="121">
        <f>VLOOKUP($B40,'Cost buildup'!$C$3:$AN$200,MATCH('Table of fees'!J$3,'Cost buildup'!$C$3:$AN$3,0),FALSE)</f>
        <v>7.8397762722176649</v>
      </c>
      <c r="K40" s="135">
        <f t="shared" si="0"/>
        <v>137.63999999999999</v>
      </c>
      <c r="L40" s="135">
        <f t="shared" si="1"/>
        <v>137.63999999999999</v>
      </c>
      <c r="M40" s="573">
        <f>ROUND(K40*(1+'Master Data'!$J$30),2)</f>
        <v>141.08000000000001</v>
      </c>
      <c r="N40" s="512"/>
      <c r="O40" s="515"/>
      <c r="P40" s="515"/>
      <c r="Q40" s="29"/>
      <c r="R40" s="310"/>
      <c r="S40" s="310"/>
      <c r="T40" s="310"/>
      <c r="U40" s="310"/>
      <c r="V40" s="310"/>
    </row>
    <row r="41" spans="1:22">
      <c r="A41" s="110" t="s">
        <v>88</v>
      </c>
      <c r="B41" s="111" t="s">
        <v>81</v>
      </c>
      <c r="C41" s="121"/>
      <c r="D41" s="121">
        <f>VLOOKUP($B41,'Cost buildup'!$C$3:$AN$200,MATCH('Table of fees'!D$3,'Cost buildup'!$C$3:$AN$3,0),FALSE)</f>
        <v>118.08737842852801</v>
      </c>
      <c r="E41" s="121">
        <f>VLOOKUP($B41,'Cost buildup'!$C$3:$AN$200,MATCH('Table of fees'!E$3,'Cost buildup'!$C$3:$AN$3,0),FALSE)</f>
        <v>0</v>
      </c>
      <c r="F41" s="121">
        <f>VLOOKUP($B41,'Cost buildup'!$C$3:$AN$200,MATCH('Table of fees'!F$3,'Cost buildup'!$C$3:$AN$3,0),FALSE)</f>
        <v>42.276457164790656</v>
      </c>
      <c r="G41" s="121">
        <f>VLOOKUP($B41,'Cost buildup'!$C$3:$AN$200,MATCH('Table of fees'!G$3,'Cost buildup'!$C$3:$AN$3,0),FALSE)</f>
        <v>65.01943677467527</v>
      </c>
      <c r="H41" s="121">
        <f>VLOOKUP($B41,'Cost buildup'!$C$3:$AN$200,MATCH('Table of fees'!H$3,'Cost buildup'!$C$3:$AN$3,0),FALSE)</f>
        <v>11.861339128369973</v>
      </c>
      <c r="I41" s="121">
        <f>VLOOKUP($B41,'Cost buildup'!$C$3:$AN$200,MATCH('Table of fees'!I$3,'Cost buildup'!$C$3:$AN$3,0),FALSE)</f>
        <v>22.446671626541004</v>
      </c>
      <c r="J41" s="121">
        <f>VLOOKUP($B41,'Cost buildup'!$C$3:$AN$200,MATCH('Table of fees'!J$3,'Cost buildup'!$C$3:$AN$3,0),FALSE)</f>
        <v>15.685353500623457</v>
      </c>
      <c r="K41" s="135">
        <f t="shared" si="0"/>
        <v>275.38</v>
      </c>
      <c r="L41" s="135">
        <f t="shared" si="1"/>
        <v>275.38</v>
      </c>
      <c r="M41" s="573">
        <f>ROUND(K41*(1+'Master Data'!$J$30),2)</f>
        <v>282.26</v>
      </c>
      <c r="N41" s="512"/>
      <c r="O41" s="515"/>
      <c r="P41" s="515"/>
      <c r="Q41" s="29"/>
      <c r="R41" s="310"/>
      <c r="S41" s="310"/>
      <c r="T41" s="310"/>
      <c r="U41" s="310"/>
      <c r="V41" s="310"/>
    </row>
    <row r="42" spans="1:22">
      <c r="A42" s="110" t="s">
        <v>88</v>
      </c>
      <c r="B42" s="111" t="s">
        <v>83</v>
      </c>
      <c r="C42" s="121"/>
      <c r="D42" s="121">
        <f>VLOOKUP($B42,'Cost buildup'!$C$3:$AN$200,MATCH('Table of fees'!D$3,'Cost buildup'!$C$3:$AN$3,0),FALSE)</f>
        <v>88.565533821396002</v>
      </c>
      <c r="E42" s="121">
        <f>VLOOKUP($B42,'Cost buildup'!$C$3:$AN$200,MATCH('Table of fees'!E$3,'Cost buildup'!$C$3:$AN$3,0),FALSE)</f>
        <v>0</v>
      </c>
      <c r="F42" s="121">
        <f>VLOOKUP($B42,'Cost buildup'!$C$3:$AN$200,MATCH('Table of fees'!F$3,'Cost buildup'!$C$3:$AN$3,0),FALSE)</f>
        <v>31.707342873592989</v>
      </c>
      <c r="G42" s="121">
        <f>VLOOKUP($B42,'Cost buildup'!$C$3:$AN$200,MATCH('Table of fees'!G$3,'Cost buildup'!$C$3:$AN$3,0),FALSE)</f>
        <v>48.764577581006449</v>
      </c>
      <c r="H42" s="121">
        <f>VLOOKUP($B42,'Cost buildup'!$C$3:$AN$200,MATCH('Table of fees'!H$3,'Cost buildup'!$C$3:$AN$3,0),FALSE)</f>
        <v>9.1645832558456402</v>
      </c>
      <c r="I42" s="121">
        <f>VLOOKUP($B42,'Cost buildup'!$C$3:$AN$200,MATCH('Table of fees'!I$3,'Cost buildup'!$C$3:$AN$3,0),FALSE)</f>
        <v>22.446671626541004</v>
      </c>
      <c r="J42" s="121">
        <f>VLOOKUP($B42,'Cost buildup'!$C$3:$AN$200,MATCH('Table of fees'!J$3,'Cost buildup'!$C$3:$AN$3,0),FALSE)</f>
        <v>12.119182033166277</v>
      </c>
      <c r="K42" s="135">
        <f t="shared" si="0"/>
        <v>212.77</v>
      </c>
      <c r="L42" s="135">
        <f t="shared" si="1"/>
        <v>212.77</v>
      </c>
      <c r="M42" s="573">
        <f>ROUND(K42*(1+'Master Data'!$J$30),2)</f>
        <v>218.09</v>
      </c>
      <c r="N42" s="512"/>
      <c r="O42" s="515"/>
      <c r="P42" s="515"/>
      <c r="Q42" s="29"/>
      <c r="R42" s="310"/>
      <c r="S42" s="310"/>
      <c r="T42" s="310"/>
      <c r="U42" s="310"/>
      <c r="V42" s="310"/>
    </row>
    <row r="43" spans="1:22">
      <c r="A43" s="110" t="s">
        <v>88</v>
      </c>
      <c r="B43" s="111" t="s">
        <v>487</v>
      </c>
      <c r="C43" s="121"/>
      <c r="D43" s="121">
        <f>VLOOKUP($B43,'Cost buildup'!$C$3:$AN$200,MATCH('Table of fees'!D$3,'Cost buildup'!$C$3:$AN$3,0),FALSE)</f>
        <v>76.756795978543209</v>
      </c>
      <c r="E43" s="121">
        <f>VLOOKUP($B43,'Cost buildup'!$C$3:$AN$200,MATCH('Table of fees'!E$3,'Cost buildup'!$C$3:$AN$3,0),FALSE)</f>
        <v>0</v>
      </c>
      <c r="F43" s="121">
        <f>VLOOKUP($B43,'Cost buildup'!$C$3:$AN$200,MATCH('Table of fees'!F$3,'Cost buildup'!$C$3:$AN$3,0),FALSE)</f>
        <v>7.4385512704907431</v>
      </c>
      <c r="G43" s="121">
        <f>VLOOKUP($B43,'Cost buildup'!$C$3:$AN$200,MATCH('Table of fees'!G$3,'Cost buildup'!$C$3:$AN$3,0),FALSE)</f>
        <v>42.262633903538919</v>
      </c>
      <c r="H43" s="121">
        <f>VLOOKUP($B43,'Cost buildup'!$C$3:$AN$200,MATCH('Table of fees'!H$3,'Cost buildup'!$C$3:$AN$3,0),FALSE)</f>
        <v>7.1266956524196123</v>
      </c>
      <c r="I43" s="121">
        <f>VLOOKUP($B43,'Cost buildup'!$C$3:$AN$200,MATCH('Table of fees'!I$3,'Cost buildup'!$C$3:$AN$3,0),FALSE)</f>
        <v>22.446671626541004</v>
      </c>
      <c r="J43" s="121">
        <f>VLOOKUP($B43,'Cost buildup'!$C$3:$AN$200,MATCH('Table of fees'!J$3,'Cost buildup'!$C$3:$AN$3,0),FALSE)</f>
        <v>9.4242934452646239</v>
      </c>
      <c r="K43" s="135">
        <f t="shared" si="0"/>
        <v>165.46</v>
      </c>
      <c r="L43" s="135">
        <f t="shared" si="1"/>
        <v>165.46</v>
      </c>
      <c r="M43" s="573">
        <f>ROUND(K43*(1+'Master Data'!$J$30),2)</f>
        <v>169.6</v>
      </c>
      <c r="N43" s="512"/>
      <c r="O43" s="515"/>
      <c r="P43" s="515"/>
      <c r="Q43" s="29"/>
      <c r="R43" s="310"/>
      <c r="S43" s="310"/>
      <c r="T43" s="310"/>
      <c r="U43" s="310"/>
      <c r="V43" s="310"/>
    </row>
    <row r="44" spans="1:22">
      <c r="A44" s="110" t="s">
        <v>88</v>
      </c>
      <c r="B44" s="111" t="s">
        <v>88</v>
      </c>
      <c r="C44" s="121"/>
      <c r="D44" s="121">
        <f>VLOOKUP($B44,'Cost buildup'!$C$3:$AN$200,MATCH('Table of fees'!D$3,'Cost buildup'!$C$3:$AN$3,0),FALSE)</f>
        <v>47.234951371411206</v>
      </c>
      <c r="E44" s="121">
        <f>VLOOKUP($B44,'Cost buildup'!$C$3:$AN$200,MATCH('Table of fees'!E$3,'Cost buildup'!$C$3:$AN$3,0),FALSE)</f>
        <v>0</v>
      </c>
      <c r="F44" s="121">
        <f>VLOOKUP($B44,'Cost buildup'!$C$3:$AN$200,MATCH('Table of fees'!F$3,'Cost buildup'!$C$3:$AN$3,0),FALSE)</f>
        <v>16.910582865916261</v>
      </c>
      <c r="G44" s="121">
        <f>VLOOKUP($B44,'Cost buildup'!$C$3:$AN$200,MATCH('Table of fees'!G$3,'Cost buildup'!$C$3:$AN$3,0),FALSE)</f>
        <v>26.007774709870105</v>
      </c>
      <c r="H44" s="121">
        <f>VLOOKUP($B44,'Cost buildup'!$C$3:$AN$200,MATCH('Table of fees'!H$3,'Cost buildup'!$C$3:$AN$3,0),FALSE)</f>
        <v>5.3891250343115766</v>
      </c>
      <c r="I44" s="121">
        <f>VLOOKUP($B44,'Cost buildup'!$C$3:$AN$200,MATCH('Table of fees'!I$3,'Cost buildup'!$C$3:$AN$3,0),FALSE)</f>
        <v>22.446671626541004</v>
      </c>
      <c r="J44" s="121">
        <f>VLOOKUP($B44,'Cost buildup'!$C$3:$AN$200,MATCH('Table of fees'!J$3,'Cost buildup'!$C$3:$AN$3,0),FALSE)</f>
        <v>7.1265419787262294</v>
      </c>
      <c r="K44" s="135">
        <f t="shared" si="0"/>
        <v>125.12</v>
      </c>
      <c r="L44" s="135">
        <f t="shared" si="1"/>
        <v>125.12</v>
      </c>
      <c r="M44" s="573">
        <f>ROUND(K44*(1+'Master Data'!$J$30),2)</f>
        <v>128.25</v>
      </c>
      <c r="N44" s="512"/>
      <c r="O44" s="515"/>
      <c r="P44" s="515"/>
      <c r="Q44" s="29"/>
      <c r="R44" s="310"/>
      <c r="S44" s="310"/>
      <c r="T44" s="310"/>
      <c r="U44" s="310"/>
      <c r="V44" s="310"/>
    </row>
    <row r="45" spans="1:22">
      <c r="A45" s="110" t="s">
        <v>88</v>
      </c>
      <c r="B45" s="111" t="s">
        <v>89</v>
      </c>
      <c r="C45" s="121"/>
      <c r="D45" s="121">
        <f>VLOOKUP($B45,'Cost buildup'!$C$3:$AN$200,MATCH('Table of fees'!D$3,'Cost buildup'!$C$3:$AN$3,0),FALSE)</f>
        <v>283.40970822846725</v>
      </c>
      <c r="E45" s="121">
        <f>VLOOKUP($B45,'Cost buildup'!$C$3:$AN$200,MATCH('Table of fees'!E$3,'Cost buildup'!$C$3:$AN$3,0),FALSE)</f>
        <v>0</v>
      </c>
      <c r="F45" s="121">
        <f>VLOOKUP($B45,'Cost buildup'!$C$3:$AN$200,MATCH('Table of fees'!F$3,'Cost buildup'!$C$3:$AN$3,0),FALSE)</f>
        <v>101.46349719549757</v>
      </c>
      <c r="G45" s="121">
        <f>VLOOKUP($B45,'Cost buildup'!$C$3:$AN$200,MATCH('Table of fees'!G$3,'Cost buildup'!$C$3:$AN$3,0),FALSE)</f>
        <v>156.04664825922063</v>
      </c>
      <c r="H45" s="121">
        <f>VLOOKUP($B45,'Cost buildup'!$C$3:$AN$200,MATCH('Table of fees'!H$3,'Cost buildup'!$C$3:$AN$3,0),FALSE)</f>
        <v>36.173341571452738</v>
      </c>
      <c r="I45" s="121">
        <f>VLOOKUP($B45,'Cost buildup'!$C$3:$AN$200,MATCH('Table of fees'!I$3,'Cost buildup'!$C$3:$AN$3,0),FALSE)</f>
        <v>214.88327433852339</v>
      </c>
      <c r="J45" s="121">
        <f>VLOOKUP($B45,'Cost buildup'!$C$3:$AN$200,MATCH('Table of fees'!J$3,'Cost buildup'!$C$3:$AN$3,0),FALSE)</f>
        <v>47.835378763426959</v>
      </c>
      <c r="K45" s="135">
        <f t="shared" si="0"/>
        <v>839.81</v>
      </c>
      <c r="L45" s="135">
        <f t="shared" si="1"/>
        <v>839.81</v>
      </c>
      <c r="M45" s="573">
        <f>ROUND(K45*(1+'Master Data'!$J$30),2)</f>
        <v>860.81</v>
      </c>
      <c r="N45" s="512"/>
      <c r="O45" s="515"/>
      <c r="P45" s="515"/>
      <c r="Q45" s="29"/>
      <c r="R45" s="310"/>
      <c r="S45" s="310"/>
      <c r="T45" s="310"/>
      <c r="U45" s="310"/>
      <c r="V45" s="310"/>
    </row>
    <row r="46" spans="1:22">
      <c r="A46" s="110" t="s">
        <v>88</v>
      </c>
      <c r="B46" s="111" t="s">
        <v>90</v>
      </c>
      <c r="C46" s="121"/>
      <c r="D46" s="121">
        <f>VLOOKUP($B46,'Cost buildup'!$C$3:$AN$200,MATCH('Table of fees'!D$3,'Cost buildup'!$C$3:$AN$3,0),FALSE)</f>
        <v>35.426213528558407</v>
      </c>
      <c r="E46" s="121">
        <f>VLOOKUP($B46,'Cost buildup'!$C$3:$AN$200,MATCH('Table of fees'!E$3,'Cost buildup'!$C$3:$AN$3,0),FALSE)</f>
        <v>0</v>
      </c>
      <c r="F46" s="121">
        <f>VLOOKUP($B46,'Cost buildup'!$C$3:$AN$200,MATCH('Table of fees'!F$3,'Cost buildup'!$C$3:$AN$3,0),FALSE)</f>
        <v>12.682937149437196</v>
      </c>
      <c r="G46" s="121">
        <f>VLOOKUP($B46,'Cost buildup'!$C$3:$AN$200,MATCH('Table of fees'!G$3,'Cost buildup'!$C$3:$AN$3,0),FALSE)</f>
        <v>19.505831032402579</v>
      </c>
      <c r="H46" s="121">
        <f>VLOOKUP($B46,'Cost buildup'!$C$3:$AN$200,MATCH('Table of fees'!H$3,'Cost buildup'!$C$3:$AN$3,0),FALSE)</f>
        <v>4.3104226853018437</v>
      </c>
      <c r="I46" s="121">
        <f>VLOOKUP($B46,'Cost buildup'!$C$3:$AN$200,MATCH('Table of fees'!I$3,'Cost buildup'!$C$3:$AN$3,0),FALSE)</f>
        <v>22.446671626541004</v>
      </c>
      <c r="J46" s="121">
        <f>VLOOKUP($B46,'Cost buildup'!$C$3:$AN$200,MATCH('Table of fees'!J$3,'Cost buildup'!$C$3:$AN$3,0),FALSE)</f>
        <v>5.7000733917433584</v>
      </c>
      <c r="K46" s="135">
        <f t="shared" si="0"/>
        <v>100.07</v>
      </c>
      <c r="L46" s="135">
        <f t="shared" si="1"/>
        <v>100.07</v>
      </c>
      <c r="M46" s="573">
        <f>ROUND(K46*(1+'Master Data'!$J$30),2)</f>
        <v>102.57</v>
      </c>
      <c r="N46" s="512"/>
      <c r="O46" s="515"/>
      <c r="P46" s="515"/>
      <c r="Q46" s="29"/>
      <c r="R46" s="310"/>
      <c r="S46" s="310"/>
      <c r="T46" s="310"/>
      <c r="U46" s="310"/>
      <c r="V46" s="310"/>
    </row>
    <row r="47" spans="1:22">
      <c r="A47" s="120" t="s">
        <v>348</v>
      </c>
      <c r="B47" s="112"/>
      <c r="C47" s="113"/>
      <c r="D47" s="113"/>
      <c r="E47" s="113"/>
      <c r="F47" s="113"/>
      <c r="G47" s="113"/>
      <c r="H47" s="113"/>
      <c r="I47" s="113"/>
      <c r="J47" s="113"/>
      <c r="K47" s="118"/>
      <c r="L47" s="118"/>
      <c r="M47" s="572"/>
      <c r="N47" s="514"/>
      <c r="O47" s="515"/>
      <c r="P47" s="515"/>
      <c r="Q47" s="290"/>
      <c r="R47" s="310"/>
      <c r="S47" s="310"/>
      <c r="T47" s="310"/>
      <c r="U47" s="310"/>
      <c r="V47" s="310"/>
    </row>
    <row r="48" spans="1:22">
      <c r="A48" s="110" t="s">
        <v>217</v>
      </c>
      <c r="B48" s="111" t="s">
        <v>218</v>
      </c>
      <c r="C48" s="121"/>
      <c r="D48" s="121">
        <f>VLOOKUP($B48,'Cost buildup'!$C$3:$AN$200,MATCH('Table of fees'!D$3,'Cost buildup'!$C$3:$AN$3,0),FALSE)</f>
        <v>188.93980548564483</v>
      </c>
      <c r="E48" s="121">
        <f>VLOOKUP($B48,'Cost buildup'!$C$3:$AN$200,MATCH('Table of fees'!E$3,'Cost buildup'!$C$3:$AN$3,0),FALSE)</f>
        <v>123.82666249999998</v>
      </c>
      <c r="F48" s="121">
        <f>VLOOKUP($B48,'Cost buildup'!$C$3:$AN$200,MATCH('Table of fees'!F$3,'Cost buildup'!$C$3:$AN$3,0),FALSE)</f>
        <v>33.821165731832522</v>
      </c>
      <c r="G48" s="121">
        <f>VLOOKUP($B48,'Cost buildup'!$C$3:$AN$200,MATCH('Table of fees'!G$3,'Cost buildup'!$C$3:$AN$3,0),FALSE)</f>
        <v>104.03109883948042</v>
      </c>
      <c r="H48" s="121">
        <f>VLOOKUP($B48,'Cost buildup'!$C$3:$AN$200,MATCH('Table of fees'!H$3,'Cost buildup'!$C$3:$AN$3,0),FALSE)</f>
        <v>23.715603847754007</v>
      </c>
      <c r="I48" s="121">
        <f>VLOOKUP($B48,'Cost buildup'!$C$3:$AN$200,MATCH('Table of fees'!I$3,'Cost buildup'!$C$3:$AN$3,0),FALSE)</f>
        <v>44.893343253082016</v>
      </c>
      <c r="J48" s="121">
        <f>VLOOKUP($B48,'Cost buildup'!$C$3:$AN$200,MATCH('Table of fees'!J$3,'Cost buildup'!$C$3:$AN$3,0),FALSE)</f>
        <v>31.361351851330749</v>
      </c>
      <c r="K48" s="135">
        <f t="shared" si="0"/>
        <v>550.59</v>
      </c>
      <c r="L48" s="135">
        <f t="shared" si="1"/>
        <v>550.59</v>
      </c>
      <c r="M48" s="573">
        <f>ROUND(K48*(1+'Master Data'!$J$30),2)</f>
        <v>564.35</v>
      </c>
      <c r="N48" s="512"/>
      <c r="O48" s="515"/>
      <c r="P48" s="515"/>
      <c r="Q48" s="29"/>
      <c r="R48" s="310"/>
      <c r="S48" s="310"/>
      <c r="T48" s="310"/>
      <c r="U48" s="310"/>
      <c r="V48" s="310"/>
    </row>
    <row r="49" spans="1:22">
      <c r="A49" s="110" t="s">
        <v>217</v>
      </c>
      <c r="B49" s="111" t="s">
        <v>219</v>
      </c>
      <c r="C49" s="121"/>
      <c r="D49" s="121">
        <f>VLOOKUP($B49,'Cost buildup'!$C$3:$AN$200,MATCH('Table of fees'!D$3,'Cost buildup'!$C$3:$AN$3,0),FALSE)</f>
        <v>236.17475685705602</v>
      </c>
      <c r="E49" s="121">
        <f>VLOOKUP($B49,'Cost buildup'!$C$3:$AN$200,MATCH('Table of fees'!E$3,'Cost buildup'!$C$3:$AN$3,0),FALSE)</f>
        <v>245.62561874999997</v>
      </c>
      <c r="F49" s="121">
        <f>VLOOKUP($B49,'Cost buildup'!$C$3:$AN$200,MATCH('Table of fees'!F$3,'Cost buildup'!$C$3:$AN$3,0),FALSE)</f>
        <v>42.276457164790656</v>
      </c>
      <c r="G49" s="121">
        <f>VLOOKUP($B49,'Cost buildup'!$C$3:$AN$200,MATCH('Table of fees'!G$3,'Cost buildup'!$C$3:$AN$3,0),FALSE)</f>
        <v>130.03887354935054</v>
      </c>
      <c r="H49" s="121">
        <f>VLOOKUP($B49,'Cost buildup'!$C$3:$AN$200,MATCH('Table of fees'!H$3,'Cost buildup'!$C$3:$AN$3,0),FALSE)</f>
        <v>33.455131600170716</v>
      </c>
      <c r="I49" s="121">
        <f>VLOOKUP($B49,'Cost buildup'!$C$3:$AN$200,MATCH('Table of fees'!I$3,'Cost buildup'!$C$3:$AN$3,0),FALSE)</f>
        <v>44.893343253082008</v>
      </c>
      <c r="J49" s="121">
        <f>VLOOKUP($B49,'Cost buildup'!$C$3:$AN$200,MATCH('Table of fees'!J$3,'Cost buildup'!$C$3:$AN$3,0),FALSE)</f>
        <v>44.240836542936783</v>
      </c>
      <c r="K49" s="135">
        <f t="shared" si="0"/>
        <v>776.71</v>
      </c>
      <c r="L49" s="135">
        <f t="shared" si="1"/>
        <v>776.71</v>
      </c>
      <c r="M49" s="573">
        <f>ROUND(K49*(1+'Master Data'!$J$30),2)</f>
        <v>796.13</v>
      </c>
      <c r="N49" s="512"/>
      <c r="O49" s="515"/>
      <c r="P49" s="515"/>
      <c r="Q49" s="29"/>
      <c r="R49" s="310"/>
      <c r="S49" s="310"/>
      <c r="T49" s="310"/>
      <c r="U49" s="310"/>
      <c r="V49" s="310"/>
    </row>
    <row r="50" spans="1:22">
      <c r="A50" s="110" t="s">
        <v>217</v>
      </c>
      <c r="B50" s="111" t="s">
        <v>220</v>
      </c>
      <c r="C50" s="121"/>
      <c r="D50" s="121">
        <f>VLOOKUP($B50,'Cost buildup'!$C$3:$AN$200,MATCH('Table of fees'!D$3,'Cost buildup'!$C$3:$AN$3,0),FALSE)</f>
        <v>70.852427057116813</v>
      </c>
      <c r="E50" s="121">
        <f>VLOOKUP($B50,'Cost buildup'!$C$3:$AN$200,MATCH('Table of fees'!E$3,'Cost buildup'!$C$3:$AN$3,0),FALSE)</f>
        <v>1.1031562500000001</v>
      </c>
      <c r="F50" s="121">
        <f>VLOOKUP($B50,'Cost buildup'!$C$3:$AN$200,MATCH('Table of fees'!F$3,'Cost buildup'!$C$3:$AN$3,0),FALSE)</f>
        <v>6.8663550189145326</v>
      </c>
      <c r="G50" s="121">
        <f>VLOOKUP($B50,'Cost buildup'!$C$3:$AN$200,MATCH('Table of fees'!G$3,'Cost buildup'!$C$3:$AN$3,0),FALSE)</f>
        <v>39.011662064805158</v>
      </c>
      <c r="H50" s="121">
        <f>VLOOKUP($B50,'Cost buildup'!$C$3:$AN$200,MATCH('Table of fees'!H$3,'Cost buildup'!$C$3:$AN$3,0),FALSE)</f>
        <v>7.7882415368105358</v>
      </c>
      <c r="I50" s="121">
        <f>VLOOKUP($B50,'Cost buildup'!$C$3:$AN$200,MATCH('Table of fees'!I$3,'Cost buildup'!$C$3:$AN$3,0),FALSE)</f>
        <v>44.893343253082008</v>
      </c>
      <c r="J50" s="121">
        <f>VLOOKUP($B50,'Cost buildup'!$C$3:$AN$200,MATCH('Table of fees'!J$3,'Cost buildup'!$C$3:$AN$3,0),FALSE)</f>
        <v>10.299117184916035</v>
      </c>
      <c r="K50" s="135">
        <f t="shared" si="0"/>
        <v>180.81</v>
      </c>
      <c r="L50" s="135">
        <f t="shared" si="1"/>
        <v>180.81</v>
      </c>
      <c r="M50" s="573">
        <f>ROUND(K50*(1+'Master Data'!$J$30),2)</f>
        <v>185.33</v>
      </c>
      <c r="N50" s="512"/>
      <c r="O50" s="515"/>
      <c r="P50" s="515"/>
      <c r="Q50" s="29"/>
      <c r="R50" s="310"/>
      <c r="S50" s="310"/>
      <c r="T50" s="310"/>
      <c r="U50" s="310"/>
      <c r="V50" s="310"/>
    </row>
    <row r="51" spans="1:22">
      <c r="A51" s="110" t="s">
        <v>217</v>
      </c>
      <c r="B51" s="111" t="s">
        <v>221</v>
      </c>
      <c r="C51" s="121"/>
      <c r="D51" s="121">
        <f>VLOOKUP($B51,'Cost buildup'!$C$3:$AN$200,MATCH('Table of fees'!D$3,'Cost buildup'!$C$3:$AN$3,0),FALSE)</f>
        <v>94.469902742822413</v>
      </c>
      <c r="E51" s="121">
        <f>VLOOKUP($B51,'Cost buildup'!$C$3:$AN$200,MATCH('Table of fees'!E$3,'Cost buildup'!$C$3:$AN$3,0),FALSE)</f>
        <v>3.3199749999999999</v>
      </c>
      <c r="F51" s="121">
        <f>VLOOKUP($B51,'Cost buildup'!$C$3:$AN$200,MATCH('Table of fees'!F$3,'Cost buildup'!$C$3:$AN$3,0),FALSE)</f>
        <v>9.1551400252193762</v>
      </c>
      <c r="G51" s="121">
        <f>VLOOKUP($B51,'Cost buildup'!$C$3:$AN$200,MATCH('Table of fees'!G$3,'Cost buildup'!$C$3:$AN$3,0),FALSE)</f>
        <v>52.015549419740211</v>
      </c>
      <c r="H51" s="121">
        <f>VLOOKUP($B51,'Cost buildup'!$C$3:$AN$200,MATCH('Table of fees'!H$3,'Cost buildup'!$C$3:$AN$3,0),FALSE)</f>
        <v>9.7566110269417994</v>
      </c>
      <c r="I51" s="121">
        <f>VLOOKUP($B51,'Cost buildup'!$C$3:$AN$200,MATCH('Table of fees'!I$3,'Cost buildup'!$C$3:$AN$3,0),FALSE)</f>
        <v>44.893343253082016</v>
      </c>
      <c r="J51" s="121">
        <f>VLOOKUP($B51,'Cost buildup'!$C$3:$AN$200,MATCH('Table of fees'!J$3,'Cost buildup'!$C$3:$AN$3,0),FALSE)</f>
        <v>12.902075496655472</v>
      </c>
      <c r="K51" s="135">
        <f t="shared" si="0"/>
        <v>226.51</v>
      </c>
      <c r="L51" s="135">
        <f t="shared" si="1"/>
        <v>226.51</v>
      </c>
      <c r="M51" s="573">
        <f>ROUND(K51*(1+'Master Data'!$J$30),2)</f>
        <v>232.17</v>
      </c>
      <c r="N51" s="512"/>
      <c r="O51" s="515"/>
      <c r="P51" s="515"/>
      <c r="Q51" s="29"/>
      <c r="R51" s="310"/>
      <c r="S51" s="310"/>
      <c r="T51" s="310"/>
      <c r="U51" s="310"/>
      <c r="V51" s="310"/>
    </row>
    <row r="52" spans="1:22">
      <c r="A52" s="110" t="s">
        <v>217</v>
      </c>
      <c r="B52" s="111" t="s">
        <v>222</v>
      </c>
      <c r="C52" s="121"/>
      <c r="D52" s="121">
        <f>VLOOKUP($B52,'Cost buildup'!$C$3:$AN$200,MATCH('Table of fees'!D$3,'Cost buildup'!$C$3:$AN$3,0),FALSE)</f>
        <v>188.93980548564483</v>
      </c>
      <c r="E52" s="121">
        <f>VLOOKUP($B52,'Cost buildup'!$C$3:$AN$200,MATCH('Table of fees'!E$3,'Cost buildup'!$C$3:$AN$3,0),FALSE)</f>
        <v>7.6170312499999993</v>
      </c>
      <c r="F52" s="121">
        <f>VLOOKUP($B52,'Cost buildup'!$C$3:$AN$200,MATCH('Table of fees'!F$3,'Cost buildup'!$C$3:$AN$3,0),FALSE)</f>
        <v>33.821165731832522</v>
      </c>
      <c r="G52" s="121">
        <f>VLOOKUP($B52,'Cost buildup'!$C$3:$AN$200,MATCH('Table of fees'!G$3,'Cost buildup'!$C$3:$AN$3,0),FALSE)</f>
        <v>104.03109883948042</v>
      </c>
      <c r="H52" s="121">
        <f>VLOOKUP($B52,'Cost buildup'!$C$3:$AN$200,MATCH('Table of fees'!H$3,'Cost buildup'!$C$3:$AN$3,0),FALSE)</f>
        <v>18.153718048072484</v>
      </c>
      <c r="I52" s="121">
        <f>VLOOKUP($B52,'Cost buildup'!$C$3:$AN$200,MATCH('Table of fees'!I$3,'Cost buildup'!$C$3:$AN$3,0),FALSE)</f>
        <v>44.893343253082001</v>
      </c>
      <c r="J52" s="121">
        <f>VLOOKUP($B52,'Cost buildup'!$C$3:$AN$200,MATCH('Table of fees'!J$3,'Cost buildup'!$C$3:$AN$3,0),FALSE)</f>
        <v>24.00635222152998</v>
      </c>
      <c r="K52" s="135">
        <f t="shared" si="0"/>
        <v>421.46</v>
      </c>
      <c r="L52" s="135">
        <f t="shared" si="1"/>
        <v>421.46</v>
      </c>
      <c r="M52" s="573">
        <f>ROUND(K52*(1+'Master Data'!$J$30),2)</f>
        <v>432</v>
      </c>
      <c r="N52" s="512"/>
      <c r="O52" s="515"/>
      <c r="P52" s="515"/>
      <c r="Q52" s="29"/>
      <c r="R52" s="310"/>
      <c r="S52" s="310"/>
      <c r="T52" s="310"/>
      <c r="U52" s="310"/>
      <c r="V52" s="310"/>
    </row>
    <row r="53" spans="1:22">
      <c r="A53" s="110" t="s">
        <v>217</v>
      </c>
      <c r="B53" s="111" t="s">
        <v>223</v>
      </c>
      <c r="C53" s="121"/>
      <c r="D53" s="121">
        <f>VLOOKUP($B53,'Cost buildup'!$C$3:$AN$200,MATCH('Table of fees'!D$3,'Cost buildup'!$C$3:$AN$3,0),FALSE)</f>
        <v>236.17475685705602</v>
      </c>
      <c r="E53" s="121">
        <f>VLOOKUP($B53,'Cost buildup'!$C$3:$AN$200,MATCH('Table of fees'!E$3,'Cost buildup'!$C$3:$AN$3,0),FALSE)</f>
        <v>22.861599999999999</v>
      </c>
      <c r="F53" s="121">
        <f>VLOOKUP($B53,'Cost buildup'!$C$3:$AN$200,MATCH('Table of fees'!F$3,'Cost buildup'!$C$3:$AN$3,0),FALSE)</f>
        <v>42.276457164790656</v>
      </c>
      <c r="G53" s="121">
        <f>VLOOKUP($B53,'Cost buildup'!$C$3:$AN$200,MATCH('Table of fees'!G$3,'Cost buildup'!$C$3:$AN$3,0),FALSE)</f>
        <v>130.03887354935054</v>
      </c>
      <c r="H53" s="121">
        <f>VLOOKUP($B53,'Cost buildup'!$C$3:$AN$200,MATCH('Table of fees'!H$3,'Cost buildup'!$C$3:$AN$3,0),FALSE)</f>
        <v>22.793467680936711</v>
      </c>
      <c r="I53" s="121">
        <f>VLOOKUP($B53,'Cost buildup'!$C$3:$AN$200,MATCH('Table of fees'!I$3,'Cost buildup'!$C$3:$AN$3,0),FALSE)</f>
        <v>44.893343253082016</v>
      </c>
      <c r="J53" s="121">
        <f>VLOOKUP($B53,'Cost buildup'!$C$3:$AN$200,MATCH('Table of fees'!J$3,'Cost buildup'!$C$3:$AN$3,0),FALSE)</f>
        <v>30.141925309715049</v>
      </c>
      <c r="K53" s="135">
        <f t="shared" si="0"/>
        <v>529.17999999999995</v>
      </c>
      <c r="L53" s="135">
        <f t="shared" si="1"/>
        <v>529.17999999999995</v>
      </c>
      <c r="M53" s="573">
        <f>ROUND(K53*(1+'Master Data'!$J$30),2)</f>
        <v>542.41</v>
      </c>
      <c r="N53" s="512"/>
      <c r="O53" s="515"/>
      <c r="P53" s="515"/>
      <c r="Q53" s="29"/>
      <c r="R53" s="310"/>
      <c r="S53" s="310"/>
      <c r="T53" s="310"/>
      <c r="U53" s="310"/>
      <c r="V53" s="310"/>
    </row>
    <row r="54" spans="1:22">
      <c r="A54" s="110" t="s">
        <v>217</v>
      </c>
      <c r="B54" s="111" t="s">
        <v>349</v>
      </c>
      <c r="C54" s="121"/>
      <c r="D54" s="121">
        <f>VLOOKUP($B54,'Cost buildup'!$C$3:$AN$200,MATCH('Table of fees'!D$3,'Cost buildup'!$C$3:$AN$3,0),FALSE)</f>
        <v>566.8194164569345</v>
      </c>
      <c r="E54" s="121">
        <f>VLOOKUP($B54,'Cost buildup'!$C$3:$AN$200,MATCH('Table of fees'!E$3,'Cost buildup'!$C$3:$AN$3,0),FALSE)</f>
        <v>22.861599999999999</v>
      </c>
      <c r="F54" s="121">
        <f>VLOOKUP($B54,'Cost buildup'!$C$3:$AN$200,MATCH('Table of fees'!F$3,'Cost buildup'!$C$3:$AN$3,0),FALSE)</f>
        <v>101.46349719549757</v>
      </c>
      <c r="G54" s="121">
        <f>VLOOKUP($B54,'Cost buildup'!$C$3:$AN$200,MATCH('Table of fees'!G$3,'Cost buildup'!$C$3:$AN$3,0),FALSE)</f>
        <v>312.09329651844126</v>
      </c>
      <c r="H54" s="121">
        <f>VLOOKUP($B54,'Cost buildup'!$C$3:$AN$200,MATCH('Table of fees'!H$3,'Cost buildup'!$C$3:$AN$3,0),FALSE)</f>
        <v>66.703758742355873</v>
      </c>
      <c r="I54" s="121">
        <f>VLOOKUP($B54,'Cost buildup'!$C$3:$AN$200,MATCH('Table of fees'!I$3,'Cost buildup'!$C$3:$AN$3,0),FALSE)</f>
        <v>390.46560007929804</v>
      </c>
      <c r="J54" s="121">
        <f>VLOOKUP($B54,'Cost buildup'!$C$3:$AN$200,MATCH('Table of fees'!J$3,'Cost buildup'!$C$3:$AN$3,0),FALSE)</f>
        <v>88.20859300714865</v>
      </c>
      <c r="K54" s="135">
        <f t="shared" si="0"/>
        <v>1548.62</v>
      </c>
      <c r="L54" s="135">
        <f t="shared" si="1"/>
        <v>1548.62</v>
      </c>
      <c r="M54" s="573">
        <f>ROUND(K54*(1+'Master Data'!$J$30),2)</f>
        <v>1587.34</v>
      </c>
      <c r="N54" s="512"/>
      <c r="O54" s="515"/>
      <c r="P54" s="515"/>
      <c r="Q54" s="29"/>
      <c r="R54" s="310"/>
      <c r="S54" s="310"/>
      <c r="T54" s="310"/>
      <c r="U54" s="310"/>
      <c r="V54" s="310"/>
    </row>
    <row r="55" spans="1:22">
      <c r="A55" s="110" t="s">
        <v>217</v>
      </c>
      <c r="B55" s="111" t="s">
        <v>476</v>
      </c>
      <c r="C55" s="121"/>
      <c r="D55" s="121">
        <f>VLOOKUP($B55,'Cost buildup'!$C$3:$AN$200,MATCH('Table of fees'!D$3,'Cost buildup'!$C$3:$AN$3,0),FALSE)</f>
        <v>59.043689214264006</v>
      </c>
      <c r="E55" s="121">
        <f>VLOOKUP($B55,'Cost buildup'!$C$3:$AN$200,MATCH('Table of fees'!E$3,'Cost buildup'!$C$3:$AN$3,0),FALSE)</f>
        <v>0</v>
      </c>
      <c r="F55" s="121">
        <f>VLOOKUP($B55,'Cost buildup'!$C$3:$AN$200,MATCH('Table of fees'!F$3,'Cost buildup'!$C$3:$AN$3,0),FALSE)</f>
        <v>2.8609812578810554</v>
      </c>
      <c r="G55" s="121">
        <f>VLOOKUP($B55,'Cost buildup'!$C$3:$AN$200,MATCH('Table of fees'!G$3,'Cost buildup'!$C$3:$AN$3,0),FALSE)</f>
        <v>32.509718387337635</v>
      </c>
      <c r="H55" s="121">
        <f>VLOOKUP($B55,'Cost buildup'!$C$3:$AN$200,MATCH('Table of fees'!H$3,'Cost buildup'!$C$3:$AN$3,0),FALSE)</f>
        <v>6.6673793616629453</v>
      </c>
      <c r="I55" s="121">
        <f>VLOOKUP($B55,'Cost buildup'!$C$3:$AN$200,MATCH('Table of fees'!I$3,'Cost buildup'!$C$3:$AN$3,0),FALSE)</f>
        <v>44.893343253082008</v>
      </c>
      <c r="J55" s="121">
        <f>VLOOKUP($B55,'Cost buildup'!$C$3:$AN$200,MATCH('Table of fees'!J$3,'Cost buildup'!$C$3:$AN$3,0),FALSE)</f>
        <v>8.8168967330433503</v>
      </c>
      <c r="K55" s="135">
        <f t="shared" si="0"/>
        <v>154.79</v>
      </c>
      <c r="L55" s="135">
        <f t="shared" si="1"/>
        <v>154.79</v>
      </c>
      <c r="M55" s="573">
        <f>ROUND(K55*(1+'Master Data'!$J$30),2)</f>
        <v>158.66</v>
      </c>
      <c r="N55" s="512"/>
      <c r="O55" s="515"/>
      <c r="P55" s="515"/>
      <c r="Q55" s="29"/>
      <c r="R55" s="310"/>
      <c r="S55" s="310"/>
      <c r="T55" s="310"/>
      <c r="U55" s="310"/>
      <c r="V55" s="310"/>
    </row>
    <row r="56" spans="1:22">
      <c r="A56" s="120" t="s">
        <v>68</v>
      </c>
      <c r="B56" s="112"/>
      <c r="C56" s="113"/>
      <c r="D56" s="113"/>
      <c r="E56" s="113"/>
      <c r="F56" s="113"/>
      <c r="G56" s="113"/>
      <c r="H56" s="113"/>
      <c r="I56" s="113"/>
      <c r="J56" s="113"/>
      <c r="K56" s="118"/>
      <c r="L56" s="118"/>
      <c r="M56" s="572"/>
      <c r="N56" s="514"/>
      <c r="O56" s="515"/>
      <c r="P56" s="515"/>
      <c r="Q56" s="290"/>
      <c r="R56" s="310"/>
      <c r="S56" s="310"/>
      <c r="T56" s="310"/>
      <c r="U56" s="310"/>
      <c r="V56" s="310"/>
    </row>
    <row r="57" spans="1:22">
      <c r="A57" s="110" t="s">
        <v>68</v>
      </c>
      <c r="B57" s="111" t="s">
        <v>224</v>
      </c>
      <c r="C57" s="121"/>
      <c r="D57" s="121">
        <f>VLOOKUP($B57,'Cost buildup'!$C$3:$AN$200,MATCH('Table of fees'!D$3,'Cost buildup'!$C$3:$AN$3,0),FALSE)</f>
        <v>70.852427057116813</v>
      </c>
      <c r="E57" s="121">
        <f>VLOOKUP($B57,'Cost buildup'!$C$3:$AN$200,MATCH('Table of fees'!E$3,'Cost buildup'!$C$3:$AN$3,0),FALSE)</f>
        <v>0</v>
      </c>
      <c r="F57" s="121">
        <f>VLOOKUP($B57,'Cost buildup'!$C$3:$AN$200,MATCH('Table of fees'!F$3,'Cost buildup'!$C$3:$AN$3,0),FALSE)</f>
        <v>6.8663550189145326</v>
      </c>
      <c r="G57" s="121">
        <f>VLOOKUP($B57,'Cost buildup'!$C$3:$AN$200,MATCH('Table of fees'!G$3,'Cost buildup'!$C$3:$AN$3,0),FALSE)</f>
        <v>39.011662064805158</v>
      </c>
      <c r="H57" s="121">
        <f>VLOOKUP($B57,'Cost buildup'!$C$3:$AN$200,MATCH('Table of fees'!H$3,'Cost buildup'!$C$3:$AN$3,0),FALSE)</f>
        <v>7.3773383845387883</v>
      </c>
      <c r="I57" s="121">
        <f>VLOOKUP($B57,'Cost buildup'!$C$3:$AN$200,MATCH('Table of fees'!I$3,'Cost buildup'!$C$3:$AN$3,0),FALSE)</f>
        <v>37.411119377568333</v>
      </c>
      <c r="J57" s="121">
        <f>VLOOKUP($B57,'Cost buildup'!$C$3:$AN$200,MATCH('Table of fees'!J$3,'Cost buildup'!$C$3:$AN$3,0),FALSE)</f>
        <v>9.755741674937795</v>
      </c>
      <c r="K57" s="135">
        <f>ROUND(SUM(D57:J57),2)</f>
        <v>171.27</v>
      </c>
      <c r="L57" s="135">
        <f t="shared" si="1"/>
        <v>171.27</v>
      </c>
      <c r="M57" s="573">
        <f>ROUND(K57*(1+'Master Data'!$J$30),2)</f>
        <v>175.55</v>
      </c>
      <c r="N57" s="512"/>
      <c r="O57" s="515"/>
      <c r="P57" s="515"/>
      <c r="Q57" s="29"/>
      <c r="R57" s="310"/>
      <c r="S57" s="310"/>
      <c r="T57" s="310"/>
      <c r="U57" s="310"/>
      <c r="V57" s="310"/>
    </row>
    <row r="58" spans="1:22">
      <c r="A58" s="110" t="s">
        <v>68</v>
      </c>
      <c r="B58" s="111" t="s">
        <v>225</v>
      </c>
      <c r="C58" s="121"/>
      <c r="D58" s="121">
        <f>VLOOKUP($B58,'Cost buildup'!$C$3:$AN$200,MATCH('Table of fees'!D$3,'Cost buildup'!$C$3:$AN$3,0),FALSE)</f>
        <v>94.469902742822413</v>
      </c>
      <c r="E58" s="121">
        <f>VLOOKUP($B58,'Cost buildup'!$C$3:$AN$200,MATCH('Table of fees'!E$3,'Cost buildup'!$C$3:$AN$3,0),FALSE)</f>
        <v>0</v>
      </c>
      <c r="F58" s="121">
        <f>VLOOKUP($B58,'Cost buildup'!$C$3:$AN$200,MATCH('Table of fees'!F$3,'Cost buildup'!$C$3:$AN$3,0),FALSE)</f>
        <v>9.1551400252193762</v>
      </c>
      <c r="G58" s="121">
        <f>VLOOKUP($B58,'Cost buildup'!$C$3:$AN$200,MATCH('Table of fees'!G$3,'Cost buildup'!$C$3:$AN$3,0),FALSE)</f>
        <v>52.015549419740211</v>
      </c>
      <c r="H58" s="121">
        <f>VLOOKUP($B58,'Cost buildup'!$C$3:$AN$200,MATCH('Table of fees'!H$3,'Cost buildup'!$C$3:$AN$3,0),FALSE)</f>
        <v>9.2396091581224713</v>
      </c>
      <c r="I58" s="121">
        <f>VLOOKUP($B58,'Cost buildup'!$C$3:$AN$200,MATCH('Table of fees'!I$3,'Cost buildup'!$C$3:$AN$3,0),FALSE)</f>
        <v>37.41111937756834</v>
      </c>
      <c r="J58" s="121">
        <f>VLOOKUP($B58,'Cost buildup'!$C$3:$AN$200,MATCH('Table of fees'!J$3,'Cost buildup'!$C$3:$AN$3,0),FALSE)</f>
        <v>12.218395771697759</v>
      </c>
      <c r="K58" s="135">
        <f t="shared" si="0"/>
        <v>214.51</v>
      </c>
      <c r="L58" s="135">
        <f t="shared" si="1"/>
        <v>214.51</v>
      </c>
      <c r="M58" s="573">
        <f>ROUND(K58*(1+'Master Data'!$J$30),2)</f>
        <v>219.87</v>
      </c>
      <c r="N58" s="512"/>
      <c r="O58" s="515"/>
      <c r="P58" s="515"/>
      <c r="Q58" s="29"/>
      <c r="R58" s="310"/>
      <c r="S58" s="310"/>
      <c r="T58" s="310"/>
      <c r="U58" s="310"/>
      <c r="V58" s="310"/>
    </row>
    <row r="59" spans="1:22">
      <c r="A59" s="110" t="s">
        <v>65</v>
      </c>
      <c r="B59" s="111" t="s">
        <v>69</v>
      </c>
      <c r="C59" s="121"/>
      <c r="D59" s="121">
        <f>VLOOKUP($B59,'Cost buildup'!$C$3:$AN$200,MATCH('Table of fees'!D$3,'Cost buildup'!$C$3:$AN$3,0),FALSE)</f>
        <v>566.8194164569345</v>
      </c>
      <c r="E59" s="121">
        <f>VLOOKUP($B59,'Cost buildup'!$C$3:$AN$200,MATCH('Table of fees'!E$3,'Cost buildup'!$C$3:$AN$3,0),FALSE)</f>
        <v>0</v>
      </c>
      <c r="F59" s="121">
        <f>VLOOKUP($B59,'Cost buildup'!$C$3:$AN$200,MATCH('Table of fees'!F$3,'Cost buildup'!$C$3:$AN$3,0),FALSE)</f>
        <v>27.46542007565813</v>
      </c>
      <c r="G59" s="121">
        <f>VLOOKUP($B59,'Cost buildup'!$C$3:$AN$200,MATCH('Table of fees'!G$3,'Cost buildup'!$C$3:$AN$3,0),FALSE)</f>
        <v>312.09329651844126</v>
      </c>
      <c r="H59" s="121">
        <f>VLOOKUP($B59,'Cost buildup'!$C$3:$AN$200,MATCH('Table of fees'!H$3,'Cost buildup'!$C$3:$AN$3,0),FALSE)</f>
        <v>59.391981227141393</v>
      </c>
      <c r="I59" s="121">
        <f>VLOOKUP($B59,'Cost buildup'!$C$3:$AN$200,MATCH('Table of fees'!I$3,'Cost buildup'!$C$3:$AN$3,0),FALSE)</f>
        <v>334.55353764386467</v>
      </c>
      <c r="J59" s="121">
        <f>VLOOKUP($B59,'Cost buildup'!$C$3:$AN$200,MATCH('Table of fees'!J$3,'Cost buildup'!$C$3:$AN$3,0),FALSE)</f>
        <v>78.539548576091221</v>
      </c>
      <c r="K59" s="135">
        <f t="shared" si="0"/>
        <v>1378.86</v>
      </c>
      <c r="L59" s="135">
        <f t="shared" si="1"/>
        <v>1378.86</v>
      </c>
      <c r="M59" s="573">
        <f>ROUND(K59*(1+'Master Data'!$J$30),2)</f>
        <v>1413.33</v>
      </c>
      <c r="N59" s="512"/>
      <c r="O59" s="515"/>
      <c r="P59" s="515"/>
      <c r="Q59" s="29"/>
      <c r="R59" s="310"/>
      <c r="S59" s="310"/>
      <c r="T59" s="310"/>
      <c r="U59" s="310"/>
      <c r="V59" s="310"/>
    </row>
    <row r="60" spans="1:22">
      <c r="A60" s="110" t="s">
        <v>68</v>
      </c>
      <c r="B60" s="111" t="s">
        <v>488</v>
      </c>
      <c r="C60" s="121"/>
      <c r="D60" s="121">
        <f>VLOOKUP($B60,'Cost buildup'!$C$3:$AN$200,MATCH('Table of fees'!D$3,'Cost buildup'!$C$3:$AN$3,0),FALSE)</f>
        <v>41.330582449984803</v>
      </c>
      <c r="E60" s="121">
        <f>VLOOKUP($B60,'Cost buildup'!$C$3:$AN$200,MATCH('Table of fees'!E$3,'Cost buildup'!$C$3:$AN$3,0),FALSE)</f>
        <v>0</v>
      </c>
      <c r="F60" s="121">
        <f>VLOOKUP($B60,'Cost buildup'!$C$3:$AN$200,MATCH('Table of fees'!F$3,'Cost buildup'!$C$3:$AN$3,0),FALSE)</f>
        <v>4.0053737610334776</v>
      </c>
      <c r="G60" s="121">
        <f>VLOOKUP($B60,'Cost buildup'!$C$3:$AN$200,MATCH('Table of fees'!G$3,'Cost buildup'!$C$3:$AN$3,0),FALSE)</f>
        <v>22.756802871136344</v>
      </c>
      <c r="H60" s="121">
        <f>VLOOKUP($B60,'Cost buildup'!$C$3:$AN$200,MATCH('Table of fees'!H$3,'Cost buildup'!$C$3:$AN$3,0),FALSE)</f>
        <v>5.0494999175591859</v>
      </c>
      <c r="I60" s="121">
        <f>VLOOKUP($B60,'Cost buildup'!$C$3:$AN$200,MATCH('Table of fees'!I$3,'Cost buildup'!$C$3:$AN$3,0),FALSE)</f>
        <v>37.411119377568347</v>
      </c>
      <c r="J60" s="121">
        <f>VLOOKUP($B60,'Cost buildup'!$C$3:$AN$200,MATCH('Table of fees'!J$3,'Cost buildup'!$C$3:$AN$3,0),FALSE)</f>
        <v>6.6774240539878429</v>
      </c>
      <c r="K60" s="135">
        <f t="shared" si="0"/>
        <v>117.23</v>
      </c>
      <c r="L60" s="135">
        <f t="shared" si="1"/>
        <v>117.23</v>
      </c>
      <c r="M60" s="573">
        <f>ROUND(K60*(1+'Master Data'!$J$30),2)</f>
        <v>120.16</v>
      </c>
      <c r="N60" s="512"/>
      <c r="O60" s="515"/>
      <c r="P60" s="515"/>
      <c r="Q60" s="29"/>
      <c r="R60" s="310"/>
      <c r="S60" s="310"/>
      <c r="T60" s="310"/>
      <c r="U60" s="310"/>
      <c r="V60" s="310"/>
    </row>
    <row r="61" spans="1:22">
      <c r="A61" s="120" t="s">
        <v>350</v>
      </c>
      <c r="B61" s="112"/>
      <c r="C61" s="113"/>
      <c r="D61" s="113"/>
      <c r="E61" s="113"/>
      <c r="F61" s="113"/>
      <c r="G61" s="113"/>
      <c r="H61" s="113"/>
      <c r="I61" s="113"/>
      <c r="J61" s="113"/>
      <c r="K61" s="118"/>
      <c r="L61" s="118"/>
      <c r="M61" s="572"/>
      <c r="N61" s="514"/>
      <c r="O61" s="515"/>
      <c r="P61" s="515"/>
      <c r="Q61" s="290"/>
      <c r="R61" s="310"/>
      <c r="S61" s="310"/>
      <c r="T61" s="310"/>
      <c r="U61" s="310"/>
      <c r="V61" s="310"/>
    </row>
    <row r="62" spans="1:22">
      <c r="A62" s="110" t="s">
        <v>350</v>
      </c>
      <c r="B62" s="111" t="s">
        <v>229</v>
      </c>
      <c r="C62" s="121"/>
      <c r="D62" s="121">
        <f>VLOOKUP($B62,'Cost buildup'!$C$3:$AN$200,MATCH('Table of fees'!D$3,'Cost buildup'!$C$3:$AN$3,0),FALSE)</f>
        <v>141.70485411423363</v>
      </c>
      <c r="E62" s="121">
        <f>VLOOKUP($B62,'Cost buildup'!$C$3:$AN$200,MATCH('Table of fees'!E$3,'Cost buildup'!$C$3:$AN$3,0),FALSE)</f>
        <v>0</v>
      </c>
      <c r="F62" s="121">
        <f>VLOOKUP($B62,'Cost buildup'!$C$3:$AN$200,MATCH('Table of fees'!F$3,'Cost buildup'!$C$3:$AN$3,0),FALSE)</f>
        <v>25.365874298874392</v>
      </c>
      <c r="G62" s="121">
        <f>VLOOKUP($B62,'Cost buildup'!$C$3:$AN$200,MATCH('Table of fees'!G$3,'Cost buildup'!$C$3:$AN$3,0),FALSE)</f>
        <v>78.023324129610316</v>
      </c>
      <c r="H62" s="121">
        <f>VLOOKUP($B62,'Cost buildup'!$C$3:$AN$200,MATCH('Table of fees'!H$3,'Cost buildup'!$C$3:$AN$3,0),FALSE)</f>
        <v>13.87902845413501</v>
      </c>
      <c r="I62" s="121">
        <f>VLOOKUP($B62,'Cost buildup'!$C$3:$AN$200,MATCH('Table of fees'!I$3,'Cost buildup'!$C$3:$AN$3,0),FALSE)</f>
        <v>44.893343253082008</v>
      </c>
      <c r="J62" s="121">
        <f>VLOOKUP($B62,'Cost buildup'!$C$3:$AN$200,MATCH('Table of fees'!J$3,'Cost buildup'!$C$3:$AN$3,0),FALSE)</f>
        <v>18.353532024696094</v>
      </c>
      <c r="K62" s="135">
        <f t="shared" si="0"/>
        <v>322.22000000000003</v>
      </c>
      <c r="L62" s="135">
        <f t="shared" si="1"/>
        <v>322.22000000000003</v>
      </c>
      <c r="M62" s="573">
        <f>ROUND(K62*(1+'Master Data'!$J$30),2)</f>
        <v>330.28</v>
      </c>
      <c r="N62" s="512"/>
      <c r="O62" s="515"/>
      <c r="P62" s="515"/>
      <c r="Q62" s="29"/>
      <c r="R62" s="310"/>
      <c r="S62" s="310"/>
      <c r="T62" s="310"/>
      <c r="U62" s="310"/>
      <c r="V62" s="310"/>
    </row>
    <row r="63" spans="1:22">
      <c r="A63" s="110" t="s">
        <v>350</v>
      </c>
      <c r="B63" s="111" t="s">
        <v>230</v>
      </c>
      <c r="C63" s="121"/>
      <c r="D63" s="121">
        <f>VLOOKUP($B63,'Cost buildup'!$C$3:$AN$200,MATCH('Table of fees'!D$3,'Cost buildup'!$C$3:$AN$3,0),FALSE)</f>
        <v>188.93980548564483</v>
      </c>
      <c r="E63" s="121">
        <f>VLOOKUP($B63,'Cost buildup'!$C$3:$AN$200,MATCH('Table of fees'!E$3,'Cost buildup'!$C$3:$AN$3,0),FALSE)</f>
        <v>0</v>
      </c>
      <c r="F63" s="121">
        <f>VLOOKUP($B63,'Cost buildup'!$C$3:$AN$200,MATCH('Table of fees'!F$3,'Cost buildup'!$C$3:$AN$3,0),FALSE)</f>
        <v>33.821165731832522</v>
      </c>
      <c r="G63" s="121">
        <f>VLOOKUP($B63,'Cost buildup'!$C$3:$AN$200,MATCH('Table of fees'!G$3,'Cost buildup'!$C$3:$AN$3,0),FALSE)</f>
        <v>104.03109883948042</v>
      </c>
      <c r="H63" s="121">
        <f>VLOOKUP($B63,'Cost buildup'!$C$3:$AN$200,MATCH('Table of fees'!H$3,'Cost buildup'!$C$3:$AN$3,0),FALSE)</f>
        <v>17.789160846664917</v>
      </c>
      <c r="I63" s="121">
        <f>VLOOKUP($B63,'Cost buildup'!$C$3:$AN$200,MATCH('Table of fees'!I$3,'Cost buildup'!$C$3:$AN$3,0),FALSE)</f>
        <v>44.893343253082008</v>
      </c>
      <c r="J63" s="121">
        <f>VLOOKUP($B63,'Cost buildup'!$C$3:$AN$200,MATCH('Table of fees'!J$3,'Cost buildup'!$C$3:$AN$3,0),FALSE)</f>
        <v>23.524264279064965</v>
      </c>
      <c r="K63" s="135">
        <f t="shared" si="0"/>
        <v>413</v>
      </c>
      <c r="L63" s="135">
        <f t="shared" si="1"/>
        <v>413</v>
      </c>
      <c r="M63" s="573">
        <f>ROUND(K63*(1+'Master Data'!$J$30),2)</f>
        <v>423.33</v>
      </c>
      <c r="N63" s="512"/>
      <c r="O63" s="515"/>
      <c r="P63" s="515"/>
      <c r="Q63" s="29"/>
      <c r="R63" s="310"/>
      <c r="S63" s="310"/>
      <c r="T63" s="310"/>
      <c r="U63" s="310"/>
      <c r="V63" s="310"/>
    </row>
    <row r="64" spans="1:22">
      <c r="A64" s="110" t="s">
        <v>350</v>
      </c>
      <c r="B64" s="111" t="s">
        <v>385</v>
      </c>
      <c r="C64" s="121"/>
      <c r="D64" s="121">
        <f>VLOOKUP($B64,'Cost buildup'!$C$3:$AN$200,MATCH('Table of fees'!D$3,'Cost buildup'!$C$3:$AN$3,0),FALSE)</f>
        <v>566.8194164569345</v>
      </c>
      <c r="E64" s="121">
        <f>VLOOKUP($B64,'Cost buildup'!$C$3:$AN$200,MATCH('Table of fees'!E$3,'Cost buildup'!$C$3:$AN$3,0),FALSE)</f>
        <v>0</v>
      </c>
      <c r="F64" s="121">
        <f>VLOOKUP($B64,'Cost buildup'!$C$3:$AN$200,MATCH('Table of fees'!F$3,'Cost buildup'!$C$3:$AN$3,0),FALSE)</f>
        <v>101.46349719549757</v>
      </c>
      <c r="G64" s="121">
        <f>VLOOKUP($B64,'Cost buildup'!$C$3:$AN$200,MATCH('Table of fees'!G$3,'Cost buildup'!$C$3:$AN$3,0),FALSE)</f>
        <v>312.09329651844126</v>
      </c>
      <c r="H64" s="121">
        <f>VLOOKUP($B64,'Cost buildup'!$C$3:$AN$200,MATCH('Table of fees'!H$3,'Cost buildup'!$C$3:$AN$3,0),FALSE)</f>
        <v>65.062497079743054</v>
      </c>
      <c r="I64" s="121">
        <f>VLOOKUP($B64,'Cost buildup'!$C$3:$AN$200,MATCH('Table of fees'!I$3,'Cost buildup'!$C$3:$AN$3,0),FALSE)</f>
        <v>379.03480007929807</v>
      </c>
      <c r="J64" s="121">
        <f>VLOOKUP($B64,'Cost buildup'!$C$3:$AN$200,MATCH('Table of fees'!J$3,'Cost buildup'!$C$3:$AN$3,0),FALSE)</f>
        <v>86.03819984272684</v>
      </c>
      <c r="K64" s="135">
        <f t="shared" si="0"/>
        <v>1510.51</v>
      </c>
      <c r="L64" s="135">
        <f t="shared" si="1"/>
        <v>1510.51</v>
      </c>
      <c r="M64" s="573">
        <f>ROUND(K64*(1+'Master Data'!$J$30),2)</f>
        <v>1548.27</v>
      </c>
      <c r="N64" s="512"/>
      <c r="O64" s="515"/>
      <c r="P64" s="515"/>
      <c r="Q64" s="29"/>
      <c r="R64" s="310"/>
      <c r="S64" s="310"/>
      <c r="T64" s="310"/>
      <c r="U64" s="310"/>
      <c r="V64" s="310"/>
    </row>
    <row r="65" spans="1:22">
      <c r="A65" s="110" t="s">
        <v>350</v>
      </c>
      <c r="B65" s="111" t="s">
        <v>386</v>
      </c>
      <c r="C65" s="121"/>
      <c r="D65" s="121">
        <f>VLOOKUP($B65,'Cost buildup'!$C$3:$AN$200,MATCH('Table of fees'!D$3,'Cost buildup'!$C$3:$AN$3,0),FALSE)</f>
        <v>70.852427057116813</v>
      </c>
      <c r="E65" s="121">
        <f>VLOOKUP($B65,'Cost buildup'!$C$3:$AN$200,MATCH('Table of fees'!E$3,'Cost buildup'!$C$3:$AN$3,0),FALSE)</f>
        <v>0</v>
      </c>
      <c r="F65" s="121">
        <f>VLOOKUP($B65,'Cost buildup'!$C$3:$AN$200,MATCH('Table of fees'!F$3,'Cost buildup'!$C$3:$AN$3,0),FALSE)</f>
        <v>12.682937149437196</v>
      </c>
      <c r="G65" s="121">
        <f>VLOOKUP($B65,'Cost buildup'!$C$3:$AN$200,MATCH('Table of fees'!G$3,'Cost buildup'!$C$3:$AN$3,0),FALSE)</f>
        <v>39.011662064805158</v>
      </c>
      <c r="H65" s="121">
        <f>VLOOKUP($B65,'Cost buildup'!$C$3:$AN$200,MATCH('Table of fees'!H$3,'Cost buildup'!$C$3:$AN$3,0),FALSE)</f>
        <v>8.0138298653401527</v>
      </c>
      <c r="I65" s="121">
        <f>VLOOKUP($B65,'Cost buildup'!$C$3:$AN$200,MATCH('Table of fees'!I$3,'Cost buildup'!$C$3:$AN$3,0),FALSE)</f>
        <v>44.893343253082008</v>
      </c>
      <c r="J65" s="121">
        <f>VLOOKUP($B65,'Cost buildup'!$C$3:$AN$200,MATCH('Table of fees'!J$3,'Cost buildup'!$C$3:$AN$3,0),FALSE)</f>
        <v>10.597433643142793</v>
      </c>
      <c r="K65" s="135">
        <f t="shared" si="0"/>
        <v>186.05</v>
      </c>
      <c r="L65" s="135">
        <f t="shared" si="1"/>
        <v>186.05</v>
      </c>
      <c r="M65" s="573">
        <f>ROUND(K65*(1+'Master Data'!$J$30),2)</f>
        <v>190.7</v>
      </c>
      <c r="N65" s="512"/>
      <c r="O65" s="515"/>
      <c r="P65" s="515"/>
      <c r="Q65" s="29"/>
      <c r="R65" s="310"/>
      <c r="S65" s="310"/>
      <c r="T65" s="310"/>
      <c r="U65" s="310"/>
      <c r="V65" s="310"/>
    </row>
    <row r="66" spans="1:22">
      <c r="A66" s="120" t="s">
        <v>351</v>
      </c>
      <c r="B66" s="112"/>
      <c r="C66" s="113"/>
      <c r="D66" s="113"/>
      <c r="E66" s="113"/>
      <c r="F66" s="113"/>
      <c r="G66" s="113"/>
      <c r="H66" s="113"/>
      <c r="I66" s="113"/>
      <c r="J66" s="113"/>
      <c r="K66" s="118"/>
      <c r="L66" s="118"/>
      <c r="M66" s="572"/>
      <c r="N66" s="514"/>
      <c r="O66" s="515"/>
      <c r="P66" s="515"/>
      <c r="Q66" s="290"/>
      <c r="R66" s="310"/>
      <c r="S66" s="310"/>
      <c r="T66" s="310"/>
      <c r="U66" s="310"/>
      <c r="V66" s="310"/>
    </row>
    <row r="67" spans="1:22">
      <c r="A67" s="110" t="s">
        <v>351</v>
      </c>
      <c r="B67" s="111" t="s">
        <v>368</v>
      </c>
      <c r="C67" s="121"/>
      <c r="D67" s="121">
        <f>VLOOKUP($B67,'Cost buildup'!$C$3:$AN$200,MATCH('Table of fees'!D$3,'Cost buildup'!$C$3:$AN$3,0),FALSE)</f>
        <v>141.70485411423363</v>
      </c>
      <c r="E67" s="121">
        <f>VLOOKUP($B67,'Cost buildup'!$C$3:$AN$200,MATCH('Table of fees'!E$3,'Cost buildup'!$C$3:$AN$3,0),FALSE)</f>
        <v>0</v>
      </c>
      <c r="F67" s="121">
        <f>VLOOKUP($B67,'Cost buildup'!$C$3:$AN$200,MATCH('Table of fees'!F$3,'Cost buildup'!$C$3:$AN$3,0),FALSE)</f>
        <v>25.365874298874392</v>
      </c>
      <c r="G67" s="121">
        <f>VLOOKUP($B67,'Cost buildup'!$C$3:$AN$200,MATCH('Table of fees'!G$3,'Cost buildup'!$C$3:$AN$3,0),FALSE)</f>
        <v>78.023324129610316</v>
      </c>
      <c r="H67" s="121">
        <f>VLOOKUP($B67,'Cost buildup'!$C$3:$AN$200,MATCH('Table of fees'!H$3,'Cost buildup'!$C$3:$AN$3,0),FALSE)</f>
        <v>13.87902845413501</v>
      </c>
      <c r="I67" s="121">
        <f>VLOOKUP($B67,'Cost buildup'!$C$3:$AN$200,MATCH('Table of fees'!I$3,'Cost buildup'!$C$3:$AN$3,0),FALSE)</f>
        <v>44.893343253082016</v>
      </c>
      <c r="J67" s="121">
        <f>VLOOKUP($B67,'Cost buildup'!$C$3:$AN$200,MATCH('Table of fees'!J$3,'Cost buildup'!$C$3:$AN$3,0),FALSE)</f>
        <v>18.353532024696094</v>
      </c>
      <c r="K67" s="135">
        <f t="shared" si="0"/>
        <v>322.22000000000003</v>
      </c>
      <c r="L67" s="135">
        <f t="shared" si="1"/>
        <v>322.22000000000003</v>
      </c>
      <c r="M67" s="573">
        <f>ROUND(K67*(1+'Master Data'!$J$30),2)</f>
        <v>330.28</v>
      </c>
      <c r="N67" s="512"/>
      <c r="O67" s="515"/>
      <c r="P67" s="515"/>
      <c r="Q67" s="29"/>
      <c r="R67" s="310"/>
      <c r="S67" s="310"/>
      <c r="T67" s="310"/>
      <c r="U67" s="310"/>
      <c r="V67" s="310"/>
    </row>
    <row r="68" spans="1:22">
      <c r="A68" s="110" t="s">
        <v>351</v>
      </c>
      <c r="B68" s="111" t="s">
        <v>369</v>
      </c>
      <c r="C68" s="121"/>
      <c r="D68" s="121">
        <f>VLOOKUP($B68,'Cost buildup'!$C$3:$AN$200,MATCH('Table of fees'!D$3,'Cost buildup'!$C$3:$AN$3,0),FALSE)</f>
        <v>188.93980548564483</v>
      </c>
      <c r="E68" s="121">
        <f>VLOOKUP($B68,'Cost buildup'!$C$3:$AN$200,MATCH('Table of fees'!E$3,'Cost buildup'!$C$3:$AN$3,0),FALSE)</f>
        <v>0</v>
      </c>
      <c r="F68" s="121">
        <f>VLOOKUP($B68,'Cost buildup'!$C$3:$AN$200,MATCH('Table of fees'!F$3,'Cost buildup'!$C$3:$AN$3,0),FALSE)</f>
        <v>33.821165731832522</v>
      </c>
      <c r="G68" s="121">
        <f>VLOOKUP($B68,'Cost buildup'!$C$3:$AN$200,MATCH('Table of fees'!G$3,'Cost buildup'!$C$3:$AN$3,0),FALSE)</f>
        <v>104.03109883948042</v>
      </c>
      <c r="H68" s="121">
        <f>VLOOKUP($B68,'Cost buildup'!$C$3:$AN$200,MATCH('Table of fees'!H$3,'Cost buildup'!$C$3:$AN$3,0),FALSE)</f>
        <v>17.789160846664917</v>
      </c>
      <c r="I68" s="121">
        <f>VLOOKUP($B68,'Cost buildup'!$C$3:$AN$200,MATCH('Table of fees'!I$3,'Cost buildup'!$C$3:$AN$3,0),FALSE)</f>
        <v>44.893343253082016</v>
      </c>
      <c r="J68" s="121">
        <f>VLOOKUP($B68,'Cost buildup'!$C$3:$AN$200,MATCH('Table of fees'!J$3,'Cost buildup'!$C$3:$AN$3,0),FALSE)</f>
        <v>23.524264279064965</v>
      </c>
      <c r="K68" s="135">
        <f t="shared" si="0"/>
        <v>413</v>
      </c>
      <c r="L68" s="135">
        <f t="shared" si="1"/>
        <v>413</v>
      </c>
      <c r="M68" s="573">
        <f>ROUND(K68*(1+'Master Data'!$J$30),2)</f>
        <v>423.33</v>
      </c>
      <c r="N68" s="512"/>
      <c r="O68" s="515"/>
      <c r="P68" s="515"/>
      <c r="Q68" s="29"/>
      <c r="R68" s="310"/>
      <c r="S68" s="310"/>
      <c r="T68" s="310"/>
      <c r="U68" s="310"/>
      <c r="V68" s="310"/>
    </row>
    <row r="69" spans="1:22">
      <c r="A69" s="110" t="s">
        <v>351</v>
      </c>
      <c r="B69" s="111" t="s">
        <v>383</v>
      </c>
      <c r="C69" s="121"/>
      <c r="D69" s="121">
        <f>VLOOKUP($B69,'Cost buildup'!$C$3:$AN$200,MATCH('Table of fees'!D$3,'Cost buildup'!$C$3:$AN$3,0),FALSE)</f>
        <v>82.661164899969606</v>
      </c>
      <c r="E69" s="121">
        <f>VLOOKUP($B69,'Cost buildup'!$C$3:$AN$200,MATCH('Table of fees'!E$3,'Cost buildup'!$C$3:$AN$3,0),FALSE)</f>
        <v>0</v>
      </c>
      <c r="F69" s="121">
        <f>VLOOKUP($B69,'Cost buildup'!$C$3:$AN$200,MATCH('Table of fees'!F$3,'Cost buildup'!$C$3:$AN$3,0),FALSE)</f>
        <v>29.593520015353459</v>
      </c>
      <c r="G69" s="121">
        <f>VLOOKUP($B69,'Cost buildup'!$C$3:$AN$200,MATCH('Table of fees'!G$3,'Cost buildup'!$C$3:$AN$3,0),FALSE)</f>
        <v>45.513605742272688</v>
      </c>
      <c r="H69" s="121">
        <f>VLOOKUP($B69,'Cost buildup'!$C$3:$AN$200,MATCH('Table of fees'!H$3,'Cost buildup'!$C$3:$AN$3,0),FALSE)</f>
        <v>9.6995477196134186</v>
      </c>
      <c r="I69" s="121">
        <f>VLOOKUP($B69,'Cost buildup'!$C$3:$AN$200,MATCH('Table of fees'!I$3,'Cost buildup'!$C$3:$AN$3,0),FALSE)</f>
        <v>44.893343253082008</v>
      </c>
      <c r="J69" s="121">
        <f>VLOOKUP($B69,'Cost buildup'!$C$3:$AN$200,MATCH('Table of fees'!J$3,'Cost buildup'!$C$3:$AN$3,0),FALSE)</f>
        <v>12.826615370469588</v>
      </c>
      <c r="K69" s="135">
        <f t="shared" si="0"/>
        <v>225.19</v>
      </c>
      <c r="L69" s="135">
        <f t="shared" ref="L69:L96" si="2">K69</f>
        <v>225.19</v>
      </c>
      <c r="M69" s="573">
        <f>ROUND(K69*(1+'Master Data'!$J$30),2)</f>
        <v>230.82</v>
      </c>
      <c r="N69" s="512"/>
      <c r="O69" s="515"/>
      <c r="P69" s="515"/>
      <c r="Q69" s="29"/>
      <c r="R69" s="310"/>
      <c r="S69" s="310"/>
      <c r="T69" s="310"/>
      <c r="U69" s="310"/>
      <c r="V69" s="310"/>
    </row>
    <row r="70" spans="1:22">
      <c r="A70" s="110" t="s">
        <v>351</v>
      </c>
      <c r="B70" s="111" t="s">
        <v>384</v>
      </c>
      <c r="C70" s="121"/>
      <c r="D70" s="121">
        <f>VLOOKUP($B70,'Cost buildup'!$C$3:$AN$200,MATCH('Table of fees'!D$3,'Cost buildup'!$C$3:$AN$3,0),FALSE)</f>
        <v>106.27864058567521</v>
      </c>
      <c r="E70" s="121">
        <f>VLOOKUP($B70,'Cost buildup'!$C$3:$AN$200,MATCH('Table of fees'!E$3,'Cost buildup'!$C$3:$AN$3,0),FALSE)</f>
        <v>0</v>
      </c>
      <c r="F70" s="121">
        <f>VLOOKUP($B70,'Cost buildup'!$C$3:$AN$200,MATCH('Table of fees'!F$3,'Cost buildup'!$C$3:$AN$3,0),FALSE)</f>
        <v>38.048811448311589</v>
      </c>
      <c r="G70" s="121">
        <f>VLOOKUP($B70,'Cost buildup'!$C$3:$AN$200,MATCH('Table of fees'!G$3,'Cost buildup'!$C$3:$AN$3,0),FALSE)</f>
        <v>58.517493097207733</v>
      </c>
      <c r="H70" s="121">
        <f>VLOOKUP($B70,'Cost buildup'!$C$3:$AN$200,MATCH('Table of fees'!H$3,'Cost buildup'!$C$3:$AN$3,0),FALSE)</f>
        <v>11.856952417632884</v>
      </c>
      <c r="I70" s="121">
        <f>VLOOKUP($B70,'Cost buildup'!$C$3:$AN$200,MATCH('Table of fees'!I$3,'Cost buildup'!$C$3:$AN$3,0),FALSE)</f>
        <v>44.893343253082008</v>
      </c>
      <c r="J70" s="121">
        <f>VLOOKUP($B70,'Cost buildup'!$C$3:$AN$200,MATCH('Table of fees'!J$3,'Cost buildup'!$C$3:$AN$3,0),FALSE)</f>
        <v>15.67955254443533</v>
      </c>
      <c r="K70" s="135">
        <f t="shared" ref="K70:K78" si="3">ROUND(SUM(D70:J70),2)</f>
        <v>275.27</v>
      </c>
      <c r="L70" s="135">
        <f t="shared" si="2"/>
        <v>275.27</v>
      </c>
      <c r="M70" s="573">
        <f>ROUND(K70*(1+'Master Data'!$J$30),2)</f>
        <v>282.14999999999998</v>
      </c>
      <c r="N70" s="512"/>
      <c r="O70" s="515"/>
      <c r="P70" s="515"/>
      <c r="Q70" s="29"/>
      <c r="R70" s="310"/>
      <c r="S70" s="310"/>
      <c r="T70" s="310"/>
      <c r="U70" s="310"/>
      <c r="V70" s="310"/>
    </row>
    <row r="71" spans="1:22">
      <c r="A71" s="110" t="s">
        <v>351</v>
      </c>
      <c r="B71" s="111" t="s">
        <v>370</v>
      </c>
      <c r="C71" s="121"/>
      <c r="D71" s="121">
        <f>VLOOKUP($B71,'Cost buildup'!$C$3:$AN$200,MATCH('Table of fees'!D$3,'Cost buildup'!$C$3:$AN$3,0),FALSE)</f>
        <v>271.6009703856144</v>
      </c>
      <c r="E71" s="121">
        <f>VLOOKUP($B71,'Cost buildup'!$C$3:$AN$200,MATCH('Table of fees'!E$3,'Cost buildup'!$C$3:$AN$3,0),FALSE)</f>
        <v>245.62561874999997</v>
      </c>
      <c r="F71" s="121">
        <f>VLOOKUP($B71,'Cost buildup'!$C$3:$AN$200,MATCH('Table of fees'!F$3,'Cost buildup'!$C$3:$AN$3,0),FALSE)</f>
        <v>48.617925739509253</v>
      </c>
      <c r="G71" s="121">
        <f>VLOOKUP($B71,'Cost buildup'!$C$3:$AN$200,MATCH('Table of fees'!G$3,'Cost buildup'!$C$3:$AN$3,0),FALSE)</f>
        <v>149.54470458175311</v>
      </c>
      <c r="H71" s="121">
        <f>VLOOKUP($B71,'Cost buildup'!$C$3:$AN$200,MATCH('Table of fees'!H$3,'Cost buildup'!$C$3:$AN$3,0),FALSE)</f>
        <v>36.387730894568136</v>
      </c>
      <c r="I71" s="121">
        <f>VLOOKUP($B71,'Cost buildup'!$C$3:$AN$200,MATCH('Table of fees'!I$3,'Cost buildup'!$C$3:$AN$3,0),FALSE)</f>
        <v>44.893343253082008</v>
      </c>
      <c r="J71" s="121">
        <f>VLOOKUP($B71,'Cost buildup'!$C$3:$AN$200,MATCH('Table of fees'!J$3,'Cost buildup'!$C$3:$AN$3,0),FALSE)</f>
        <v>48.118885733713427</v>
      </c>
      <c r="K71" s="135">
        <f t="shared" si="3"/>
        <v>844.79</v>
      </c>
      <c r="L71" s="135">
        <f t="shared" si="2"/>
        <v>844.79</v>
      </c>
      <c r="M71" s="573">
        <f>ROUND(K71*(1+'Master Data'!$J$30),2)</f>
        <v>865.91</v>
      </c>
      <c r="N71" s="512"/>
      <c r="O71" s="515"/>
      <c r="P71" s="515"/>
      <c r="Q71" s="29"/>
      <c r="R71" s="310"/>
      <c r="S71" s="310"/>
      <c r="T71" s="310"/>
      <c r="U71" s="310"/>
      <c r="V71" s="310"/>
    </row>
    <row r="72" spans="1:22">
      <c r="A72" s="110" t="s">
        <v>351</v>
      </c>
      <c r="B72" s="111" t="s">
        <v>371</v>
      </c>
      <c r="C72" s="121"/>
      <c r="D72" s="121">
        <f>VLOOKUP($B72,'Cost buildup'!$C$3:$AN$200,MATCH('Table of fees'!D$3,'Cost buildup'!$C$3:$AN$3,0),FALSE)</f>
        <v>224.36601901420323</v>
      </c>
      <c r="E72" s="121">
        <f>VLOOKUP($B72,'Cost buildup'!$C$3:$AN$200,MATCH('Table of fees'!E$3,'Cost buildup'!$C$3:$AN$3,0),FALSE)</f>
        <v>123.82666249999998</v>
      </c>
      <c r="F72" s="121">
        <f>VLOOKUP($B72,'Cost buildup'!$C$3:$AN$200,MATCH('Table of fees'!F$3,'Cost buildup'!$C$3:$AN$3,0),FALSE)</f>
        <v>40.162634306551119</v>
      </c>
      <c r="G72" s="121">
        <f>VLOOKUP($B72,'Cost buildup'!$C$3:$AN$200,MATCH('Table of fees'!G$3,'Cost buildup'!$C$3:$AN$3,0),FALSE)</f>
        <v>123.53692987188299</v>
      </c>
      <c r="H72" s="121">
        <f>VLOOKUP($B72,'Cost buildup'!$C$3:$AN$200,MATCH('Table of fees'!H$3,'Cost buildup'!$C$3:$AN$3,0),FALSE)</f>
        <v>26.648203142151438</v>
      </c>
      <c r="I72" s="121">
        <f>VLOOKUP($B72,'Cost buildup'!$C$3:$AN$200,MATCH('Table of fees'!I$3,'Cost buildup'!$C$3:$AN$3,0),FALSE)</f>
        <v>44.893343253082008</v>
      </c>
      <c r="J72" s="121">
        <f>VLOOKUP($B72,'Cost buildup'!$C$3:$AN$200,MATCH('Table of fees'!J$3,'Cost buildup'!$C$3:$AN$3,0),FALSE)</f>
        <v>35.239401042107403</v>
      </c>
      <c r="K72" s="135">
        <f t="shared" si="3"/>
        <v>618.66999999999996</v>
      </c>
      <c r="L72" s="135">
        <f t="shared" si="2"/>
        <v>618.66999999999996</v>
      </c>
      <c r="M72" s="573">
        <f>ROUND(K72*(1+'Master Data'!$J$30),2)</f>
        <v>634.14</v>
      </c>
      <c r="N72" s="512"/>
      <c r="O72" s="515"/>
      <c r="P72" s="515"/>
      <c r="Q72" s="29"/>
      <c r="R72" s="310"/>
      <c r="S72" s="310"/>
      <c r="T72" s="310"/>
      <c r="U72" s="310"/>
      <c r="V72" s="310"/>
    </row>
    <row r="73" spans="1:22">
      <c r="A73" s="110" t="s">
        <v>351</v>
      </c>
      <c r="B73" s="111" t="s">
        <v>372</v>
      </c>
      <c r="C73" s="121"/>
      <c r="D73" s="121">
        <f>VLOOKUP($B73,'Cost buildup'!$C$3:$AN$200,MATCH('Table of fees'!D$3,'Cost buildup'!$C$3:$AN$3,0),FALSE)</f>
        <v>177.131067642792</v>
      </c>
      <c r="E73" s="121">
        <f>VLOOKUP($B73,'Cost buildup'!$C$3:$AN$200,MATCH('Table of fees'!E$3,'Cost buildup'!$C$3:$AN$3,0),FALSE)</f>
        <v>1.1031562500000001</v>
      </c>
      <c r="F73" s="121">
        <f>VLOOKUP($B73,'Cost buildup'!$C$3:$AN$200,MATCH('Table of fees'!F$3,'Cost buildup'!$C$3:$AN$3,0),FALSE)</f>
        <v>31.707342873592989</v>
      </c>
      <c r="G73" s="121">
        <f>VLOOKUP($B73,'Cost buildup'!$C$3:$AN$200,MATCH('Table of fees'!G$3,'Cost buildup'!$C$3:$AN$3,0),FALSE)</f>
        <v>97.529155162012898</v>
      </c>
      <c r="H73" s="121">
        <f>VLOOKUP($B73,'Cost buildup'!$C$3:$AN$200,MATCH('Table of fees'!H$3,'Cost buildup'!$C$3:$AN$3,0),FALSE)</f>
        <v>16.864425688046637</v>
      </c>
      <c r="I73" s="121">
        <f>VLOOKUP($B73,'Cost buildup'!$C$3:$AN$200,MATCH('Table of fees'!I$3,'Cost buildup'!$C$3:$AN$3,0),FALSE)</f>
        <v>44.893343253082008</v>
      </c>
      <c r="J73" s="121">
        <f>VLOOKUP($B73,'Cost buildup'!$C$3:$AN$200,MATCH('Table of fees'!J$3,'Cost buildup'!$C$3:$AN$3,0),FALSE)</f>
        <v>22.301400848519403</v>
      </c>
      <c r="K73" s="135">
        <f t="shared" si="3"/>
        <v>391.53</v>
      </c>
      <c r="L73" s="135">
        <f t="shared" si="2"/>
        <v>391.53</v>
      </c>
      <c r="M73" s="573">
        <f>ROUND(K73*(1+'Master Data'!$J$30),2)</f>
        <v>401.32</v>
      </c>
      <c r="N73" s="512"/>
      <c r="O73" s="515"/>
      <c r="P73" s="515"/>
      <c r="Q73" s="29"/>
      <c r="R73" s="310"/>
      <c r="S73" s="310"/>
      <c r="T73" s="310"/>
      <c r="U73" s="310"/>
      <c r="V73" s="310"/>
    </row>
    <row r="74" spans="1:22">
      <c r="A74" s="110" t="s">
        <v>351</v>
      </c>
      <c r="B74" s="111" t="s">
        <v>373</v>
      </c>
      <c r="C74" s="121"/>
      <c r="D74" s="121">
        <f>VLOOKUP($B74,'Cost buildup'!$C$3:$AN$200,MATCH('Table of fees'!D$3,'Cost buildup'!$C$3:$AN$3,0),FALSE)</f>
        <v>224.36601901420323</v>
      </c>
      <c r="E74" s="121">
        <f>VLOOKUP($B74,'Cost buildup'!$C$3:$AN$200,MATCH('Table of fees'!E$3,'Cost buildup'!$C$3:$AN$3,0),FALSE)</f>
        <v>1.1031562500000001</v>
      </c>
      <c r="F74" s="121">
        <f>VLOOKUP($B74,'Cost buildup'!$C$3:$AN$200,MATCH('Table of fees'!F$3,'Cost buildup'!$C$3:$AN$3,0),FALSE)</f>
        <v>40.162634306551119</v>
      </c>
      <c r="G74" s="121">
        <f>VLOOKUP($B74,'Cost buildup'!$C$3:$AN$200,MATCH('Table of fees'!G$3,'Cost buildup'!$C$3:$AN$3,0),FALSE)</f>
        <v>123.53692987188299</v>
      </c>
      <c r="H74" s="121">
        <f>VLOOKUP($B74,'Cost buildup'!$C$3:$AN$200,MATCH('Table of fees'!H$3,'Cost buildup'!$C$3:$AN$3,0),FALSE)</f>
        <v>20.774558080576547</v>
      </c>
      <c r="I74" s="121">
        <f>VLOOKUP($B74,'Cost buildup'!$C$3:$AN$200,MATCH('Table of fees'!I$3,'Cost buildup'!$C$3:$AN$3,0),FALSE)</f>
        <v>44.893343253082008</v>
      </c>
      <c r="J74" s="121">
        <f>VLOOKUP($B74,'Cost buildup'!$C$3:$AN$200,MATCH('Table of fees'!J$3,'Cost buildup'!$C$3:$AN$3,0),FALSE)</f>
        <v>27.472133102888272</v>
      </c>
      <c r="K74" s="135">
        <f t="shared" si="3"/>
        <v>482.31</v>
      </c>
      <c r="L74" s="135">
        <f t="shared" si="2"/>
        <v>482.31</v>
      </c>
      <c r="M74" s="573">
        <f>ROUND(K74*(1+'Master Data'!$J$30),2)</f>
        <v>494.37</v>
      </c>
      <c r="N74" s="512"/>
      <c r="O74" s="515"/>
      <c r="P74" s="515"/>
      <c r="Q74" s="29"/>
      <c r="R74" s="310"/>
      <c r="S74" s="310"/>
      <c r="T74" s="310"/>
      <c r="U74" s="310"/>
      <c r="V74" s="310"/>
    </row>
    <row r="75" spans="1:22">
      <c r="A75" s="110" t="s">
        <v>351</v>
      </c>
      <c r="B75" s="111" t="s">
        <v>374</v>
      </c>
      <c r="C75" s="121"/>
      <c r="D75" s="121">
        <f>VLOOKUP($B75,'Cost buildup'!$C$3:$AN$200,MATCH('Table of fees'!D$3,'Cost buildup'!$C$3:$AN$3,0),FALSE)</f>
        <v>224.36601901420323</v>
      </c>
      <c r="E75" s="121">
        <f>VLOOKUP($B75,'Cost buildup'!$C$3:$AN$200,MATCH('Table of fees'!E$3,'Cost buildup'!$C$3:$AN$3,0),FALSE)</f>
        <v>7.6170312499999993</v>
      </c>
      <c r="F75" s="121">
        <f>VLOOKUP($B75,'Cost buildup'!$C$3:$AN$200,MATCH('Table of fees'!F$3,'Cost buildup'!$C$3:$AN$3,0),FALSE)</f>
        <v>40.162634306551119</v>
      </c>
      <c r="G75" s="121">
        <f>VLOOKUP($B75,'Cost buildup'!$C$3:$AN$200,MATCH('Table of fees'!G$3,'Cost buildup'!$C$3:$AN$3,0),FALSE)</f>
        <v>123.53692987188299</v>
      </c>
      <c r="H75" s="121">
        <f>VLOOKUP($B75,'Cost buildup'!$C$3:$AN$200,MATCH('Table of fees'!H$3,'Cost buildup'!$C$3:$AN$3,0),FALSE)</f>
        <v>21.086317342469915</v>
      </c>
      <c r="I75" s="121">
        <f>VLOOKUP($B75,'Cost buildup'!$C$3:$AN$200,MATCH('Table of fees'!I$3,'Cost buildup'!$C$3:$AN$3,0),FALSE)</f>
        <v>44.893343253082008</v>
      </c>
      <c r="J75" s="121">
        <f>VLOOKUP($B75,'Cost buildup'!$C$3:$AN$200,MATCH('Table of fees'!J$3,'Cost buildup'!$C$3:$AN$3,0),FALSE)</f>
        <v>27.88440141230663</v>
      </c>
      <c r="K75" s="135">
        <f t="shared" si="3"/>
        <v>489.55</v>
      </c>
      <c r="L75" s="135">
        <f t="shared" si="2"/>
        <v>489.55</v>
      </c>
      <c r="M75" s="573">
        <f>ROUND(K75*(1+'Master Data'!$J$30),2)</f>
        <v>501.79</v>
      </c>
      <c r="N75" s="512"/>
      <c r="O75" s="515"/>
      <c r="P75" s="515"/>
      <c r="Q75" s="29"/>
      <c r="R75" s="310"/>
      <c r="S75" s="310"/>
      <c r="T75" s="310"/>
      <c r="U75" s="310"/>
      <c r="V75" s="310"/>
    </row>
    <row r="76" spans="1:22">
      <c r="A76" s="110" t="s">
        <v>351</v>
      </c>
      <c r="B76" s="111" t="s">
        <v>375</v>
      </c>
      <c r="C76" s="121"/>
      <c r="D76" s="121">
        <f>VLOOKUP($B76,'Cost buildup'!$C$3:$AN$200,MATCH('Table of fees'!D$3,'Cost buildup'!$C$3:$AN$3,0),FALSE)</f>
        <v>271.6009703856144</v>
      </c>
      <c r="E76" s="121">
        <f>VLOOKUP($B76,'Cost buildup'!$C$3:$AN$200,MATCH('Table of fees'!E$3,'Cost buildup'!$C$3:$AN$3,0),FALSE)</f>
        <v>22.861599999999999</v>
      </c>
      <c r="F76" s="121">
        <f>VLOOKUP($B76,'Cost buildup'!$C$3:$AN$200,MATCH('Table of fees'!F$3,'Cost buildup'!$C$3:$AN$3,0),FALSE)</f>
        <v>48.617925739509253</v>
      </c>
      <c r="G76" s="121">
        <f>VLOOKUP($B76,'Cost buildup'!$C$3:$AN$200,MATCH('Table of fees'!G$3,'Cost buildup'!$C$3:$AN$3,0),FALSE)</f>
        <v>149.54470458175311</v>
      </c>
      <c r="H76" s="121">
        <f>VLOOKUP($B76,'Cost buildup'!$C$3:$AN$200,MATCH('Table of fees'!H$3,'Cost buildup'!$C$3:$AN$3,0),FALSE)</f>
        <v>25.726066975334135</v>
      </c>
      <c r="I76" s="121">
        <f>VLOOKUP($B76,'Cost buildup'!$C$3:$AN$200,MATCH('Table of fees'!I$3,'Cost buildup'!$C$3:$AN$3,0),FALSE)</f>
        <v>44.893343253082008</v>
      </c>
      <c r="J76" s="121">
        <f>VLOOKUP($B76,'Cost buildup'!$C$3:$AN$200,MATCH('Table of fees'!J$3,'Cost buildup'!$C$3:$AN$3,0),FALSE)</f>
        <v>34.019974500491692</v>
      </c>
      <c r="K76" s="135">
        <f t="shared" si="3"/>
        <v>597.26</v>
      </c>
      <c r="L76" s="135">
        <f t="shared" si="2"/>
        <v>597.26</v>
      </c>
      <c r="M76" s="573">
        <f>ROUND(K76*(1+'Master Data'!$J$30),2)</f>
        <v>612.19000000000005</v>
      </c>
      <c r="N76" s="512"/>
      <c r="O76" s="515"/>
      <c r="P76" s="515"/>
      <c r="Q76" s="29"/>
      <c r="R76" s="310"/>
      <c r="S76" s="310"/>
      <c r="T76" s="310"/>
      <c r="U76" s="310"/>
      <c r="V76" s="310"/>
    </row>
    <row r="77" spans="1:22">
      <c r="A77" s="110" t="s">
        <v>351</v>
      </c>
      <c r="B77" s="111" t="s">
        <v>365</v>
      </c>
      <c r="C77" s="121"/>
      <c r="D77" s="121">
        <f>VLOOKUP($B77,'Cost buildup'!$C$3:$AN$200,MATCH('Table of fees'!D$3,'Cost buildup'!$C$3:$AN$3,0),FALSE)</f>
        <v>566.8194164569345</v>
      </c>
      <c r="E77" s="121">
        <f>VLOOKUP($B77,'Cost buildup'!$C$3:$AN$200,MATCH('Table of fees'!E$3,'Cost buildup'!$C$3:$AN$3,0),FALSE)</f>
        <v>0</v>
      </c>
      <c r="F77" s="121">
        <f>VLOOKUP($B77,'Cost buildup'!$C$3:$AN$200,MATCH('Table of fees'!F$3,'Cost buildup'!$C$3:$AN$3,0),FALSE)</f>
        <v>101.46349719549757</v>
      </c>
      <c r="G77" s="121">
        <f>VLOOKUP($B77,'Cost buildup'!$C$3:$AN$200,MATCH('Table of fees'!G$3,'Cost buildup'!$C$3:$AN$3,0),FALSE)</f>
        <v>312.09329651844126</v>
      </c>
      <c r="H77" s="121">
        <f>VLOOKUP($B77,'Cost buildup'!$C$3:$AN$200,MATCH('Table of fees'!H$3,'Cost buildup'!$C$3:$AN$3,0),FALSE)</f>
        <v>65.062497079743054</v>
      </c>
      <c r="I77" s="121">
        <f>VLOOKUP($B77,'Cost buildup'!$C$3:$AN$200,MATCH('Table of fees'!I$3,'Cost buildup'!$C$3:$AN$3,0),FALSE)</f>
        <v>379.03480007929807</v>
      </c>
      <c r="J77" s="121">
        <f>VLOOKUP($B77,'Cost buildup'!$C$3:$AN$200,MATCH('Table of fees'!J$3,'Cost buildup'!$C$3:$AN$3,0),FALSE)</f>
        <v>86.03819984272684</v>
      </c>
      <c r="K77" s="135">
        <f t="shared" si="3"/>
        <v>1510.51</v>
      </c>
      <c r="L77" s="135">
        <f t="shared" si="2"/>
        <v>1510.51</v>
      </c>
      <c r="M77" s="573">
        <f>ROUND(K77*(1+'Master Data'!$J$30),2)</f>
        <v>1548.27</v>
      </c>
      <c r="N77" s="512"/>
      <c r="O77" s="515"/>
      <c r="P77" s="515"/>
      <c r="Q77" s="29"/>
      <c r="R77" s="310"/>
      <c r="S77" s="310"/>
      <c r="T77" s="310"/>
      <c r="U77" s="310"/>
      <c r="V77" s="310"/>
    </row>
    <row r="78" spans="1:22">
      <c r="A78" s="110" t="s">
        <v>351</v>
      </c>
      <c r="B78" s="111" t="s">
        <v>477</v>
      </c>
      <c r="C78" s="121"/>
      <c r="D78" s="121">
        <f>VLOOKUP($B78,'Cost buildup'!$C$3:$AN$200,MATCH('Table of fees'!D$3,'Cost buildup'!$C$3:$AN$3,0),FALSE)</f>
        <v>64.948058135690403</v>
      </c>
      <c r="E78" s="121">
        <f>VLOOKUP($B78,'Cost buildup'!$C$3:$AN$200,MATCH('Table of fees'!E$3,'Cost buildup'!$C$3:$AN$3,0),FALSE)</f>
        <v>0</v>
      </c>
      <c r="F78" s="121">
        <f>VLOOKUP($B78,'Cost buildup'!$C$3:$AN$200,MATCH('Table of fees'!F$3,'Cost buildup'!$C$3:$AN$3,0),FALSE)</f>
        <v>11.626025720317429</v>
      </c>
      <c r="G78" s="121">
        <f>VLOOKUP($B78,'Cost buildup'!$C$3:$AN$200,MATCH('Table of fees'!G$3,'Cost buildup'!$C$3:$AN$3,0),FALSE)</f>
        <v>35.760690226071397</v>
      </c>
      <c r="H78" s="121">
        <f>VLOOKUP($B78,'Cost buildup'!$C$3:$AN$200,MATCH('Table of fees'!H$3,'Cost buildup'!$C$3:$AN$3,0),FALSE)</f>
        <v>7.5250633162739131</v>
      </c>
      <c r="I78" s="121">
        <f>VLOOKUP($B78,'Cost buildup'!$C$3:$AN$200,MATCH('Table of fees'!I$3,'Cost buildup'!$C$3:$AN$3,0),FALSE)</f>
        <v>44.893343253082008</v>
      </c>
      <c r="J78" s="121">
        <f>VLOOKUP($B78,'Cost buildup'!$C$3:$AN$200,MATCH('Table of fees'!J$3,'Cost buildup'!$C$3:$AN$3,0),FALSE)</f>
        <v>9.9510921113466839</v>
      </c>
      <c r="K78" s="135">
        <f t="shared" si="3"/>
        <v>174.7</v>
      </c>
      <c r="L78" s="135">
        <f t="shared" si="2"/>
        <v>174.7</v>
      </c>
      <c r="M78" s="573">
        <f>ROUND(K78*(1+'Master Data'!$J$30),2)</f>
        <v>179.07</v>
      </c>
      <c r="N78" s="512"/>
      <c r="O78" s="515"/>
      <c r="P78" s="515"/>
      <c r="Q78" s="29"/>
      <c r="R78" s="310"/>
      <c r="S78" s="310"/>
      <c r="T78" s="310"/>
      <c r="U78" s="310"/>
      <c r="V78" s="310"/>
    </row>
    <row r="79" spans="1:22">
      <c r="A79" s="293"/>
      <c r="B79" s="292"/>
      <c r="C79" s="294"/>
      <c r="D79" s="294"/>
      <c r="E79" s="294"/>
      <c r="F79" s="294"/>
      <c r="G79" s="294"/>
      <c r="H79" s="294"/>
      <c r="I79" s="294"/>
      <c r="J79" s="294"/>
      <c r="K79" s="295"/>
      <c r="L79" s="295">
        <f t="shared" si="2"/>
        <v>0</v>
      </c>
      <c r="M79" s="574">
        <f>ROUND(K79*(1+'Master Data'!$J$30),2)</f>
        <v>0</v>
      </c>
      <c r="N79" s="512"/>
      <c r="O79" s="515"/>
      <c r="P79" s="515"/>
      <c r="Q79" s="29"/>
      <c r="R79" s="29"/>
      <c r="S79" s="29"/>
      <c r="T79" s="29"/>
      <c r="U79" s="29"/>
      <c r="V79" s="29"/>
    </row>
    <row r="80" spans="1:22">
      <c r="A80" s="120" t="s">
        <v>397</v>
      </c>
      <c r="B80" s="112"/>
      <c r="C80" s="113"/>
      <c r="D80" s="113"/>
      <c r="E80" s="113"/>
      <c r="F80" s="113"/>
      <c r="G80" s="113"/>
      <c r="H80" s="113"/>
      <c r="I80" s="113"/>
      <c r="J80" s="113"/>
      <c r="K80" s="118"/>
      <c r="L80" s="118"/>
      <c r="M80" s="572"/>
      <c r="N80" s="291"/>
      <c r="O80" s="515"/>
      <c r="P80" s="515"/>
      <c r="Q80" s="290"/>
      <c r="R80" s="29"/>
      <c r="S80" s="29"/>
      <c r="T80" s="29"/>
      <c r="U80" s="29"/>
      <c r="V80" s="29"/>
    </row>
    <row r="81" spans="1:22">
      <c r="A81" s="110" t="s">
        <v>266</v>
      </c>
      <c r="B81" s="111" t="s">
        <v>256</v>
      </c>
      <c r="C81" s="121"/>
      <c r="D81" s="121">
        <f>VLOOKUP($B81,'Customer Choice Cost buildup'!$C$3:$AN$202,MATCH('Table of fees'!D$3,'Customer Choice Cost buildup'!$C$3:$AN$3,0),FALSE)</f>
        <v>0</v>
      </c>
      <c r="E81" s="121">
        <f>VLOOKUP($B81,'Customer Choice Cost buildup'!$C$3:$AN$202,MATCH('Table of fees'!E$3,'Customer Choice Cost buildup'!$C$3:$AN$3,0),FALSE)</f>
        <v>0</v>
      </c>
      <c r="F81" s="121">
        <f>VLOOKUP($B81,'Customer Choice Cost buildup'!$C$3:$AN$202,MATCH('Table of fees'!F$3,'Customer Choice Cost buildup'!$C$3:$AN$3,0),FALSE)</f>
        <v>0</v>
      </c>
      <c r="G81" s="121">
        <f>VLOOKUP($B81,'Customer Choice Cost buildup'!$C$3:$AN$202,MATCH('Table of fees'!G$3,'Customer Choice Cost buildup'!$C$3:$AN$3,0),FALSE)</f>
        <v>0</v>
      </c>
      <c r="H81" s="121">
        <f>VLOOKUP($B81,'Customer Choice Cost buildup'!$C$3:$AN$202,MATCH('Table of fees'!H$3,'Customer Choice Cost buildup'!$C$3:$AN$3,0),FALSE)</f>
        <v>0</v>
      </c>
      <c r="I81" s="121">
        <f>VLOOKUP($B81,'Customer Choice Cost buildup'!$C$3:$AN$202,MATCH('Table of fees'!I$3,'Customer Choice Cost buildup'!$C$3:$AN$3,0),FALSE)</f>
        <v>200</v>
      </c>
      <c r="J81" s="121">
        <f>VLOOKUP($B81,'Customer Choice Cost buildup'!$C$3:$AN$202,MATCH('Table of fees'!J$3,'Customer Choice Cost buildup'!$C$3:$AN$3,0),FALSE)</f>
        <v>0</v>
      </c>
      <c r="K81" s="135">
        <f t="shared" ref="K81:K86" si="4">SUM(D81:J81)</f>
        <v>200</v>
      </c>
      <c r="L81" s="135">
        <f t="shared" si="2"/>
        <v>200</v>
      </c>
      <c r="M81" s="573">
        <f>ROUND(K81*(1+'Master Data'!$J$30),2)</f>
        <v>205</v>
      </c>
      <c r="N81" s="512"/>
      <c r="O81" s="515"/>
      <c r="P81" s="515"/>
      <c r="Q81" s="29"/>
      <c r="R81" s="29"/>
      <c r="S81" s="29"/>
      <c r="T81" s="29"/>
      <c r="U81" s="29"/>
      <c r="V81" s="29"/>
    </row>
    <row r="82" spans="1:22">
      <c r="A82" s="110" t="s">
        <v>266</v>
      </c>
      <c r="B82" s="111" t="s">
        <v>480</v>
      </c>
      <c r="C82" s="121"/>
      <c r="D82" s="121">
        <f>VLOOKUP($B82,'Customer Choice Cost buildup'!$C$3:$AN$202,MATCH('Table of fees'!D$3,'Customer Choice Cost buildup'!$C$3:$AN$3,0),FALSE)</f>
        <v>1176.1600000000001</v>
      </c>
      <c r="E82" s="121">
        <f>VLOOKUP($B82,'Customer Choice Cost buildup'!$C$3:$AN$202,MATCH('Table of fees'!E$3,'Customer Choice Cost buildup'!$C$3:$AN$3,0),FALSE)</f>
        <v>0</v>
      </c>
      <c r="F82" s="121">
        <f>VLOOKUP($B82,'Customer Choice Cost buildup'!$C$3:$AN$202,MATCH('Table of fees'!F$3,'Customer Choice Cost buildup'!$C$3:$AN$3,0),FALSE)</f>
        <v>0</v>
      </c>
      <c r="G82" s="121">
        <f>VLOOKUP($B82,'Customer Choice Cost buildup'!$C$3:$AN$202,MATCH('Table of fees'!G$3,'Customer Choice Cost buildup'!$C$3:$AN$3,0),FALSE)</f>
        <v>624.18659303688253</v>
      </c>
      <c r="H82" s="121">
        <f>VLOOKUP($B82,'Customer Choice Cost buildup'!$C$3:$AN$202,MATCH('Table of fees'!H$3,'Customer Choice Cost buildup'!$C$3:$AN$3,0),FALSE)</f>
        <v>86.166026366397631</v>
      </c>
      <c r="I82" s="121">
        <f>VLOOKUP($B82,'Customer Choice Cost buildup'!$C$3:$AN$202,MATCH('Table of fees'!I$3,'Customer Choice Cost buildup'!$C$3:$AN$3,0),FALSE)</f>
        <v>0</v>
      </c>
      <c r="J82" s="121">
        <f>VLOOKUP($B82,'Customer Choice Cost buildup'!$C$3:$AN$202,MATCH('Table of fees'!J$3,'Customer Choice Cost buildup'!$C$3:$AN$3,0),FALSE)</f>
        <v>0</v>
      </c>
      <c r="K82" s="135">
        <f t="shared" si="4"/>
        <v>1886.51261940328</v>
      </c>
      <c r="L82" s="135">
        <f t="shared" si="2"/>
        <v>1886.51261940328</v>
      </c>
      <c r="M82" s="573">
        <f>ROUND(K82*(1+'Master Data'!$J$30),2)</f>
        <v>1933.68</v>
      </c>
      <c r="N82" s="512"/>
      <c r="O82" s="515"/>
      <c r="P82" s="515"/>
      <c r="Q82" s="29"/>
      <c r="R82" s="29"/>
      <c r="S82" s="29"/>
      <c r="T82" s="29"/>
      <c r="U82" s="29"/>
      <c r="V82" s="29"/>
    </row>
    <row r="83" spans="1:22">
      <c r="A83" s="120" t="s">
        <v>395</v>
      </c>
      <c r="B83" s="112"/>
      <c r="C83" s="113"/>
      <c r="D83" s="113"/>
      <c r="E83" s="113"/>
      <c r="F83" s="113"/>
      <c r="G83" s="113"/>
      <c r="H83" s="113"/>
      <c r="I83" s="113"/>
      <c r="J83" s="113"/>
      <c r="K83" s="118"/>
      <c r="L83" s="118"/>
      <c r="M83" s="572"/>
      <c r="N83" s="291"/>
      <c r="O83" s="515"/>
      <c r="P83" s="515"/>
      <c r="Q83" s="290"/>
      <c r="R83" s="29"/>
      <c r="S83" s="29"/>
      <c r="T83" s="29"/>
      <c r="U83" s="29"/>
      <c r="V83" s="29"/>
    </row>
    <row r="84" spans="1:22">
      <c r="A84" s="110" t="s">
        <v>266</v>
      </c>
      <c r="B84" s="111" t="s">
        <v>322</v>
      </c>
      <c r="C84" s="121"/>
      <c r="D84" s="121">
        <f>VLOOKUP($B84,'Customer Choice Cost buildup'!$C$3:$AN$202,MATCH('Table of fees'!D$3,'Customer Choice Cost buildup'!$C$3:$AN$3,0),FALSE)</f>
        <v>796.19999999999993</v>
      </c>
      <c r="E84" s="121">
        <f>VLOOKUP($B84,'Customer Choice Cost buildup'!$C$3:$AN$202,MATCH('Table of fees'!E$3,'Customer Choice Cost buildup'!$C$3:$AN$3,0),FALSE)</f>
        <v>0</v>
      </c>
      <c r="F84" s="121">
        <f>VLOOKUP($B84,'Customer Choice Cost buildup'!$C$3:$AN$202,MATCH('Table of fees'!F$3,'Customer Choice Cost buildup'!$C$3:$AN$3,0),FALSE)</f>
        <v>54.930840151316261</v>
      </c>
      <c r="G84" s="121">
        <f>VLOOKUP($B84,'Customer Choice Cost buildup'!$C$3:$AN$202,MATCH('Table of fees'!G$3,'Customer Choice Cost buildup'!$C$3:$AN$3,0),FALSE)</f>
        <v>468.13994477766187</v>
      </c>
      <c r="H84" s="121">
        <f>VLOOKUP($B84,'Customer Choice Cost buildup'!$C$3:$AN$202,MATCH('Table of fees'!H$3,'Customer Choice Cost buildup'!$C$3:$AN$3,0),FALSE)</f>
        <v>63.14135382501852</v>
      </c>
      <c r="I84" s="121">
        <f>VLOOKUP($B84,'Customer Choice Cost buildup'!$C$3:$AN$202,MATCH('Table of fees'!I$3,'Customer Choice Cost buildup'!$C$3:$AN$3,0),FALSE)</f>
        <v>0</v>
      </c>
      <c r="J84" s="121">
        <f>VLOOKUP($B84,'Customer Choice Cost buildup'!$C$3:$AN$202,MATCH('Table of fees'!J$3,'Customer Choice Cost buildup'!$C$3:$AN$3,0),FALSE)</f>
        <v>0</v>
      </c>
      <c r="K84" s="135">
        <f t="shared" si="4"/>
        <v>1382.4121387539967</v>
      </c>
      <c r="L84" s="135">
        <f t="shared" si="2"/>
        <v>1382.4121387539967</v>
      </c>
      <c r="M84" s="573">
        <f>ROUND(K84*(1+'Master Data'!$J$30),2)</f>
        <v>1416.97</v>
      </c>
      <c r="N84" s="512"/>
      <c r="O84" s="515"/>
      <c r="P84" s="515"/>
      <c r="Q84" s="29"/>
      <c r="R84" s="29"/>
      <c r="S84" s="29"/>
      <c r="T84" s="29"/>
      <c r="U84" s="29"/>
      <c r="V84" s="29"/>
    </row>
    <row r="85" spans="1:22">
      <c r="A85" s="110" t="s">
        <v>266</v>
      </c>
      <c r="B85" s="111" t="s">
        <v>323</v>
      </c>
      <c r="C85" s="121"/>
      <c r="D85" s="121">
        <f>VLOOKUP($B85,'Customer Choice Cost buildup'!$C$3:$AN$202,MATCH('Table of fees'!D$3,'Customer Choice Cost buildup'!$C$3:$AN$3,0),FALSE)</f>
        <v>1081.44</v>
      </c>
      <c r="E85" s="121">
        <f>VLOOKUP($B85,'Customer Choice Cost buildup'!$C$3:$AN$202,MATCH('Table of fees'!E$3,'Customer Choice Cost buildup'!$C$3:$AN$3,0),FALSE)</f>
        <v>0</v>
      </c>
      <c r="F85" s="121">
        <f>VLOOKUP($B85,'Customer Choice Cost buildup'!$C$3:$AN$202,MATCH('Table of fees'!F$3,'Customer Choice Cost buildup'!$C$3:$AN$3,0),FALSE)</f>
        <v>54.930840151316261</v>
      </c>
      <c r="G85" s="121">
        <f>VLOOKUP($B85,'Customer Choice Cost buildup'!$C$3:$AN$202,MATCH('Table of fees'!G$3,'Customer Choice Cost buildup'!$C$3:$AN$3,0),FALSE)</f>
        <v>624.18659303688253</v>
      </c>
      <c r="H85" s="121">
        <f>VLOOKUP($B85,'Customer Choice Cost buildup'!$C$3:$AN$202,MATCH('Table of fees'!H$3,'Customer Choice Cost buildup'!$C$3:$AN$3,0),FALSE)</f>
        <v>84.261685385678348</v>
      </c>
      <c r="I85" s="121">
        <f>VLOOKUP($B85,'Customer Choice Cost buildup'!$C$3:$AN$202,MATCH('Table of fees'!I$3,'Customer Choice Cost buildup'!$C$3:$AN$3,0),FALSE)</f>
        <v>0</v>
      </c>
      <c r="J85" s="121">
        <f>VLOOKUP($B85,'Customer Choice Cost buildup'!$C$3:$AN$202,MATCH('Table of fees'!J$3,'Customer Choice Cost buildup'!$C$3:$AN$3,0),FALSE)</f>
        <v>0</v>
      </c>
      <c r="K85" s="135">
        <f t="shared" si="4"/>
        <v>1844.8191185738774</v>
      </c>
      <c r="L85" s="135">
        <f t="shared" si="2"/>
        <v>1844.8191185738774</v>
      </c>
      <c r="M85" s="573">
        <f>ROUND(K85*(1+'Master Data'!$J$30),2)</f>
        <v>1890.94</v>
      </c>
      <c r="N85" s="512"/>
      <c r="O85" s="515"/>
      <c r="P85" s="515"/>
      <c r="Q85" s="29"/>
      <c r="R85" s="29"/>
      <c r="S85" s="29"/>
      <c r="T85" s="29"/>
      <c r="U85" s="29"/>
      <c r="V85" s="29"/>
    </row>
    <row r="86" spans="1:22">
      <c r="A86" s="110" t="s">
        <v>266</v>
      </c>
      <c r="B86" s="111" t="s">
        <v>324</v>
      </c>
      <c r="C86" s="121"/>
      <c r="D86" s="121">
        <f>VLOOKUP($B86,'Customer Choice Cost buildup'!$C$3:$AN$202,MATCH('Table of fees'!D$3,'Customer Choice Cost buildup'!$C$3:$AN$3,0),FALSE)</f>
        <v>1764.24</v>
      </c>
      <c r="E86" s="121">
        <f>VLOOKUP($B86,'Customer Choice Cost buildup'!$C$3:$AN$202,MATCH('Table of fees'!E$3,'Customer Choice Cost buildup'!$C$3:$AN$3,0),FALSE)</f>
        <v>0</v>
      </c>
      <c r="F86" s="121">
        <f>VLOOKUP($B86,'Customer Choice Cost buildup'!$C$3:$AN$202,MATCH('Table of fees'!F$3,'Customer Choice Cost buildup'!$C$3:$AN$3,0),FALSE)</f>
        <v>109.86168030263252</v>
      </c>
      <c r="G86" s="121">
        <f>VLOOKUP($B86,'Customer Choice Cost buildup'!$C$3:$AN$202,MATCH('Table of fees'!G$3,'Customer Choice Cost buildup'!$C$3:$AN$3,0),FALSE)</f>
        <v>936.27988955532373</v>
      </c>
      <c r="H86" s="121">
        <f>VLOOKUP($B86,'Customer Choice Cost buildup'!$C$3:$AN$202,MATCH('Table of fees'!H$3,'Customer Choice Cost buildup'!$C$3:$AN$3,0),FALSE)</f>
        <v>134.50710734511202</v>
      </c>
      <c r="I86" s="121">
        <f>VLOOKUP($B86,'Customer Choice Cost buildup'!$C$3:$AN$202,MATCH('Table of fees'!I$3,'Customer Choice Cost buildup'!$C$3:$AN$3,0),FALSE)</f>
        <v>0</v>
      </c>
      <c r="J86" s="121">
        <f>VLOOKUP($B86,'Customer Choice Cost buildup'!$C$3:$AN$202,MATCH('Table of fees'!J$3,'Customer Choice Cost buildup'!$C$3:$AN$3,0),FALSE)</f>
        <v>0</v>
      </c>
      <c r="K86" s="135">
        <f t="shared" si="4"/>
        <v>2944.8886772030687</v>
      </c>
      <c r="L86" s="135">
        <f t="shared" si="2"/>
        <v>2944.8886772030687</v>
      </c>
      <c r="M86" s="573">
        <f>ROUND(K86*(1+'Master Data'!$J$30),2)</f>
        <v>3018.51</v>
      </c>
      <c r="N86" s="512"/>
      <c r="O86" s="515"/>
      <c r="P86" s="515"/>
      <c r="Q86" s="29"/>
      <c r="R86" s="29"/>
      <c r="S86" s="29"/>
      <c r="T86" s="29"/>
      <c r="U86" s="29"/>
      <c r="V86" s="29"/>
    </row>
    <row r="87" spans="1:22">
      <c r="A87" s="110" t="s">
        <v>266</v>
      </c>
      <c r="B87" s="111" t="s">
        <v>326</v>
      </c>
      <c r="C87" s="121"/>
      <c r="D87" s="121">
        <f>VLOOKUP($B87,'Customer Choice Cost buildup'!$C$3:$AN$202,MATCH('Table of fees'!D$3,'Customer Choice Cost buildup'!$C$3:$AN$3,0),FALSE)</f>
        <v>2703.6000000000004</v>
      </c>
      <c r="E87" s="121">
        <f>VLOOKUP($B87,'Customer Choice Cost buildup'!$C$3:$AN$202,MATCH('Table of fees'!E$3,'Customer Choice Cost buildup'!$C$3:$AN$3,0),FALSE)</f>
        <v>0</v>
      </c>
      <c r="F87" s="121">
        <f>VLOOKUP($B87,'Customer Choice Cost buildup'!$C$3:$AN$202,MATCH('Table of fees'!F$3,'Customer Choice Cost buildup'!$C$3:$AN$3,0),FALSE)</f>
        <v>274.6542007565813</v>
      </c>
      <c r="G87" s="121">
        <f>VLOOKUP($B87,'Customer Choice Cost buildup'!$C$3:$AN$202,MATCH('Table of fees'!G$3,'Customer Choice Cost buildup'!$C$3:$AN$3,0),FALSE)</f>
        <v>1560.4664825922064</v>
      </c>
      <c r="H87" s="121">
        <f>VLOOKUP($B87,'Customer Choice Cost buildup'!$C$3:$AN$202,MATCH('Table of fees'!H$3,'Customer Choice Cost buildup'!$C$3:$AN$3,0),FALSE)</f>
        <v>217.22679820859031</v>
      </c>
      <c r="I87" s="121">
        <f>VLOOKUP($B87,'Customer Choice Cost buildup'!$C$3:$AN$202,MATCH('Table of fees'!I$3,'Customer Choice Cost buildup'!$C$3:$AN$3,0),FALSE)</f>
        <v>0</v>
      </c>
      <c r="J87" s="121">
        <f>VLOOKUP($B87,'Customer Choice Cost buildup'!$C$3:$AN$202,MATCH('Table of fees'!J$3,'Customer Choice Cost buildup'!$C$3:$AN$3,0),FALSE)</f>
        <v>0</v>
      </c>
      <c r="K87" s="135">
        <f t="shared" ref="K87:K96" si="5">SUM(D87:J87)</f>
        <v>4755.9474815573785</v>
      </c>
      <c r="L87" s="135">
        <f t="shared" si="2"/>
        <v>4755.9474815573785</v>
      </c>
      <c r="M87" s="573">
        <f>ROUND(K87*(1+'Master Data'!$J$30),2)</f>
        <v>4874.8500000000004</v>
      </c>
      <c r="N87" s="512"/>
      <c r="O87" s="515"/>
      <c r="P87" s="515"/>
      <c r="Q87" s="29"/>
      <c r="R87" s="29"/>
      <c r="S87" s="29"/>
      <c r="T87" s="29"/>
      <c r="U87" s="29"/>
      <c r="V87" s="29"/>
    </row>
    <row r="88" spans="1:22">
      <c r="A88" s="110" t="s">
        <v>266</v>
      </c>
      <c r="B88" s="111" t="s">
        <v>327</v>
      </c>
      <c r="C88" s="121"/>
      <c r="D88" s="121">
        <f>VLOOKUP($B88,'Customer Choice Cost buildup'!$C$3:$AN$202,MATCH('Table of fees'!D$3,'Customer Choice Cost buildup'!$C$3:$AN$3,0),FALSE)</f>
        <v>3379.5</v>
      </c>
      <c r="E88" s="121">
        <f>VLOOKUP($B88,'Customer Choice Cost buildup'!$C$3:$AN$202,MATCH('Table of fees'!E$3,'Customer Choice Cost buildup'!$C$3:$AN$3,0),FALSE)</f>
        <v>0</v>
      </c>
      <c r="F88" s="121">
        <f>VLOOKUP($B88,'Customer Choice Cost buildup'!$C$3:$AN$202,MATCH('Table of fees'!F$3,'Customer Choice Cost buildup'!$C$3:$AN$3,0),FALSE)</f>
        <v>343.31775094572663</v>
      </c>
      <c r="G88" s="121">
        <f>VLOOKUP($B88,'Customer Choice Cost buildup'!$C$3:$AN$202,MATCH('Table of fees'!G$3,'Customer Choice Cost buildup'!$C$3:$AN$3,0),FALSE)</f>
        <v>1950.583103240258</v>
      </c>
      <c r="H88" s="121">
        <f>VLOOKUP($B88,'Customer Choice Cost buildup'!$C$3:$AN$202,MATCH('Table of fees'!H$3,'Customer Choice Cost buildup'!$C$3:$AN$3,0),FALSE)</f>
        <v>271.53349776073782</v>
      </c>
      <c r="I88" s="121">
        <f>VLOOKUP($B88,'Customer Choice Cost buildup'!$C$3:$AN$202,MATCH('Table of fees'!I$3,'Customer Choice Cost buildup'!$C$3:$AN$3,0),FALSE)</f>
        <v>0</v>
      </c>
      <c r="J88" s="121">
        <f>VLOOKUP($B88,'Customer Choice Cost buildup'!$C$3:$AN$202,MATCH('Table of fees'!J$3,'Customer Choice Cost buildup'!$C$3:$AN$3,0),FALSE)</f>
        <v>0</v>
      </c>
      <c r="K88" s="135">
        <f t="shared" si="5"/>
        <v>5944.934351946722</v>
      </c>
      <c r="L88" s="135">
        <f t="shared" si="2"/>
        <v>5944.934351946722</v>
      </c>
      <c r="M88" s="573">
        <f>ROUND(K88*(1+'Master Data'!$J$30),2)</f>
        <v>6093.56</v>
      </c>
      <c r="N88" s="512"/>
      <c r="O88" s="515"/>
      <c r="P88" s="515"/>
      <c r="Q88" s="29"/>
      <c r="R88" s="29"/>
      <c r="S88" s="29"/>
      <c r="T88" s="29"/>
      <c r="U88" s="29"/>
      <c r="V88" s="29"/>
    </row>
    <row r="89" spans="1:22">
      <c r="A89" s="110" t="s">
        <v>266</v>
      </c>
      <c r="B89" s="111" t="s">
        <v>328</v>
      </c>
      <c r="C89" s="121"/>
      <c r="D89" s="121">
        <f>VLOOKUP($B89,'Customer Choice Cost buildup'!$C$3:$AN$202,MATCH('Table of fees'!D$3,'Customer Choice Cost buildup'!$C$3:$AN$3,0),FALSE)</f>
        <v>4290</v>
      </c>
      <c r="E89" s="121">
        <f>VLOOKUP($B89,'Customer Choice Cost buildup'!$C$3:$AN$202,MATCH('Table of fees'!E$3,'Customer Choice Cost buildup'!$C$3:$AN$3,0),FALSE)</f>
        <v>0</v>
      </c>
      <c r="F89" s="121">
        <f>VLOOKUP($B89,'Customer Choice Cost buildup'!$C$3:$AN$202,MATCH('Table of fees'!F$3,'Customer Choice Cost buildup'!$C$3:$AN$3,0),FALSE)</f>
        <v>411.98130113487196</v>
      </c>
      <c r="G89" s="121">
        <f>VLOOKUP($B89,'Customer Choice Cost buildup'!$C$3:$AN$202,MATCH('Table of fees'!G$3,'Customer Choice Cost buildup'!$C$3:$AN$3,0),FALSE)</f>
        <v>2340.6997238883096</v>
      </c>
      <c r="H89" s="121">
        <f>VLOOKUP($B89,'Customer Choice Cost buildup'!$C$3:$AN$202,MATCH('Table of fees'!H$3,'Customer Choice Cost buildup'!$C$3:$AN$3,0),FALSE)</f>
        <v>337.06834075134321</v>
      </c>
      <c r="I89" s="121">
        <f>VLOOKUP($B89,'Customer Choice Cost buildup'!$C$3:$AN$202,MATCH('Table of fees'!I$3,'Customer Choice Cost buildup'!$C$3:$AN$3,0),FALSE)</f>
        <v>0</v>
      </c>
      <c r="J89" s="121">
        <f>VLOOKUP($B89,'Customer Choice Cost buildup'!$C$3:$AN$202,MATCH('Table of fees'!J$3,'Customer Choice Cost buildup'!$C$3:$AN$3,0),FALSE)</f>
        <v>0</v>
      </c>
      <c r="K89" s="135">
        <f t="shared" si="5"/>
        <v>7379.7493657745254</v>
      </c>
      <c r="L89" s="135">
        <f t="shared" si="2"/>
        <v>7379.7493657745254</v>
      </c>
      <c r="M89" s="573">
        <f>ROUND(K89*(1+'Master Data'!$J$30),2)</f>
        <v>7564.24</v>
      </c>
      <c r="N89" s="512"/>
      <c r="O89" s="515"/>
      <c r="P89" s="515"/>
      <c r="Q89" s="29"/>
      <c r="R89" s="29"/>
      <c r="S89" s="29"/>
      <c r="T89" s="29"/>
      <c r="U89" s="29"/>
      <c r="V89" s="29"/>
    </row>
    <row r="90" spans="1:22">
      <c r="A90" s="120" t="s">
        <v>396</v>
      </c>
      <c r="B90" s="112"/>
      <c r="C90" s="113"/>
      <c r="D90" s="113"/>
      <c r="E90" s="113"/>
      <c r="F90" s="113"/>
      <c r="G90" s="113"/>
      <c r="H90" s="113"/>
      <c r="I90" s="113"/>
      <c r="J90" s="113"/>
      <c r="K90" s="118"/>
      <c r="L90" s="118"/>
      <c r="M90" s="572"/>
      <c r="N90" s="291"/>
      <c r="O90" s="515"/>
      <c r="P90" s="515"/>
      <c r="Q90" s="290"/>
      <c r="R90" s="29"/>
      <c r="S90" s="29"/>
      <c r="T90" s="29"/>
      <c r="U90" s="29"/>
      <c r="V90" s="29"/>
    </row>
    <row r="91" spans="1:22">
      <c r="A91" s="110" t="s">
        <v>266</v>
      </c>
      <c r="B91" s="111" t="s">
        <v>330</v>
      </c>
      <c r="C91" s="121"/>
      <c r="D91" s="121">
        <f>VLOOKUP($B91,'Customer Choice Cost buildup'!$C$3:$AN$202,MATCH('Table of fees'!D$3,'Customer Choice Cost buildup'!$C$3:$AN$3,0),FALSE)</f>
        <v>265.39999999999998</v>
      </c>
      <c r="E91" s="121">
        <f>VLOOKUP($B91,'Customer Choice Cost buildup'!$C$3:$AN$202,MATCH('Table of fees'!E$3,'Customer Choice Cost buildup'!$C$3:$AN$3,0),FALSE)</f>
        <v>0</v>
      </c>
      <c r="F91" s="121">
        <f>VLOOKUP($B91,'Customer Choice Cost buildup'!$C$3:$AN$202,MATCH('Table of fees'!F$3,'Customer Choice Cost buildup'!$C$3:$AN$3,0),FALSE)</f>
        <v>0</v>
      </c>
      <c r="G91" s="121">
        <f>VLOOKUP($B91,'Customer Choice Cost buildup'!$C$3:$AN$202,MATCH('Table of fees'!G$3,'Customer Choice Cost buildup'!$C$3:$AN$3,0),FALSE)</f>
        <v>156.04664825922063</v>
      </c>
      <c r="H91" s="121">
        <f>VLOOKUP($B91,'Customer Choice Cost buildup'!$C$3:$AN$202,MATCH('Table of fees'!H$3,'Customer Choice Cost buildup'!$C$3:$AN$3,0),FALSE)</f>
        <v>20.170773309086915</v>
      </c>
      <c r="I91" s="121">
        <f>VLOOKUP($B91,'Customer Choice Cost buildup'!$C$3:$AN$202,MATCH('Table of fees'!I$3,'Customer Choice Cost buildup'!$C$3:$AN$3,0),FALSE)</f>
        <v>0</v>
      </c>
      <c r="J91" s="121">
        <f>VLOOKUP($B91,'Customer Choice Cost buildup'!$C$3:$AN$202,MATCH('Table of fees'!J$3,'Customer Choice Cost buildup'!$C$3:$AN$3,0),FALSE)</f>
        <v>0</v>
      </c>
      <c r="K91" s="135">
        <f t="shared" si="5"/>
        <v>441.61742156830758</v>
      </c>
      <c r="L91" s="135">
        <f t="shared" si="2"/>
        <v>441.61742156830758</v>
      </c>
      <c r="M91" s="573">
        <f>ROUND(K91*(1+'Master Data'!$J$30),2)</f>
        <v>452.66</v>
      </c>
      <c r="N91" s="512"/>
      <c r="O91" s="515"/>
      <c r="P91" s="515"/>
      <c r="Q91" s="29"/>
      <c r="R91" s="29"/>
      <c r="S91" s="29"/>
      <c r="T91" s="29"/>
      <c r="U91" s="29"/>
      <c r="V91" s="29"/>
    </row>
    <row r="92" spans="1:22">
      <c r="A92" s="110" t="s">
        <v>266</v>
      </c>
      <c r="B92" s="111" t="s">
        <v>331</v>
      </c>
      <c r="C92" s="121"/>
      <c r="D92" s="121">
        <f>VLOOKUP($B92,'Customer Choice Cost buildup'!$C$3:$AN$202,MATCH('Table of fees'!D$3,'Customer Choice Cost buildup'!$C$3:$AN$3,0),FALSE)</f>
        <v>405.54</v>
      </c>
      <c r="E92" s="121">
        <f>VLOOKUP($B92,'Customer Choice Cost buildup'!$C$3:$AN$202,MATCH('Table of fees'!E$3,'Customer Choice Cost buildup'!$C$3:$AN$3,0),FALSE)</f>
        <v>0</v>
      </c>
      <c r="F92" s="121">
        <f>VLOOKUP($B92,'Customer Choice Cost buildup'!$C$3:$AN$202,MATCH('Table of fees'!F$3,'Customer Choice Cost buildup'!$C$3:$AN$3,0),FALSE)</f>
        <v>0</v>
      </c>
      <c r="G92" s="121">
        <f>VLOOKUP($B92,'Customer Choice Cost buildup'!$C$3:$AN$202,MATCH('Table of fees'!G$3,'Customer Choice Cost buildup'!$C$3:$AN$3,0),FALSE)</f>
        <v>234.06997238883093</v>
      </c>
      <c r="H92" s="121">
        <f>VLOOKUP($B92,'Customer Choice Cost buildup'!$C$3:$AN$202,MATCH('Table of fees'!H$3,'Customer Choice Cost buildup'!$C$3:$AN$3,0),FALSE)</f>
        <v>30.612244307970212</v>
      </c>
      <c r="I92" s="121">
        <f>VLOOKUP($B92,'Customer Choice Cost buildup'!$C$3:$AN$202,MATCH('Table of fees'!I$3,'Customer Choice Cost buildup'!$C$3:$AN$3,0),FALSE)</f>
        <v>0</v>
      </c>
      <c r="J92" s="121">
        <f>VLOOKUP($B92,'Customer Choice Cost buildup'!$C$3:$AN$202,MATCH('Table of fees'!J$3,'Customer Choice Cost buildup'!$C$3:$AN$3,0),FALSE)</f>
        <v>0</v>
      </c>
      <c r="K92" s="135">
        <f t="shared" si="5"/>
        <v>670.22221669680118</v>
      </c>
      <c r="L92" s="135">
        <f t="shared" si="2"/>
        <v>670.22221669680118</v>
      </c>
      <c r="M92" s="573">
        <f>ROUND(K92*(1+'Master Data'!$J$30),2)</f>
        <v>686.98</v>
      </c>
      <c r="N92" s="512"/>
      <c r="O92" s="515"/>
      <c r="P92" s="515"/>
      <c r="Q92" s="29"/>
      <c r="R92" s="29"/>
      <c r="S92" s="29"/>
      <c r="T92" s="29"/>
      <c r="U92" s="29"/>
      <c r="V92" s="29"/>
    </row>
    <row r="93" spans="1:22">
      <c r="A93" s="110" t="s">
        <v>266</v>
      </c>
      <c r="B93" s="111" t="s">
        <v>332</v>
      </c>
      <c r="C93" s="121"/>
      <c r="D93" s="121">
        <f>VLOOKUP($B93,'Customer Choice Cost buildup'!$C$3:$AN$202,MATCH('Table of fees'!D$3,'Customer Choice Cost buildup'!$C$3:$AN$3,0),FALSE)</f>
        <v>588.08000000000004</v>
      </c>
      <c r="E93" s="121">
        <f>VLOOKUP($B93,'Customer Choice Cost buildup'!$C$3:$AN$202,MATCH('Table of fees'!E$3,'Customer Choice Cost buildup'!$C$3:$AN$3,0),FALSE)</f>
        <v>0</v>
      </c>
      <c r="F93" s="121">
        <f>VLOOKUP($B93,'Customer Choice Cost buildup'!$C$3:$AN$202,MATCH('Table of fees'!F$3,'Customer Choice Cost buildup'!$C$3:$AN$3,0),FALSE)</f>
        <v>0</v>
      </c>
      <c r="G93" s="121">
        <f>VLOOKUP($B93,'Customer Choice Cost buildup'!$C$3:$AN$202,MATCH('Table of fees'!G$3,'Customer Choice Cost buildup'!$C$3:$AN$3,0),FALSE)</f>
        <v>312.09329651844126</v>
      </c>
      <c r="H93" s="121">
        <f>VLOOKUP($B93,'Customer Choice Cost buildup'!$C$3:$AN$202,MATCH('Table of fees'!H$3,'Customer Choice Cost buildup'!$C$3:$AN$3,0),FALSE)</f>
        <v>43.083013183198815</v>
      </c>
      <c r="I93" s="121">
        <f>VLOOKUP($B93,'Customer Choice Cost buildup'!$C$3:$AN$202,MATCH('Table of fees'!I$3,'Customer Choice Cost buildup'!$C$3:$AN$3,0),FALSE)</f>
        <v>0</v>
      </c>
      <c r="J93" s="121">
        <f>VLOOKUP($B93,'Customer Choice Cost buildup'!$C$3:$AN$202,MATCH('Table of fees'!J$3,'Customer Choice Cost buildup'!$C$3:$AN$3,0),FALSE)</f>
        <v>0</v>
      </c>
      <c r="K93" s="135">
        <f t="shared" si="5"/>
        <v>943.25630970164002</v>
      </c>
      <c r="L93" s="135">
        <f t="shared" si="2"/>
        <v>943.25630970164002</v>
      </c>
      <c r="M93" s="573">
        <f>ROUND(K93*(1+'Master Data'!$J$30),2)</f>
        <v>966.84</v>
      </c>
      <c r="N93" s="512"/>
      <c r="O93" s="515"/>
      <c r="P93" s="515"/>
      <c r="Q93" s="29"/>
      <c r="R93" s="29"/>
      <c r="S93" s="29"/>
      <c r="T93" s="29"/>
      <c r="U93" s="29"/>
      <c r="V93" s="29"/>
    </row>
    <row r="94" spans="1:22">
      <c r="A94" s="110" t="s">
        <v>266</v>
      </c>
      <c r="B94" s="111" t="s">
        <v>334</v>
      </c>
      <c r="C94" s="121"/>
      <c r="D94" s="121">
        <f>VLOOKUP($B94,'Customer Choice Cost buildup'!$C$3:$AN$202,MATCH('Table of fees'!D$3,'Customer Choice Cost buildup'!$C$3:$AN$3,0),FALSE)</f>
        <v>540.72</v>
      </c>
      <c r="E94" s="121">
        <f>VLOOKUP($B94,'Customer Choice Cost buildup'!$C$3:$AN$202,MATCH('Table of fees'!E$3,'Customer Choice Cost buildup'!$C$3:$AN$3,0),FALSE)</f>
        <v>0</v>
      </c>
      <c r="F94" s="121">
        <f>VLOOKUP($B94,'Customer Choice Cost buildup'!$C$3:$AN$202,MATCH('Table of fees'!F$3,'Customer Choice Cost buildup'!$C$3:$AN$3,0),FALSE)</f>
        <v>54.930840151316261</v>
      </c>
      <c r="G94" s="121">
        <f>VLOOKUP($B94,'Customer Choice Cost buildup'!$C$3:$AN$202,MATCH('Table of fees'!G$3,'Customer Choice Cost buildup'!$C$3:$AN$3,0),FALSE)</f>
        <v>312.09329651844126</v>
      </c>
      <c r="H94" s="121">
        <f>VLOOKUP($B94,'Customer Choice Cost buildup'!$C$3:$AN$202,MATCH('Table of fees'!H$3,'Customer Choice Cost buildup'!$C$3:$AN$3,0),FALSE)</f>
        <v>43.445359641718063</v>
      </c>
      <c r="I94" s="121">
        <f>VLOOKUP($B94,'Customer Choice Cost buildup'!$C$3:$AN$202,MATCH('Table of fees'!I$3,'Customer Choice Cost buildup'!$C$3:$AN$3,0),FALSE)</f>
        <v>0</v>
      </c>
      <c r="J94" s="121">
        <f>VLOOKUP($B94,'Customer Choice Cost buildup'!$C$3:$AN$202,MATCH('Table of fees'!J$3,'Customer Choice Cost buildup'!$C$3:$AN$3,0),FALSE)</f>
        <v>0</v>
      </c>
      <c r="K94" s="135">
        <f t="shared" si="5"/>
        <v>951.18949631147564</v>
      </c>
      <c r="L94" s="135">
        <f t="shared" si="2"/>
        <v>951.18949631147564</v>
      </c>
      <c r="M94" s="573">
        <f>ROUND(K94*(1+'Master Data'!$J$30),2)</f>
        <v>974.97</v>
      </c>
      <c r="N94" s="512"/>
      <c r="O94" s="515"/>
      <c r="P94" s="515"/>
      <c r="Q94" s="29"/>
      <c r="R94" s="29"/>
      <c r="S94" s="29"/>
      <c r="T94" s="29"/>
      <c r="U94" s="29"/>
      <c r="V94" s="29"/>
    </row>
    <row r="95" spans="1:22">
      <c r="A95" s="110" t="s">
        <v>266</v>
      </c>
      <c r="B95" s="111" t="s">
        <v>335</v>
      </c>
      <c r="C95" s="121"/>
      <c r="D95" s="121">
        <f>VLOOKUP($B95,'Customer Choice Cost buildup'!$C$3:$AN$202,MATCH('Table of fees'!D$3,'Customer Choice Cost buildup'!$C$3:$AN$3,0),FALSE)</f>
        <v>1081.44</v>
      </c>
      <c r="E95" s="121">
        <f>VLOOKUP($B95,'Customer Choice Cost buildup'!$C$3:$AN$202,MATCH('Table of fees'!E$3,'Customer Choice Cost buildup'!$C$3:$AN$3,0),FALSE)</f>
        <v>0</v>
      </c>
      <c r="F95" s="121">
        <f>VLOOKUP($B95,'Customer Choice Cost buildup'!$C$3:$AN$202,MATCH('Table of fees'!F$3,'Customer Choice Cost buildup'!$C$3:$AN$3,0),FALSE)</f>
        <v>109.86168030263252</v>
      </c>
      <c r="G95" s="121">
        <f>VLOOKUP($B95,'Customer Choice Cost buildup'!$C$3:$AN$202,MATCH('Table of fees'!G$3,'Customer Choice Cost buildup'!$C$3:$AN$3,0),FALSE)</f>
        <v>624.18659303688253</v>
      </c>
      <c r="H95" s="121">
        <f>VLOOKUP($B95,'Customer Choice Cost buildup'!$C$3:$AN$202,MATCH('Table of fees'!H$3,'Customer Choice Cost buildup'!$C$3:$AN$3,0),FALSE)</f>
        <v>86.890719283436127</v>
      </c>
      <c r="I95" s="121">
        <f>VLOOKUP($B95,'Customer Choice Cost buildup'!$C$3:$AN$202,MATCH('Table of fees'!I$3,'Customer Choice Cost buildup'!$C$3:$AN$3,0),FALSE)</f>
        <v>0</v>
      </c>
      <c r="J95" s="121">
        <f>VLOOKUP($B95,'Customer Choice Cost buildup'!$C$3:$AN$202,MATCH('Table of fees'!J$3,'Customer Choice Cost buildup'!$C$3:$AN$3,0),FALSE)</f>
        <v>0</v>
      </c>
      <c r="K95" s="135">
        <f t="shared" si="5"/>
        <v>1902.3789926229513</v>
      </c>
      <c r="L95" s="135">
        <f t="shared" si="2"/>
        <v>1902.3789926229513</v>
      </c>
      <c r="M95" s="573">
        <f>ROUND(K95*(1+'Master Data'!$J$30),2)</f>
        <v>1949.94</v>
      </c>
      <c r="N95" s="512"/>
      <c r="O95" s="515"/>
      <c r="P95" s="515"/>
      <c r="Q95" s="29"/>
      <c r="R95" s="29"/>
      <c r="S95" s="29"/>
      <c r="T95" s="29"/>
      <c r="U95" s="29"/>
      <c r="V95" s="29"/>
    </row>
    <row r="96" spans="1:22">
      <c r="A96" s="110" t="s">
        <v>266</v>
      </c>
      <c r="B96" s="111" t="s">
        <v>336</v>
      </c>
      <c r="C96" s="121"/>
      <c r="D96" s="121">
        <f>VLOOKUP($B96,'Customer Choice Cost buildup'!$C$3:$AN$202,MATCH('Table of fees'!D$3,'Customer Choice Cost buildup'!$C$3:$AN$3,0),FALSE)</f>
        <v>1716</v>
      </c>
      <c r="E96" s="121">
        <f>VLOOKUP($B96,'Customer Choice Cost buildup'!$C$3:$AN$202,MATCH('Table of fees'!E$3,'Customer Choice Cost buildup'!$C$3:$AN$3,0),FALSE)</f>
        <v>0</v>
      </c>
      <c r="F96" s="121">
        <f>VLOOKUP($B96,'Customer Choice Cost buildup'!$C$3:$AN$202,MATCH('Table of fees'!F$3,'Customer Choice Cost buildup'!$C$3:$AN$3,0),FALSE)</f>
        <v>164.79252045394878</v>
      </c>
      <c r="G96" s="121">
        <f>VLOOKUP($B96,'Customer Choice Cost buildup'!$C$3:$AN$202,MATCH('Table of fees'!G$3,'Customer Choice Cost buildup'!$C$3:$AN$3,0),FALSE)</f>
        <v>936.27988955532373</v>
      </c>
      <c r="H96" s="121">
        <f>VLOOKUP($B96,'Customer Choice Cost buildup'!$C$3:$AN$202,MATCH('Table of fees'!H$3,'Customer Choice Cost buildup'!$C$3:$AN$3,0),FALSE)</f>
        <v>134.82733630053727</v>
      </c>
      <c r="I96" s="121">
        <f>VLOOKUP($B96,'Customer Choice Cost buildup'!$C$3:$AN$202,MATCH('Table of fees'!I$3,'Customer Choice Cost buildup'!$C$3:$AN$3,0),FALSE)</f>
        <v>0</v>
      </c>
      <c r="J96" s="121">
        <f>VLOOKUP($B96,'Customer Choice Cost buildup'!$C$3:$AN$202,MATCH('Table of fees'!J$3,'Customer Choice Cost buildup'!$C$3:$AN$3,0),FALSE)</f>
        <v>0</v>
      </c>
      <c r="K96" s="135">
        <f t="shared" si="5"/>
        <v>2951.8997463098099</v>
      </c>
      <c r="L96" s="135">
        <f t="shared" si="2"/>
        <v>2951.8997463098099</v>
      </c>
      <c r="M96" s="575">
        <f>ROUND(K96*(1+'Master Data'!$J$30),2)</f>
        <v>3025.7</v>
      </c>
      <c r="N96" s="512"/>
      <c r="O96" s="515"/>
      <c r="P96" s="515"/>
      <c r="Q96" s="29"/>
      <c r="R96" s="29"/>
      <c r="S96" s="29"/>
      <c r="T96" s="29"/>
      <c r="U96" s="29"/>
      <c r="V96" s="29"/>
    </row>
  </sheetData>
  <autoFilter ref="A3:L96"/>
  <mergeCells count="1">
    <mergeCell ref="K2:L2"/>
  </mergeCells>
  <conditionalFormatting sqref="B5:B9">
    <cfRule type="duplicateValues" dxfId="40" priority="28"/>
  </conditionalFormatting>
  <conditionalFormatting sqref="B10">
    <cfRule type="duplicateValues" dxfId="39" priority="27"/>
  </conditionalFormatting>
  <conditionalFormatting sqref="B11">
    <cfRule type="duplicateValues" dxfId="38" priority="26"/>
  </conditionalFormatting>
  <conditionalFormatting sqref="B12">
    <cfRule type="duplicateValues" dxfId="37" priority="25"/>
  </conditionalFormatting>
  <conditionalFormatting sqref="B13">
    <cfRule type="duplicateValues" dxfId="36" priority="24"/>
  </conditionalFormatting>
  <pageMargins left="0.7" right="0.7" top="0.75" bottom="0.75" header="0.3" footer="0.3"/>
  <pageSetup paperSize="9" scale="26"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pageSetUpPr fitToPage="1"/>
  </sheetPr>
  <dimension ref="A1:AS197"/>
  <sheetViews>
    <sheetView tabSelected="1" topLeftCell="A28" zoomScale="70" zoomScaleNormal="70" workbookViewId="0">
      <selection activeCell="C67" sqref="C67"/>
    </sheetView>
  </sheetViews>
  <sheetFormatPr defaultRowHeight="15"/>
  <cols>
    <col min="1" max="1" width="4.85546875" customWidth="1"/>
    <col min="2" max="2" width="31.28515625" customWidth="1"/>
    <col min="3" max="3" width="102.5703125" customWidth="1"/>
    <col min="4" max="4" width="9.42578125" customWidth="1"/>
    <col min="5" max="7" width="11" customWidth="1"/>
    <col min="8" max="8" width="9" customWidth="1"/>
    <col min="9" max="9" width="13.7109375" customWidth="1"/>
    <col min="10" max="10" width="13.7109375" style="27" customWidth="1"/>
    <col min="11" max="11" width="17.85546875" style="27" customWidth="1"/>
    <col min="12" max="13" width="10.5703125" style="27" customWidth="1"/>
    <col min="14" max="14" width="13.85546875" customWidth="1"/>
    <col min="15" max="15" width="32.140625" customWidth="1"/>
    <col min="16" max="16" width="12" customWidth="1"/>
    <col min="17" max="18" width="12.5703125" customWidth="1"/>
    <col min="19" max="19" width="10.28515625" customWidth="1"/>
    <col min="20" max="21" width="13.7109375" customWidth="1"/>
    <col min="22" max="22" width="13" customWidth="1"/>
    <col min="23" max="23" width="20.85546875" customWidth="1"/>
    <col min="24" max="25" width="15.7109375" customWidth="1"/>
    <col min="26" max="26" width="12.85546875" customWidth="1"/>
    <col min="27" max="31" width="14" customWidth="1"/>
    <col min="32" max="33" width="15.140625" customWidth="1"/>
    <col min="34" max="35" width="23.140625" customWidth="1"/>
    <col min="36" max="39" width="13" customWidth="1"/>
    <col min="40" max="40" width="11.5703125" customWidth="1"/>
    <col min="41" max="41" width="11.42578125" style="74" customWidth="1"/>
    <col min="42" max="42" width="18" style="74" bestFit="1" customWidth="1"/>
    <col min="43" max="43" width="12" customWidth="1"/>
    <col min="44" max="45" width="10.7109375" customWidth="1"/>
  </cols>
  <sheetData>
    <row r="1" spans="1:45" ht="15.75" thickBot="1">
      <c r="S1" s="71"/>
      <c r="V1" s="75"/>
      <c r="X1" s="340"/>
      <c r="Y1" s="396"/>
      <c r="Z1" s="4"/>
      <c r="AA1" s="4"/>
      <c r="AD1" s="27"/>
      <c r="AF1" s="71"/>
    </row>
    <row r="2" spans="1:45" ht="27" customHeight="1" thickBot="1">
      <c r="B2" s="1"/>
      <c r="D2" s="606" t="s">
        <v>245</v>
      </c>
      <c r="E2" s="607"/>
      <c r="F2" s="607"/>
      <c r="G2" s="607"/>
      <c r="H2" s="607"/>
      <c r="I2" s="607"/>
      <c r="J2" s="607"/>
      <c r="K2" s="607"/>
      <c r="L2" s="607"/>
      <c r="M2" s="607"/>
      <c r="N2" s="607"/>
      <c r="O2" s="607"/>
      <c r="P2" s="607"/>
      <c r="Q2" s="607"/>
      <c r="R2" s="607"/>
      <c r="S2" s="607"/>
      <c r="T2" s="607"/>
      <c r="U2" s="608"/>
      <c r="V2" s="606" t="s">
        <v>249</v>
      </c>
      <c r="W2" s="607"/>
      <c r="X2" s="607"/>
      <c r="Y2" s="608"/>
      <c r="Z2" s="187" t="s">
        <v>248</v>
      </c>
      <c r="AA2" s="606" t="s">
        <v>253</v>
      </c>
      <c r="AB2" s="607"/>
      <c r="AC2" s="607"/>
      <c r="AD2" s="607"/>
      <c r="AE2" s="608"/>
      <c r="AF2" s="609" t="s">
        <v>98</v>
      </c>
      <c r="AG2" s="610"/>
      <c r="AH2" s="187" t="s">
        <v>248</v>
      </c>
      <c r="AI2" s="187" t="s">
        <v>250</v>
      </c>
      <c r="AJ2" s="75">
        <f>SUM(AJ5:AJ79)</f>
        <v>70019.600000000006</v>
      </c>
      <c r="AM2" s="229" t="str">
        <f>'Master Data'!I29</f>
        <v>2017-18</v>
      </c>
      <c r="AN2" s="611"/>
      <c r="AO2" s="611"/>
      <c r="AP2" s="611"/>
      <c r="AQ2" s="611"/>
      <c r="AR2" s="29"/>
    </row>
    <row r="3" spans="1:45" s="200" customFormat="1" ht="60">
      <c r="B3" s="199" t="s">
        <v>1</v>
      </c>
      <c r="C3" s="199" t="s">
        <v>0</v>
      </c>
      <c r="D3" s="189" t="s">
        <v>85</v>
      </c>
      <c r="E3" s="190" t="s">
        <v>91</v>
      </c>
      <c r="F3" s="191" t="s">
        <v>192</v>
      </c>
      <c r="G3" s="191" t="s">
        <v>165</v>
      </c>
      <c r="H3" s="190" t="s">
        <v>92</v>
      </c>
      <c r="I3" s="190" t="s">
        <v>102</v>
      </c>
      <c r="J3" s="190" t="s">
        <v>103</v>
      </c>
      <c r="K3" s="190" t="s">
        <v>150</v>
      </c>
      <c r="L3" s="192" t="s">
        <v>208</v>
      </c>
      <c r="M3" s="192" t="s">
        <v>209</v>
      </c>
      <c r="N3" s="192" t="s">
        <v>97</v>
      </c>
      <c r="O3" s="190" t="s">
        <v>239</v>
      </c>
      <c r="P3" s="190" t="s">
        <v>244</v>
      </c>
      <c r="Q3" s="190" t="s">
        <v>99</v>
      </c>
      <c r="R3" s="208" t="s">
        <v>265</v>
      </c>
      <c r="S3" s="193" t="s">
        <v>86</v>
      </c>
      <c r="T3" s="190" t="s">
        <v>312</v>
      </c>
      <c r="U3" s="222" t="s">
        <v>246</v>
      </c>
      <c r="V3" s="196" t="s">
        <v>251</v>
      </c>
      <c r="W3" s="190" t="s">
        <v>200</v>
      </c>
      <c r="X3" s="190" t="s">
        <v>247</v>
      </c>
      <c r="Y3" s="190" t="s">
        <v>210</v>
      </c>
      <c r="Z3" s="222" t="s">
        <v>309</v>
      </c>
      <c r="AA3" s="194" t="str">
        <f>'Lookups &amp; OH allocation'!G5</f>
        <v>WSD overheads Hourly rate (indirect cost)</v>
      </c>
      <c r="AB3" s="195" t="str">
        <f>'Lookups &amp; OH allocation'!G16</f>
        <v>Shared Services overheads % expenditure</v>
      </c>
      <c r="AC3" s="195" t="s">
        <v>98</v>
      </c>
      <c r="AD3" s="198" t="s">
        <v>303</v>
      </c>
      <c r="AE3" s="222" t="s">
        <v>310</v>
      </c>
      <c r="AF3" s="197" t="s">
        <v>304</v>
      </c>
      <c r="AG3" s="198" t="s">
        <v>98</v>
      </c>
      <c r="AH3" s="222" t="s">
        <v>207</v>
      </c>
      <c r="AI3" s="224" t="s">
        <v>313</v>
      </c>
      <c r="AJ3" s="230" t="s">
        <v>201</v>
      </c>
      <c r="AK3" s="231" t="s">
        <v>347</v>
      </c>
      <c r="AL3" s="231" t="s">
        <v>311</v>
      </c>
      <c r="AM3" s="231" t="s">
        <v>202</v>
      </c>
      <c r="AN3" s="516"/>
      <c r="AO3" s="516"/>
      <c r="AP3" s="519"/>
      <c r="AQ3" s="516"/>
      <c r="AR3" s="519"/>
      <c r="AS3" s="516"/>
    </row>
    <row r="4" spans="1:45">
      <c r="A4" t="s">
        <v>145</v>
      </c>
      <c r="B4" s="119" t="s">
        <v>156</v>
      </c>
      <c r="C4" s="173"/>
      <c r="D4" s="180"/>
      <c r="E4" s="180"/>
      <c r="F4" s="268"/>
      <c r="G4" s="270"/>
      <c r="H4" s="113"/>
      <c r="I4" s="114"/>
      <c r="J4" s="114"/>
      <c r="K4" s="114"/>
      <c r="L4" s="117"/>
      <c r="M4" s="233"/>
      <c r="N4" s="267"/>
      <c r="O4" s="115"/>
      <c r="P4" s="276"/>
      <c r="Q4" s="116"/>
      <c r="R4" s="113"/>
      <c r="S4" s="278"/>
      <c r="T4" s="181"/>
      <c r="U4" s="182"/>
      <c r="V4" s="233"/>
      <c r="W4" s="118"/>
      <c r="X4" s="114"/>
      <c r="Y4" s="181"/>
      <c r="Z4" s="223"/>
      <c r="AA4" s="156"/>
      <c r="AB4" s="118"/>
      <c r="AC4" s="118"/>
      <c r="AD4" s="267"/>
      <c r="AE4" s="182"/>
      <c r="AF4" s="181"/>
      <c r="AG4" s="181"/>
      <c r="AH4" s="182"/>
      <c r="AI4" s="186"/>
      <c r="AJ4" s="232"/>
      <c r="AK4" s="188"/>
      <c r="AL4" s="188"/>
      <c r="AM4" s="188"/>
      <c r="AN4" s="523"/>
      <c r="AO4" s="506"/>
      <c r="AP4" s="506"/>
      <c r="AQ4" s="29"/>
      <c r="AR4" s="291"/>
      <c r="AS4" s="29"/>
    </row>
    <row r="5" spans="1:45">
      <c r="B5" s="110" t="s">
        <v>2</v>
      </c>
      <c r="C5" s="111" t="s">
        <v>3</v>
      </c>
      <c r="D5" s="183">
        <v>8</v>
      </c>
      <c r="E5" s="122">
        <v>10</v>
      </c>
      <c r="F5" s="269">
        <f t="shared" ref="F5:F14" si="0">SUM(D5:E5)</f>
        <v>18</v>
      </c>
      <c r="G5" s="217">
        <f t="shared" ref="G5:G14" si="1">SUM(D5:E5)*H5</f>
        <v>18</v>
      </c>
      <c r="H5" s="122">
        <v>1</v>
      </c>
      <c r="I5" s="123" t="s">
        <v>199</v>
      </c>
      <c r="J5" s="123"/>
      <c r="K5" s="123" t="s">
        <v>154</v>
      </c>
      <c r="L5" s="272">
        <f>(IF(H5&gt;=1,IF(H5&gt;=2,VLOOKUP(I5,'Lookups &amp; OH allocation'!$B$41:$C$50,2,FALSE)/60*(E5)+VLOOKUP(J5,'Lookups &amp; OH allocation'!$B$41:$C$50,2,FALSE)/60*(E5),VLOOKUP(I5,'Lookups &amp; OH allocation'!$B$41:$C$50,2,FALSE)/60*(E5)),0))*(1+(VLOOKUP(K5,'Lookups &amp; OH allocation'!$K$47:$L$52,2,FALSE)))</f>
        <v>11.808737842852802</v>
      </c>
      <c r="M5" s="218">
        <f>(IF(H5&gt;=1,IF(H5&gt;=2,VLOOKUP(I5,'Lookups &amp; OH allocation'!$B$41:$C$50,2,FALSE)/60*(D5)+VLOOKUP(J5,'Lookups &amp; OH allocation'!$B$41:$C$50,2,FALSE)/60*(D5),VLOOKUP(I5,'Lookups &amp; OH allocation'!$B$41:$C$50,2,FALSE)/60*(D5)),0))*(1+(VLOOKUP(K5,'Lookups &amp; OH allocation'!$K$47:$L$52,2,FALSE)))</f>
        <v>9.4469902742822409</v>
      </c>
      <c r="N5" s="273">
        <f>(IF(H5&gt;=1,IF(H5&gt;=2,VLOOKUP(I5,'Lookups &amp; OH allocation'!$B$41:$C$50,2,FALSE)/60*(F5)+VLOOKUP(J5,'Lookups &amp; OH allocation'!$B$41:$C$50,2,FALSE)/60*(F5),VLOOKUP(I5,'Lookups &amp; OH allocation'!$B$41:$C$50,2,FALSE)/60*(F5)),0))*(1+(VLOOKUP(K5,'Lookups &amp; OH allocation'!$K$47:$L$52,2,FALSE)))</f>
        <v>21.255728117135043</v>
      </c>
      <c r="O5" s="221" t="s">
        <v>238</v>
      </c>
      <c r="P5" s="277">
        <f>VLOOKUP(O5,'Lookups &amp; OH allocation'!$B$62:$C$72,2,FALSE)</f>
        <v>0</v>
      </c>
      <c r="Q5" s="125" t="s">
        <v>101</v>
      </c>
      <c r="R5" s="122"/>
      <c r="S5" s="277">
        <f>IF(R5&gt;0.01,VLOOKUP(Q5,'Lookups &amp; OH allocation'!$K$41:$L$43,2,FALSE)*((R5)/60),VLOOKUP(Q5,'Lookups &amp; OH allocation'!$K$41:$L$43,2,FALSE)*((F5)/60))</f>
        <v>2.0599065056743595</v>
      </c>
      <c r="T5" s="124">
        <v>0</v>
      </c>
      <c r="U5" s="223">
        <f t="shared" ref="U5:U14" si="2">SUM(N5,P5,S5,T5)</f>
        <v>23.315634622809402</v>
      </c>
      <c r="V5" s="226">
        <f>IF(AJ5=0,"No Volumes",AM5/'Lookups &amp; OH allocation'!$C$53*'Lookups &amp; OH allocation'!$D$53/AJ5)</f>
        <v>18.70555968878417</v>
      </c>
      <c r="W5" s="123" t="s">
        <v>154</v>
      </c>
      <c r="X5" s="281">
        <f>U5*VLOOKUP(W5,'Lookups &amp; OH allocation'!$K$55:$L$59,2,FALSE)</f>
        <v>0</v>
      </c>
      <c r="Y5" s="124"/>
      <c r="Z5" s="223">
        <f t="shared" ref="Z5:Z14" si="3">SUM(V5,X5,Y5)</f>
        <v>18.70555968878417</v>
      </c>
      <c r="AA5" s="226">
        <f>(G5/60)*'Lookups &amp; OH allocation'!$I$13</f>
        <v>11.703498619441547</v>
      </c>
      <c r="AB5" s="226">
        <f>SUM(Z5,U5,AA5)*'Lookups &amp; OH allocation'!$G$23</f>
        <v>2.5713067281191853</v>
      </c>
      <c r="AC5" s="179"/>
      <c r="AD5" s="179"/>
      <c r="AE5" s="223">
        <f t="shared" ref="AE5:AE14" si="4">SUM(AA5:AD5)</f>
        <v>14.274805347560733</v>
      </c>
      <c r="AF5" s="124">
        <f>(U5+Z5+AE5)*'Lookups &amp; OH allocation'!$L$62</f>
        <v>3.4002783794129203</v>
      </c>
      <c r="AG5" s="124"/>
      <c r="AH5" s="223">
        <f t="shared" ref="AH5:AH14" si="5">SUM(AF5,AG5)</f>
        <v>3.4002783794129203</v>
      </c>
      <c r="AI5" s="225">
        <f t="shared" ref="AI5:AI14" si="6">U5+Z5+AE5+AH5</f>
        <v>59.696278038567222</v>
      </c>
      <c r="AJ5" s="234">
        <f>IFERROR(VLOOKUP($C5,'Volumes - Report Summary'!$C:$AF,MATCH(AM$2,'Volumes - Report Summary'!$C$6:$AF$6,0),FALSE),0)</f>
        <v>52308</v>
      </c>
      <c r="AK5" s="266">
        <f>VLOOKUP(B5,'Back Office Time'!$B$5:$G$24,4,FALSE)</f>
        <v>5</v>
      </c>
      <c r="AL5" s="398">
        <f t="shared" ref="AL5:AL14" si="7">IFERROR(V5*AJ5,0)</f>
        <v>978450.41620092234</v>
      </c>
      <c r="AM5" s="522">
        <f t="shared" ref="AM5:AM14" si="8">AK5*AJ5</f>
        <v>261540</v>
      </c>
      <c r="AN5" s="517"/>
      <c r="AO5" s="521"/>
      <c r="AP5" s="521"/>
      <c r="AQ5" s="289"/>
      <c r="AR5" s="29"/>
      <c r="AS5" s="289"/>
    </row>
    <row r="6" spans="1:45">
      <c r="B6" s="110" t="s">
        <v>2</v>
      </c>
      <c r="C6" s="111" t="s">
        <v>4</v>
      </c>
      <c r="D6" s="183">
        <v>8</v>
      </c>
      <c r="E6" s="122">
        <v>40</v>
      </c>
      <c r="F6" s="269">
        <f t="shared" si="0"/>
        <v>48</v>
      </c>
      <c r="G6" s="217">
        <f t="shared" si="1"/>
        <v>48</v>
      </c>
      <c r="H6" s="122">
        <v>1</v>
      </c>
      <c r="I6" s="123" t="s">
        <v>199</v>
      </c>
      <c r="J6" s="123"/>
      <c r="K6" s="123" t="s">
        <v>154</v>
      </c>
      <c r="L6" s="272">
        <f>(IF(H6&gt;=1,IF(H6&gt;=2,VLOOKUP(I6,'Lookups &amp; OH allocation'!$B$41:$C$50,2,FALSE)/60*(E6)+VLOOKUP(J6,'Lookups &amp; OH allocation'!$B$41:$C$50,2,FALSE)/60*(E6),VLOOKUP(I6,'Lookups &amp; OH allocation'!$B$41:$C$50,2,FALSE)/60*(E6)),0))*(1+(VLOOKUP(K6,'Lookups &amp; OH allocation'!$K$47:$L$52,2,FALSE)))</f>
        <v>47.234951371411206</v>
      </c>
      <c r="M6" s="218">
        <f>(IF(H6&gt;=1,IF(H6&gt;=2,VLOOKUP(I6,'Lookups &amp; OH allocation'!$B$41:$C$50,2,FALSE)/60*(D6)+VLOOKUP(J6,'Lookups &amp; OH allocation'!$B$41:$C$50,2,FALSE)/60*(D6),VLOOKUP(I6,'Lookups &amp; OH allocation'!$B$41:$C$50,2,FALSE)/60*(D6)),0))*(1+(VLOOKUP(K6,'Lookups &amp; OH allocation'!$K$47:$L$52,2,FALSE)))</f>
        <v>9.4469902742822409</v>
      </c>
      <c r="N6" s="273">
        <f>(IF(H6&gt;=1,IF(H6&gt;=2,VLOOKUP(I6,'Lookups &amp; OH allocation'!$B$41:$C$50,2,FALSE)/60*(F6)+VLOOKUP(J6,'Lookups &amp; OH allocation'!$B$41:$C$50,2,FALSE)/60*(F6),VLOOKUP(I6,'Lookups &amp; OH allocation'!$B$41:$C$50,2,FALSE)/60*(F6)),0))*(1+(VLOOKUP(K6,'Lookups &amp; OH allocation'!$K$47:$L$52,2,FALSE)))</f>
        <v>56.681941645693442</v>
      </c>
      <c r="O6" s="221" t="s">
        <v>238</v>
      </c>
      <c r="P6" s="277">
        <f>VLOOKUP(O6,'Lookups &amp; OH allocation'!$B$62:$C$72,2,FALSE)</f>
        <v>0</v>
      </c>
      <c r="Q6" s="125" t="s">
        <v>101</v>
      </c>
      <c r="R6" s="122"/>
      <c r="S6" s="277">
        <f>IF(R6&gt;0.01,VLOOKUP(Q6,'Lookups &amp; OH allocation'!$K$41:$L$43,2,FALSE)*((R6)/60),VLOOKUP(Q6,'Lookups &amp; OH allocation'!$K$41:$L$43,2,FALSE)*((F6)/60))</f>
        <v>5.4930840151316263</v>
      </c>
      <c r="T6" s="124">
        <v>0</v>
      </c>
      <c r="U6" s="223">
        <f t="shared" si="2"/>
        <v>62.175025660825071</v>
      </c>
      <c r="V6" s="226">
        <f>IF(AJ6=0,"No Volumes",AM6/'Lookups &amp; OH allocation'!$C$53*'Lookups &amp; OH allocation'!$D$53/AJ6)</f>
        <v>18.70555968878417</v>
      </c>
      <c r="W6" s="123" t="s">
        <v>153</v>
      </c>
      <c r="X6" s="281">
        <f>U6*VLOOKUP(W6,'Lookups &amp; OH allocation'!$K$55:$L$59,2,FALSE)</f>
        <v>15.543756415206268</v>
      </c>
      <c r="Y6" s="124"/>
      <c r="Z6" s="223">
        <f t="shared" si="3"/>
        <v>34.249316103990438</v>
      </c>
      <c r="AA6" s="226">
        <f>(G6/60)*'Lookups &amp; OH allocation'!$I$13</f>
        <v>31.209329651844129</v>
      </c>
      <c r="AB6" s="226">
        <f>SUM(Z6,U6,AA6)*'Lookups &amp; OH allocation'!$G$23</f>
        <v>6.1086494895278882</v>
      </c>
      <c r="AC6" s="179"/>
      <c r="AD6" s="179"/>
      <c r="AE6" s="223">
        <f t="shared" si="4"/>
        <v>37.317979141372021</v>
      </c>
      <c r="AF6" s="124">
        <f>(U6+Z6+AE6)*'Lookups &amp; OH allocation'!$L$62</f>
        <v>8.0780361827337277</v>
      </c>
      <c r="AG6" s="124"/>
      <c r="AH6" s="223">
        <f t="shared" si="5"/>
        <v>8.0780361827337277</v>
      </c>
      <c r="AI6" s="225">
        <f t="shared" si="6"/>
        <v>141.82035708892127</v>
      </c>
      <c r="AJ6" s="234">
        <f>IFERROR(VLOOKUP($C6,'Volumes - Report Summary'!$C:$AF,MATCH(AM$2,'Volumes - Report Summary'!$C$6:$AF$6,0),FALSE),0)</f>
        <v>1036</v>
      </c>
      <c r="AK6" s="266">
        <f>VLOOKUP(B6,'Back Office Time'!$B$5:$G$24,4,FALSE)</f>
        <v>5</v>
      </c>
      <c r="AL6" s="398">
        <f t="shared" si="7"/>
        <v>19378.959837580402</v>
      </c>
      <c r="AM6" s="522">
        <f t="shared" si="8"/>
        <v>5180</v>
      </c>
      <c r="AN6" s="517"/>
      <c r="AO6" s="521"/>
      <c r="AP6" s="521"/>
      <c r="AQ6" s="289"/>
      <c r="AR6" s="29"/>
      <c r="AS6" s="289"/>
    </row>
    <row r="7" spans="1:45">
      <c r="B7" s="110" t="s">
        <v>2</v>
      </c>
      <c r="C7" s="111" t="s">
        <v>5</v>
      </c>
      <c r="D7" s="183">
        <v>8</v>
      </c>
      <c r="E7" s="122">
        <v>60</v>
      </c>
      <c r="F7" s="269">
        <f t="shared" si="0"/>
        <v>68</v>
      </c>
      <c r="G7" s="217">
        <f t="shared" si="1"/>
        <v>68</v>
      </c>
      <c r="H7" s="122">
        <v>1</v>
      </c>
      <c r="I7" s="123" t="s">
        <v>199</v>
      </c>
      <c r="J7" s="123"/>
      <c r="K7" s="123" t="s">
        <v>154</v>
      </c>
      <c r="L7" s="272">
        <f>(IF(H7&gt;=1,IF(H7&gt;=2,VLOOKUP(I7,'Lookups &amp; OH allocation'!$B$41:$C$50,2,FALSE)/60*(E7)+VLOOKUP(J7,'Lookups &amp; OH allocation'!$B$41:$C$50,2,FALSE)/60*(E7),VLOOKUP(I7,'Lookups &amp; OH allocation'!$B$41:$C$50,2,FALSE)/60*(E7)),0))*(1+(VLOOKUP(K7,'Lookups &amp; OH allocation'!$K$47:$L$52,2,FALSE)))</f>
        <v>70.852427057116813</v>
      </c>
      <c r="M7" s="218">
        <f>(IF(H7&gt;=1,IF(H7&gt;=2,VLOOKUP(I7,'Lookups &amp; OH allocation'!$B$41:$C$50,2,FALSE)/60*(D7)+VLOOKUP(J7,'Lookups &amp; OH allocation'!$B$41:$C$50,2,FALSE)/60*(D7),VLOOKUP(I7,'Lookups &amp; OH allocation'!$B$41:$C$50,2,FALSE)/60*(D7)),0))*(1+(VLOOKUP(K7,'Lookups &amp; OH allocation'!$K$47:$L$52,2,FALSE)))</f>
        <v>9.4469902742822409</v>
      </c>
      <c r="N7" s="273">
        <f>(IF(H7&gt;=1,IF(H7&gt;=2,VLOOKUP(I7,'Lookups &amp; OH allocation'!$B$41:$C$50,2,FALSE)/60*(F7)+VLOOKUP(J7,'Lookups &amp; OH allocation'!$B$41:$C$50,2,FALSE)/60*(F7),VLOOKUP(I7,'Lookups &amp; OH allocation'!$B$41:$C$50,2,FALSE)/60*(F7)),0))*(1+(VLOOKUP(K7,'Lookups &amp; OH allocation'!$K$47:$L$52,2,FALSE)))</f>
        <v>80.299417331399042</v>
      </c>
      <c r="O7" s="221" t="s">
        <v>238</v>
      </c>
      <c r="P7" s="277">
        <f>VLOOKUP(O7,'Lookups &amp; OH allocation'!$B$62:$C$72,2,FALSE)</f>
        <v>0</v>
      </c>
      <c r="Q7" s="125" t="s">
        <v>101</v>
      </c>
      <c r="R7" s="122"/>
      <c r="S7" s="277">
        <f>IF(R7&gt;0.01,VLOOKUP(Q7,'Lookups &amp; OH allocation'!$K$41:$L$43,2,FALSE)*((R7)/60),VLOOKUP(Q7,'Lookups &amp; OH allocation'!$K$41:$L$43,2,FALSE)*((F7)/60))</f>
        <v>7.7818690214364699</v>
      </c>
      <c r="T7" s="124">
        <v>0</v>
      </c>
      <c r="U7" s="223">
        <f t="shared" si="2"/>
        <v>88.081286352835505</v>
      </c>
      <c r="V7" s="226">
        <f>IF(AJ7=0,"No Volumes",AM7/'Lookups &amp; OH allocation'!$C$53*'Lookups &amp; OH allocation'!$D$53/AJ7)</f>
        <v>18.70555968878417</v>
      </c>
      <c r="W7" s="123" t="s">
        <v>152</v>
      </c>
      <c r="X7" s="281">
        <f>U7*VLOOKUP(W7,'Lookups &amp; OH allocation'!$K$55:$L$59,2,FALSE)</f>
        <v>88.081286352835505</v>
      </c>
      <c r="Y7" s="124"/>
      <c r="Z7" s="223">
        <f t="shared" si="3"/>
        <v>106.78684604161967</v>
      </c>
      <c r="AA7" s="226">
        <f>(G7/60)*'Lookups &amp; OH allocation'!$I$13</f>
        <v>44.213217006779175</v>
      </c>
      <c r="AB7" s="226">
        <f>SUM(Z7,U7,AA7)*'Lookups &amp; OH allocation'!$G$23</f>
        <v>11.442624401266412</v>
      </c>
      <c r="AC7" s="179"/>
      <c r="AD7" s="179"/>
      <c r="AE7" s="223">
        <f t="shared" si="4"/>
        <v>55.655841408045589</v>
      </c>
      <c r="AF7" s="124">
        <f>(U7+Z7+AE7)*'Lookups &amp; OH allocation'!$L$62</f>
        <v>15.131648017671049</v>
      </c>
      <c r="AG7" s="124"/>
      <c r="AH7" s="223">
        <f t="shared" si="5"/>
        <v>15.131648017671049</v>
      </c>
      <c r="AI7" s="225">
        <f t="shared" si="6"/>
        <v>265.65562182017186</v>
      </c>
      <c r="AJ7" s="234">
        <f>IFERROR(VLOOKUP($C7,'Volumes - Report Summary'!$C:$AF,MATCH(AM$2,'Volumes - Report Summary'!$C$6:$AF$6,0),FALSE),0)</f>
        <v>210</v>
      </c>
      <c r="AK7" s="266">
        <f>VLOOKUP(B7,'Back Office Time'!$B$5:$G$24,4,FALSE)</f>
        <v>5</v>
      </c>
      <c r="AL7" s="398">
        <f t="shared" si="7"/>
        <v>3928.1675346446759</v>
      </c>
      <c r="AM7" s="522">
        <f t="shared" si="8"/>
        <v>1050</v>
      </c>
      <c r="AN7" s="517"/>
      <c r="AO7" s="521"/>
      <c r="AP7" s="521"/>
      <c r="AQ7" s="289"/>
      <c r="AR7" s="29"/>
      <c r="AS7" s="289"/>
    </row>
    <row r="8" spans="1:45">
      <c r="B8" s="110" t="s">
        <v>2</v>
      </c>
      <c r="C8" s="111" t="s">
        <v>6</v>
      </c>
      <c r="D8" s="183">
        <v>180</v>
      </c>
      <c r="E8" s="122">
        <v>60</v>
      </c>
      <c r="F8" s="269">
        <f t="shared" si="0"/>
        <v>240</v>
      </c>
      <c r="G8" s="217">
        <f t="shared" si="1"/>
        <v>240</v>
      </c>
      <c r="H8" s="122">
        <v>1</v>
      </c>
      <c r="I8" s="123" t="s">
        <v>199</v>
      </c>
      <c r="J8" s="123"/>
      <c r="K8" s="123" t="s">
        <v>154</v>
      </c>
      <c r="L8" s="272">
        <f>(IF(H8&gt;=1,IF(H8&gt;=2,VLOOKUP(I8,'Lookups &amp; OH allocation'!$B$41:$C$50,2,FALSE)/60*(E8)+VLOOKUP(J8,'Lookups &amp; OH allocation'!$B$41:$C$50,2,FALSE)/60*(E8),VLOOKUP(I8,'Lookups &amp; OH allocation'!$B$41:$C$50,2,FALSE)/60*(E8)),0))*(1+(VLOOKUP(K8,'Lookups &amp; OH allocation'!$K$47:$L$52,2,FALSE)))</f>
        <v>70.852427057116813</v>
      </c>
      <c r="M8" s="218">
        <f>(IF(H8&gt;=1,IF(H8&gt;=2,VLOOKUP(I8,'Lookups &amp; OH allocation'!$B$41:$C$50,2,FALSE)/60*(D8)+VLOOKUP(J8,'Lookups &amp; OH allocation'!$B$41:$C$50,2,FALSE)/60*(D8),VLOOKUP(I8,'Lookups &amp; OH allocation'!$B$41:$C$50,2,FALSE)/60*(D8)),0))*(1+(VLOOKUP(K8,'Lookups &amp; OH allocation'!$K$47:$L$52,2,FALSE)))</f>
        <v>212.55728117135041</v>
      </c>
      <c r="N8" s="273">
        <f>(IF(H8&gt;=1,IF(H8&gt;=2,VLOOKUP(I8,'Lookups &amp; OH allocation'!$B$41:$C$50,2,FALSE)/60*(F8)+VLOOKUP(J8,'Lookups &amp; OH allocation'!$B$41:$C$50,2,FALSE)/60*(F8),VLOOKUP(I8,'Lookups &amp; OH allocation'!$B$41:$C$50,2,FALSE)/60*(F8)),0))*(1+(VLOOKUP(K8,'Lookups &amp; OH allocation'!$K$47:$L$52,2,FALSE)))</f>
        <v>283.40970822846725</v>
      </c>
      <c r="O8" s="221" t="s">
        <v>238</v>
      </c>
      <c r="P8" s="277">
        <f>VLOOKUP(O8,'Lookups &amp; OH allocation'!$B$62:$C$72,2,FALSE)</f>
        <v>0</v>
      </c>
      <c r="Q8" s="125" t="s">
        <v>101</v>
      </c>
      <c r="R8" s="122"/>
      <c r="S8" s="277">
        <f>IF(R8&gt;0.01,VLOOKUP(Q8,'Lookups &amp; OH allocation'!$K$41:$L$43,2,FALSE)*((R8)/60),VLOOKUP(Q8,'Lookups &amp; OH allocation'!$K$41:$L$43,2,FALSE)*((F8)/60))</f>
        <v>27.46542007565813</v>
      </c>
      <c r="T8" s="124">
        <v>0</v>
      </c>
      <c r="U8" s="223">
        <f t="shared" si="2"/>
        <v>310.87512830412538</v>
      </c>
      <c r="V8" s="226">
        <f>IF(AJ8=0,"No Volumes",AM8/'Lookups &amp; OH allocation'!$C$53*'Lookups &amp; OH allocation'!$D$53/AJ8)</f>
        <v>18.70555968878417</v>
      </c>
      <c r="W8" s="123" t="s">
        <v>151</v>
      </c>
      <c r="X8" s="281">
        <f>U8*VLOOKUP(W8,'Lookups &amp; OH allocation'!$K$55:$L$59,2,FALSE)</f>
        <v>155.43756415206269</v>
      </c>
      <c r="Y8" s="124"/>
      <c r="Z8" s="223">
        <f t="shared" si="3"/>
        <v>174.14312384084687</v>
      </c>
      <c r="AA8" s="226">
        <f>(G8/60)*'Lookups &amp; OH allocation'!$I$13</f>
        <v>156.04664825922063</v>
      </c>
      <c r="AB8" s="226">
        <f>SUM(Z8,U8,AA8)*'Lookups &amp; OH allocation'!$G$23</f>
        <v>30.681878325229864</v>
      </c>
      <c r="AC8" s="179"/>
      <c r="AD8" s="179"/>
      <c r="AE8" s="223">
        <f t="shared" si="4"/>
        <v>186.72852658445049</v>
      </c>
      <c r="AF8" s="124">
        <f>(U8+Z8+AE8)*'Lookups &amp; OH allocation'!$L$62</f>
        <v>40.57350543525714</v>
      </c>
      <c r="AG8" s="124"/>
      <c r="AH8" s="223">
        <f t="shared" si="5"/>
        <v>40.57350543525714</v>
      </c>
      <c r="AI8" s="225">
        <f t="shared" si="6"/>
        <v>712.32028416467995</v>
      </c>
      <c r="AJ8" s="234">
        <f>IFERROR(VLOOKUP($C8,'Volumes - Report Summary'!$C:$AF,MATCH(AM$2,'Volumes - Report Summary'!$C$6:$AF$6,0),FALSE),0)</f>
        <v>10</v>
      </c>
      <c r="AK8" s="266">
        <f>VLOOKUP(B8,'Back Office Time'!$B$5:$G$24,4,FALSE)</f>
        <v>5</v>
      </c>
      <c r="AL8" s="398">
        <f t="shared" si="7"/>
        <v>187.05559688784172</v>
      </c>
      <c r="AM8" s="522">
        <f t="shared" si="8"/>
        <v>50</v>
      </c>
      <c r="AN8" s="517"/>
      <c r="AO8" s="521"/>
      <c r="AP8" s="521"/>
      <c r="AQ8" s="289"/>
      <c r="AR8" s="29"/>
      <c r="AS8" s="289"/>
    </row>
    <row r="9" spans="1:45">
      <c r="B9" s="110" t="s">
        <v>2</v>
      </c>
      <c r="C9" s="111" t="s">
        <v>7</v>
      </c>
      <c r="D9" s="183">
        <v>8</v>
      </c>
      <c r="E9" s="122">
        <v>20</v>
      </c>
      <c r="F9" s="269">
        <f t="shared" si="0"/>
        <v>28</v>
      </c>
      <c r="G9" s="217">
        <f t="shared" si="1"/>
        <v>56</v>
      </c>
      <c r="H9" s="122">
        <v>2</v>
      </c>
      <c r="I9" s="123" t="s">
        <v>199</v>
      </c>
      <c r="J9" s="123" t="s">
        <v>199</v>
      </c>
      <c r="K9" s="123" t="s">
        <v>154</v>
      </c>
      <c r="L9" s="272">
        <f>(IF(H9&gt;=1,IF(H9&gt;=2,VLOOKUP(I9,'Lookups &amp; OH allocation'!$B$41:$C$50,2,FALSE)/60*(E9)+VLOOKUP(J9,'Lookups &amp; OH allocation'!$B$41:$C$50,2,FALSE)/60*(E9),VLOOKUP(I9,'Lookups &amp; OH allocation'!$B$41:$C$50,2,FALSE)/60*(E9)),0))*(1+(VLOOKUP(K9,'Lookups &amp; OH allocation'!$K$47:$L$52,2,FALSE)))</f>
        <v>47.234951371411206</v>
      </c>
      <c r="M9" s="218">
        <f>(IF(H9&gt;=1,IF(H9&gt;=2,VLOOKUP(I9,'Lookups &amp; OH allocation'!$B$41:$C$50,2,FALSE)/60*(D9)+VLOOKUP(J9,'Lookups &amp; OH allocation'!$B$41:$C$50,2,FALSE)/60*(D9),VLOOKUP(I9,'Lookups &amp; OH allocation'!$B$41:$C$50,2,FALSE)/60*(D9)),0))*(1+(VLOOKUP(K9,'Lookups &amp; OH allocation'!$K$47:$L$52,2,FALSE)))</f>
        <v>18.893980548564482</v>
      </c>
      <c r="N9" s="273">
        <f>(IF(H9&gt;=1,IF(H9&gt;=2,VLOOKUP(I9,'Lookups &amp; OH allocation'!$B$41:$C$50,2,FALSE)/60*(F9)+VLOOKUP(J9,'Lookups &amp; OH allocation'!$B$41:$C$50,2,FALSE)/60*(F9),VLOOKUP(I9,'Lookups &amp; OH allocation'!$B$41:$C$50,2,FALSE)/60*(F9)),0))*(1+(VLOOKUP(K9,'Lookups &amp; OH allocation'!$K$47:$L$52,2,FALSE)))</f>
        <v>66.128931919975685</v>
      </c>
      <c r="O9" s="221" t="s">
        <v>238</v>
      </c>
      <c r="P9" s="277">
        <f>VLOOKUP(O9,'Lookups &amp; OH allocation'!$B$62:$C$72,2,FALSE)</f>
        <v>0</v>
      </c>
      <c r="Q9" s="125" t="s">
        <v>101</v>
      </c>
      <c r="R9" s="122"/>
      <c r="S9" s="277">
        <f>IF(R9&gt;0.01,VLOOKUP(Q9,'Lookups &amp; OH allocation'!$K$41:$L$43,2,FALSE)*((R9)/60),VLOOKUP(Q9,'Lookups &amp; OH allocation'!$K$41:$L$43,2,FALSE)*((F9)/60))</f>
        <v>3.2042990088267818</v>
      </c>
      <c r="T9" s="124">
        <v>0</v>
      </c>
      <c r="U9" s="223">
        <f t="shared" si="2"/>
        <v>69.333230928802465</v>
      </c>
      <c r="V9" s="226">
        <f>IF(AJ9=0,"No Volumes",AM9/'Lookups &amp; OH allocation'!$C$53*'Lookups &amp; OH allocation'!$D$53/AJ9)</f>
        <v>18.70555968878417</v>
      </c>
      <c r="W9" s="123" t="s">
        <v>154</v>
      </c>
      <c r="X9" s="281">
        <f>U9*VLOOKUP(W9,'Lookups &amp; OH allocation'!$K$55:$L$59,2,FALSE)</f>
        <v>0</v>
      </c>
      <c r="Y9" s="124"/>
      <c r="Z9" s="223">
        <f t="shared" si="3"/>
        <v>18.70555968878417</v>
      </c>
      <c r="AA9" s="226">
        <f>(G9/60)*'Lookups &amp; OH allocation'!$I$13</f>
        <v>36.410884593818146</v>
      </c>
      <c r="AB9" s="226">
        <f>SUM(Z9,U9,AA9)*'Lookups &amp; OH allocation'!$G$23</f>
        <v>5.9562608872256426</v>
      </c>
      <c r="AC9" s="179"/>
      <c r="AD9" s="179"/>
      <c r="AE9" s="223">
        <f t="shared" si="4"/>
        <v>42.367145481043792</v>
      </c>
      <c r="AF9" s="124">
        <f>(U9+Z9+AE9)*'Lookups &amp; OH allocation'!$L$62</f>
        <v>7.8765185403572788</v>
      </c>
      <c r="AG9" s="124"/>
      <c r="AH9" s="223">
        <f t="shared" si="5"/>
        <v>7.8765185403572788</v>
      </c>
      <c r="AI9" s="225">
        <f t="shared" si="6"/>
        <v>138.2824546389877</v>
      </c>
      <c r="AJ9" s="234">
        <f>IFERROR(VLOOKUP($C9,'Volumes - Report Summary'!$C:$AF,MATCH(AM$2,'Volumes - Report Summary'!$C$6:$AF$6,0),FALSE),0)</f>
        <v>1528</v>
      </c>
      <c r="AK9" s="266">
        <f>VLOOKUP(B9,'Back Office Time'!$B$5:$G$24,4,FALSE)</f>
        <v>5</v>
      </c>
      <c r="AL9" s="398">
        <f t="shared" si="7"/>
        <v>28582.095204462214</v>
      </c>
      <c r="AM9" s="522">
        <f t="shared" si="8"/>
        <v>7640</v>
      </c>
      <c r="AN9" s="517"/>
      <c r="AO9" s="521"/>
      <c r="AP9" s="521"/>
      <c r="AQ9" s="289"/>
      <c r="AR9" s="29"/>
      <c r="AS9" s="289"/>
    </row>
    <row r="10" spans="1:45">
      <c r="B10" s="110" t="s">
        <v>2</v>
      </c>
      <c r="C10" s="111" t="s">
        <v>215</v>
      </c>
      <c r="D10" s="183">
        <v>30</v>
      </c>
      <c r="E10" s="122">
        <v>20</v>
      </c>
      <c r="F10" s="269">
        <f t="shared" si="0"/>
        <v>50</v>
      </c>
      <c r="G10" s="217">
        <f t="shared" si="1"/>
        <v>100</v>
      </c>
      <c r="H10" s="122">
        <v>2</v>
      </c>
      <c r="I10" s="123" t="s">
        <v>199</v>
      </c>
      <c r="J10" s="123" t="s">
        <v>199</v>
      </c>
      <c r="K10" s="123" t="s">
        <v>154</v>
      </c>
      <c r="L10" s="272">
        <f>(IF(H10&gt;=1,IF(H10&gt;=2,VLOOKUP(I10,'Lookups &amp; OH allocation'!$B$41:$C$50,2,FALSE)/60*(E10)+VLOOKUP(J10,'Lookups &amp; OH allocation'!$B$41:$C$50,2,FALSE)/60*(E10),VLOOKUP(I10,'Lookups &amp; OH allocation'!$B$41:$C$50,2,FALSE)/60*(E10)),0))*(1+(VLOOKUP(K10,'Lookups &amp; OH allocation'!$K$47:$L$52,2,FALSE)))</f>
        <v>47.234951371411206</v>
      </c>
      <c r="M10" s="218">
        <f>(IF(H10&gt;=1,IF(H10&gt;=2,VLOOKUP(I10,'Lookups &amp; OH allocation'!$B$41:$C$50,2,FALSE)/60*(D10)+VLOOKUP(J10,'Lookups &amp; OH allocation'!$B$41:$C$50,2,FALSE)/60*(D10),VLOOKUP(I10,'Lookups &amp; OH allocation'!$B$41:$C$50,2,FALSE)/60*(D10)),0))*(1+(VLOOKUP(K10,'Lookups &amp; OH allocation'!$K$47:$L$52,2,FALSE)))</f>
        <v>70.852427057116813</v>
      </c>
      <c r="N10" s="273">
        <f>(IF(H10&gt;=1,IF(H10&gt;=2,VLOOKUP(I10,'Lookups &amp; OH allocation'!$B$41:$C$50,2,FALSE)/60*(F10)+VLOOKUP(J10,'Lookups &amp; OH allocation'!$B$41:$C$50,2,FALSE)/60*(F10),VLOOKUP(I10,'Lookups &amp; OH allocation'!$B$41:$C$50,2,FALSE)/60*(F10)),0))*(1+(VLOOKUP(K10,'Lookups &amp; OH allocation'!$K$47:$L$52,2,FALSE)))</f>
        <v>118.08737842852801</v>
      </c>
      <c r="O10" s="221" t="s">
        <v>238</v>
      </c>
      <c r="P10" s="277">
        <f>VLOOKUP(O10,'Lookups &amp; OH allocation'!$B$62:$C$72,2,FALSE)</f>
        <v>0</v>
      </c>
      <c r="Q10" s="125" t="s">
        <v>100</v>
      </c>
      <c r="R10" s="122"/>
      <c r="S10" s="277">
        <f>IF(R10&gt;0.01,VLOOKUP(Q10,'Lookups &amp; OH allocation'!$K$41:$L$43,2,FALSE)*((R10)/60),VLOOKUP(Q10,'Lookups &amp; OH allocation'!$K$41:$L$43,2,FALSE)*((F10)/60))</f>
        <v>21.138228582395328</v>
      </c>
      <c r="T10" s="124">
        <v>0</v>
      </c>
      <c r="U10" s="223">
        <f t="shared" si="2"/>
        <v>139.22560701092334</v>
      </c>
      <c r="V10" s="226">
        <f>IF(AJ10=0,"No Volumes",AM10/'Lookups &amp; OH allocation'!$C$53*'Lookups &amp; OH allocation'!$D$53/AJ10)</f>
        <v>18.705559688784174</v>
      </c>
      <c r="W10" s="123" t="s">
        <v>154</v>
      </c>
      <c r="X10" s="281">
        <f>U10*VLOOKUP(W10,'Lookups &amp; OH allocation'!$K$55:$L$59,2,FALSE)</f>
        <v>0</v>
      </c>
      <c r="Y10" s="124"/>
      <c r="Z10" s="223">
        <f t="shared" si="3"/>
        <v>18.705559688784174</v>
      </c>
      <c r="AA10" s="226">
        <f>(G10/60)*'Lookups &amp; OH allocation'!$I$13</f>
        <v>65.01943677467527</v>
      </c>
      <c r="AB10" s="226">
        <f>SUM(Z10,U10,AA10)*'Lookups &amp; OH allocation'!$G$23</f>
        <v>10.670594013218636</v>
      </c>
      <c r="AC10" s="179"/>
      <c r="AD10" s="179"/>
      <c r="AE10" s="223">
        <f t="shared" si="4"/>
        <v>75.690030787893903</v>
      </c>
      <c r="AF10" s="124">
        <f>(U10+Z10+AE10)*'Lookups &amp; OH allocation'!$L$62</f>
        <v>14.110720328251126</v>
      </c>
      <c r="AG10" s="124"/>
      <c r="AH10" s="223">
        <f t="shared" si="5"/>
        <v>14.110720328251126</v>
      </c>
      <c r="AI10" s="225">
        <f t="shared" si="6"/>
        <v>247.73191781585254</v>
      </c>
      <c r="AJ10" s="234">
        <f>IFERROR(VLOOKUP($C10,'Volumes - Report Summary'!$C:$AF,MATCH(AM$2,'Volumes - Report Summary'!$C$6:$AF$6,0),FALSE),0)</f>
        <v>1</v>
      </c>
      <c r="AK10" s="266">
        <f>VLOOKUP(B10,'Back Office Time'!$B$5:$G$24,4,FALSE)</f>
        <v>5</v>
      </c>
      <c r="AL10" s="398">
        <f t="shared" si="7"/>
        <v>18.705559688784174</v>
      </c>
      <c r="AM10" s="522">
        <f t="shared" si="8"/>
        <v>5</v>
      </c>
      <c r="AN10" s="517"/>
      <c r="AO10" s="521"/>
      <c r="AP10" s="521"/>
      <c r="AQ10" s="289"/>
      <c r="AR10" s="29"/>
      <c r="AS10" s="289"/>
    </row>
    <row r="11" spans="1:45">
      <c r="B11" s="110" t="s">
        <v>2</v>
      </c>
      <c r="C11" s="111" t="s">
        <v>481</v>
      </c>
      <c r="D11" s="183">
        <v>30</v>
      </c>
      <c r="E11" s="122">
        <v>20</v>
      </c>
      <c r="F11" s="269">
        <f t="shared" si="0"/>
        <v>50</v>
      </c>
      <c r="G11" s="217">
        <f t="shared" si="1"/>
        <v>50</v>
      </c>
      <c r="H11" s="122">
        <v>1</v>
      </c>
      <c r="I11" s="123" t="s">
        <v>199</v>
      </c>
      <c r="J11" s="123"/>
      <c r="K11" s="123" t="s">
        <v>154</v>
      </c>
      <c r="L11" s="272">
        <f>(IF(H11&gt;=1,IF(H11&gt;=2,VLOOKUP(I11,'Lookups &amp; OH allocation'!$B$41:$C$50,2,FALSE)/60*(E11)+VLOOKUP(J11,'Lookups &amp; OH allocation'!$B$41:$C$50,2,FALSE)/60*(E11),VLOOKUP(I11,'Lookups &amp; OH allocation'!$B$41:$C$50,2,FALSE)/60*(E11)),0))*(1+(VLOOKUP(K11,'Lookups &amp; OH allocation'!$K$47:$L$52,2,FALSE)))</f>
        <v>23.617475685705603</v>
      </c>
      <c r="M11" s="218">
        <f>(IF(H11&gt;=1,IF(H11&gt;=2,VLOOKUP(I11,'Lookups &amp; OH allocation'!$B$41:$C$50,2,FALSE)/60*(D11)+VLOOKUP(J11,'Lookups &amp; OH allocation'!$B$41:$C$50,2,FALSE)/60*(D11),VLOOKUP(I11,'Lookups &amp; OH allocation'!$B$41:$C$50,2,FALSE)/60*(D11)),0))*(1+(VLOOKUP(K11,'Lookups &amp; OH allocation'!$K$47:$L$52,2,FALSE)))</f>
        <v>35.426213528558407</v>
      </c>
      <c r="N11" s="273">
        <f>(IF(H11&gt;=1,IF(H11&gt;=2,VLOOKUP(I11,'Lookups &amp; OH allocation'!$B$41:$C$50,2,FALSE)/60*(F11)+VLOOKUP(J11,'Lookups &amp; OH allocation'!$B$41:$C$50,2,FALSE)/60*(F11),VLOOKUP(I11,'Lookups &amp; OH allocation'!$B$41:$C$50,2,FALSE)/60*(F11)),0))*(1+(VLOOKUP(K11,'Lookups &amp; OH allocation'!$K$47:$L$52,2,FALSE)))</f>
        <v>59.043689214264006</v>
      </c>
      <c r="O11" s="221" t="s">
        <v>238</v>
      </c>
      <c r="P11" s="277">
        <f>VLOOKUP(O11,'Lookups &amp; OH allocation'!$B$62:$C$72,2,FALSE)</f>
        <v>0</v>
      </c>
      <c r="Q11" s="125" t="s">
        <v>101</v>
      </c>
      <c r="R11" s="122"/>
      <c r="S11" s="277">
        <f>IF(R11&gt;0.01,VLOOKUP(Q11,'Lookups &amp; OH allocation'!$K$41:$L$43,2,FALSE)*((R11)/60),VLOOKUP(Q11,'Lookups &amp; OH allocation'!$K$41:$L$43,2,FALSE)*((F11)/60))</f>
        <v>5.7219625157621108</v>
      </c>
      <c r="T11" s="124">
        <v>0</v>
      </c>
      <c r="U11" s="223">
        <f t="shared" si="2"/>
        <v>64.765651730026121</v>
      </c>
      <c r="V11" s="226">
        <f>IF(AJ11=0,"No Volumes",AM11/'Lookups &amp; OH allocation'!$C$53*'Lookups &amp; OH allocation'!$D$53/AJ11)</f>
        <v>18.70555968878417</v>
      </c>
      <c r="W11" s="123" t="s">
        <v>154</v>
      </c>
      <c r="X11" s="281">
        <f>U11*VLOOKUP(W11,'Lookups &amp; OH allocation'!$K$55:$L$59,2,FALSE)</f>
        <v>0</v>
      </c>
      <c r="Y11" s="124"/>
      <c r="Z11" s="223">
        <f t="shared" si="3"/>
        <v>18.70555968878417</v>
      </c>
      <c r="AA11" s="226">
        <f>(G11/60)*'Lookups &amp; OH allocation'!$I$13</f>
        <v>32.509718387337635</v>
      </c>
      <c r="AB11" s="226">
        <f>SUM(Z11,U11,AA11)*'Lookups &amp; OH allocation'!$G$23</f>
        <v>5.5509399658530771</v>
      </c>
      <c r="AC11" s="179"/>
      <c r="AD11" s="179"/>
      <c r="AE11" s="223">
        <f t="shared" si="4"/>
        <v>38.060658353190711</v>
      </c>
      <c r="AF11" s="124">
        <f>(U11+Z11+AE11)*'Lookups &amp; OH allocation'!$L$62</f>
        <v>7.3405249342288617</v>
      </c>
      <c r="AG11" s="124"/>
      <c r="AH11" s="223">
        <f t="shared" si="5"/>
        <v>7.3405249342288617</v>
      </c>
      <c r="AI11" s="225">
        <f t="shared" si="6"/>
        <v>128.87239470622987</v>
      </c>
      <c r="AJ11" s="234">
        <f>IFERROR(VLOOKUP($C11,'Volumes - Report Summary'!$C:$AF,MATCH(AM$2,'Volumes - Report Summary'!$C$6:$AF$6,0),FALSE),0)</f>
        <v>42</v>
      </c>
      <c r="AK11" s="266">
        <f>VLOOKUP(B11,'Back Office Time'!$B$5:$G$24,4,FALSE)</f>
        <v>5</v>
      </c>
      <c r="AL11" s="398">
        <f t="shared" si="7"/>
        <v>785.63350692893516</v>
      </c>
      <c r="AM11" s="522">
        <f t="shared" si="8"/>
        <v>210</v>
      </c>
      <c r="AN11" s="517"/>
      <c r="AO11" s="521"/>
      <c r="AP11" s="521"/>
      <c r="AQ11" s="289"/>
      <c r="AR11" s="29"/>
      <c r="AS11" s="289"/>
    </row>
    <row r="12" spans="1:45">
      <c r="B12" s="110" t="s">
        <v>2</v>
      </c>
      <c r="C12" s="111" t="s">
        <v>149</v>
      </c>
      <c r="D12" s="183">
        <v>30</v>
      </c>
      <c r="E12" s="122">
        <v>20</v>
      </c>
      <c r="F12" s="269">
        <f t="shared" si="0"/>
        <v>50</v>
      </c>
      <c r="G12" s="217">
        <f t="shared" si="1"/>
        <v>100</v>
      </c>
      <c r="H12" s="122">
        <v>2</v>
      </c>
      <c r="I12" s="123" t="s">
        <v>199</v>
      </c>
      <c r="J12" s="123" t="s">
        <v>199</v>
      </c>
      <c r="K12" s="123" t="s">
        <v>154</v>
      </c>
      <c r="L12" s="272">
        <f>(IF(H12&gt;=1,IF(H12&gt;=2,VLOOKUP(I12,'Lookups &amp; OH allocation'!$B$41:$C$50,2,FALSE)/60*(E12)+VLOOKUP(J12,'Lookups &amp; OH allocation'!$B$41:$C$50,2,FALSE)/60*(E12),VLOOKUP(I12,'Lookups &amp; OH allocation'!$B$41:$C$50,2,FALSE)/60*(E12)),0))*(1+(VLOOKUP(K12,'Lookups &amp; OH allocation'!$K$47:$L$52,2,FALSE)))</f>
        <v>47.234951371411206</v>
      </c>
      <c r="M12" s="218">
        <f>(IF(H12&gt;=1,IF(H12&gt;=2,VLOOKUP(I12,'Lookups &amp; OH allocation'!$B$41:$C$50,2,FALSE)/60*(D12)+VLOOKUP(J12,'Lookups &amp; OH allocation'!$B$41:$C$50,2,FALSE)/60*(D12),VLOOKUP(I12,'Lookups &amp; OH allocation'!$B$41:$C$50,2,FALSE)/60*(D12)),0))*(1+(VLOOKUP(K12,'Lookups &amp; OH allocation'!$K$47:$L$52,2,FALSE)))</f>
        <v>70.852427057116813</v>
      </c>
      <c r="N12" s="273">
        <f>(IF(H12&gt;=1,IF(H12&gt;=2,VLOOKUP(I12,'Lookups &amp; OH allocation'!$B$41:$C$50,2,FALSE)/60*(F12)+VLOOKUP(J12,'Lookups &amp; OH allocation'!$B$41:$C$50,2,FALSE)/60*(F12),VLOOKUP(I12,'Lookups &amp; OH allocation'!$B$41:$C$50,2,FALSE)/60*(F12)),0))*(1+(VLOOKUP(K12,'Lookups &amp; OH allocation'!$K$47:$L$52,2,FALSE)))</f>
        <v>118.08737842852801</v>
      </c>
      <c r="O12" s="221" t="s">
        <v>238</v>
      </c>
      <c r="P12" s="277">
        <f>VLOOKUP(O12,'Lookups &amp; OH allocation'!$B$62:$C$72,2,FALSE)</f>
        <v>0</v>
      </c>
      <c r="Q12" s="125" t="s">
        <v>100</v>
      </c>
      <c r="R12" s="122"/>
      <c r="S12" s="277">
        <f>IF(R12&gt;0.01,VLOOKUP(Q12,'Lookups &amp; OH allocation'!$K$41:$L$43,2,FALSE)*((R12)/60),VLOOKUP(Q12,'Lookups &amp; OH allocation'!$K$41:$L$43,2,FALSE)*((F12)/60))</f>
        <v>21.138228582395328</v>
      </c>
      <c r="T12" s="124">
        <v>0</v>
      </c>
      <c r="U12" s="223">
        <f t="shared" si="2"/>
        <v>139.22560701092334</v>
      </c>
      <c r="V12" s="226">
        <f>IF(AJ12=0,"No Volumes",AM12/'Lookups &amp; OH allocation'!$C$53*'Lookups &amp; OH allocation'!$D$53/AJ12)</f>
        <v>18.705559688784174</v>
      </c>
      <c r="W12" s="123" t="s">
        <v>154</v>
      </c>
      <c r="X12" s="281">
        <f>U12*VLOOKUP(W12,'Lookups &amp; OH allocation'!$K$55:$L$59,2,FALSE)</f>
        <v>0</v>
      </c>
      <c r="Y12" s="124"/>
      <c r="Z12" s="223">
        <f t="shared" si="3"/>
        <v>18.705559688784174</v>
      </c>
      <c r="AA12" s="226">
        <f>(G12/60)*'Lookups &amp; OH allocation'!$I$13</f>
        <v>65.01943677467527</v>
      </c>
      <c r="AB12" s="226">
        <f>SUM(Z12,U12,AA12)*'Lookups &amp; OH allocation'!$G$23</f>
        <v>10.670594013218636</v>
      </c>
      <c r="AC12" s="179"/>
      <c r="AD12" s="179"/>
      <c r="AE12" s="223">
        <f t="shared" si="4"/>
        <v>75.690030787893903</v>
      </c>
      <c r="AF12" s="124">
        <f>(U12+Z12+AE12)*'Lookups &amp; OH allocation'!$L$62</f>
        <v>14.110720328251126</v>
      </c>
      <c r="AG12" s="124"/>
      <c r="AH12" s="223">
        <f t="shared" si="5"/>
        <v>14.110720328251126</v>
      </c>
      <c r="AI12" s="225">
        <f t="shared" si="6"/>
        <v>247.73191781585254</v>
      </c>
      <c r="AJ12" s="234">
        <f>IFERROR(VLOOKUP($C12,'Volumes - Report Summary'!$C:$AF,MATCH(AM$2,'Volumes - Report Summary'!$C$6:$AF$6,0),FALSE),0)</f>
        <v>1</v>
      </c>
      <c r="AK12" s="266">
        <f>VLOOKUP(B12,'Back Office Time'!$B$5:$G$24,4,FALSE)</f>
        <v>5</v>
      </c>
      <c r="AL12" s="398">
        <f t="shared" si="7"/>
        <v>18.705559688784174</v>
      </c>
      <c r="AM12" s="522">
        <f t="shared" si="8"/>
        <v>5</v>
      </c>
      <c r="AN12" s="517"/>
      <c r="AO12" s="521"/>
      <c r="AP12" s="521"/>
      <c r="AQ12" s="289"/>
      <c r="AR12" s="29"/>
      <c r="AS12" s="289"/>
    </row>
    <row r="13" spans="1:45">
      <c r="B13" s="110" t="s">
        <v>2</v>
      </c>
      <c r="C13" s="111" t="s">
        <v>216</v>
      </c>
      <c r="D13" s="183">
        <v>8</v>
      </c>
      <c r="E13" s="122">
        <v>20</v>
      </c>
      <c r="F13" s="269">
        <f t="shared" si="0"/>
        <v>28</v>
      </c>
      <c r="G13" s="217">
        <f t="shared" si="1"/>
        <v>56</v>
      </c>
      <c r="H13" s="122">
        <v>2</v>
      </c>
      <c r="I13" s="123" t="s">
        <v>199</v>
      </c>
      <c r="J13" s="123" t="s">
        <v>199</v>
      </c>
      <c r="K13" s="123" t="s">
        <v>154</v>
      </c>
      <c r="L13" s="272">
        <f>(IF(H13&gt;=1,IF(H13&gt;=2,VLOOKUP(I13,'Lookups &amp; OH allocation'!$B$41:$C$50,2,FALSE)/60*(E13)+VLOOKUP(J13,'Lookups &amp; OH allocation'!$B$41:$C$50,2,FALSE)/60*(E13),VLOOKUP(I13,'Lookups &amp; OH allocation'!$B$41:$C$50,2,FALSE)/60*(E13)),0))*(1+(VLOOKUP(K13,'Lookups &amp; OH allocation'!$K$47:$L$52,2,FALSE)))</f>
        <v>47.234951371411206</v>
      </c>
      <c r="M13" s="218">
        <f>(IF(H13&gt;=1,IF(H13&gt;=2,VLOOKUP(I13,'Lookups &amp; OH allocation'!$B$41:$C$50,2,FALSE)/60*(D13)+VLOOKUP(J13,'Lookups &amp; OH allocation'!$B$41:$C$50,2,FALSE)/60*(D13),VLOOKUP(I13,'Lookups &amp; OH allocation'!$B$41:$C$50,2,FALSE)/60*(D13)),0))*(1+(VLOOKUP(K13,'Lookups &amp; OH allocation'!$K$47:$L$52,2,FALSE)))</f>
        <v>18.893980548564482</v>
      </c>
      <c r="N13" s="273">
        <f>(IF(H13&gt;=1,IF(H13&gt;=2,VLOOKUP(I13,'Lookups &amp; OH allocation'!$B$41:$C$50,2,FALSE)/60*(F13)+VLOOKUP(J13,'Lookups &amp; OH allocation'!$B$41:$C$50,2,FALSE)/60*(F13),VLOOKUP(I13,'Lookups &amp; OH allocation'!$B$41:$C$50,2,FALSE)/60*(F13)),0))*(1+(VLOOKUP(K13,'Lookups &amp; OH allocation'!$K$47:$L$52,2,FALSE)))</f>
        <v>66.128931919975685</v>
      </c>
      <c r="O13" s="221" t="s">
        <v>238</v>
      </c>
      <c r="P13" s="277">
        <f>VLOOKUP(O13,'Lookups &amp; OH allocation'!$B$62:$C$72,2,FALSE)</f>
        <v>0</v>
      </c>
      <c r="Q13" s="125" t="s">
        <v>100</v>
      </c>
      <c r="R13" s="122"/>
      <c r="S13" s="277">
        <f>IF(R13&gt;0.01,VLOOKUP(Q13,'Lookups &amp; OH allocation'!$K$41:$L$43,2,FALSE)*((R13)/60),VLOOKUP(Q13,'Lookups &amp; OH allocation'!$K$41:$L$43,2,FALSE)*((F13)/60))</f>
        <v>11.837408006141382</v>
      </c>
      <c r="T13" s="124">
        <v>0</v>
      </c>
      <c r="U13" s="223">
        <f t="shared" si="2"/>
        <v>77.966339926117072</v>
      </c>
      <c r="V13" s="226">
        <f>IF(AJ13=0,"No Volumes",AM13/'Lookups &amp; OH allocation'!$C$53*'Lookups &amp; OH allocation'!$D$53/AJ13)</f>
        <v>18.705559688784174</v>
      </c>
      <c r="W13" s="123" t="s">
        <v>154</v>
      </c>
      <c r="X13" s="281">
        <f>U13*VLOOKUP(W13,'Lookups &amp; OH allocation'!$K$55:$L$59,2,FALSE)</f>
        <v>0</v>
      </c>
      <c r="Y13" s="124"/>
      <c r="Z13" s="223">
        <f t="shared" si="3"/>
        <v>18.705559688784174</v>
      </c>
      <c r="AA13" s="226">
        <f>(G13/60)*'Lookups &amp; OH allocation'!$I$13</f>
        <v>36.410884593818146</v>
      </c>
      <c r="AB13" s="226">
        <f>SUM(Z13,U13,AA13)*'Lookups &amp; OH allocation'!$G$23</f>
        <v>6.369448381435741</v>
      </c>
      <c r="AC13" s="179"/>
      <c r="AD13" s="179"/>
      <c r="AE13" s="223">
        <f t="shared" si="4"/>
        <v>42.780332975253884</v>
      </c>
      <c r="AF13" s="124">
        <f>(U13+Z13+AE13)*'Lookups &amp; OH allocation'!$L$62</f>
        <v>8.4229148484453695</v>
      </c>
      <c r="AG13" s="124"/>
      <c r="AH13" s="223">
        <f t="shared" si="5"/>
        <v>8.4229148484453695</v>
      </c>
      <c r="AI13" s="225">
        <f t="shared" si="6"/>
        <v>147.87514743860049</v>
      </c>
      <c r="AJ13" s="234">
        <f>IFERROR(VLOOKUP($C13,'Volumes - Report Summary'!$C:$AF,MATCH(AM$2,'Volumes - Report Summary'!$C$6:$AF$6,0),FALSE),0)</f>
        <v>1</v>
      </c>
      <c r="AK13" s="266">
        <f>VLOOKUP(B13,'Back Office Time'!$B$5:$G$24,4,FALSE)</f>
        <v>5</v>
      </c>
      <c r="AL13" s="398">
        <f t="shared" si="7"/>
        <v>18.705559688784174</v>
      </c>
      <c r="AM13" s="522">
        <f t="shared" si="8"/>
        <v>5</v>
      </c>
      <c r="AN13" s="517"/>
      <c r="AO13" s="521"/>
      <c r="AP13" s="521"/>
      <c r="AQ13" s="289"/>
      <c r="AR13" s="29"/>
      <c r="AS13" s="289"/>
    </row>
    <row r="14" spans="1:45">
      <c r="B14" s="110" t="s">
        <v>2</v>
      </c>
      <c r="C14" s="111" t="s">
        <v>34</v>
      </c>
      <c r="D14" s="183">
        <v>0</v>
      </c>
      <c r="E14" s="122">
        <v>0</v>
      </c>
      <c r="F14" s="269">
        <f t="shared" si="0"/>
        <v>0</v>
      </c>
      <c r="G14" s="217">
        <f t="shared" si="1"/>
        <v>0</v>
      </c>
      <c r="H14" s="122"/>
      <c r="I14" s="123"/>
      <c r="J14" s="123"/>
      <c r="K14" s="123" t="s">
        <v>154</v>
      </c>
      <c r="L14" s="272">
        <f>(IF(H14&gt;=1,IF(H14&gt;=2,VLOOKUP(I14,'Lookups &amp; OH allocation'!$B$41:$C$50,2,FALSE)/60*(E14)+VLOOKUP(J14,'Lookups &amp; OH allocation'!$B$41:$C$50,2,FALSE)/60*(E14),VLOOKUP(I14,'Lookups &amp; OH allocation'!$B$41:$C$50,2,FALSE)/60*(E14)),0))*(1+(VLOOKUP(K14,'Lookups &amp; OH allocation'!$K$47:$L$52,2,FALSE)))</f>
        <v>0</v>
      </c>
      <c r="M14" s="218">
        <f>(IF(H14&gt;=1,IF(H14&gt;=2,VLOOKUP(I14,'Lookups &amp; OH allocation'!$B$41:$C$50,2,FALSE)/60*(D14)+VLOOKUP(J14,'Lookups &amp; OH allocation'!$B$41:$C$50,2,FALSE)/60*(D14),VLOOKUP(I14,'Lookups &amp; OH allocation'!$B$41:$C$50,2,FALSE)/60*(D14)),0))*(1+(VLOOKUP(K14,'Lookups &amp; OH allocation'!$K$47:$L$52,2,FALSE)))</f>
        <v>0</v>
      </c>
      <c r="N14" s="273">
        <f>(IF(H14&gt;=1,IF(H14&gt;=2,VLOOKUP(I14,'Lookups &amp; OH allocation'!$B$41:$C$50,2,FALSE)/60*(F14)+VLOOKUP(J14,'Lookups &amp; OH allocation'!$B$41:$C$50,2,FALSE)/60*(F14),VLOOKUP(I14,'Lookups &amp; OH allocation'!$B$41:$C$50,2,FALSE)/60*(F14)),0))*(1+(VLOOKUP(K14,'Lookups &amp; OH allocation'!$K$47:$L$52,2,FALSE)))</f>
        <v>0</v>
      </c>
      <c r="O14" s="221" t="s">
        <v>238</v>
      </c>
      <c r="P14" s="277">
        <f>VLOOKUP(O14,'Lookups &amp; OH allocation'!$B$62:$C$72,2,FALSE)</f>
        <v>0</v>
      </c>
      <c r="Q14" s="125" t="s">
        <v>101</v>
      </c>
      <c r="R14" s="122"/>
      <c r="S14" s="277">
        <f>IF(R14&gt;0.01,VLOOKUP(Q14,'Lookups &amp; OH allocation'!$K$41:$L$43,2,FALSE)*((R14)/60),VLOOKUP(Q14,'Lookups &amp; OH allocation'!$K$41:$L$43,2,FALSE)*((F14)/60))</f>
        <v>0</v>
      </c>
      <c r="T14" s="124">
        <v>0</v>
      </c>
      <c r="U14" s="223">
        <f t="shared" si="2"/>
        <v>0</v>
      </c>
      <c r="V14" s="226" t="str">
        <f>IF(AJ14=0,"No Volumes",AM14/'Lookups &amp; OH allocation'!$C$53*'Lookups &amp; OH allocation'!$D$53/AJ14)</f>
        <v>No Volumes</v>
      </c>
      <c r="W14" s="123" t="s">
        <v>154</v>
      </c>
      <c r="X14" s="281">
        <f>U14*VLOOKUP(W14,'Lookups &amp; OH allocation'!$K$55:$L$59,2,FALSE)</f>
        <v>0</v>
      </c>
      <c r="Y14" s="124"/>
      <c r="Z14" s="223">
        <f t="shared" si="3"/>
        <v>0</v>
      </c>
      <c r="AA14" s="226">
        <f>(G14/60)*'Lookups &amp; OH allocation'!$I$13</f>
        <v>0</v>
      </c>
      <c r="AB14" s="226">
        <f>SUM(Z14,U14,AA14)*'Lookups &amp; OH allocation'!$G$23</f>
        <v>0</v>
      </c>
      <c r="AC14" s="179"/>
      <c r="AD14" s="179"/>
      <c r="AE14" s="223">
        <f t="shared" si="4"/>
        <v>0</v>
      </c>
      <c r="AF14" s="124">
        <f>(U14+Z14+AE14)*'Lookups &amp; OH allocation'!$L$62</f>
        <v>0</v>
      </c>
      <c r="AG14" s="124"/>
      <c r="AH14" s="223">
        <f t="shared" si="5"/>
        <v>0</v>
      </c>
      <c r="AI14" s="225">
        <f t="shared" si="6"/>
        <v>0</v>
      </c>
      <c r="AJ14" s="234">
        <f>IFERROR(VLOOKUP($C14,'Volumes - Report Summary'!$C:$AF,MATCH(AM$2,'Volumes - Report Summary'!$C$6:$AF$6,0),FALSE),0)</f>
        <v>0</v>
      </c>
      <c r="AK14" s="266">
        <f>VLOOKUP(B14,'Back Office Time'!$B$5:$G$24,4,FALSE)</f>
        <v>5</v>
      </c>
      <c r="AL14" s="398">
        <f t="shared" si="7"/>
        <v>0</v>
      </c>
      <c r="AM14" s="522">
        <f t="shared" si="8"/>
        <v>0</v>
      </c>
      <c r="AN14" s="517"/>
      <c r="AO14" s="521"/>
      <c r="AP14" s="521"/>
      <c r="AQ14" s="289"/>
      <c r="AR14" s="29"/>
      <c r="AS14" s="289"/>
    </row>
    <row r="15" spans="1:45">
      <c r="A15" t="s">
        <v>145</v>
      </c>
      <c r="B15" s="120" t="s">
        <v>33</v>
      </c>
      <c r="C15" s="112"/>
      <c r="D15" s="184"/>
      <c r="E15" s="113"/>
      <c r="F15" s="116"/>
      <c r="G15" s="271"/>
      <c r="H15" s="113"/>
      <c r="I15" s="114"/>
      <c r="J15" s="114"/>
      <c r="K15" s="114"/>
      <c r="L15" s="274"/>
      <c r="M15" s="178"/>
      <c r="N15" s="275"/>
      <c r="O15" s="203"/>
      <c r="P15" s="276"/>
      <c r="Q15" s="116"/>
      <c r="R15" s="113"/>
      <c r="S15" s="276"/>
      <c r="T15" s="115"/>
      <c r="U15" s="185"/>
      <c r="V15" s="220"/>
      <c r="W15" s="114"/>
      <c r="X15" s="114"/>
      <c r="Y15" s="115"/>
      <c r="Z15" s="227"/>
      <c r="AA15" s="226"/>
      <c r="AB15" s="226"/>
      <c r="AC15" s="118"/>
      <c r="AD15" s="219"/>
      <c r="AE15" s="185"/>
      <c r="AF15" s="115"/>
      <c r="AG15" s="115"/>
      <c r="AH15" s="185"/>
      <c r="AI15" s="186"/>
      <c r="AJ15" s="232"/>
      <c r="AK15" s="266"/>
      <c r="AL15" s="399"/>
      <c r="AM15" s="522"/>
      <c r="AN15" s="523"/>
      <c r="AO15" s="506"/>
      <c r="AP15" s="506"/>
      <c r="AQ15" s="29"/>
      <c r="AR15" s="291"/>
      <c r="AS15" s="291"/>
    </row>
    <row r="16" spans="1:45">
      <c r="B16" s="110" t="s">
        <v>33</v>
      </c>
      <c r="C16" s="111" t="s">
        <v>36</v>
      </c>
      <c r="D16" s="183">
        <v>35</v>
      </c>
      <c r="E16" s="122">
        <v>20</v>
      </c>
      <c r="F16" s="269">
        <f t="shared" ref="F16:F23" si="9">SUM(D16:E16)</f>
        <v>55</v>
      </c>
      <c r="G16" s="217">
        <f t="shared" ref="G16:G23" si="10">SUM(D16:E16)*H16</f>
        <v>55</v>
      </c>
      <c r="H16" s="122">
        <v>1</v>
      </c>
      <c r="I16" s="123" t="s">
        <v>199</v>
      </c>
      <c r="J16" s="123"/>
      <c r="K16" s="123" t="s">
        <v>154</v>
      </c>
      <c r="L16" s="272">
        <f>(IF(H16&gt;=1,IF(H16&gt;=2,VLOOKUP(I16,'Lookups &amp; OH allocation'!$B$41:$C$50,2,FALSE)/60*(E16)+VLOOKUP(J16,'Lookups &amp; OH allocation'!$B$41:$C$50,2,FALSE)/60*(E16),VLOOKUP(I16,'Lookups &amp; OH allocation'!$B$41:$C$50,2,FALSE)/60*(E16)),0))*(1+(VLOOKUP(K16,'Lookups &amp; OH allocation'!$K$47:$L$52,2,FALSE)))</f>
        <v>23.617475685705603</v>
      </c>
      <c r="M16" s="218">
        <f>(IF(H16&gt;=1,IF(H16&gt;=2,VLOOKUP(I16,'Lookups &amp; OH allocation'!$B$41:$C$50,2,FALSE)/60*(D16)+VLOOKUP(J16,'Lookups &amp; OH allocation'!$B$41:$C$50,2,FALSE)/60*(D16),VLOOKUP(I16,'Lookups &amp; OH allocation'!$B$41:$C$50,2,FALSE)/60*(D16)),0))*(1+(VLOOKUP(K16,'Lookups &amp; OH allocation'!$K$47:$L$52,2,FALSE)))</f>
        <v>41.330582449984803</v>
      </c>
      <c r="N16" s="273">
        <f>(IF(H16&gt;=1,IF(H16&gt;=2,VLOOKUP(I16,'Lookups &amp; OH allocation'!$B$41:$C$50,2,FALSE)/60*(F16)+VLOOKUP(J16,'Lookups &amp; OH allocation'!$B$41:$C$50,2,FALSE)/60*(F16),VLOOKUP(I16,'Lookups &amp; OH allocation'!$B$41:$C$50,2,FALSE)/60*(F16)),0))*(1+(VLOOKUP(K16,'Lookups &amp; OH allocation'!$K$47:$L$52,2,FALSE)))</f>
        <v>64.948058135690403</v>
      </c>
      <c r="O16" s="221" t="s">
        <v>238</v>
      </c>
      <c r="P16" s="277">
        <f>VLOOKUP(O16,'Lookups &amp; OH allocation'!$B$62:$C$72,2,FALSE)</f>
        <v>0</v>
      </c>
      <c r="Q16" s="125" t="s">
        <v>101</v>
      </c>
      <c r="R16" s="122"/>
      <c r="S16" s="277">
        <f>IF(R16&gt;0.01,VLOOKUP(Q16,'Lookups &amp; OH allocation'!$K$41:$L$43,2,FALSE)*((R16)/60),VLOOKUP(Q16,'Lookups &amp; OH allocation'!$K$41:$L$43,2,FALSE)*((F16)/60))</f>
        <v>6.2941587673383212</v>
      </c>
      <c r="T16" s="124">
        <v>0</v>
      </c>
      <c r="U16" s="223">
        <f t="shared" ref="U16:U23" si="11">SUM(N16,P16,S16,T16)</f>
        <v>71.242216903028719</v>
      </c>
      <c r="V16" s="226">
        <f>IF(AJ16=0,"No Volumes",AM16/'Lookups &amp; OH allocation'!$C$53*'Lookups &amp; OH allocation'!$D$53/AJ16)</f>
        <v>18.70555968878417</v>
      </c>
      <c r="W16" s="123" t="s">
        <v>154</v>
      </c>
      <c r="X16" s="281">
        <f>U16*VLOOKUP(W16,'Lookups &amp; OH allocation'!$K$55:$L$59,2,FALSE)</f>
        <v>0</v>
      </c>
      <c r="Y16" s="124"/>
      <c r="Z16" s="223">
        <f t="shared" ref="Z16:Z23" si="12">SUM(V16,X16,Y16)</f>
        <v>18.70555968878417</v>
      </c>
      <c r="AA16" s="226">
        <f>(G16/60)*'Lookups &amp; OH allocation'!$I$13</f>
        <v>35.760690226071397</v>
      </c>
      <c r="AB16" s="226">
        <f>SUM(Z16,U16,AA16)*'Lookups &amp; OH allocation'!$G$23</f>
        <v>6.0165076592489966</v>
      </c>
      <c r="AC16" s="179"/>
      <c r="AD16" s="179"/>
      <c r="AE16" s="223">
        <f t="shared" ref="AE16:AE23" si="13">SUM(AA16:AD16)</f>
        <v>41.77719788532039</v>
      </c>
      <c r="AF16" s="124">
        <f>(U16+Z16+AE16)*'Lookups &amp; OH allocation'!$L$62</f>
        <v>7.9561884584188505</v>
      </c>
      <c r="AG16" s="124"/>
      <c r="AH16" s="223">
        <f t="shared" ref="AH16:AH23" si="14">SUM(AF16,AG16)</f>
        <v>7.9561884584188505</v>
      </c>
      <c r="AI16" s="225">
        <f t="shared" ref="AI16:AI23" si="15">U16+Z16+AE16+AH16</f>
        <v>139.68116293555215</v>
      </c>
      <c r="AJ16" s="234">
        <f>IFERROR(VLOOKUP($C16,'Volumes - Report Summary'!$C:$AF,MATCH(AM$2,'Volumes - Report Summary'!$C$6:$AF$6,0),FALSE),0)</f>
        <v>5774</v>
      </c>
      <c r="AK16" s="266">
        <f>VLOOKUP(B16,'Back Office Time'!$B$5:$G$24,4,FALSE)</f>
        <v>5</v>
      </c>
      <c r="AL16" s="398">
        <f t="shared" ref="AL16:AL23" si="16">IFERROR(V16*AJ16,0)</f>
        <v>108005.9016430398</v>
      </c>
      <c r="AM16" s="522">
        <f t="shared" ref="AM16:AM23" si="17">AK16*AJ16</f>
        <v>28870</v>
      </c>
      <c r="AN16" s="517"/>
      <c r="AO16" s="521"/>
      <c r="AP16" s="521"/>
      <c r="AQ16" s="520"/>
      <c r="AR16" s="29"/>
      <c r="AS16" s="289"/>
    </row>
    <row r="17" spans="1:45">
      <c r="B17" s="110" t="s">
        <v>33</v>
      </c>
      <c r="C17" s="111" t="s">
        <v>315</v>
      </c>
      <c r="D17" s="183">
        <v>55</v>
      </c>
      <c r="E17" s="122">
        <v>20</v>
      </c>
      <c r="F17" s="269">
        <f t="shared" si="9"/>
        <v>75</v>
      </c>
      <c r="G17" s="217">
        <f t="shared" si="10"/>
        <v>75</v>
      </c>
      <c r="H17" s="122">
        <v>1</v>
      </c>
      <c r="I17" s="123" t="s">
        <v>199</v>
      </c>
      <c r="J17" s="123"/>
      <c r="K17" s="123" t="s">
        <v>154</v>
      </c>
      <c r="L17" s="272">
        <f>(IF(H17&gt;=1,IF(H17&gt;=2,VLOOKUP(I17,'Lookups &amp; OH allocation'!$B$41:$C$50,2,FALSE)/60*(E17)+VLOOKUP(J17,'Lookups &amp; OH allocation'!$B$41:$C$50,2,FALSE)/60*(E17),VLOOKUP(I17,'Lookups &amp; OH allocation'!$B$41:$C$50,2,FALSE)/60*(E17)),0))*(1+(VLOOKUP(K17,'Lookups &amp; OH allocation'!$K$47:$L$52,2,FALSE)))</f>
        <v>23.617475685705603</v>
      </c>
      <c r="M17" s="218">
        <f>(IF(H17&gt;=1,IF(H17&gt;=2,VLOOKUP(I17,'Lookups &amp; OH allocation'!$B$41:$C$50,2,FALSE)/60*(D17)+VLOOKUP(J17,'Lookups &amp; OH allocation'!$B$41:$C$50,2,FALSE)/60*(D17),VLOOKUP(I17,'Lookups &amp; OH allocation'!$B$41:$C$50,2,FALSE)/60*(D17)),0))*(1+(VLOOKUP(K17,'Lookups &amp; OH allocation'!$K$47:$L$52,2,FALSE)))</f>
        <v>64.948058135690403</v>
      </c>
      <c r="N17" s="273">
        <f>(IF(H17&gt;=1,IF(H17&gt;=2,VLOOKUP(I17,'Lookups &amp; OH allocation'!$B$41:$C$50,2,FALSE)/60*(F17)+VLOOKUP(J17,'Lookups &amp; OH allocation'!$B$41:$C$50,2,FALSE)/60*(F17),VLOOKUP(I17,'Lookups &amp; OH allocation'!$B$41:$C$50,2,FALSE)/60*(F17)),0))*(1+(VLOOKUP(K17,'Lookups &amp; OH allocation'!$K$47:$L$52,2,FALSE)))</f>
        <v>88.565533821396002</v>
      </c>
      <c r="O17" s="221" t="s">
        <v>238</v>
      </c>
      <c r="P17" s="277">
        <f>VLOOKUP(O17,'Lookups &amp; OH allocation'!$B$62:$C$72,2,FALSE)</f>
        <v>0</v>
      </c>
      <c r="Q17" s="125" t="s">
        <v>101</v>
      </c>
      <c r="R17" s="122"/>
      <c r="S17" s="277">
        <f>IF(R17&gt;0.01,VLOOKUP(Q17,'Lookups &amp; OH allocation'!$K$41:$L$43,2,FALSE)*((R17)/60),VLOOKUP(Q17,'Lookups &amp; OH allocation'!$K$41:$L$43,2,FALSE)*((F17)/60))</f>
        <v>8.5829437736431657</v>
      </c>
      <c r="T17" s="124">
        <v>0</v>
      </c>
      <c r="U17" s="223">
        <f t="shared" si="11"/>
        <v>97.148477595039168</v>
      </c>
      <c r="V17" s="226">
        <f>IF(AJ17=0,"No Volumes",AM17/'Lookups &amp; OH allocation'!$C$53*'Lookups &amp; OH allocation'!$D$53/AJ17)</f>
        <v>18.70555968878417</v>
      </c>
      <c r="W17" s="123" t="s">
        <v>154</v>
      </c>
      <c r="X17" s="281">
        <f>U17*VLOOKUP(W17,'Lookups &amp; OH allocation'!$K$55:$L$59,2,FALSE)</f>
        <v>0</v>
      </c>
      <c r="Y17" s="124"/>
      <c r="Z17" s="223">
        <f t="shared" si="12"/>
        <v>18.70555968878417</v>
      </c>
      <c r="AA17" s="226">
        <f>(G17/60)*'Lookups &amp; OH allocation'!$I$13</f>
        <v>48.764577581006449</v>
      </c>
      <c r="AB17" s="226">
        <f>SUM(Z17,U17,AA17)*'Lookups &amp; OH allocation'!$G$23</f>
        <v>7.8787784328326778</v>
      </c>
      <c r="AC17" s="179"/>
      <c r="AD17" s="179"/>
      <c r="AE17" s="223">
        <f t="shared" si="13"/>
        <v>56.643356013839124</v>
      </c>
      <c r="AF17" s="124">
        <f>(U17+Z17+AE17)*'Lookups &amp; OH allocation'!$L$62</f>
        <v>10.418842555178815</v>
      </c>
      <c r="AG17" s="124"/>
      <c r="AH17" s="223">
        <f t="shared" si="14"/>
        <v>10.418842555178815</v>
      </c>
      <c r="AI17" s="225">
        <f t="shared" si="15"/>
        <v>182.91623585284131</v>
      </c>
      <c r="AJ17" s="234">
        <f>IFERROR(VLOOKUP($C17,'Volumes - Report Summary'!$C:$AF,MATCH(AM$2,'Volumes - Report Summary'!$C$6:$AF$6,0),FALSE),0)</f>
        <v>999</v>
      </c>
      <c r="AK17" s="266">
        <f>VLOOKUP(B17,'Back Office Time'!$B$5:$G$24,4,FALSE)</f>
        <v>5</v>
      </c>
      <c r="AL17" s="398">
        <f t="shared" si="16"/>
        <v>18686.854129095387</v>
      </c>
      <c r="AM17" s="522">
        <f t="shared" si="17"/>
        <v>4995</v>
      </c>
      <c r="AN17" s="517"/>
      <c r="AO17" s="521"/>
      <c r="AP17" s="521"/>
      <c r="AQ17" s="520"/>
      <c r="AR17" s="29"/>
      <c r="AS17" s="289"/>
    </row>
    <row r="18" spans="1:45">
      <c r="B18" s="110" t="s">
        <v>33</v>
      </c>
      <c r="C18" s="111" t="s">
        <v>39</v>
      </c>
      <c r="D18" s="183">
        <v>8</v>
      </c>
      <c r="E18" s="122">
        <v>20</v>
      </c>
      <c r="F18" s="269">
        <f t="shared" si="9"/>
        <v>28</v>
      </c>
      <c r="G18" s="217">
        <f t="shared" si="10"/>
        <v>28</v>
      </c>
      <c r="H18" s="122">
        <v>1</v>
      </c>
      <c r="I18" s="123" t="s">
        <v>199</v>
      </c>
      <c r="J18" s="123"/>
      <c r="K18" s="123" t="s">
        <v>154</v>
      </c>
      <c r="L18" s="272">
        <f>(IF(H18&gt;=1,IF(H18&gt;=2,VLOOKUP(I18,'Lookups &amp; OH allocation'!$B$41:$C$50,2,FALSE)/60*(E18)+VLOOKUP(J18,'Lookups &amp; OH allocation'!$B$41:$C$50,2,FALSE)/60*(E18),VLOOKUP(I18,'Lookups &amp; OH allocation'!$B$41:$C$50,2,FALSE)/60*(E18)),0))*(1+(VLOOKUP(K18,'Lookups &amp; OH allocation'!$K$47:$L$52,2,FALSE)))</f>
        <v>23.617475685705603</v>
      </c>
      <c r="M18" s="218">
        <f>(IF(H18&gt;=1,IF(H18&gt;=2,VLOOKUP(I18,'Lookups &amp; OH allocation'!$B$41:$C$50,2,FALSE)/60*(D18)+VLOOKUP(J18,'Lookups &amp; OH allocation'!$B$41:$C$50,2,FALSE)/60*(D18),VLOOKUP(I18,'Lookups &amp; OH allocation'!$B$41:$C$50,2,FALSE)/60*(D18)),0))*(1+(VLOOKUP(K18,'Lookups &amp; OH allocation'!$K$47:$L$52,2,FALSE)))</f>
        <v>9.4469902742822409</v>
      </c>
      <c r="N18" s="273">
        <f>(IF(H18&gt;=1,IF(H18&gt;=2,VLOOKUP(I18,'Lookups &amp; OH allocation'!$B$41:$C$50,2,FALSE)/60*(F18)+VLOOKUP(J18,'Lookups &amp; OH allocation'!$B$41:$C$50,2,FALSE)/60*(F18),VLOOKUP(I18,'Lookups &amp; OH allocation'!$B$41:$C$50,2,FALSE)/60*(F18)),0))*(1+(VLOOKUP(K18,'Lookups &amp; OH allocation'!$K$47:$L$52,2,FALSE)))</f>
        <v>33.064465959987842</v>
      </c>
      <c r="O18" s="221" t="s">
        <v>238</v>
      </c>
      <c r="P18" s="277">
        <f>VLOOKUP(O18,'Lookups &amp; OH allocation'!$B$62:$C$72,2,FALSE)</f>
        <v>0</v>
      </c>
      <c r="Q18" s="125" t="s">
        <v>101</v>
      </c>
      <c r="R18" s="122"/>
      <c r="S18" s="277">
        <f>IF(R18&gt;0.01,VLOOKUP(Q18,'Lookups &amp; OH allocation'!$K$41:$L$43,2,FALSE)*((R18)/60),VLOOKUP(Q18,'Lookups &amp; OH allocation'!$K$41:$L$43,2,FALSE)*((F18)/60))</f>
        <v>3.2042990088267818</v>
      </c>
      <c r="T18" s="124">
        <v>0</v>
      </c>
      <c r="U18" s="223">
        <f t="shared" si="11"/>
        <v>36.268764968814622</v>
      </c>
      <c r="V18" s="226">
        <f>IF(AJ18=0,"No Volumes",AM18/'Lookups &amp; OH allocation'!$C$53*'Lookups &amp; OH allocation'!$D$53/AJ18)</f>
        <v>18.705559688784174</v>
      </c>
      <c r="W18" s="123" t="s">
        <v>154</v>
      </c>
      <c r="X18" s="281">
        <f>U18*VLOOKUP(W18,'Lookups &amp; OH allocation'!$K$55:$L$59,2,FALSE)</f>
        <v>0</v>
      </c>
      <c r="Y18" s="124"/>
      <c r="Z18" s="223">
        <f t="shared" si="12"/>
        <v>18.705559688784174</v>
      </c>
      <c r="AA18" s="226">
        <f>(G18/60)*'Lookups &amp; OH allocation'!$I$13</f>
        <v>18.205442296909073</v>
      </c>
      <c r="AB18" s="226">
        <f>SUM(Z18,U18,AA18)*'Lookups &amp; OH allocation'!$G$23</f>
        <v>3.5024421149110259</v>
      </c>
      <c r="AC18" s="179"/>
      <c r="AD18" s="179"/>
      <c r="AE18" s="223">
        <f t="shared" si="13"/>
        <v>21.7078844118201</v>
      </c>
      <c r="AF18" s="124">
        <f>(U18+Z18+AE18)*'Lookups &amp; OH allocation'!$L$62</f>
        <v>4.631605427792902</v>
      </c>
      <c r="AG18" s="124"/>
      <c r="AH18" s="223">
        <f t="shared" si="14"/>
        <v>4.631605427792902</v>
      </c>
      <c r="AI18" s="225">
        <f t="shared" si="15"/>
        <v>81.313814497211808</v>
      </c>
      <c r="AJ18" s="234">
        <f>IFERROR(VLOOKUP($C18,'Volumes - Report Summary'!$C:$AF,MATCH(AM$2,'Volumes - Report Summary'!$C$6:$AF$6,0),FALSE),0)</f>
        <v>1</v>
      </c>
      <c r="AK18" s="266">
        <f>VLOOKUP(B18,'Back Office Time'!$B$5:$G$24,4,FALSE)</f>
        <v>5</v>
      </c>
      <c r="AL18" s="398">
        <f t="shared" si="16"/>
        <v>18.705559688784174</v>
      </c>
      <c r="AM18" s="522">
        <f t="shared" si="17"/>
        <v>5</v>
      </c>
      <c r="AN18" s="517"/>
      <c r="AO18" s="521"/>
      <c r="AP18" s="521"/>
      <c r="AQ18" s="520"/>
      <c r="AR18" s="29"/>
      <c r="AS18" s="289"/>
    </row>
    <row r="19" spans="1:45">
      <c r="B19" s="110" t="s">
        <v>33</v>
      </c>
      <c r="C19" s="111" t="s">
        <v>41</v>
      </c>
      <c r="D19" s="183">
        <v>30</v>
      </c>
      <c r="E19" s="122">
        <v>20</v>
      </c>
      <c r="F19" s="269">
        <f t="shared" si="9"/>
        <v>50</v>
      </c>
      <c r="G19" s="217">
        <f t="shared" si="10"/>
        <v>50</v>
      </c>
      <c r="H19" s="122">
        <v>1</v>
      </c>
      <c r="I19" s="123" t="s">
        <v>199</v>
      </c>
      <c r="J19" s="123"/>
      <c r="K19" s="123" t="s">
        <v>154</v>
      </c>
      <c r="L19" s="272">
        <f>(IF(H19&gt;=1,IF(H19&gt;=2,VLOOKUP(I19,'Lookups &amp; OH allocation'!$B$41:$C$50,2,FALSE)/60*(E19)+VLOOKUP(J19,'Lookups &amp; OH allocation'!$B$41:$C$50,2,FALSE)/60*(E19),VLOOKUP(I19,'Lookups &amp; OH allocation'!$B$41:$C$50,2,FALSE)/60*(E19)),0))*(1+(VLOOKUP(K19,'Lookups &amp; OH allocation'!$K$47:$L$52,2,FALSE)))</f>
        <v>23.617475685705603</v>
      </c>
      <c r="M19" s="218">
        <f>(IF(H19&gt;=1,IF(H19&gt;=2,VLOOKUP(I19,'Lookups &amp; OH allocation'!$B$41:$C$50,2,FALSE)/60*(D19)+VLOOKUP(J19,'Lookups &amp; OH allocation'!$B$41:$C$50,2,FALSE)/60*(D19),VLOOKUP(I19,'Lookups &amp; OH allocation'!$B$41:$C$50,2,FALSE)/60*(D19)),0))*(1+(VLOOKUP(K19,'Lookups &amp; OH allocation'!$K$47:$L$52,2,FALSE)))</f>
        <v>35.426213528558407</v>
      </c>
      <c r="N19" s="273">
        <f>(IF(H19&gt;=1,IF(H19&gt;=2,VLOOKUP(I19,'Lookups &amp; OH allocation'!$B$41:$C$50,2,FALSE)/60*(F19)+VLOOKUP(J19,'Lookups &amp; OH allocation'!$B$41:$C$50,2,FALSE)/60*(F19),VLOOKUP(I19,'Lookups &amp; OH allocation'!$B$41:$C$50,2,FALSE)/60*(F19)),0))*(1+(VLOOKUP(K19,'Lookups &amp; OH allocation'!$K$47:$L$52,2,FALSE)))</f>
        <v>59.043689214264006</v>
      </c>
      <c r="O19" s="221" t="s">
        <v>238</v>
      </c>
      <c r="P19" s="277">
        <f>VLOOKUP(O19,'Lookups &amp; OH allocation'!$B$62:$C$72,2,FALSE)</f>
        <v>0</v>
      </c>
      <c r="Q19" s="125" t="s">
        <v>101</v>
      </c>
      <c r="R19" s="122"/>
      <c r="S19" s="277">
        <f>IF(R19&gt;0.01,VLOOKUP(Q19,'Lookups &amp; OH allocation'!$K$41:$L$43,2,FALSE)*((R19)/60),VLOOKUP(Q19,'Lookups &amp; OH allocation'!$K$41:$L$43,2,FALSE)*((F19)/60))</f>
        <v>5.7219625157621108</v>
      </c>
      <c r="T19" s="124">
        <v>0</v>
      </c>
      <c r="U19" s="223">
        <f t="shared" si="11"/>
        <v>64.765651730026121</v>
      </c>
      <c r="V19" s="226">
        <f>IF(AJ19=0,"No Volumes",AM19/'Lookups &amp; OH allocation'!$C$53*'Lookups &amp; OH allocation'!$D$53/AJ19)</f>
        <v>18.70555968878417</v>
      </c>
      <c r="W19" s="123" t="s">
        <v>154</v>
      </c>
      <c r="X19" s="281">
        <f>U19*VLOOKUP(W19,'Lookups &amp; OH allocation'!$K$55:$L$59,2,FALSE)</f>
        <v>0</v>
      </c>
      <c r="Y19" s="124"/>
      <c r="Z19" s="223">
        <f t="shared" si="12"/>
        <v>18.70555968878417</v>
      </c>
      <c r="AA19" s="226">
        <f>(G19/60)*'Lookups &amp; OH allocation'!$I$13</f>
        <v>32.509718387337635</v>
      </c>
      <c r="AB19" s="226">
        <f>SUM(Z19,U19,AA19)*'Lookups &amp; OH allocation'!$G$23</f>
        <v>5.5509399658530771</v>
      </c>
      <c r="AC19" s="179"/>
      <c r="AD19" s="179"/>
      <c r="AE19" s="223">
        <f t="shared" si="13"/>
        <v>38.060658353190711</v>
      </c>
      <c r="AF19" s="124">
        <f>(U19+Z19+AE19)*'Lookups &amp; OH allocation'!$L$62</f>
        <v>7.3405249342288617</v>
      </c>
      <c r="AG19" s="124"/>
      <c r="AH19" s="223">
        <f t="shared" si="14"/>
        <v>7.3405249342288617</v>
      </c>
      <c r="AI19" s="225">
        <f t="shared" si="15"/>
        <v>128.87239470622987</v>
      </c>
      <c r="AJ19" s="234">
        <f>IFERROR(VLOOKUP($C19,'Volumes - Report Summary'!$C:$AF,MATCH(AM$2,'Volumes - Report Summary'!$C$6:$AF$6,0),FALSE),0)</f>
        <v>46</v>
      </c>
      <c r="AK19" s="266">
        <f>VLOOKUP(B19,'Back Office Time'!$B$5:$G$24,4,FALSE)</f>
        <v>5</v>
      </c>
      <c r="AL19" s="398">
        <f t="shared" si="16"/>
        <v>860.45574568407187</v>
      </c>
      <c r="AM19" s="522">
        <f t="shared" si="17"/>
        <v>230</v>
      </c>
      <c r="AN19" s="517"/>
      <c r="AO19" s="521"/>
      <c r="AP19" s="521"/>
      <c r="AQ19" s="520"/>
      <c r="AR19" s="29"/>
      <c r="AS19" s="289"/>
    </row>
    <row r="20" spans="1:45">
      <c r="B20" s="110" t="s">
        <v>33</v>
      </c>
      <c r="C20" s="111" t="s">
        <v>214</v>
      </c>
      <c r="D20" s="183">
        <v>35</v>
      </c>
      <c r="E20" s="122">
        <v>20</v>
      </c>
      <c r="F20" s="269">
        <f t="shared" si="9"/>
        <v>55</v>
      </c>
      <c r="G20" s="217">
        <f t="shared" si="10"/>
        <v>55</v>
      </c>
      <c r="H20" s="122">
        <v>1</v>
      </c>
      <c r="I20" s="123" t="s">
        <v>199</v>
      </c>
      <c r="J20" s="123"/>
      <c r="K20" s="123" t="s">
        <v>154</v>
      </c>
      <c r="L20" s="272">
        <f>(IF(H20&gt;=1,IF(H20&gt;=2,VLOOKUP(I20,'Lookups &amp; OH allocation'!$B$41:$C$50,2,FALSE)/60*(E20)+VLOOKUP(J20,'Lookups &amp; OH allocation'!$B$41:$C$50,2,FALSE)/60*(E20),VLOOKUP(I20,'Lookups &amp; OH allocation'!$B$41:$C$50,2,FALSE)/60*(E20)),0))*(1+(VLOOKUP(K20,'Lookups &amp; OH allocation'!$K$47:$L$52,2,FALSE)))</f>
        <v>23.617475685705603</v>
      </c>
      <c r="M20" s="218">
        <f>(IF(H20&gt;=1,IF(H20&gt;=2,VLOOKUP(I20,'Lookups &amp; OH allocation'!$B$41:$C$50,2,FALSE)/60*(D20)+VLOOKUP(J20,'Lookups &amp; OH allocation'!$B$41:$C$50,2,FALSE)/60*(D20),VLOOKUP(I20,'Lookups &amp; OH allocation'!$B$41:$C$50,2,FALSE)/60*(D20)),0))*(1+(VLOOKUP(K20,'Lookups &amp; OH allocation'!$K$47:$L$52,2,FALSE)))</f>
        <v>41.330582449984803</v>
      </c>
      <c r="N20" s="273">
        <f>(IF(H20&gt;=1,IF(H20&gt;=2,VLOOKUP(I20,'Lookups &amp; OH allocation'!$B$41:$C$50,2,FALSE)/60*(F20)+VLOOKUP(J20,'Lookups &amp; OH allocation'!$B$41:$C$50,2,FALSE)/60*(F20),VLOOKUP(I20,'Lookups &amp; OH allocation'!$B$41:$C$50,2,FALSE)/60*(F20)),0))*(1+(VLOOKUP(K20,'Lookups &amp; OH allocation'!$K$47:$L$52,2,FALSE)))</f>
        <v>64.948058135690403</v>
      </c>
      <c r="O20" s="221" t="s">
        <v>238</v>
      </c>
      <c r="P20" s="277">
        <f>VLOOKUP(O20,'Lookups &amp; OH allocation'!$B$62:$C$72,2,FALSE)</f>
        <v>0</v>
      </c>
      <c r="Q20" s="125" t="s">
        <v>101</v>
      </c>
      <c r="R20" s="122"/>
      <c r="S20" s="277">
        <f>IF(R20&gt;0.01,VLOOKUP(Q20,'Lookups &amp; OH allocation'!$K$41:$L$43,2,FALSE)*((R20)/60),VLOOKUP(Q20,'Lookups &amp; OH allocation'!$K$41:$L$43,2,FALSE)*((F20)/60))</f>
        <v>6.2941587673383212</v>
      </c>
      <c r="T20" s="124">
        <v>0</v>
      </c>
      <c r="U20" s="223">
        <f t="shared" si="11"/>
        <v>71.242216903028719</v>
      </c>
      <c r="V20" s="226">
        <f>IF(AJ20=0,"No Volumes",AM20/'Lookups &amp; OH allocation'!$C$53*'Lookups &amp; OH allocation'!$D$53/AJ20)</f>
        <v>18.70555968878417</v>
      </c>
      <c r="W20" s="123" t="s">
        <v>154</v>
      </c>
      <c r="X20" s="281">
        <f>U20*VLOOKUP(W20,'Lookups &amp; OH allocation'!$K$55:$L$59,2,FALSE)</f>
        <v>0</v>
      </c>
      <c r="Y20" s="124"/>
      <c r="Z20" s="223">
        <f t="shared" si="12"/>
        <v>18.70555968878417</v>
      </c>
      <c r="AA20" s="226">
        <f>(G20/60)*'Lookups &amp; OH allocation'!$I$13</f>
        <v>35.760690226071397</v>
      </c>
      <c r="AB20" s="226">
        <f>SUM(Z20,U20,AA20)*'Lookups &amp; OH allocation'!$G$23</f>
        <v>6.0165076592489966</v>
      </c>
      <c r="AC20" s="179"/>
      <c r="AD20" s="179"/>
      <c r="AE20" s="223">
        <f t="shared" si="13"/>
        <v>41.77719788532039</v>
      </c>
      <c r="AF20" s="124">
        <f>(U20+Z20+AE20)*'Lookups &amp; OH allocation'!$L$62</f>
        <v>7.9561884584188505</v>
      </c>
      <c r="AG20" s="124"/>
      <c r="AH20" s="223">
        <f t="shared" si="14"/>
        <v>7.9561884584188505</v>
      </c>
      <c r="AI20" s="225">
        <f t="shared" si="15"/>
        <v>139.68116293555215</v>
      </c>
      <c r="AJ20" s="234">
        <f>IFERROR(VLOOKUP($C20,'Volumes - Report Summary'!$C:$AF,MATCH(AM$2,'Volumes - Report Summary'!$C$6:$AF$6,0),FALSE),0)</f>
        <v>231</v>
      </c>
      <c r="AK20" s="266">
        <f>VLOOKUP(B20,'Back Office Time'!$B$5:$G$24,4,FALSE)</f>
        <v>5</v>
      </c>
      <c r="AL20" s="398">
        <f t="shared" si="16"/>
        <v>4320.9842881091436</v>
      </c>
      <c r="AM20" s="522">
        <f t="shared" si="17"/>
        <v>1155</v>
      </c>
      <c r="AN20" s="517"/>
      <c r="AO20" s="521"/>
      <c r="AP20" s="521"/>
      <c r="AQ20" s="520"/>
      <c r="AR20" s="29"/>
      <c r="AS20" s="289"/>
    </row>
    <row r="21" spans="1:45">
      <c r="B21" s="110" t="s">
        <v>33</v>
      </c>
      <c r="C21" s="111" t="s">
        <v>314</v>
      </c>
      <c r="D21" s="183">
        <v>55</v>
      </c>
      <c r="E21" s="122">
        <v>20</v>
      </c>
      <c r="F21" s="269">
        <f t="shared" si="9"/>
        <v>75</v>
      </c>
      <c r="G21" s="217">
        <f t="shared" si="10"/>
        <v>75</v>
      </c>
      <c r="H21" s="122">
        <v>1</v>
      </c>
      <c r="I21" s="123" t="s">
        <v>199</v>
      </c>
      <c r="J21" s="123"/>
      <c r="K21" s="123" t="s">
        <v>154</v>
      </c>
      <c r="L21" s="272">
        <f>(IF(H21&gt;=1,IF(H21&gt;=2,VLOOKUP(I21,'Lookups &amp; OH allocation'!$B$41:$C$50,2,FALSE)/60*(E21)+VLOOKUP(J21,'Lookups &amp; OH allocation'!$B$41:$C$50,2,FALSE)/60*(E21),VLOOKUP(I21,'Lookups &amp; OH allocation'!$B$41:$C$50,2,FALSE)/60*(E21)),0))*(1+(VLOOKUP(K21,'Lookups &amp; OH allocation'!$K$47:$L$52,2,FALSE)))</f>
        <v>23.617475685705603</v>
      </c>
      <c r="M21" s="218">
        <f>(IF(H21&gt;=1,IF(H21&gt;=2,VLOOKUP(I21,'Lookups &amp; OH allocation'!$B$41:$C$50,2,FALSE)/60*(D21)+VLOOKUP(J21,'Lookups &amp; OH allocation'!$B$41:$C$50,2,FALSE)/60*(D21),VLOOKUP(I21,'Lookups &amp; OH allocation'!$B$41:$C$50,2,FALSE)/60*(D21)),0))*(1+(VLOOKUP(K21,'Lookups &amp; OH allocation'!$K$47:$L$52,2,FALSE)))</f>
        <v>64.948058135690403</v>
      </c>
      <c r="N21" s="273">
        <f>(IF(H21&gt;=1,IF(H21&gt;=2,VLOOKUP(I21,'Lookups &amp; OH allocation'!$B$41:$C$50,2,FALSE)/60*(F21)+VLOOKUP(J21,'Lookups &amp; OH allocation'!$B$41:$C$50,2,FALSE)/60*(F21),VLOOKUP(I21,'Lookups &amp; OH allocation'!$B$41:$C$50,2,FALSE)/60*(F21)),0))*(1+(VLOOKUP(K21,'Lookups &amp; OH allocation'!$K$47:$L$52,2,FALSE)))</f>
        <v>88.565533821396002</v>
      </c>
      <c r="O21" s="221" t="s">
        <v>238</v>
      </c>
      <c r="P21" s="277">
        <f>VLOOKUP(O21,'Lookups &amp; OH allocation'!$B$62:$C$72,2,FALSE)</f>
        <v>0</v>
      </c>
      <c r="Q21" s="125" t="s">
        <v>101</v>
      </c>
      <c r="R21" s="122"/>
      <c r="S21" s="277">
        <f>IF(R21&gt;0.01,VLOOKUP(Q21,'Lookups &amp; OH allocation'!$K$41:$L$43,2,FALSE)*((R21)/60),VLOOKUP(Q21,'Lookups &amp; OH allocation'!$K$41:$L$43,2,FALSE)*((F21)/60))</f>
        <v>8.5829437736431657</v>
      </c>
      <c r="T21" s="124">
        <v>0</v>
      </c>
      <c r="U21" s="223">
        <f t="shared" si="11"/>
        <v>97.148477595039168</v>
      </c>
      <c r="V21" s="226">
        <f>IF(AJ21=0,"No Volumes",AM21/'Lookups &amp; OH allocation'!$C$53*'Lookups &amp; OH allocation'!$D$53/AJ21)</f>
        <v>18.70555968878417</v>
      </c>
      <c r="W21" s="123" t="s">
        <v>154</v>
      </c>
      <c r="X21" s="281">
        <f>U21*VLOOKUP(W21,'Lookups &amp; OH allocation'!$K$55:$L$59,2,FALSE)</f>
        <v>0</v>
      </c>
      <c r="Y21" s="124"/>
      <c r="Z21" s="223">
        <f t="shared" si="12"/>
        <v>18.70555968878417</v>
      </c>
      <c r="AA21" s="226">
        <f>(G21/60)*'Lookups &amp; OH allocation'!$I$13</f>
        <v>48.764577581006449</v>
      </c>
      <c r="AB21" s="226">
        <f>SUM(Z21,U21,AA21)*'Lookups &amp; OH allocation'!$G$23</f>
        <v>7.8787784328326778</v>
      </c>
      <c r="AC21" s="179"/>
      <c r="AD21" s="179"/>
      <c r="AE21" s="223">
        <f t="shared" si="13"/>
        <v>56.643356013839124</v>
      </c>
      <c r="AF21" s="124">
        <f>(U21+Z21+AE21)*'Lookups &amp; OH allocation'!$L$62</f>
        <v>10.418842555178815</v>
      </c>
      <c r="AG21" s="124"/>
      <c r="AH21" s="223">
        <f t="shared" si="14"/>
        <v>10.418842555178815</v>
      </c>
      <c r="AI21" s="225">
        <f t="shared" si="15"/>
        <v>182.91623585284131</v>
      </c>
      <c r="AJ21" s="234">
        <f>IFERROR(VLOOKUP($C21,'Volumes - Report Summary'!$C:$AF,MATCH(AM$2,'Volumes - Report Summary'!$C$6:$AF$6,0),FALSE),0)</f>
        <v>19</v>
      </c>
      <c r="AK21" s="266">
        <f>VLOOKUP(B21,'Back Office Time'!$B$5:$G$24,4,FALSE)</f>
        <v>5</v>
      </c>
      <c r="AL21" s="398">
        <f t="shared" si="16"/>
        <v>355.40563408689923</v>
      </c>
      <c r="AM21" s="522">
        <f t="shared" si="17"/>
        <v>95</v>
      </c>
      <c r="AN21" s="517"/>
      <c r="AO21" s="521"/>
      <c r="AP21" s="521"/>
      <c r="AQ21" s="520"/>
      <c r="AR21" s="29"/>
      <c r="AS21" s="289"/>
    </row>
    <row r="22" spans="1:45">
      <c r="B22" s="110" t="s">
        <v>33</v>
      </c>
      <c r="C22" s="111" t="s">
        <v>45</v>
      </c>
      <c r="D22" s="183">
        <v>180</v>
      </c>
      <c r="E22" s="122">
        <v>60</v>
      </c>
      <c r="F22" s="269">
        <f t="shared" si="9"/>
        <v>240</v>
      </c>
      <c r="G22" s="217">
        <f t="shared" si="10"/>
        <v>240</v>
      </c>
      <c r="H22" s="122">
        <v>1</v>
      </c>
      <c r="I22" s="123" t="s">
        <v>199</v>
      </c>
      <c r="J22" s="123"/>
      <c r="K22" s="123" t="s">
        <v>154</v>
      </c>
      <c r="L22" s="272">
        <f>(IF(H22&gt;=1,IF(H22&gt;=2,VLOOKUP(I22,'Lookups &amp; OH allocation'!$B$41:$C$50,2,FALSE)/60*(E22)+VLOOKUP(J22,'Lookups &amp; OH allocation'!$B$41:$C$50,2,FALSE)/60*(E22),VLOOKUP(I22,'Lookups &amp; OH allocation'!$B$41:$C$50,2,FALSE)/60*(E22)),0))*(1+(VLOOKUP(K22,'Lookups &amp; OH allocation'!$K$47:$L$52,2,FALSE)))</f>
        <v>70.852427057116813</v>
      </c>
      <c r="M22" s="218">
        <f>(IF(H22&gt;=1,IF(H22&gt;=2,VLOOKUP(I22,'Lookups &amp; OH allocation'!$B$41:$C$50,2,FALSE)/60*(D22)+VLOOKUP(J22,'Lookups &amp; OH allocation'!$B$41:$C$50,2,FALSE)/60*(D22),VLOOKUP(I22,'Lookups &amp; OH allocation'!$B$41:$C$50,2,FALSE)/60*(D22)),0))*(1+(VLOOKUP(K22,'Lookups &amp; OH allocation'!$K$47:$L$52,2,FALSE)))</f>
        <v>212.55728117135041</v>
      </c>
      <c r="N22" s="273">
        <f>(IF(H22&gt;=1,IF(H22&gt;=2,VLOOKUP(I22,'Lookups &amp; OH allocation'!$B$41:$C$50,2,FALSE)/60*(F22)+VLOOKUP(J22,'Lookups &amp; OH allocation'!$B$41:$C$50,2,FALSE)/60*(F22),VLOOKUP(I22,'Lookups &amp; OH allocation'!$B$41:$C$50,2,FALSE)/60*(F22)),0))*(1+(VLOOKUP(K22,'Lookups &amp; OH allocation'!$K$47:$L$52,2,FALSE)))</f>
        <v>283.40970822846725</v>
      </c>
      <c r="O22" s="221" t="s">
        <v>238</v>
      </c>
      <c r="P22" s="277">
        <f>VLOOKUP(O22,'Lookups &amp; OH allocation'!$B$62:$C$72,2,FALSE)</f>
        <v>0</v>
      </c>
      <c r="Q22" s="125" t="s">
        <v>101</v>
      </c>
      <c r="R22" s="122"/>
      <c r="S22" s="277">
        <f>IF(R22&gt;0.01,VLOOKUP(Q22,'Lookups &amp; OH allocation'!$K$41:$L$43,2,FALSE)*((R22)/60),VLOOKUP(Q22,'Lookups &amp; OH allocation'!$K$41:$L$43,2,FALSE)*((F22)/60))</f>
        <v>27.46542007565813</v>
      </c>
      <c r="T22" s="124">
        <v>0</v>
      </c>
      <c r="U22" s="223">
        <f t="shared" si="11"/>
        <v>310.87512830412538</v>
      </c>
      <c r="V22" s="226">
        <f>IF(AJ22=0,"No Volumes",AM22/'Lookups &amp; OH allocation'!$C$53*'Lookups &amp; OH allocation'!$D$53/AJ22)</f>
        <v>18.705559688784174</v>
      </c>
      <c r="W22" s="123" t="s">
        <v>151</v>
      </c>
      <c r="X22" s="281">
        <f>U22*VLOOKUP(W22,'Lookups &amp; OH allocation'!$K$55:$L$59,2,FALSE)</f>
        <v>155.43756415206269</v>
      </c>
      <c r="Y22" s="124"/>
      <c r="Z22" s="223">
        <f t="shared" si="12"/>
        <v>174.14312384084687</v>
      </c>
      <c r="AA22" s="226">
        <f>(G22/60)*'Lookups &amp; OH allocation'!$I$13</f>
        <v>156.04664825922063</v>
      </c>
      <c r="AB22" s="226">
        <f>SUM(Z22,U22,AA22)*'Lookups &amp; OH allocation'!$G$23</f>
        <v>30.681878325229864</v>
      </c>
      <c r="AC22" s="179"/>
      <c r="AD22" s="179"/>
      <c r="AE22" s="223">
        <f t="shared" si="13"/>
        <v>186.72852658445049</v>
      </c>
      <c r="AF22" s="124">
        <f>(U22+Z22+AE22)*'Lookups &amp; OH allocation'!$L$62</f>
        <v>40.57350543525714</v>
      </c>
      <c r="AG22" s="124"/>
      <c r="AH22" s="223">
        <f t="shared" si="14"/>
        <v>40.57350543525714</v>
      </c>
      <c r="AI22" s="225">
        <f t="shared" si="15"/>
        <v>712.32028416467995</v>
      </c>
      <c r="AJ22" s="234">
        <f>IFERROR(VLOOKUP($C22,'Volumes - Report Summary'!$C:$AF,MATCH(AM$2,'Volumes - Report Summary'!$C$6:$AF$6,0),FALSE),0)</f>
        <v>1</v>
      </c>
      <c r="AK22" s="266">
        <f>VLOOKUP(B22,'Back Office Time'!$B$5:$G$24,4,FALSE)</f>
        <v>5</v>
      </c>
      <c r="AL22" s="398">
        <f t="shared" si="16"/>
        <v>18.705559688784174</v>
      </c>
      <c r="AM22" s="522">
        <f t="shared" si="17"/>
        <v>5</v>
      </c>
      <c r="AN22" s="517"/>
      <c r="AO22" s="521"/>
      <c r="AP22" s="521"/>
      <c r="AQ22" s="520"/>
      <c r="AR22" s="29"/>
      <c r="AS22" s="289"/>
    </row>
    <row r="23" spans="1:45">
      <c r="B23" s="110" t="s">
        <v>33</v>
      </c>
      <c r="C23" s="111" t="s">
        <v>47</v>
      </c>
      <c r="D23" s="183">
        <v>10</v>
      </c>
      <c r="E23" s="122">
        <v>20</v>
      </c>
      <c r="F23" s="269">
        <f t="shared" si="9"/>
        <v>30</v>
      </c>
      <c r="G23" s="217">
        <f t="shared" si="10"/>
        <v>30</v>
      </c>
      <c r="H23" s="122">
        <v>1</v>
      </c>
      <c r="I23" s="123" t="s">
        <v>199</v>
      </c>
      <c r="J23" s="123"/>
      <c r="K23" s="123" t="s">
        <v>154</v>
      </c>
      <c r="L23" s="272">
        <f>(IF(H23&gt;=1,IF(H23&gt;=2,VLOOKUP(I23,'Lookups &amp; OH allocation'!$B$41:$C$50,2,FALSE)/60*(E23)+VLOOKUP(J23,'Lookups &amp; OH allocation'!$B$41:$C$50,2,FALSE)/60*(E23),VLOOKUP(I23,'Lookups &amp; OH allocation'!$B$41:$C$50,2,FALSE)/60*(E23)),0))*(1+(VLOOKUP(K23,'Lookups &amp; OH allocation'!$K$47:$L$52,2,FALSE)))</f>
        <v>23.617475685705603</v>
      </c>
      <c r="M23" s="218">
        <f>(IF(H23&gt;=1,IF(H23&gt;=2,VLOOKUP(I23,'Lookups &amp; OH allocation'!$B$41:$C$50,2,FALSE)/60*(D23)+VLOOKUP(J23,'Lookups &amp; OH allocation'!$B$41:$C$50,2,FALSE)/60*(D23),VLOOKUP(I23,'Lookups &amp; OH allocation'!$B$41:$C$50,2,FALSE)/60*(D23)),0))*(1+(VLOOKUP(K23,'Lookups &amp; OH allocation'!$K$47:$L$52,2,FALSE)))</f>
        <v>11.808737842852802</v>
      </c>
      <c r="N23" s="273">
        <f>(IF(H23&gt;=1,IF(H23&gt;=2,VLOOKUP(I23,'Lookups &amp; OH allocation'!$B$41:$C$50,2,FALSE)/60*(F23)+VLOOKUP(J23,'Lookups &amp; OH allocation'!$B$41:$C$50,2,FALSE)/60*(F23),VLOOKUP(I23,'Lookups &amp; OH allocation'!$B$41:$C$50,2,FALSE)/60*(F23)),0))*(1+(VLOOKUP(K23,'Lookups &amp; OH allocation'!$K$47:$L$52,2,FALSE)))</f>
        <v>35.426213528558407</v>
      </c>
      <c r="O23" s="221" t="s">
        <v>238</v>
      </c>
      <c r="P23" s="277">
        <f>VLOOKUP(O23,'Lookups &amp; OH allocation'!$B$62:$C$72,2,FALSE)</f>
        <v>0</v>
      </c>
      <c r="Q23" s="125" t="s">
        <v>101</v>
      </c>
      <c r="R23" s="122"/>
      <c r="S23" s="277">
        <f>IF(R23&gt;0.01,VLOOKUP(Q23,'Lookups &amp; OH allocation'!$K$41:$L$43,2,FALSE)*((R23)/60),VLOOKUP(Q23,'Lookups &amp; OH allocation'!$K$41:$L$43,2,FALSE)*((F23)/60))</f>
        <v>3.4331775094572663</v>
      </c>
      <c r="T23" s="124">
        <v>0</v>
      </c>
      <c r="U23" s="223">
        <f t="shared" si="11"/>
        <v>38.859391038015673</v>
      </c>
      <c r="V23" s="226">
        <f>IF(AJ23=0,"No Volumes",AM23/'Lookups &amp; OH allocation'!$C$53*'Lookups &amp; OH allocation'!$D$53/AJ23)</f>
        <v>18.70555968878417</v>
      </c>
      <c r="W23" s="123" t="s">
        <v>154</v>
      </c>
      <c r="X23" s="281">
        <f>U23*VLOOKUP(W23,'Lookups &amp; OH allocation'!$K$55:$L$59,2,FALSE)</f>
        <v>0</v>
      </c>
      <c r="Y23" s="124"/>
      <c r="Z23" s="223">
        <f t="shared" si="12"/>
        <v>18.70555968878417</v>
      </c>
      <c r="AA23" s="226">
        <f>(G23/60)*'Lookups &amp; OH allocation'!$I$13</f>
        <v>19.505831032402579</v>
      </c>
      <c r="AB23" s="226">
        <f>SUM(Z23,U23,AA23)*'Lookups &amp; OH allocation'!$G$23</f>
        <v>3.6886691922693942</v>
      </c>
      <c r="AC23" s="179"/>
      <c r="AD23" s="179"/>
      <c r="AE23" s="223">
        <f t="shared" si="13"/>
        <v>23.194500224671973</v>
      </c>
      <c r="AF23" s="124">
        <f>(U23+Z23+AE23)*'Lookups &amp; OH allocation'!$L$62</f>
        <v>4.8778708374688984</v>
      </c>
      <c r="AG23" s="124"/>
      <c r="AH23" s="223">
        <f t="shared" si="14"/>
        <v>4.8778708374688984</v>
      </c>
      <c r="AI23" s="225">
        <f t="shared" si="15"/>
        <v>85.637321788940724</v>
      </c>
      <c r="AJ23" s="234">
        <f>IFERROR(VLOOKUP($C23,'Volumes - Report Summary'!$C:$AF,MATCH(AM$2,'Volumes - Report Summary'!$C$6:$AF$6,0),FALSE),0)</f>
        <v>458</v>
      </c>
      <c r="AK23" s="266">
        <f>VLOOKUP(B23,'Back Office Time'!$B$5:$G$24,4,FALSE)</f>
        <v>5</v>
      </c>
      <c r="AL23" s="398">
        <f t="shared" si="16"/>
        <v>8567.1463374631494</v>
      </c>
      <c r="AM23" s="522">
        <f t="shared" si="17"/>
        <v>2290</v>
      </c>
      <c r="AN23" s="517"/>
      <c r="AO23" s="521"/>
      <c r="AP23" s="521"/>
      <c r="AQ23" s="520"/>
      <c r="AR23" s="29"/>
      <c r="AS23" s="289"/>
    </row>
    <row r="24" spans="1:45">
      <c r="A24" t="s">
        <v>145</v>
      </c>
      <c r="B24" s="120" t="s">
        <v>48</v>
      </c>
      <c r="C24" s="112"/>
      <c r="D24" s="184"/>
      <c r="E24" s="113"/>
      <c r="F24" s="116"/>
      <c r="G24" s="271"/>
      <c r="H24" s="113"/>
      <c r="I24" s="114"/>
      <c r="J24" s="114"/>
      <c r="K24" s="114"/>
      <c r="L24" s="274"/>
      <c r="M24" s="178"/>
      <c r="N24" s="275"/>
      <c r="O24" s="203"/>
      <c r="P24" s="276"/>
      <c r="Q24" s="116"/>
      <c r="R24" s="113"/>
      <c r="S24" s="276"/>
      <c r="T24" s="115"/>
      <c r="U24" s="185"/>
      <c r="V24" s="220"/>
      <c r="W24" s="114"/>
      <c r="X24" s="114"/>
      <c r="Y24" s="115"/>
      <c r="Z24" s="227"/>
      <c r="AA24" s="226"/>
      <c r="AB24" s="226"/>
      <c r="AC24" s="118"/>
      <c r="AD24" s="219"/>
      <c r="AE24" s="185"/>
      <c r="AF24" s="115"/>
      <c r="AG24" s="115"/>
      <c r="AH24" s="185"/>
      <c r="AI24" s="186"/>
      <c r="AJ24" s="232"/>
      <c r="AK24" s="266"/>
      <c r="AL24" s="399"/>
      <c r="AM24" s="522"/>
      <c r="AN24" s="523"/>
      <c r="AO24" s="506"/>
      <c r="AP24" s="506"/>
      <c r="AQ24" s="29"/>
      <c r="AR24" s="291"/>
      <c r="AS24" s="291"/>
    </row>
    <row r="25" spans="1:45">
      <c r="B25" s="110" t="s">
        <v>48</v>
      </c>
      <c r="C25" s="111" t="s">
        <v>50</v>
      </c>
      <c r="D25" s="183">
        <v>70</v>
      </c>
      <c r="E25" s="122">
        <v>20</v>
      </c>
      <c r="F25" s="269">
        <f>SUM(D25:E25)</f>
        <v>90</v>
      </c>
      <c r="G25" s="217">
        <f>SUM(D25:E25)*H25</f>
        <v>90</v>
      </c>
      <c r="H25" s="122">
        <v>1</v>
      </c>
      <c r="I25" s="123" t="s">
        <v>199</v>
      </c>
      <c r="J25" s="123"/>
      <c r="K25" s="123" t="s">
        <v>154</v>
      </c>
      <c r="L25" s="272">
        <f>(IF(H25&gt;=1,IF(H25&gt;=2,VLOOKUP(I25,'Lookups &amp; OH allocation'!$B$41:$C$50,2,FALSE)/60*(E25)+VLOOKUP(J25,'Lookups &amp; OH allocation'!$B$41:$C$50,2,FALSE)/60*(E25),VLOOKUP(I25,'Lookups &amp; OH allocation'!$B$41:$C$50,2,FALSE)/60*(E25)),0))*(1+(VLOOKUP(K25,'Lookups &amp; OH allocation'!$K$47:$L$52,2,FALSE)))</f>
        <v>23.617475685705603</v>
      </c>
      <c r="M25" s="218">
        <f>(IF(H25&gt;=1,IF(H25&gt;=2,VLOOKUP(I25,'Lookups &amp; OH allocation'!$B$41:$C$50,2,FALSE)/60*(D25)+VLOOKUP(J25,'Lookups &amp; OH allocation'!$B$41:$C$50,2,FALSE)/60*(D25),VLOOKUP(I25,'Lookups &amp; OH allocation'!$B$41:$C$50,2,FALSE)/60*(D25)),0))*(1+(VLOOKUP(K25,'Lookups &amp; OH allocation'!$K$47:$L$52,2,FALSE)))</f>
        <v>82.661164899969606</v>
      </c>
      <c r="N25" s="273">
        <f>(IF(H25&gt;=1,IF(H25&gt;=2,VLOOKUP(I25,'Lookups &amp; OH allocation'!$B$41:$C$50,2,FALSE)/60*(F25)+VLOOKUP(J25,'Lookups &amp; OH allocation'!$B$41:$C$50,2,FALSE)/60*(F25),VLOOKUP(I25,'Lookups &amp; OH allocation'!$B$41:$C$50,2,FALSE)/60*(F25)),0))*(1+(VLOOKUP(K25,'Lookups &amp; OH allocation'!$K$47:$L$52,2,FALSE)))</f>
        <v>106.27864058567521</v>
      </c>
      <c r="O25" s="221" t="s">
        <v>238</v>
      </c>
      <c r="P25" s="277">
        <f>VLOOKUP(O25,'Lookups &amp; OH allocation'!$B$62:$C$72,2,FALSE)</f>
        <v>0</v>
      </c>
      <c r="Q25" s="125" t="s">
        <v>101</v>
      </c>
      <c r="R25" s="122"/>
      <c r="S25" s="277">
        <f>IF(R25&gt;0.01,VLOOKUP(Q25,'Lookups &amp; OH allocation'!$K$41:$L$43,2,FALSE)*((R25)/60),VLOOKUP(Q25,'Lookups &amp; OH allocation'!$K$41:$L$43,2,FALSE)*((F25)/60))</f>
        <v>10.299532528371799</v>
      </c>
      <c r="T25" s="124">
        <v>0</v>
      </c>
      <c r="U25" s="223">
        <f>SUM(N25,P25,S25,T25)</f>
        <v>116.578173114047</v>
      </c>
      <c r="V25" s="226">
        <f>IF(AJ25=0,"No Volumes",AM25/'Lookups &amp; OH allocation'!$C$53*'Lookups &amp; OH allocation'!$D$53/AJ25)</f>
        <v>18.70555968878417</v>
      </c>
      <c r="W25" s="123" t="s">
        <v>154</v>
      </c>
      <c r="X25" s="281">
        <f>U25*VLOOKUP(W25,'Lookups &amp; OH allocation'!$K$55:$L$59,2,FALSE)</f>
        <v>0</v>
      </c>
      <c r="Y25" s="124"/>
      <c r="Z25" s="223">
        <f>SUM(V25,X25,Y25)</f>
        <v>18.70555968878417</v>
      </c>
      <c r="AA25" s="226">
        <f>(G25/60)*'Lookups &amp; OH allocation'!$I$13</f>
        <v>58.517493097207733</v>
      </c>
      <c r="AB25" s="226">
        <f>SUM(Z25,U25,AA25)*'Lookups &amp; OH allocation'!$G$23</f>
        <v>9.2754815130204378</v>
      </c>
      <c r="AC25" s="179"/>
      <c r="AD25" s="179"/>
      <c r="AE25" s="223">
        <f>SUM(AA25:AD25)</f>
        <v>67.792974610228171</v>
      </c>
      <c r="AF25" s="124">
        <f>(U25+Z25+AE25)*'Lookups &amp; OH allocation'!$L$62</f>
        <v>12.265833127748785</v>
      </c>
      <c r="AG25" s="124"/>
      <c r="AH25" s="223">
        <f>SUM(AF25,AG25)</f>
        <v>12.265833127748785</v>
      </c>
      <c r="AI25" s="225">
        <f>U25+Z25+AE25+AH25</f>
        <v>215.34254054080813</v>
      </c>
      <c r="AJ25" s="234">
        <f>IFERROR(VLOOKUP($C25,'Volumes - Report Summary'!$C:$AF,MATCH(AM$2,'Volumes - Report Summary'!$C$6:$AF$6,0),FALSE),0)</f>
        <v>10</v>
      </c>
      <c r="AK25" s="266">
        <f>VLOOKUP(B25,'Back Office Time'!$B$5:$G$24,4,FALSE)</f>
        <v>5</v>
      </c>
      <c r="AL25" s="398">
        <f>IFERROR(V25*AJ25,0)</f>
        <v>187.05559688784172</v>
      </c>
      <c r="AM25" s="522">
        <f>AK25*AJ25</f>
        <v>50</v>
      </c>
      <c r="AN25" s="517"/>
      <c r="AO25" s="521"/>
      <c r="AP25" s="521"/>
      <c r="AQ25" s="520"/>
      <c r="AR25" s="29"/>
      <c r="AS25" s="289"/>
    </row>
    <row r="26" spans="1:45">
      <c r="B26" s="110" t="s">
        <v>48</v>
      </c>
      <c r="C26" s="111" t="s">
        <v>52</v>
      </c>
      <c r="D26" s="183">
        <v>160</v>
      </c>
      <c r="E26" s="122">
        <v>20</v>
      </c>
      <c r="F26" s="269">
        <f>SUM(D26:E26)</f>
        <v>180</v>
      </c>
      <c r="G26" s="217">
        <f>SUM(D26:E26)*H26</f>
        <v>180</v>
      </c>
      <c r="H26" s="122">
        <v>1</v>
      </c>
      <c r="I26" s="123" t="s">
        <v>199</v>
      </c>
      <c r="J26" s="123"/>
      <c r="K26" s="123" t="s">
        <v>154</v>
      </c>
      <c r="L26" s="272">
        <f>(IF(H26&gt;=1,IF(H26&gt;=2,VLOOKUP(I26,'Lookups &amp; OH allocation'!$B$41:$C$50,2,FALSE)/60*(E26)+VLOOKUP(J26,'Lookups &amp; OH allocation'!$B$41:$C$50,2,FALSE)/60*(E26),VLOOKUP(I26,'Lookups &amp; OH allocation'!$B$41:$C$50,2,FALSE)/60*(E26)),0))*(1+(VLOOKUP(K26,'Lookups &amp; OH allocation'!$K$47:$L$52,2,FALSE)))</f>
        <v>23.617475685705603</v>
      </c>
      <c r="M26" s="218">
        <f>(IF(H26&gt;=1,IF(H26&gt;=2,VLOOKUP(I26,'Lookups &amp; OH allocation'!$B$41:$C$50,2,FALSE)/60*(D26)+VLOOKUP(J26,'Lookups &amp; OH allocation'!$B$41:$C$50,2,FALSE)/60*(D26),VLOOKUP(I26,'Lookups &amp; OH allocation'!$B$41:$C$50,2,FALSE)/60*(D26)),0))*(1+(VLOOKUP(K26,'Lookups &amp; OH allocation'!$K$47:$L$52,2,FALSE)))</f>
        <v>188.93980548564483</v>
      </c>
      <c r="N26" s="273">
        <f>(IF(H26&gt;=1,IF(H26&gt;=2,VLOOKUP(I26,'Lookups &amp; OH allocation'!$B$41:$C$50,2,FALSE)/60*(F26)+VLOOKUP(J26,'Lookups &amp; OH allocation'!$B$41:$C$50,2,FALSE)/60*(F26),VLOOKUP(I26,'Lookups &amp; OH allocation'!$B$41:$C$50,2,FALSE)/60*(F26)),0))*(1+(VLOOKUP(K26,'Lookups &amp; OH allocation'!$K$47:$L$52,2,FALSE)))</f>
        <v>212.55728117135041</v>
      </c>
      <c r="O26" s="221" t="s">
        <v>238</v>
      </c>
      <c r="P26" s="277">
        <f>VLOOKUP(O26,'Lookups &amp; OH allocation'!$B$62:$C$72,2,FALSE)</f>
        <v>0</v>
      </c>
      <c r="Q26" s="125" t="s">
        <v>101</v>
      </c>
      <c r="R26" s="122"/>
      <c r="S26" s="277">
        <f>IF(R26&gt;0.01,VLOOKUP(Q26,'Lookups &amp; OH allocation'!$K$41:$L$43,2,FALSE)*((R26)/60),VLOOKUP(Q26,'Lookups &amp; OH allocation'!$K$41:$L$43,2,FALSE)*((F26)/60))</f>
        <v>20.599065056743598</v>
      </c>
      <c r="T26" s="124">
        <v>0</v>
      </c>
      <c r="U26" s="223">
        <f>SUM(N26,P26,S26,T26)</f>
        <v>233.15634622809401</v>
      </c>
      <c r="V26" s="226">
        <f>IF(AJ26=0,"No Volumes",AM26/'Lookups &amp; OH allocation'!$C$53*'Lookups &amp; OH allocation'!$D$53/AJ26)</f>
        <v>18.705559688784174</v>
      </c>
      <c r="W26" s="123" t="s">
        <v>154</v>
      </c>
      <c r="X26" s="281">
        <f>U26*VLOOKUP(W26,'Lookups &amp; OH allocation'!$K$55:$L$59,2,FALSE)</f>
        <v>0</v>
      </c>
      <c r="Y26" s="124"/>
      <c r="Z26" s="223">
        <f>SUM(V26,X26,Y26)</f>
        <v>18.705559688784174</v>
      </c>
      <c r="AA26" s="226">
        <f>(G26/60)*'Lookups &amp; OH allocation'!$I$13</f>
        <v>117.03498619441547</v>
      </c>
      <c r="AB26" s="226">
        <f>SUM(Z26,U26,AA26)*'Lookups &amp; OH allocation'!$G$23</f>
        <v>17.655699994147007</v>
      </c>
      <c r="AC26" s="179"/>
      <c r="AD26" s="179"/>
      <c r="AE26" s="223">
        <f>SUM(AA26:AD26)</f>
        <v>134.69068618856247</v>
      </c>
      <c r="AF26" s="124">
        <f>(U26+Z26+AE26)*'Lookups &amp; OH allocation'!$L$62</f>
        <v>23.347776563168619</v>
      </c>
      <c r="AG26" s="124"/>
      <c r="AH26" s="223">
        <f>SUM(AF26,AG26)</f>
        <v>23.347776563168619</v>
      </c>
      <c r="AI26" s="225">
        <f>U26+Z26+AE26+AH26</f>
        <v>409.9003686686093</v>
      </c>
      <c r="AJ26" s="234">
        <f>IFERROR(VLOOKUP($C26,'Volumes - Report Summary'!$C:$AF,MATCH(AM$2,'Volumes - Report Summary'!$C$6:$AF$6,0),FALSE),0)</f>
        <v>1</v>
      </c>
      <c r="AK26" s="266">
        <f>VLOOKUP(B26,'Back Office Time'!$B$5:$G$24,4,FALSE)</f>
        <v>5</v>
      </c>
      <c r="AL26" s="398">
        <f>IFERROR(V26*AJ26,0)</f>
        <v>18.705559688784174</v>
      </c>
      <c r="AM26" s="522">
        <f>AK26*AJ26</f>
        <v>5</v>
      </c>
      <c r="AN26" s="517"/>
      <c r="AO26" s="521"/>
      <c r="AP26" s="521"/>
      <c r="AQ26" s="520"/>
      <c r="AR26" s="29"/>
      <c r="AS26" s="289"/>
    </row>
    <row r="27" spans="1:45">
      <c r="B27" s="110" t="s">
        <v>48</v>
      </c>
      <c r="C27" s="111" t="s">
        <v>482</v>
      </c>
      <c r="D27" s="183">
        <v>180</v>
      </c>
      <c r="E27" s="122">
        <v>20</v>
      </c>
      <c r="F27" s="269">
        <f>SUM(D27:E27)</f>
        <v>200</v>
      </c>
      <c r="G27" s="217">
        <f>SUM(D27:E27)*H27</f>
        <v>200</v>
      </c>
      <c r="H27" s="122">
        <v>1</v>
      </c>
      <c r="I27" s="123" t="s">
        <v>199</v>
      </c>
      <c r="J27" s="123"/>
      <c r="K27" s="123" t="s">
        <v>154</v>
      </c>
      <c r="L27" s="272">
        <f>(IF(H27&gt;=1,IF(H27&gt;=2,VLOOKUP(I27,'Lookups &amp; OH allocation'!$B$41:$C$50,2,FALSE)/60*(E27)+VLOOKUP(J27,'Lookups &amp; OH allocation'!$B$41:$C$50,2,FALSE)/60*(E27),VLOOKUP(I27,'Lookups &amp; OH allocation'!$B$41:$C$50,2,FALSE)/60*(E27)),0))*(1+(VLOOKUP(K27,'Lookups &amp; OH allocation'!$K$47:$L$52,2,FALSE)))</f>
        <v>23.617475685705603</v>
      </c>
      <c r="M27" s="218">
        <f>(IF(H27&gt;=1,IF(H27&gt;=2,VLOOKUP(I27,'Lookups &amp; OH allocation'!$B$41:$C$50,2,FALSE)/60*(D27)+VLOOKUP(J27,'Lookups &amp; OH allocation'!$B$41:$C$50,2,FALSE)/60*(D27),VLOOKUP(I27,'Lookups &amp; OH allocation'!$B$41:$C$50,2,FALSE)/60*(D27)),0))*(1+(VLOOKUP(K27,'Lookups &amp; OH allocation'!$K$47:$L$52,2,FALSE)))</f>
        <v>212.55728117135041</v>
      </c>
      <c r="N27" s="273">
        <f>(IF(H27&gt;=1,IF(H27&gt;=2,VLOOKUP(I27,'Lookups &amp; OH allocation'!$B$41:$C$50,2,FALSE)/60*(F27)+VLOOKUP(J27,'Lookups &amp; OH allocation'!$B$41:$C$50,2,FALSE)/60*(F27),VLOOKUP(I27,'Lookups &amp; OH allocation'!$B$41:$C$50,2,FALSE)/60*(F27)),0))*(1+(VLOOKUP(K27,'Lookups &amp; OH allocation'!$K$47:$L$52,2,FALSE)))</f>
        <v>236.17475685705602</v>
      </c>
      <c r="O27" s="221" t="s">
        <v>238</v>
      </c>
      <c r="P27" s="277">
        <f>VLOOKUP(O27,'Lookups &amp; OH allocation'!$B$62:$C$72,2,FALSE)</f>
        <v>0</v>
      </c>
      <c r="Q27" s="125" t="s">
        <v>101</v>
      </c>
      <c r="R27" s="122"/>
      <c r="S27" s="277">
        <f>IF(R27&gt;0.01,VLOOKUP(Q27,'Lookups &amp; OH allocation'!$K$41:$L$43,2,FALSE)*((R27)/60),VLOOKUP(Q27,'Lookups &amp; OH allocation'!$K$41:$L$43,2,FALSE)*((F27)/60))</f>
        <v>22.887850063048443</v>
      </c>
      <c r="T27" s="124">
        <v>0</v>
      </c>
      <c r="U27" s="223">
        <f>SUM(N27,P27,S27,T27)</f>
        <v>259.06260692010449</v>
      </c>
      <c r="V27" s="226">
        <f>IF(AJ27=0,"No Volumes",AM27/'Lookups &amp; OH allocation'!$C$53*'Lookups &amp; OH allocation'!$D$53/AJ27)</f>
        <v>18.705559688784174</v>
      </c>
      <c r="W27" s="123" t="s">
        <v>154</v>
      </c>
      <c r="X27" s="281">
        <f>U27*VLOOKUP(W27,'Lookups &amp; OH allocation'!$K$55:$L$59,2,FALSE)</f>
        <v>0</v>
      </c>
      <c r="Y27" s="124"/>
      <c r="Z27" s="223">
        <f>SUM(V27,X27,Y27)</f>
        <v>18.705559688784174</v>
      </c>
      <c r="AA27" s="226">
        <f>(G27/60)*'Lookups &amp; OH allocation'!$I$13</f>
        <v>130.03887354935054</v>
      </c>
      <c r="AB27" s="226">
        <f>SUM(Z27,U27,AA27)*'Lookups &amp; OH allocation'!$G$23</f>
        <v>19.517970767730688</v>
      </c>
      <c r="AC27" s="179"/>
      <c r="AD27" s="179"/>
      <c r="AE27" s="223">
        <f>SUM(AA27:AD27)</f>
        <v>149.55684431708124</v>
      </c>
      <c r="AF27" s="124">
        <f>(U27+Z27+AE27)*'Lookups &amp; OH allocation'!$L$62</f>
        <v>25.810430659928581</v>
      </c>
      <c r="AG27" s="124"/>
      <c r="AH27" s="223">
        <f>SUM(AF27,AG27)</f>
        <v>25.810430659928581</v>
      </c>
      <c r="AI27" s="225">
        <f>U27+Z27+AE27+AH27</f>
        <v>453.13544158589843</v>
      </c>
      <c r="AJ27" s="234">
        <f>IFERROR(VLOOKUP($C27,'Volumes - Report Summary'!$C:$AF,MATCH(AM$2,'Volumes - Report Summary'!$C$6:$AF$6,0),FALSE),0)</f>
        <v>1</v>
      </c>
      <c r="AK27" s="266">
        <f>VLOOKUP(B27,'Back Office Time'!$B$5:$G$24,4,FALSE)</f>
        <v>5</v>
      </c>
      <c r="AL27" s="398">
        <f>IFERROR(V27*AJ27,0)</f>
        <v>18.705559688784174</v>
      </c>
      <c r="AM27" s="522">
        <f>AK27*AJ27</f>
        <v>5</v>
      </c>
      <c r="AN27" s="517"/>
      <c r="AO27" s="521"/>
      <c r="AP27" s="521"/>
      <c r="AQ27" s="520"/>
      <c r="AR27" s="29"/>
      <c r="AS27" s="289"/>
    </row>
    <row r="28" spans="1:45">
      <c r="B28" s="110" t="s">
        <v>48</v>
      </c>
      <c r="C28" s="111" t="s">
        <v>55</v>
      </c>
      <c r="D28" s="183">
        <v>180</v>
      </c>
      <c r="E28" s="122">
        <v>60</v>
      </c>
      <c r="F28" s="269">
        <f>SUM(D28:E28)</f>
        <v>240</v>
      </c>
      <c r="G28" s="217">
        <f>SUM(D28:E28)*H28</f>
        <v>240</v>
      </c>
      <c r="H28" s="122">
        <v>1</v>
      </c>
      <c r="I28" s="123" t="s">
        <v>199</v>
      </c>
      <c r="J28" s="123"/>
      <c r="K28" s="123" t="s">
        <v>154</v>
      </c>
      <c r="L28" s="272">
        <f>(IF(H28&gt;=1,IF(H28&gt;=2,VLOOKUP(I28,'Lookups &amp; OH allocation'!$B$41:$C$50,2,FALSE)/60*(E28)+VLOOKUP(J28,'Lookups &amp; OH allocation'!$B$41:$C$50,2,FALSE)/60*(E28),VLOOKUP(I28,'Lookups &amp; OH allocation'!$B$41:$C$50,2,FALSE)/60*(E28)),0))*(1+(VLOOKUP(K28,'Lookups &amp; OH allocation'!$K$47:$L$52,2,FALSE)))</f>
        <v>70.852427057116813</v>
      </c>
      <c r="M28" s="218">
        <f>(IF(H28&gt;=1,IF(H28&gt;=2,VLOOKUP(I28,'Lookups &amp; OH allocation'!$B$41:$C$50,2,FALSE)/60*(D28)+VLOOKUP(J28,'Lookups &amp; OH allocation'!$B$41:$C$50,2,FALSE)/60*(D28),VLOOKUP(I28,'Lookups &amp; OH allocation'!$B$41:$C$50,2,FALSE)/60*(D28)),0))*(1+(VLOOKUP(K28,'Lookups &amp; OH allocation'!$K$47:$L$52,2,FALSE)))</f>
        <v>212.55728117135041</v>
      </c>
      <c r="N28" s="273">
        <f>(IF(H28&gt;=1,IF(H28&gt;=2,VLOOKUP(I28,'Lookups &amp; OH allocation'!$B$41:$C$50,2,FALSE)/60*(F28)+VLOOKUP(J28,'Lookups &amp; OH allocation'!$B$41:$C$50,2,FALSE)/60*(F28),VLOOKUP(I28,'Lookups &amp; OH allocation'!$B$41:$C$50,2,FALSE)/60*(F28)),0))*(1+(VLOOKUP(K28,'Lookups &amp; OH allocation'!$K$47:$L$52,2,FALSE)))</f>
        <v>283.40970822846725</v>
      </c>
      <c r="O28" s="221" t="s">
        <v>238</v>
      </c>
      <c r="P28" s="277">
        <f>VLOOKUP(O28,'Lookups &amp; OH allocation'!$B$62:$C$72,2,FALSE)</f>
        <v>0</v>
      </c>
      <c r="Q28" s="125" t="s">
        <v>101</v>
      </c>
      <c r="R28" s="122"/>
      <c r="S28" s="277">
        <f>IF(R28&gt;0.01,VLOOKUP(Q28,'Lookups &amp; OH allocation'!$K$41:$L$43,2,FALSE)*((R28)/60),VLOOKUP(Q28,'Lookups &amp; OH allocation'!$K$41:$L$43,2,FALSE)*((F28)/60))</f>
        <v>27.46542007565813</v>
      </c>
      <c r="T28" s="124">
        <v>0</v>
      </c>
      <c r="U28" s="223">
        <f>SUM(N28,P28,S28,T28)</f>
        <v>310.87512830412538</v>
      </c>
      <c r="V28" s="226">
        <f>IF(AJ28=0,"No Volumes",AM28/'Lookups &amp; OH allocation'!$C$53*'Lookups &amp; OH allocation'!$D$53/AJ28)</f>
        <v>18.705559688784174</v>
      </c>
      <c r="W28" s="123" t="s">
        <v>151</v>
      </c>
      <c r="X28" s="281">
        <f>U28*VLOOKUP(W28,'Lookups &amp; OH allocation'!$K$55:$L$59,2,FALSE)</f>
        <v>155.43756415206269</v>
      </c>
      <c r="Y28" s="124"/>
      <c r="Z28" s="223">
        <f>SUM(V28,X28,Y28)</f>
        <v>174.14312384084687</v>
      </c>
      <c r="AA28" s="226">
        <f>(G28/60)*'Lookups &amp; OH allocation'!$I$13</f>
        <v>156.04664825922063</v>
      </c>
      <c r="AB28" s="226">
        <f>SUM(Z28,U28,AA28)*'Lookups &amp; OH allocation'!$G$23</f>
        <v>30.681878325229864</v>
      </c>
      <c r="AC28" s="179"/>
      <c r="AD28" s="179"/>
      <c r="AE28" s="223">
        <f>SUM(AA28:AD28)</f>
        <v>186.72852658445049</v>
      </c>
      <c r="AF28" s="124">
        <f>(U28+Z28+AE28)*'Lookups &amp; OH allocation'!$L$62</f>
        <v>40.57350543525714</v>
      </c>
      <c r="AG28" s="124"/>
      <c r="AH28" s="223">
        <f>SUM(AF28,AG28)</f>
        <v>40.57350543525714</v>
      </c>
      <c r="AI28" s="225">
        <f>U28+Z28+AE28+AH28</f>
        <v>712.32028416467995</v>
      </c>
      <c r="AJ28" s="234">
        <f>IFERROR(VLOOKUP($C28,'Volumes - Report Summary'!$C:$AF,MATCH(AM$2,'Volumes - Report Summary'!$C$6:$AF$6,0),FALSE),0)</f>
        <v>1</v>
      </c>
      <c r="AK28" s="266">
        <f>VLOOKUP(B28,'Back Office Time'!$B$5:$G$24,4,FALSE)</f>
        <v>5</v>
      </c>
      <c r="AL28" s="398">
        <f>IFERROR(V28*AJ28,0)</f>
        <v>18.705559688784174</v>
      </c>
      <c r="AM28" s="522">
        <f>AK28*AJ28</f>
        <v>5</v>
      </c>
      <c r="AN28" s="517"/>
      <c r="AO28" s="521"/>
      <c r="AP28" s="521"/>
      <c r="AQ28" s="520"/>
      <c r="AR28" s="29"/>
      <c r="AS28" s="289"/>
    </row>
    <row r="29" spans="1:45">
      <c r="B29" s="110" t="s">
        <v>48</v>
      </c>
      <c r="C29" s="111" t="s">
        <v>475</v>
      </c>
      <c r="D29" s="183">
        <v>10</v>
      </c>
      <c r="E29" s="122">
        <v>20</v>
      </c>
      <c r="F29" s="269">
        <f>SUM(D29:E29)</f>
        <v>30</v>
      </c>
      <c r="G29" s="217">
        <f>SUM(D29:E29)*H29</f>
        <v>30</v>
      </c>
      <c r="H29" s="122">
        <v>1</v>
      </c>
      <c r="I29" s="123" t="s">
        <v>199</v>
      </c>
      <c r="J29" s="123"/>
      <c r="K29" s="123" t="s">
        <v>154</v>
      </c>
      <c r="L29" s="272">
        <f>(IF(H29&gt;=1,IF(H29&gt;=2,VLOOKUP(I29,'Lookups &amp; OH allocation'!$B$41:$C$50,2,FALSE)/60*(E29)+VLOOKUP(J29,'Lookups &amp; OH allocation'!$B$41:$C$50,2,FALSE)/60*(E29),VLOOKUP(I29,'Lookups &amp; OH allocation'!$B$41:$C$50,2,FALSE)/60*(E29)),0))*(1+(VLOOKUP(K29,'Lookups &amp; OH allocation'!$K$47:$L$52,2,FALSE)))</f>
        <v>23.617475685705603</v>
      </c>
      <c r="M29" s="218">
        <f>(IF(H29&gt;=1,IF(H29&gt;=2,VLOOKUP(I29,'Lookups &amp; OH allocation'!$B$41:$C$50,2,FALSE)/60*(D29)+VLOOKUP(J29,'Lookups &amp; OH allocation'!$B$41:$C$50,2,FALSE)/60*(D29),VLOOKUP(I29,'Lookups &amp; OH allocation'!$B$41:$C$50,2,FALSE)/60*(D29)),0))*(1+(VLOOKUP(K29,'Lookups &amp; OH allocation'!$K$47:$L$52,2,FALSE)))</f>
        <v>11.808737842852802</v>
      </c>
      <c r="N29" s="273">
        <f>(IF(H29&gt;=1,IF(H29&gt;=2,VLOOKUP(I29,'Lookups &amp; OH allocation'!$B$41:$C$50,2,FALSE)/60*(F29)+VLOOKUP(J29,'Lookups &amp; OH allocation'!$B$41:$C$50,2,FALSE)/60*(F29),VLOOKUP(I29,'Lookups &amp; OH allocation'!$B$41:$C$50,2,FALSE)/60*(F29)),0))*(1+(VLOOKUP(K29,'Lookups &amp; OH allocation'!$K$47:$L$52,2,FALSE)))</f>
        <v>35.426213528558407</v>
      </c>
      <c r="O29" s="221" t="s">
        <v>238</v>
      </c>
      <c r="P29" s="277">
        <f>VLOOKUP(O29,'Lookups &amp; OH allocation'!$B$62:$C$72,2,FALSE)</f>
        <v>0</v>
      </c>
      <c r="Q29" s="125" t="s">
        <v>101</v>
      </c>
      <c r="R29" s="122"/>
      <c r="S29" s="277">
        <f>IF(R29&gt;0.01,VLOOKUP(Q29,'Lookups &amp; OH allocation'!$K$41:$L$43,2,FALSE)*((R29)/60),VLOOKUP(Q29,'Lookups &amp; OH allocation'!$K$41:$L$43,2,FALSE)*((F29)/60))</f>
        <v>3.4331775094572663</v>
      </c>
      <c r="T29" s="124">
        <v>0</v>
      </c>
      <c r="U29" s="223">
        <f>SUM(N29,P29,S29,T29)</f>
        <v>38.859391038015673</v>
      </c>
      <c r="V29" s="226">
        <f>IF(AJ29=0,"No Volumes",AM29/'Lookups &amp; OH allocation'!$C$53*'Lookups &amp; OH allocation'!$D$53/AJ29)</f>
        <v>18.705559688784174</v>
      </c>
      <c r="W29" s="123" t="s">
        <v>154</v>
      </c>
      <c r="X29" s="281">
        <f>U29*VLOOKUP(W29,'Lookups &amp; OH allocation'!$K$55:$L$59,2,FALSE)</f>
        <v>0</v>
      </c>
      <c r="Y29" s="124"/>
      <c r="Z29" s="223">
        <f>SUM(V29,X29,Y29)</f>
        <v>18.705559688784174</v>
      </c>
      <c r="AA29" s="226">
        <f>(G29/60)*'Lookups &amp; OH allocation'!$I$13</f>
        <v>19.505831032402579</v>
      </c>
      <c r="AB29" s="226">
        <f>SUM(Z29,U29,AA29)*'Lookups &amp; OH allocation'!$G$23</f>
        <v>3.6886691922693946</v>
      </c>
      <c r="AC29" s="179"/>
      <c r="AD29" s="179"/>
      <c r="AE29" s="223">
        <f>SUM(AA29:AD29)</f>
        <v>23.194500224671973</v>
      </c>
      <c r="AF29" s="124">
        <f>(U29+Z29+AE29)*'Lookups &amp; OH allocation'!$L$62</f>
        <v>4.8778708374688984</v>
      </c>
      <c r="AG29" s="124"/>
      <c r="AH29" s="223">
        <f>SUM(AF29,AG29)</f>
        <v>4.8778708374688984</v>
      </c>
      <c r="AI29" s="225">
        <f>U29+Z29+AE29+AH29</f>
        <v>85.637321788940724</v>
      </c>
      <c r="AJ29" s="234">
        <f>IFERROR(VLOOKUP($C29,'Volumes - Report Summary'!$C:$AF,MATCH(AM$2,'Volumes - Report Summary'!$C$6:$AF$6,0),FALSE),0)</f>
        <v>1</v>
      </c>
      <c r="AK29" s="266">
        <f>VLOOKUP(B29,'Back Office Time'!$B$5:$G$24,4,FALSE)</f>
        <v>5</v>
      </c>
      <c r="AL29" s="398">
        <f>IFERROR(V29*AJ29,0)</f>
        <v>18.705559688784174</v>
      </c>
      <c r="AM29" s="522">
        <f>AK29*AJ29</f>
        <v>5</v>
      </c>
      <c r="AN29" s="517"/>
      <c r="AO29" s="521"/>
      <c r="AP29" s="521"/>
      <c r="AQ29" s="520"/>
      <c r="AR29" s="29"/>
      <c r="AS29" s="289"/>
    </row>
    <row r="30" spans="1:45">
      <c r="A30" t="s">
        <v>145</v>
      </c>
      <c r="B30" s="120" t="s">
        <v>58</v>
      </c>
      <c r="C30" s="112"/>
      <c r="D30" s="184"/>
      <c r="E30" s="113"/>
      <c r="F30" s="116"/>
      <c r="G30" s="271"/>
      <c r="H30" s="113"/>
      <c r="I30" s="114"/>
      <c r="J30" s="114"/>
      <c r="K30" s="114"/>
      <c r="L30" s="274"/>
      <c r="M30" s="178"/>
      <c r="N30" s="275"/>
      <c r="O30" s="203"/>
      <c r="P30" s="276"/>
      <c r="Q30" s="116"/>
      <c r="R30" s="113"/>
      <c r="S30" s="276"/>
      <c r="T30" s="115"/>
      <c r="U30" s="185"/>
      <c r="V30" s="220"/>
      <c r="W30" s="114"/>
      <c r="X30" s="114"/>
      <c r="Y30" s="115"/>
      <c r="Z30" s="227"/>
      <c r="AA30" s="226"/>
      <c r="AB30" s="226"/>
      <c r="AC30" s="118"/>
      <c r="AD30" s="219"/>
      <c r="AE30" s="185"/>
      <c r="AF30" s="115"/>
      <c r="AG30" s="115"/>
      <c r="AH30" s="185"/>
      <c r="AI30" s="186"/>
      <c r="AJ30" s="232"/>
      <c r="AK30" s="266"/>
      <c r="AL30" s="399"/>
      <c r="AM30" s="522"/>
      <c r="AN30" s="523"/>
      <c r="AO30" s="506"/>
      <c r="AP30" s="506"/>
      <c r="AQ30" s="29"/>
      <c r="AR30" s="291"/>
      <c r="AS30" s="291"/>
    </row>
    <row r="31" spans="1:45">
      <c r="B31" s="110" t="s">
        <v>58</v>
      </c>
      <c r="C31" s="111" t="s">
        <v>60</v>
      </c>
      <c r="D31" s="183">
        <v>30</v>
      </c>
      <c r="E31" s="122">
        <v>20</v>
      </c>
      <c r="F31" s="269">
        <f>SUM(D31:E31)</f>
        <v>50</v>
      </c>
      <c r="G31" s="217">
        <f>SUM(D31:E31)*H31</f>
        <v>100</v>
      </c>
      <c r="H31" s="122">
        <v>2</v>
      </c>
      <c r="I31" s="123" t="s">
        <v>199</v>
      </c>
      <c r="J31" s="123" t="s">
        <v>199</v>
      </c>
      <c r="K31" s="123" t="s">
        <v>154</v>
      </c>
      <c r="L31" s="272">
        <f>(IF(H31&gt;=1,IF(H31&gt;=2,VLOOKUP(I31,'Lookups &amp; OH allocation'!$B$41:$C$50,2,FALSE)/60*(E31)+VLOOKUP(J31,'Lookups &amp; OH allocation'!$B$41:$C$50,2,FALSE)/60*(E31),VLOOKUP(I31,'Lookups &amp; OH allocation'!$B$41:$C$50,2,FALSE)/60*(E31)),0))*(1+(VLOOKUP(K31,'Lookups &amp; OH allocation'!$K$47:$L$52,2,FALSE)))</f>
        <v>47.234951371411206</v>
      </c>
      <c r="M31" s="218">
        <f>(IF(H31&gt;=1,IF(H31&gt;=2,VLOOKUP(I31,'Lookups &amp; OH allocation'!$B$41:$C$50,2,FALSE)/60*(D31)+VLOOKUP(J31,'Lookups &amp; OH allocation'!$B$41:$C$50,2,FALSE)/60*(D31),VLOOKUP(I31,'Lookups &amp; OH allocation'!$B$41:$C$50,2,FALSE)/60*(D31)),0))*(1+(VLOOKUP(K31,'Lookups &amp; OH allocation'!$K$47:$L$52,2,FALSE)))</f>
        <v>70.852427057116813</v>
      </c>
      <c r="N31" s="273">
        <f>(IF(H31&gt;=1,IF(H31&gt;=2,VLOOKUP(I31,'Lookups &amp; OH allocation'!$B$41:$C$50,2,FALSE)/60*(F31)+VLOOKUP(J31,'Lookups &amp; OH allocation'!$B$41:$C$50,2,FALSE)/60*(F31),VLOOKUP(I31,'Lookups &amp; OH allocation'!$B$41:$C$50,2,FALSE)/60*(F31)),0))*(1+(VLOOKUP(K31,'Lookups &amp; OH allocation'!$K$47:$L$52,2,FALSE)))</f>
        <v>118.08737842852801</v>
      </c>
      <c r="O31" s="221" t="s">
        <v>238</v>
      </c>
      <c r="P31" s="277">
        <f>VLOOKUP(O31,'Lookups &amp; OH allocation'!$B$62:$C$72,2,FALSE)</f>
        <v>0</v>
      </c>
      <c r="Q31" s="125" t="s">
        <v>100</v>
      </c>
      <c r="R31" s="122"/>
      <c r="S31" s="277">
        <f>IF(R31&gt;0.01,VLOOKUP(Q31,'Lookups &amp; OH allocation'!$K$41:$L$43,2,FALSE)*((R31)/60),VLOOKUP(Q31,'Lookups &amp; OH allocation'!$K$41:$L$43,2,FALSE)*((F31)/60))</f>
        <v>21.138228582395328</v>
      </c>
      <c r="T31" s="124">
        <v>0</v>
      </c>
      <c r="U31" s="223">
        <f>SUM(N31,P31,S31,T31)</f>
        <v>139.22560701092334</v>
      </c>
      <c r="V31" s="226">
        <f>IF(AJ31=0,"No Volumes",AM31/'Lookups &amp; OH allocation'!$C$53*'Lookups &amp; OH allocation'!$D$53/AJ31)</f>
        <v>29.928895502054669</v>
      </c>
      <c r="W31" s="123" t="s">
        <v>154</v>
      </c>
      <c r="X31" s="281">
        <f>U31*VLOOKUP(W31,'Lookups &amp; OH allocation'!$K$55:$L$59,2,FALSE)</f>
        <v>0</v>
      </c>
      <c r="Y31" s="124"/>
      <c r="Z31" s="223">
        <f>SUM(V31,X31,Y31)</f>
        <v>29.928895502054669</v>
      </c>
      <c r="AA31" s="226">
        <f>(G31/60)*'Lookups &amp; OH allocation'!$I$13</f>
        <v>65.01943677467527</v>
      </c>
      <c r="AB31" s="226">
        <f>SUM(Z31,U31,AA31)*'Lookups &amp; OH allocation'!$G$23</f>
        <v>11.20775183235496</v>
      </c>
      <c r="AC31" s="179"/>
      <c r="AD31" s="179"/>
      <c r="AE31" s="223">
        <f>SUM(AA31:AD31)</f>
        <v>76.227188607030229</v>
      </c>
      <c r="AF31" s="124">
        <f>(U31+Z31+AE31)*'Lookups &amp; OH allocation'!$L$62</f>
        <v>14.821054143648498</v>
      </c>
      <c r="AG31" s="124"/>
      <c r="AH31" s="223">
        <f>SUM(AF31,AG31)</f>
        <v>14.821054143648498</v>
      </c>
      <c r="AI31" s="225">
        <f>U31+Z31+AE31+AH31</f>
        <v>260.20274526365677</v>
      </c>
      <c r="AJ31" s="234">
        <f>IFERROR(VLOOKUP($C31,'Volumes - Report Summary'!$C:$AF,MATCH(AM$2,'Volumes - Report Summary'!$C$6:$AF$6,0),FALSE),0)</f>
        <v>310</v>
      </c>
      <c r="AK31" s="266">
        <f>VLOOKUP(B31,'Back Office Time'!$B$5:$G$24,4,FALSE)</f>
        <v>8</v>
      </c>
      <c r="AL31" s="398">
        <f>IFERROR(V31*AJ31,0)</f>
        <v>9277.9576056369478</v>
      </c>
      <c r="AM31" s="522">
        <f>AK31*AJ31</f>
        <v>2480</v>
      </c>
      <c r="AN31" s="517"/>
      <c r="AO31" s="521"/>
      <c r="AP31" s="521"/>
      <c r="AQ31" s="520"/>
      <c r="AR31" s="29"/>
      <c r="AS31" s="289"/>
    </row>
    <row r="32" spans="1:45">
      <c r="B32" s="110" t="s">
        <v>58</v>
      </c>
      <c r="C32" s="111" t="s">
        <v>62</v>
      </c>
      <c r="D32" s="183">
        <v>180</v>
      </c>
      <c r="E32" s="122">
        <v>60</v>
      </c>
      <c r="F32" s="269">
        <f>SUM(D32:E32)</f>
        <v>240</v>
      </c>
      <c r="G32" s="217">
        <f>SUM(D32:E32)*H32</f>
        <v>480</v>
      </c>
      <c r="H32" s="122">
        <v>2</v>
      </c>
      <c r="I32" s="123" t="s">
        <v>199</v>
      </c>
      <c r="J32" s="123" t="s">
        <v>199</v>
      </c>
      <c r="K32" s="123" t="s">
        <v>154</v>
      </c>
      <c r="L32" s="272">
        <f>(IF(H32&gt;=1,IF(H32&gt;=2,VLOOKUP(I32,'Lookups &amp; OH allocation'!$B$41:$C$50,2,FALSE)/60*(E32)+VLOOKUP(J32,'Lookups &amp; OH allocation'!$B$41:$C$50,2,FALSE)/60*(E32),VLOOKUP(I32,'Lookups &amp; OH allocation'!$B$41:$C$50,2,FALSE)/60*(E32)),0))*(1+(VLOOKUP(K32,'Lookups &amp; OH allocation'!$K$47:$L$52,2,FALSE)))</f>
        <v>141.70485411423363</v>
      </c>
      <c r="M32" s="218">
        <f>(IF(H32&gt;=1,IF(H32&gt;=2,VLOOKUP(I32,'Lookups &amp; OH allocation'!$B$41:$C$50,2,FALSE)/60*(D32)+VLOOKUP(J32,'Lookups &amp; OH allocation'!$B$41:$C$50,2,FALSE)/60*(D32),VLOOKUP(I32,'Lookups &amp; OH allocation'!$B$41:$C$50,2,FALSE)/60*(D32)),0))*(1+(VLOOKUP(K32,'Lookups &amp; OH allocation'!$K$47:$L$52,2,FALSE)))</f>
        <v>425.11456234270082</v>
      </c>
      <c r="N32" s="273">
        <f>(IF(H32&gt;=1,IF(H32&gt;=2,VLOOKUP(I32,'Lookups &amp; OH allocation'!$B$41:$C$50,2,FALSE)/60*(F32)+VLOOKUP(J32,'Lookups &amp; OH allocation'!$B$41:$C$50,2,FALSE)/60*(F32),VLOOKUP(I32,'Lookups &amp; OH allocation'!$B$41:$C$50,2,FALSE)/60*(F32)),0))*(1+(VLOOKUP(K32,'Lookups &amp; OH allocation'!$K$47:$L$52,2,FALSE)))</f>
        <v>566.8194164569345</v>
      </c>
      <c r="O32" s="221" t="s">
        <v>238</v>
      </c>
      <c r="P32" s="277">
        <f>VLOOKUP(O32,'Lookups &amp; OH allocation'!$B$62:$C$72,2,FALSE)</f>
        <v>0</v>
      </c>
      <c r="Q32" s="125" t="s">
        <v>100</v>
      </c>
      <c r="R32" s="122"/>
      <c r="S32" s="277">
        <f>IF(R32&gt;0.01,VLOOKUP(Q32,'Lookups &amp; OH allocation'!$K$41:$L$43,2,FALSE)*((R32)/60),VLOOKUP(Q32,'Lookups &amp; OH allocation'!$K$41:$L$43,2,FALSE)*((F32)/60))</f>
        <v>101.46349719549757</v>
      </c>
      <c r="T32" s="124">
        <v>0</v>
      </c>
      <c r="U32" s="223">
        <f>SUM(N32,P32,S32,T32)</f>
        <v>668.28291365243206</v>
      </c>
      <c r="V32" s="226">
        <f>IF(AJ32=0,"No Volumes",AM32/'Lookups &amp; OH allocation'!$C$53*'Lookups &amp; OH allocation'!$D$53/AJ32)</f>
        <v>29.928895502054672</v>
      </c>
      <c r="W32" s="123" t="s">
        <v>151</v>
      </c>
      <c r="X32" s="281">
        <f>U32*VLOOKUP(W32,'Lookups &amp; OH allocation'!$K$55:$L$59,2,FALSE)</f>
        <v>334.14145682621603</v>
      </c>
      <c r="Y32" s="124"/>
      <c r="Z32" s="223">
        <f>SUM(V32,X32,Y32)</f>
        <v>364.0703523282707</v>
      </c>
      <c r="AA32" s="226">
        <f>(G32/60)*'Lookups &amp; OH allocation'!$I$13</f>
        <v>312.09329651844126</v>
      </c>
      <c r="AB32" s="226">
        <f>SUM(Z32,U32,AA32)*'Lookups &amp; OH allocation'!$G$23</f>
        <v>64.346286654227953</v>
      </c>
      <c r="AC32" s="179"/>
      <c r="AD32" s="179"/>
      <c r="AE32" s="223">
        <f>SUM(AA32:AD32)</f>
        <v>376.43958317266924</v>
      </c>
      <c r="AF32" s="124">
        <f>(U32+Z32+AE32)*'Lookups &amp; OH allocation'!$L$62</f>
        <v>85.091088088863685</v>
      </c>
      <c r="AG32" s="124"/>
      <c r="AH32" s="223">
        <f>SUM(AF32,AG32)</f>
        <v>85.091088088863685</v>
      </c>
      <c r="AI32" s="225">
        <f>U32+Z32+AE32+AH32</f>
        <v>1493.8839372422358</v>
      </c>
      <c r="AJ32" s="234">
        <f>IFERROR(VLOOKUP($C32,'Volumes - Report Summary'!$C:$AF,MATCH(AM$2,'Volumes - Report Summary'!$C$6:$AF$6,0),FALSE),0)</f>
        <v>1</v>
      </c>
      <c r="AK32" s="266">
        <f>VLOOKUP(B32,'Back Office Time'!$B$5:$G$24,4,FALSE)</f>
        <v>8</v>
      </c>
      <c r="AL32" s="398">
        <f>IFERROR(V32*AJ32,0)</f>
        <v>29.928895502054672</v>
      </c>
      <c r="AM32" s="522">
        <f>AK32*AJ32</f>
        <v>8</v>
      </c>
      <c r="AN32" s="517"/>
      <c r="AO32" s="521"/>
      <c r="AP32" s="521"/>
      <c r="AQ32" s="520"/>
      <c r="AR32" s="29"/>
      <c r="AS32" s="289"/>
    </row>
    <row r="33" spans="1:45">
      <c r="B33" s="110" t="s">
        <v>58</v>
      </c>
      <c r="C33" s="111" t="s">
        <v>64</v>
      </c>
      <c r="D33" s="183">
        <v>10</v>
      </c>
      <c r="E33" s="122">
        <v>20</v>
      </c>
      <c r="F33" s="269">
        <f>SUM(D33:E33)</f>
        <v>30</v>
      </c>
      <c r="G33" s="217">
        <f>SUM(D33:E33)*H33</f>
        <v>60</v>
      </c>
      <c r="H33" s="122">
        <v>2</v>
      </c>
      <c r="I33" s="123" t="s">
        <v>199</v>
      </c>
      <c r="J33" s="123" t="s">
        <v>199</v>
      </c>
      <c r="K33" s="123" t="s">
        <v>154</v>
      </c>
      <c r="L33" s="272">
        <f>(IF(H33&gt;=1,IF(H33&gt;=2,VLOOKUP(I33,'Lookups &amp; OH allocation'!$B$41:$C$50,2,FALSE)/60*(E33)+VLOOKUP(J33,'Lookups &amp; OH allocation'!$B$41:$C$50,2,FALSE)/60*(E33),VLOOKUP(I33,'Lookups &amp; OH allocation'!$B$41:$C$50,2,FALSE)/60*(E33)),0))*(1+(VLOOKUP(K33,'Lookups &amp; OH allocation'!$K$47:$L$52,2,FALSE)))</f>
        <v>47.234951371411206</v>
      </c>
      <c r="M33" s="218">
        <f>(IF(H33&gt;=1,IF(H33&gt;=2,VLOOKUP(I33,'Lookups &amp; OH allocation'!$B$41:$C$50,2,FALSE)/60*(D33)+VLOOKUP(J33,'Lookups &amp; OH allocation'!$B$41:$C$50,2,FALSE)/60*(D33),VLOOKUP(I33,'Lookups &amp; OH allocation'!$B$41:$C$50,2,FALSE)/60*(D33)),0))*(1+(VLOOKUP(K33,'Lookups &amp; OH allocation'!$K$47:$L$52,2,FALSE)))</f>
        <v>23.617475685705603</v>
      </c>
      <c r="N33" s="273">
        <f>(IF(H33&gt;=1,IF(H33&gt;=2,VLOOKUP(I33,'Lookups &amp; OH allocation'!$B$41:$C$50,2,FALSE)/60*(F33)+VLOOKUP(J33,'Lookups &amp; OH allocation'!$B$41:$C$50,2,FALSE)/60*(F33),VLOOKUP(I33,'Lookups &amp; OH allocation'!$B$41:$C$50,2,FALSE)/60*(F33)),0))*(1+(VLOOKUP(K33,'Lookups &amp; OH allocation'!$K$47:$L$52,2,FALSE)))</f>
        <v>70.852427057116813</v>
      </c>
      <c r="O33" s="221" t="s">
        <v>238</v>
      </c>
      <c r="P33" s="277">
        <f>VLOOKUP(O33,'Lookups &amp; OH allocation'!$B$62:$C$72,2,FALSE)</f>
        <v>0</v>
      </c>
      <c r="Q33" s="125" t="s">
        <v>100</v>
      </c>
      <c r="R33" s="122"/>
      <c r="S33" s="277">
        <f>IF(R33&gt;0.01,VLOOKUP(Q33,'Lookups &amp; OH allocation'!$K$41:$L$43,2,FALSE)*((R33)/60),VLOOKUP(Q33,'Lookups &amp; OH allocation'!$K$41:$L$43,2,FALSE)*((F33)/60))</f>
        <v>12.682937149437196</v>
      </c>
      <c r="T33" s="124">
        <v>0</v>
      </c>
      <c r="U33" s="223">
        <f>SUM(N33,P33,S33,T33)</f>
        <v>83.535364206554007</v>
      </c>
      <c r="V33" s="226">
        <f>IF(AJ33=0,"No Volumes",AM33/'Lookups &amp; OH allocation'!$C$53*'Lookups &amp; OH allocation'!$D$53/AJ33)</f>
        <v>29.928895502054679</v>
      </c>
      <c r="W33" s="123" t="s">
        <v>154</v>
      </c>
      <c r="X33" s="281">
        <f>U33*VLOOKUP(W33,'Lookups &amp; OH allocation'!$K$55:$L$59,2,FALSE)</f>
        <v>0</v>
      </c>
      <c r="Y33" s="124"/>
      <c r="Z33" s="223">
        <f>SUM(V33,X33,Y33)</f>
        <v>29.928895502054679</v>
      </c>
      <c r="AA33" s="226">
        <f>(G33/60)*'Lookups &amp; OH allocation'!$I$13</f>
        <v>39.011662064805158</v>
      </c>
      <c r="AB33" s="226">
        <f>SUM(Z33,U33,AA33)*'Lookups &amp; OH allocation'!$G$23</f>
        <v>7.2976194398250547</v>
      </c>
      <c r="AC33" s="179"/>
      <c r="AD33" s="179"/>
      <c r="AE33" s="223">
        <f>SUM(AA33:AD33)</f>
        <v>46.309281504630214</v>
      </c>
      <c r="AF33" s="124">
        <f>(U33+Z33+AE33)*'Lookups &amp; OH allocation'!$L$62</f>
        <v>9.6503218892796294</v>
      </c>
      <c r="AG33" s="124"/>
      <c r="AH33" s="223">
        <f>SUM(AF33,AG33)</f>
        <v>9.6503218892796294</v>
      </c>
      <c r="AI33" s="225">
        <f>U33+Z33+AE33+AH33</f>
        <v>169.42386310251854</v>
      </c>
      <c r="AJ33" s="234">
        <f>IFERROR(VLOOKUP($C33,'Volumes - Report Summary'!$C:$AF,MATCH(AM$2,'Volumes - Report Summary'!$C$6:$AF$6,0),FALSE),0)</f>
        <v>20</v>
      </c>
      <c r="AK33" s="266">
        <f>VLOOKUP(B33,'Back Office Time'!$B$5:$G$24,4,FALSE)</f>
        <v>8</v>
      </c>
      <c r="AL33" s="398">
        <f>IFERROR(V33*AJ33,0)</f>
        <v>598.57791004109356</v>
      </c>
      <c r="AM33" s="522">
        <f>AK33*AJ33</f>
        <v>160</v>
      </c>
      <c r="AN33" s="517"/>
      <c r="AO33" s="521"/>
      <c r="AP33" s="521"/>
      <c r="AQ33" s="520"/>
      <c r="AR33" s="29"/>
      <c r="AS33" s="289"/>
    </row>
    <row r="34" spans="1:45">
      <c r="A34" t="s">
        <v>145</v>
      </c>
      <c r="B34" s="120" t="s">
        <v>75</v>
      </c>
      <c r="C34" s="112"/>
      <c r="D34" s="184"/>
      <c r="E34" s="113"/>
      <c r="F34" s="116"/>
      <c r="G34" s="271"/>
      <c r="H34" s="113"/>
      <c r="I34" s="114"/>
      <c r="J34" s="114"/>
      <c r="K34" s="114"/>
      <c r="L34" s="274"/>
      <c r="M34" s="178"/>
      <c r="N34" s="275"/>
      <c r="O34" s="203"/>
      <c r="P34" s="276"/>
      <c r="Q34" s="116"/>
      <c r="R34" s="113"/>
      <c r="S34" s="276"/>
      <c r="T34" s="115"/>
      <c r="U34" s="185"/>
      <c r="V34" s="220"/>
      <c r="W34" s="114"/>
      <c r="X34" s="114"/>
      <c r="Y34" s="115"/>
      <c r="Z34" s="227"/>
      <c r="AA34" s="226"/>
      <c r="AB34" s="226"/>
      <c r="AC34" s="118"/>
      <c r="AD34" s="219"/>
      <c r="AE34" s="185"/>
      <c r="AF34" s="115"/>
      <c r="AG34" s="115"/>
      <c r="AH34" s="185"/>
      <c r="AI34" s="186"/>
      <c r="AJ34" s="232"/>
      <c r="AK34" s="266"/>
      <c r="AL34" s="399"/>
      <c r="AM34" s="522"/>
      <c r="AN34" s="523"/>
      <c r="AO34" s="506"/>
      <c r="AP34" s="506"/>
      <c r="AQ34" s="29"/>
      <c r="AR34" s="291"/>
      <c r="AS34" s="291"/>
    </row>
    <row r="35" spans="1:45">
      <c r="B35" s="110" t="s">
        <v>75</v>
      </c>
      <c r="C35" s="111" t="s">
        <v>483</v>
      </c>
      <c r="D35" s="183">
        <v>30</v>
      </c>
      <c r="E35" s="122">
        <v>20</v>
      </c>
      <c r="F35" s="269">
        <f>SUM(D35:E35)</f>
        <v>50</v>
      </c>
      <c r="G35" s="217">
        <f>SUM(D35:E35)*H35</f>
        <v>50</v>
      </c>
      <c r="H35" s="122">
        <v>1</v>
      </c>
      <c r="I35" s="123" t="s">
        <v>199</v>
      </c>
      <c r="J35" s="123"/>
      <c r="K35" s="123" t="s">
        <v>154</v>
      </c>
      <c r="L35" s="272">
        <f>(IF(H35&gt;=1,IF(H35&gt;=2,VLOOKUP(I35,'Lookups &amp; OH allocation'!$B$41:$C$50,2,FALSE)/60*(E35)+VLOOKUP(J35,'Lookups &amp; OH allocation'!$B$41:$C$50,2,FALSE)/60*(E35),VLOOKUP(I35,'Lookups &amp; OH allocation'!$B$41:$C$50,2,FALSE)/60*(E35)),0))*(1+(VLOOKUP(K35,'Lookups &amp; OH allocation'!$K$47:$L$52,2,FALSE)))</f>
        <v>23.617475685705603</v>
      </c>
      <c r="M35" s="218">
        <f>(IF(H35&gt;=1,IF(H35&gt;=2,VLOOKUP(I35,'Lookups &amp; OH allocation'!$B$41:$C$50,2,FALSE)/60*(D35)+VLOOKUP(J35,'Lookups &amp; OH allocation'!$B$41:$C$50,2,FALSE)/60*(D35),VLOOKUP(I35,'Lookups &amp; OH allocation'!$B$41:$C$50,2,FALSE)/60*(D35)),0))*(1+(VLOOKUP(K35,'Lookups &amp; OH allocation'!$K$47:$L$52,2,FALSE)))</f>
        <v>35.426213528558407</v>
      </c>
      <c r="N35" s="273">
        <f>(IF(H35&gt;=1,IF(H35&gt;=2,VLOOKUP(I35,'Lookups &amp; OH allocation'!$B$41:$C$50,2,FALSE)/60*(F35)+VLOOKUP(J35,'Lookups &amp; OH allocation'!$B$41:$C$50,2,FALSE)/60*(F35),VLOOKUP(I35,'Lookups &amp; OH allocation'!$B$41:$C$50,2,FALSE)/60*(F35)),0))*(1+(VLOOKUP(K35,'Lookups &amp; OH allocation'!$K$47:$L$52,2,FALSE)))</f>
        <v>59.043689214264006</v>
      </c>
      <c r="O35" s="221" t="s">
        <v>238</v>
      </c>
      <c r="P35" s="277">
        <f>VLOOKUP(O35,'Lookups &amp; OH allocation'!$B$62:$C$72,2,FALSE)</f>
        <v>0</v>
      </c>
      <c r="Q35" s="125" t="s">
        <v>100</v>
      </c>
      <c r="R35" s="122"/>
      <c r="S35" s="277">
        <f>IF(R35&gt;0.01,VLOOKUP(Q35,'Lookups &amp; OH allocation'!$K$41:$L$43,2,FALSE)*((R35)/60),VLOOKUP(Q35,'Lookups &amp; OH allocation'!$K$41:$L$43,2,FALSE)*((F35)/60))</f>
        <v>21.138228582395328</v>
      </c>
      <c r="T35" s="124">
        <v>0</v>
      </c>
      <c r="U35" s="223">
        <f>SUM(N35,P35,S35,T35)</f>
        <v>80.181917796659334</v>
      </c>
      <c r="V35" s="226">
        <f>IF(AJ35=0,"No Volumes",AM35/'Lookups &amp; OH allocation'!$C$53*'Lookups &amp; OH allocation'!$D$53/AJ35)</f>
        <v>18.70555968878417</v>
      </c>
      <c r="W35" s="123" t="s">
        <v>154</v>
      </c>
      <c r="X35" s="281">
        <f>U35*VLOOKUP(W35,'Lookups &amp; OH allocation'!$K$55:$L$59,2,FALSE)</f>
        <v>0</v>
      </c>
      <c r="Y35" s="124"/>
      <c r="Z35" s="223">
        <f>SUM(V35,X35,Y35)</f>
        <v>18.70555968878417</v>
      </c>
      <c r="AA35" s="226">
        <f>(G35/60)*'Lookups &amp; OH allocation'!$I$13</f>
        <v>32.509718387337635</v>
      </c>
      <c r="AB35" s="226">
        <f>SUM(Z35,U35,AA35)*'Lookups &amp; OH allocation'!$G$23</f>
        <v>6.2887747769425344</v>
      </c>
      <c r="AC35" s="179"/>
      <c r="AD35" s="179"/>
      <c r="AE35" s="223">
        <f>SUM(AA35:AD35)</f>
        <v>38.798493164280167</v>
      </c>
      <c r="AF35" s="124">
        <f>(U35+Z35+AE35)*'Lookups &amp; OH allocation'!$L$62</f>
        <v>8.3162326272433091</v>
      </c>
      <c r="AG35" s="124"/>
      <c r="AH35" s="223">
        <f>SUM(AF35,AG35)</f>
        <v>8.3162326272433091</v>
      </c>
      <c r="AI35" s="225">
        <f>U35+Z35+AE35+AH35</f>
        <v>146.00220327696695</v>
      </c>
      <c r="AJ35" s="234">
        <f>IFERROR(VLOOKUP($C35,'Volumes - Report Summary'!$C:$AF,MATCH(AM$2,'Volumes - Report Summary'!$C$6:$AF$6,0),FALSE),0)</f>
        <v>260</v>
      </c>
      <c r="AK35" s="266">
        <f>VLOOKUP(B35,'Back Office Time'!$B$5:$G$24,4,FALSE)</f>
        <v>5</v>
      </c>
      <c r="AL35" s="398">
        <f>IFERROR(V35*AJ35,0)</f>
        <v>4863.4455190838844</v>
      </c>
      <c r="AM35" s="522">
        <f>AK35*AJ35</f>
        <v>1300</v>
      </c>
      <c r="AN35" s="517"/>
      <c r="AO35" s="521"/>
      <c r="AP35" s="521"/>
      <c r="AQ35" s="520"/>
      <c r="AR35" s="29"/>
      <c r="AS35" s="289"/>
    </row>
    <row r="36" spans="1:45">
      <c r="B36" s="110" t="s">
        <v>75</v>
      </c>
      <c r="C36" s="111" t="s">
        <v>484</v>
      </c>
      <c r="D36" s="183">
        <v>180</v>
      </c>
      <c r="E36" s="122">
        <v>60</v>
      </c>
      <c r="F36" s="269">
        <f>SUM(D36:E36)</f>
        <v>240</v>
      </c>
      <c r="G36" s="217">
        <f>SUM(D36:E36)*H36</f>
        <v>480</v>
      </c>
      <c r="H36" s="122">
        <v>2</v>
      </c>
      <c r="I36" s="123" t="s">
        <v>199</v>
      </c>
      <c r="J36" s="123" t="s">
        <v>199</v>
      </c>
      <c r="K36" s="123" t="s">
        <v>154</v>
      </c>
      <c r="L36" s="272">
        <f>(IF(H36&gt;=1,IF(H36&gt;=2,VLOOKUP(I36,'Lookups &amp; OH allocation'!$B$41:$C$50,2,FALSE)/60*(E36)+VLOOKUP(J36,'Lookups &amp; OH allocation'!$B$41:$C$50,2,FALSE)/60*(E36),VLOOKUP(I36,'Lookups &amp; OH allocation'!$B$41:$C$50,2,FALSE)/60*(E36)),0))*(1+(VLOOKUP(K36,'Lookups &amp; OH allocation'!$K$47:$L$52,2,FALSE)))</f>
        <v>141.70485411423363</v>
      </c>
      <c r="M36" s="218">
        <f>(IF(H36&gt;=1,IF(H36&gt;=2,VLOOKUP(I36,'Lookups &amp; OH allocation'!$B$41:$C$50,2,FALSE)/60*(D36)+VLOOKUP(J36,'Lookups &amp; OH allocation'!$B$41:$C$50,2,FALSE)/60*(D36),VLOOKUP(I36,'Lookups &amp; OH allocation'!$B$41:$C$50,2,FALSE)/60*(D36)),0))*(1+(VLOOKUP(K36,'Lookups &amp; OH allocation'!$K$47:$L$52,2,FALSE)))</f>
        <v>425.11456234270082</v>
      </c>
      <c r="N36" s="273">
        <f>(IF(H36&gt;=1,IF(H36&gt;=2,VLOOKUP(I36,'Lookups &amp; OH allocation'!$B$41:$C$50,2,FALSE)/60*(F36)+VLOOKUP(J36,'Lookups &amp; OH allocation'!$B$41:$C$50,2,FALSE)/60*(F36),VLOOKUP(I36,'Lookups &amp; OH allocation'!$B$41:$C$50,2,FALSE)/60*(F36)),0))*(1+(VLOOKUP(K36,'Lookups &amp; OH allocation'!$K$47:$L$52,2,FALSE)))</f>
        <v>566.8194164569345</v>
      </c>
      <c r="O36" s="221" t="s">
        <v>238</v>
      </c>
      <c r="P36" s="277">
        <f>VLOOKUP(O36,'Lookups &amp; OH allocation'!$B$62:$C$72,2,FALSE)</f>
        <v>0</v>
      </c>
      <c r="Q36" s="125" t="s">
        <v>100</v>
      </c>
      <c r="R36" s="122"/>
      <c r="S36" s="277">
        <f>IF(R36&gt;0.01,VLOOKUP(Q36,'Lookups &amp; OH allocation'!$K$41:$L$43,2,FALSE)*((R36)/60),VLOOKUP(Q36,'Lookups &amp; OH allocation'!$K$41:$L$43,2,FALSE)*((F36)/60))</f>
        <v>101.46349719549757</v>
      </c>
      <c r="T36" s="124">
        <v>0</v>
      </c>
      <c r="U36" s="223">
        <f>SUM(N36,P36,S36,T36)</f>
        <v>668.28291365243206</v>
      </c>
      <c r="V36" s="226">
        <f>IF(AJ36=0,"No Volumes",AM36/'Lookups &amp; OH allocation'!$C$53*'Lookups &amp; OH allocation'!$D$53/AJ36)</f>
        <v>18.705559688784174</v>
      </c>
      <c r="W36" s="123" t="s">
        <v>151</v>
      </c>
      <c r="X36" s="281">
        <f>U36*VLOOKUP(W36,'Lookups &amp; OH allocation'!$K$55:$L$59,2,FALSE)</f>
        <v>334.14145682621603</v>
      </c>
      <c r="Y36" s="124"/>
      <c r="Z36" s="223">
        <f>SUM(V36,X36,Y36)</f>
        <v>352.84701651500018</v>
      </c>
      <c r="AA36" s="226">
        <f>(G36/60)*'Lookups &amp; OH allocation'!$I$13</f>
        <v>312.09329651844126</v>
      </c>
      <c r="AB36" s="226">
        <f>SUM(Z36,U36,AA36)*'Lookups &amp; OH allocation'!$G$23</f>
        <v>63.809128835091613</v>
      </c>
      <c r="AC36" s="179"/>
      <c r="AD36" s="179"/>
      <c r="AE36" s="223">
        <f>SUM(AA36:AD36)</f>
        <v>375.90242535353286</v>
      </c>
      <c r="AF36" s="124">
        <f>(U36+Z36+AE36)*'Lookups &amp; OH allocation'!$L$62</f>
        <v>84.380754273466309</v>
      </c>
      <c r="AG36" s="124"/>
      <c r="AH36" s="223">
        <f>SUM(AF36,AG36)</f>
        <v>84.380754273466309</v>
      </c>
      <c r="AI36" s="225">
        <f>U36+Z36+AE36+AH36</f>
        <v>1481.4131097944314</v>
      </c>
      <c r="AJ36" s="234">
        <f>IFERROR(VLOOKUP($C36,'Volumes - Report Summary'!$C:$AF,MATCH(AM$2,'Volumes - Report Summary'!$C$6:$AF$6,0),FALSE),0)</f>
        <v>1</v>
      </c>
      <c r="AK36" s="266">
        <f>VLOOKUP(B36,'Back Office Time'!$B$5:$G$24,4,FALSE)</f>
        <v>5</v>
      </c>
      <c r="AL36" s="398">
        <f>IFERROR(V36*AJ36,0)</f>
        <v>18.705559688784174</v>
      </c>
      <c r="AM36" s="522">
        <f>AK36*AJ36</f>
        <v>5</v>
      </c>
      <c r="AN36" s="517"/>
      <c r="AO36" s="521"/>
      <c r="AP36" s="521"/>
      <c r="AQ36" s="520"/>
      <c r="AR36" s="29"/>
      <c r="AS36" s="289"/>
    </row>
    <row r="37" spans="1:45">
      <c r="B37" s="110" t="s">
        <v>75</v>
      </c>
      <c r="C37" s="111" t="s">
        <v>485</v>
      </c>
      <c r="D37" s="183">
        <v>180</v>
      </c>
      <c r="E37" s="122">
        <v>60</v>
      </c>
      <c r="F37" s="269">
        <f>SUM(D37:E37)</f>
        <v>240</v>
      </c>
      <c r="G37" s="217">
        <f>SUM(D37:E37)*H37</f>
        <v>240</v>
      </c>
      <c r="H37" s="122">
        <v>1</v>
      </c>
      <c r="I37" s="123" t="s">
        <v>199</v>
      </c>
      <c r="J37" s="123"/>
      <c r="K37" s="123" t="s">
        <v>154</v>
      </c>
      <c r="L37" s="272">
        <f>(IF(H37&gt;=1,IF(H37&gt;=2,VLOOKUP(I37,'Lookups &amp; OH allocation'!$B$41:$C$50,2,FALSE)/60*(E37)+VLOOKUP(J37,'Lookups &amp; OH allocation'!$B$41:$C$50,2,FALSE)/60*(E37),VLOOKUP(I37,'Lookups &amp; OH allocation'!$B$41:$C$50,2,FALSE)/60*(E37)),0))*(1+(VLOOKUP(K37,'Lookups &amp; OH allocation'!$K$47:$L$52,2,FALSE)))</f>
        <v>70.852427057116813</v>
      </c>
      <c r="M37" s="218">
        <f>(IF(H37&gt;=1,IF(H37&gt;=2,VLOOKUP(I37,'Lookups &amp; OH allocation'!$B$41:$C$50,2,FALSE)/60*(D37)+VLOOKUP(J37,'Lookups &amp; OH allocation'!$B$41:$C$50,2,FALSE)/60*(D37),VLOOKUP(I37,'Lookups &amp; OH allocation'!$B$41:$C$50,2,FALSE)/60*(D37)),0))*(1+(VLOOKUP(K37,'Lookups &amp; OH allocation'!$K$47:$L$52,2,FALSE)))</f>
        <v>212.55728117135041</v>
      </c>
      <c r="N37" s="273">
        <f>(IF(H37&gt;=1,IF(H37&gt;=2,VLOOKUP(I37,'Lookups &amp; OH allocation'!$B$41:$C$50,2,FALSE)/60*(F37)+VLOOKUP(J37,'Lookups &amp; OH allocation'!$B$41:$C$50,2,FALSE)/60*(F37),VLOOKUP(I37,'Lookups &amp; OH allocation'!$B$41:$C$50,2,FALSE)/60*(F37)),0))*(1+(VLOOKUP(K37,'Lookups &amp; OH allocation'!$K$47:$L$52,2,FALSE)))</f>
        <v>283.40970822846725</v>
      </c>
      <c r="O37" s="221" t="s">
        <v>238</v>
      </c>
      <c r="P37" s="277">
        <f>VLOOKUP(O37,'Lookups &amp; OH allocation'!$B$62:$C$72,2,FALSE)</f>
        <v>0</v>
      </c>
      <c r="Q37" s="125" t="s">
        <v>101</v>
      </c>
      <c r="R37" s="122"/>
      <c r="S37" s="277">
        <f>IF(R37&gt;0.01,VLOOKUP(Q37,'Lookups &amp; OH allocation'!$K$41:$L$43,2,FALSE)*((R37)/60),VLOOKUP(Q37,'Lookups &amp; OH allocation'!$K$41:$L$43,2,FALSE)*((F37)/60))</f>
        <v>27.46542007565813</v>
      </c>
      <c r="T37" s="124">
        <v>0</v>
      </c>
      <c r="U37" s="223">
        <f>SUM(N37,P37,S37,T37)</f>
        <v>310.87512830412538</v>
      </c>
      <c r="V37" s="226">
        <f>IF(AJ37=0,"No Volumes",AM37/'Lookups &amp; OH allocation'!$C$53*'Lookups &amp; OH allocation'!$D$53/AJ37)</f>
        <v>18.705559688784174</v>
      </c>
      <c r="W37" s="123" t="s">
        <v>151</v>
      </c>
      <c r="X37" s="281">
        <f>U37*VLOOKUP(W37,'Lookups &amp; OH allocation'!$K$55:$L$59,2,FALSE)</f>
        <v>155.43756415206269</v>
      </c>
      <c r="Y37" s="124"/>
      <c r="Z37" s="223">
        <f>SUM(V37,X37,Y37)</f>
        <v>174.14312384084687</v>
      </c>
      <c r="AA37" s="226">
        <f>(G37/60)*'Lookups &amp; OH allocation'!$I$13</f>
        <v>156.04664825922063</v>
      </c>
      <c r="AB37" s="226">
        <f>SUM(Z37,U37,AA37)*'Lookups &amp; OH allocation'!$G$23</f>
        <v>30.681878325229864</v>
      </c>
      <c r="AC37" s="179"/>
      <c r="AD37" s="179"/>
      <c r="AE37" s="223">
        <f>SUM(AA37:AD37)</f>
        <v>186.72852658445049</v>
      </c>
      <c r="AF37" s="124">
        <f>(U37+Z37+AE37)*'Lookups &amp; OH allocation'!$L$62</f>
        <v>40.57350543525714</v>
      </c>
      <c r="AG37" s="124"/>
      <c r="AH37" s="223">
        <f>SUM(AF37,AG37)</f>
        <v>40.57350543525714</v>
      </c>
      <c r="AI37" s="225">
        <f>U37+Z37+AE37+AH37</f>
        <v>712.32028416467995</v>
      </c>
      <c r="AJ37" s="234">
        <f>IFERROR(VLOOKUP($C37,'Volumes - Report Summary'!$C:$AF,MATCH(AM$2,'Volumes - Report Summary'!$C$6:$AF$6,0),FALSE),0)</f>
        <v>1</v>
      </c>
      <c r="AK37" s="266">
        <f>VLOOKUP(B37,'Back Office Time'!$B$5:$G$24,4,FALSE)</f>
        <v>5</v>
      </c>
      <c r="AL37" s="398">
        <f>IFERROR(V37*AJ37,0)</f>
        <v>18.705559688784174</v>
      </c>
      <c r="AM37" s="522">
        <f>AK37*AJ37</f>
        <v>5</v>
      </c>
      <c r="AN37" s="517"/>
      <c r="AO37" s="521"/>
      <c r="AP37" s="521"/>
      <c r="AQ37" s="520"/>
      <c r="AR37" s="29"/>
      <c r="AS37" s="289"/>
    </row>
    <row r="38" spans="1:45">
      <c r="B38" s="110" t="s">
        <v>75</v>
      </c>
      <c r="C38" s="111" t="s">
        <v>486</v>
      </c>
      <c r="D38" s="183">
        <v>10</v>
      </c>
      <c r="E38" s="122">
        <v>20</v>
      </c>
      <c r="F38" s="269">
        <f>SUM(D38:E38)</f>
        <v>30</v>
      </c>
      <c r="G38" s="217">
        <f>SUM(D38:E38)*H38</f>
        <v>30</v>
      </c>
      <c r="H38" s="122">
        <v>1</v>
      </c>
      <c r="I38" s="123" t="s">
        <v>199</v>
      </c>
      <c r="J38" s="123"/>
      <c r="K38" s="123" t="s">
        <v>154</v>
      </c>
      <c r="L38" s="272">
        <f>(IF(H38&gt;=1,IF(H38&gt;=2,VLOOKUP(I38,'Lookups &amp; OH allocation'!$B$41:$C$50,2,FALSE)/60*(E38)+VLOOKUP(J38,'Lookups &amp; OH allocation'!$B$41:$C$50,2,FALSE)/60*(E38),VLOOKUP(I38,'Lookups &amp; OH allocation'!$B$41:$C$50,2,FALSE)/60*(E38)),0))*(1+(VLOOKUP(K38,'Lookups &amp; OH allocation'!$K$47:$L$52,2,FALSE)))</f>
        <v>23.617475685705603</v>
      </c>
      <c r="M38" s="218">
        <f>(IF(H38&gt;=1,IF(H38&gt;=2,VLOOKUP(I38,'Lookups &amp; OH allocation'!$B$41:$C$50,2,FALSE)/60*(D38)+VLOOKUP(J38,'Lookups &amp; OH allocation'!$B$41:$C$50,2,FALSE)/60*(D38),VLOOKUP(I38,'Lookups &amp; OH allocation'!$B$41:$C$50,2,FALSE)/60*(D38)),0))*(1+(VLOOKUP(K38,'Lookups &amp; OH allocation'!$K$47:$L$52,2,FALSE)))</f>
        <v>11.808737842852802</v>
      </c>
      <c r="N38" s="273">
        <f>(IF(H38&gt;=1,IF(H38&gt;=2,VLOOKUP(I38,'Lookups &amp; OH allocation'!$B$41:$C$50,2,FALSE)/60*(F38)+VLOOKUP(J38,'Lookups &amp; OH allocation'!$B$41:$C$50,2,FALSE)/60*(F38),VLOOKUP(I38,'Lookups &amp; OH allocation'!$B$41:$C$50,2,FALSE)/60*(F38)),0))*(1+(VLOOKUP(K38,'Lookups &amp; OH allocation'!$K$47:$L$52,2,FALSE)))</f>
        <v>35.426213528558407</v>
      </c>
      <c r="O38" s="221" t="s">
        <v>238</v>
      </c>
      <c r="P38" s="277">
        <f>VLOOKUP(O38,'Lookups &amp; OH allocation'!$B$62:$C$72,2,FALSE)</f>
        <v>0</v>
      </c>
      <c r="Q38" s="125" t="s">
        <v>100</v>
      </c>
      <c r="R38" s="122"/>
      <c r="S38" s="277">
        <f>IF(R38&gt;0.01,VLOOKUP(Q38,'Lookups &amp; OH allocation'!$K$41:$L$43,2,FALSE)*((R38)/60),VLOOKUP(Q38,'Lookups &amp; OH allocation'!$K$41:$L$43,2,FALSE)*((F38)/60))</f>
        <v>12.682937149437196</v>
      </c>
      <c r="T38" s="124">
        <v>0</v>
      </c>
      <c r="U38" s="223">
        <f>SUM(N38,P38,S38,T38)</f>
        <v>48.109150677995601</v>
      </c>
      <c r="V38" s="226">
        <f>IF(AJ38=0,"No Volumes",AM38/'Lookups &amp; OH allocation'!$C$53*'Lookups &amp; OH allocation'!$D$53/AJ38)</f>
        <v>18.705559688784174</v>
      </c>
      <c r="W38" s="123" t="s">
        <v>154</v>
      </c>
      <c r="X38" s="281">
        <f>U38*VLOOKUP(W38,'Lookups &amp; OH allocation'!$K$55:$L$59,2,FALSE)</f>
        <v>0</v>
      </c>
      <c r="Y38" s="124"/>
      <c r="Z38" s="223">
        <f>SUM(V38,X38,Y38)</f>
        <v>18.705559688784174</v>
      </c>
      <c r="AA38" s="226">
        <f>(G38/60)*'Lookups &amp; OH allocation'!$I$13</f>
        <v>19.505831032402579</v>
      </c>
      <c r="AB38" s="226">
        <f>SUM(Z38,U38,AA38)*'Lookups &amp; OH allocation'!$G$23</f>
        <v>4.1313700789230694</v>
      </c>
      <c r="AC38" s="179"/>
      <c r="AD38" s="179"/>
      <c r="AE38" s="223">
        <f>SUM(AA38:AD38)</f>
        <v>23.637201111325648</v>
      </c>
      <c r="AF38" s="124">
        <f>(U38+Z38+AE38)*'Lookups &amp; OH allocation'!$L$62</f>
        <v>5.4632954532775679</v>
      </c>
      <c r="AG38" s="124"/>
      <c r="AH38" s="223">
        <f>SUM(AF38,AG38)</f>
        <v>5.4632954532775679</v>
      </c>
      <c r="AI38" s="225">
        <f>U38+Z38+AE38+AH38</f>
        <v>95.915206931382997</v>
      </c>
      <c r="AJ38" s="234">
        <f>IFERROR(VLOOKUP($C38,'Volumes - Report Summary'!$C:$AF,MATCH(AM$2,'Volumes - Report Summary'!$C$6:$AF$6,0),FALSE),0)</f>
        <v>1</v>
      </c>
      <c r="AK38" s="266">
        <f>VLOOKUP(B38,'Back Office Time'!$B$5:$G$24,4,FALSE)</f>
        <v>5</v>
      </c>
      <c r="AL38" s="398">
        <f>IFERROR(V38*AJ38,0)</f>
        <v>18.705559688784174</v>
      </c>
      <c r="AM38" s="522">
        <f>AK38*AJ38</f>
        <v>5</v>
      </c>
      <c r="AN38" s="517"/>
      <c r="AO38" s="521"/>
      <c r="AP38" s="521"/>
      <c r="AQ38" s="520"/>
      <c r="AR38" s="29"/>
      <c r="AS38" s="289"/>
    </row>
    <row r="39" spans="1:45">
      <c r="A39" t="s">
        <v>145</v>
      </c>
      <c r="B39" s="120" t="s">
        <v>88</v>
      </c>
      <c r="C39" s="112"/>
      <c r="D39" s="184"/>
      <c r="E39" s="113"/>
      <c r="F39" s="116"/>
      <c r="G39" s="271"/>
      <c r="H39" s="113"/>
      <c r="I39" s="114"/>
      <c r="J39" s="114"/>
      <c r="K39" s="114"/>
      <c r="L39" s="274"/>
      <c r="M39" s="178"/>
      <c r="N39" s="275"/>
      <c r="O39" s="203"/>
      <c r="P39" s="276"/>
      <c r="Q39" s="116"/>
      <c r="R39" s="113"/>
      <c r="S39" s="276"/>
      <c r="T39" s="115"/>
      <c r="U39" s="185"/>
      <c r="V39" s="220"/>
      <c r="W39" s="114"/>
      <c r="X39" s="114"/>
      <c r="Y39" s="115"/>
      <c r="Z39" s="227"/>
      <c r="AA39" s="226"/>
      <c r="AB39" s="226"/>
      <c r="AC39" s="118"/>
      <c r="AD39" s="219"/>
      <c r="AE39" s="185"/>
      <c r="AF39" s="115"/>
      <c r="AG39" s="115"/>
      <c r="AH39" s="185"/>
      <c r="AI39" s="186"/>
      <c r="AJ39" s="232"/>
      <c r="AK39" s="266"/>
      <c r="AL39" s="398"/>
      <c r="AM39" s="522"/>
      <c r="AN39" s="523"/>
      <c r="AO39" s="506"/>
      <c r="AP39" s="506"/>
      <c r="AQ39" s="29"/>
      <c r="AR39" s="291"/>
      <c r="AS39" s="291"/>
    </row>
    <row r="40" spans="1:45">
      <c r="B40" s="110" t="s">
        <v>88</v>
      </c>
      <c r="C40" s="111" t="s">
        <v>78</v>
      </c>
      <c r="D40" s="183">
        <v>25</v>
      </c>
      <c r="E40" s="122">
        <v>20</v>
      </c>
      <c r="F40" s="269">
        <f t="shared" ref="F40:F46" si="18">SUM(D40:E40)</f>
        <v>45</v>
      </c>
      <c r="G40" s="217">
        <f t="shared" ref="G40:G46" si="19">SUM(D40:E40)*H40</f>
        <v>45</v>
      </c>
      <c r="H40" s="122">
        <v>1</v>
      </c>
      <c r="I40" s="123" t="s">
        <v>199</v>
      </c>
      <c r="J40" s="123"/>
      <c r="K40" s="123" t="s">
        <v>154</v>
      </c>
      <c r="L40" s="272">
        <f>(IF(H40&gt;=1,IF(H40&gt;=2,VLOOKUP(I40,'Lookups &amp; OH allocation'!$B$41:$C$50,2,FALSE)/60*(E40)+VLOOKUP(J40,'Lookups &amp; OH allocation'!$B$41:$C$50,2,FALSE)/60*(E40),VLOOKUP(I40,'Lookups &amp; OH allocation'!$B$41:$C$50,2,FALSE)/60*(E40)),0))*(1+(VLOOKUP(K40,'Lookups &amp; OH allocation'!$K$47:$L$52,2,FALSE)))</f>
        <v>23.617475685705603</v>
      </c>
      <c r="M40" s="218">
        <f>(IF(H40&gt;=1,IF(H40&gt;=2,VLOOKUP(I40,'Lookups &amp; OH allocation'!$B$41:$C$50,2,FALSE)/60*(D40)+VLOOKUP(J40,'Lookups &amp; OH allocation'!$B$41:$C$50,2,FALSE)/60*(D40),VLOOKUP(I40,'Lookups &amp; OH allocation'!$B$41:$C$50,2,FALSE)/60*(D40)),0))*(1+(VLOOKUP(K40,'Lookups &amp; OH allocation'!$K$47:$L$52,2,FALSE)))</f>
        <v>29.521844607132003</v>
      </c>
      <c r="N40" s="273">
        <f>(IF(H40&gt;=1,IF(H40&gt;=2,VLOOKUP(I40,'Lookups &amp; OH allocation'!$B$41:$C$50,2,FALSE)/60*(F40)+VLOOKUP(J40,'Lookups &amp; OH allocation'!$B$41:$C$50,2,FALSE)/60*(F40),VLOOKUP(I40,'Lookups &amp; OH allocation'!$B$41:$C$50,2,FALSE)/60*(F40)),0))*(1+(VLOOKUP(K40,'Lookups &amp; OH allocation'!$K$47:$L$52,2,FALSE)))</f>
        <v>53.139320292837603</v>
      </c>
      <c r="O40" s="221" t="s">
        <v>238</v>
      </c>
      <c r="P40" s="277">
        <f>VLOOKUP(O40,'Lookups &amp; OH allocation'!$B$62:$C$72,2,FALSE)</f>
        <v>0</v>
      </c>
      <c r="Q40" s="125" t="s">
        <v>100</v>
      </c>
      <c r="R40" s="122"/>
      <c r="S40" s="277">
        <f>IF(R40&gt;0.01,VLOOKUP(Q40,'Lookups &amp; OH allocation'!$K$41:$L$43,2,FALSE)*((R40)/60),VLOOKUP(Q40,'Lookups &amp; OH allocation'!$K$41:$L$43,2,FALSE)*((F40)/60))</f>
        <v>19.024405724155795</v>
      </c>
      <c r="T40" s="124">
        <v>0</v>
      </c>
      <c r="U40" s="223">
        <f t="shared" ref="U40:U46" si="20">SUM(N40,P40,S40,T40)</f>
        <v>72.163726016993394</v>
      </c>
      <c r="V40" s="226">
        <f>IF(AJ40=0,"No Volumes",AM40/'Lookups &amp; OH allocation'!$C$53*'Lookups &amp; OH allocation'!$D$53/AJ40)</f>
        <v>22.446671626541004</v>
      </c>
      <c r="W40" s="123" t="s">
        <v>154</v>
      </c>
      <c r="X40" s="281">
        <f>U40*VLOOKUP(W40,'Lookups &amp; OH allocation'!$K$55:$L$59,2,FALSE)</f>
        <v>0</v>
      </c>
      <c r="Y40" s="124"/>
      <c r="Z40" s="223">
        <f t="shared" ref="Z40:Z46" si="21">SUM(V40,X40,Y40)</f>
        <v>22.446671626541004</v>
      </c>
      <c r="AA40" s="226">
        <f>(G40/60)*'Lookups &amp; OH allocation'!$I$13</f>
        <v>29.258746548603867</v>
      </c>
      <c r="AB40" s="226">
        <f>SUM(Z40,U40,AA40)*'Lookups &amp; OH allocation'!$G$23</f>
        <v>5.9284762088164422</v>
      </c>
      <c r="AC40" s="179"/>
      <c r="AD40" s="179"/>
      <c r="AE40" s="223">
        <f t="shared" ref="AE40:AE46" si="22">SUM(AA40:AD40)</f>
        <v>35.187222757420308</v>
      </c>
      <c r="AF40" s="124">
        <f>(U40+Z40+AE40)*'Lookups &amp; OH allocation'!$L$62</f>
        <v>7.8397762722176649</v>
      </c>
      <c r="AG40" s="124"/>
      <c r="AH40" s="223">
        <f t="shared" ref="AH40:AH46" si="23">SUM(AF40,AG40)</f>
        <v>7.8397762722176649</v>
      </c>
      <c r="AI40" s="225">
        <f t="shared" ref="AI40:AI46" si="24">U40+Z40+AE40+AH40</f>
        <v>137.63739667317239</v>
      </c>
      <c r="AJ40" s="234">
        <f>IFERROR(VLOOKUP($C40,'Volumes - Report Summary'!$C:$AF,MATCH(AM$2,'Volumes - Report Summary'!$C$6:$AF$6,0),FALSE),0)</f>
        <v>1</v>
      </c>
      <c r="AK40" s="266">
        <f>VLOOKUP(B40,'Back Office Time'!$B$5:$G$24,4,FALSE)</f>
        <v>6</v>
      </c>
      <c r="AL40" s="398">
        <f t="shared" ref="AL40:AL46" si="25">IFERROR(V40*AJ40,0)</f>
        <v>22.446671626541004</v>
      </c>
      <c r="AM40" s="522">
        <f t="shared" ref="AM40:AM46" si="26">AK40*AJ40</f>
        <v>6</v>
      </c>
      <c r="AN40" s="517"/>
      <c r="AO40" s="521"/>
      <c r="AP40" s="521"/>
      <c r="AQ40" s="520"/>
      <c r="AR40" s="29"/>
      <c r="AS40" s="289"/>
    </row>
    <row r="41" spans="1:45">
      <c r="B41" s="110" t="s">
        <v>88</v>
      </c>
      <c r="C41" s="111" t="s">
        <v>81</v>
      </c>
      <c r="D41" s="183">
        <v>80</v>
      </c>
      <c r="E41" s="122">
        <v>20</v>
      </c>
      <c r="F41" s="269">
        <f t="shared" si="18"/>
        <v>100</v>
      </c>
      <c r="G41" s="217">
        <f t="shared" si="19"/>
        <v>100</v>
      </c>
      <c r="H41" s="122">
        <v>1</v>
      </c>
      <c r="I41" s="123" t="s">
        <v>199</v>
      </c>
      <c r="J41" s="123"/>
      <c r="K41" s="123" t="s">
        <v>154</v>
      </c>
      <c r="L41" s="272">
        <f>(IF(H41&gt;=1,IF(H41&gt;=2,VLOOKUP(I41,'Lookups &amp; OH allocation'!$B$41:$C$50,2,FALSE)/60*(E41)+VLOOKUP(J41,'Lookups &amp; OH allocation'!$B$41:$C$50,2,FALSE)/60*(E41),VLOOKUP(I41,'Lookups &amp; OH allocation'!$B$41:$C$50,2,FALSE)/60*(E41)),0))*(1+(VLOOKUP(K41,'Lookups &amp; OH allocation'!$K$47:$L$52,2,FALSE)))</f>
        <v>23.617475685705603</v>
      </c>
      <c r="M41" s="218">
        <f>(IF(H41&gt;=1,IF(H41&gt;=2,VLOOKUP(I41,'Lookups &amp; OH allocation'!$B$41:$C$50,2,FALSE)/60*(D41)+VLOOKUP(J41,'Lookups &amp; OH allocation'!$B$41:$C$50,2,FALSE)/60*(D41),VLOOKUP(I41,'Lookups &amp; OH allocation'!$B$41:$C$50,2,FALSE)/60*(D41)),0))*(1+(VLOOKUP(K41,'Lookups &amp; OH allocation'!$K$47:$L$52,2,FALSE)))</f>
        <v>94.469902742822413</v>
      </c>
      <c r="N41" s="273">
        <f>(IF(H41&gt;=1,IF(H41&gt;=2,VLOOKUP(I41,'Lookups &amp; OH allocation'!$B$41:$C$50,2,FALSE)/60*(F41)+VLOOKUP(J41,'Lookups &amp; OH allocation'!$B$41:$C$50,2,FALSE)/60*(F41),VLOOKUP(I41,'Lookups &amp; OH allocation'!$B$41:$C$50,2,FALSE)/60*(F41)),0))*(1+(VLOOKUP(K41,'Lookups &amp; OH allocation'!$K$47:$L$52,2,FALSE)))</f>
        <v>118.08737842852801</v>
      </c>
      <c r="O41" s="221" t="s">
        <v>238</v>
      </c>
      <c r="P41" s="277">
        <f>VLOOKUP(O41,'Lookups &amp; OH allocation'!$B$62:$C$72,2,FALSE)</f>
        <v>0</v>
      </c>
      <c r="Q41" s="125" t="s">
        <v>100</v>
      </c>
      <c r="R41" s="122"/>
      <c r="S41" s="277">
        <f>IF(R41&gt;0.01,VLOOKUP(Q41,'Lookups &amp; OH allocation'!$K$41:$L$43,2,FALSE)*((R41)/60),VLOOKUP(Q41,'Lookups &amp; OH allocation'!$K$41:$L$43,2,FALSE)*((F41)/60))</f>
        <v>42.276457164790656</v>
      </c>
      <c r="T41" s="124">
        <v>0</v>
      </c>
      <c r="U41" s="223">
        <f t="shared" si="20"/>
        <v>160.36383559331867</v>
      </c>
      <c r="V41" s="226">
        <f>IF(AJ41=0,"No Volumes",AM41/'Lookups &amp; OH allocation'!$C$53*'Lookups &amp; OH allocation'!$D$53/AJ41)</f>
        <v>22.446671626541004</v>
      </c>
      <c r="W41" s="123" t="s">
        <v>154</v>
      </c>
      <c r="X41" s="281">
        <f>U41*VLOOKUP(W41,'Lookups &amp; OH allocation'!$K$55:$L$59,2,FALSE)</f>
        <v>0</v>
      </c>
      <c r="Y41" s="124"/>
      <c r="Z41" s="223">
        <f t="shared" si="21"/>
        <v>22.446671626541004</v>
      </c>
      <c r="AA41" s="226">
        <f>(G41/60)*'Lookups &amp; OH allocation'!$I$13</f>
        <v>65.01943677467527</v>
      </c>
      <c r="AB41" s="226">
        <f>SUM(Z41,U41,AA41)*'Lookups &amp; OH allocation'!$G$23</f>
        <v>11.861339128369973</v>
      </c>
      <c r="AC41" s="179"/>
      <c r="AD41" s="179"/>
      <c r="AE41" s="223">
        <f t="shared" si="22"/>
        <v>76.880775903045247</v>
      </c>
      <c r="AF41" s="124">
        <f>(U41+Z41+AE41)*'Lookups &amp; OH allocation'!$L$62</f>
        <v>15.685353500623457</v>
      </c>
      <c r="AG41" s="124"/>
      <c r="AH41" s="223">
        <f t="shared" si="23"/>
        <v>15.685353500623457</v>
      </c>
      <c r="AI41" s="225">
        <f t="shared" si="24"/>
        <v>275.37663662352838</v>
      </c>
      <c r="AJ41" s="234">
        <f>IFERROR(VLOOKUP($C41,'Volumes - Report Summary'!$C:$AF,MATCH(AM$2,'Volumes - Report Summary'!$C$6:$AF$6,0),FALSE),0)</f>
        <v>1</v>
      </c>
      <c r="AK41" s="266">
        <f>VLOOKUP(B41,'Back Office Time'!$B$5:$G$24,4,FALSE)</f>
        <v>6</v>
      </c>
      <c r="AL41" s="398">
        <f t="shared" si="25"/>
        <v>22.446671626541004</v>
      </c>
      <c r="AM41" s="522">
        <f t="shared" si="26"/>
        <v>6</v>
      </c>
      <c r="AN41" s="517"/>
      <c r="AO41" s="521"/>
      <c r="AP41" s="521"/>
      <c r="AQ41" s="520"/>
      <c r="AR41" s="29"/>
      <c r="AS41" s="289"/>
    </row>
    <row r="42" spans="1:45">
      <c r="B42" s="110" t="s">
        <v>88</v>
      </c>
      <c r="C42" s="111" t="s">
        <v>83</v>
      </c>
      <c r="D42" s="183">
        <v>55</v>
      </c>
      <c r="E42" s="122">
        <v>20</v>
      </c>
      <c r="F42" s="269">
        <f t="shared" si="18"/>
        <v>75</v>
      </c>
      <c r="G42" s="217">
        <f t="shared" si="19"/>
        <v>75</v>
      </c>
      <c r="H42" s="122">
        <v>1</v>
      </c>
      <c r="I42" s="123" t="s">
        <v>199</v>
      </c>
      <c r="J42" s="123"/>
      <c r="K42" s="123" t="s">
        <v>154</v>
      </c>
      <c r="L42" s="272">
        <f>(IF(H42&gt;=1,IF(H42&gt;=2,VLOOKUP(I42,'Lookups &amp; OH allocation'!$B$41:$C$50,2,FALSE)/60*(E42)+VLOOKUP(J42,'Lookups &amp; OH allocation'!$B$41:$C$50,2,FALSE)/60*(E42),VLOOKUP(I42,'Lookups &amp; OH allocation'!$B$41:$C$50,2,FALSE)/60*(E42)),0))*(1+(VLOOKUP(K42,'Lookups &amp; OH allocation'!$K$47:$L$52,2,FALSE)))</f>
        <v>23.617475685705603</v>
      </c>
      <c r="M42" s="218">
        <f>(IF(H42&gt;=1,IF(H42&gt;=2,VLOOKUP(I42,'Lookups &amp; OH allocation'!$B$41:$C$50,2,FALSE)/60*(D42)+VLOOKUP(J42,'Lookups &amp; OH allocation'!$B$41:$C$50,2,FALSE)/60*(D42),VLOOKUP(I42,'Lookups &amp; OH allocation'!$B$41:$C$50,2,FALSE)/60*(D42)),0))*(1+(VLOOKUP(K42,'Lookups &amp; OH allocation'!$K$47:$L$52,2,FALSE)))</f>
        <v>64.948058135690403</v>
      </c>
      <c r="N42" s="273">
        <f>(IF(H42&gt;=1,IF(H42&gt;=2,VLOOKUP(I42,'Lookups &amp; OH allocation'!$B$41:$C$50,2,FALSE)/60*(F42)+VLOOKUP(J42,'Lookups &amp; OH allocation'!$B$41:$C$50,2,FALSE)/60*(F42),VLOOKUP(I42,'Lookups &amp; OH allocation'!$B$41:$C$50,2,FALSE)/60*(F42)),0))*(1+(VLOOKUP(K42,'Lookups &amp; OH allocation'!$K$47:$L$52,2,FALSE)))</f>
        <v>88.565533821396002</v>
      </c>
      <c r="O42" s="221" t="s">
        <v>238</v>
      </c>
      <c r="P42" s="277">
        <f>VLOOKUP(O42,'Lookups &amp; OH allocation'!$B$62:$C$72,2,FALSE)</f>
        <v>0</v>
      </c>
      <c r="Q42" s="125" t="s">
        <v>100</v>
      </c>
      <c r="R42" s="122"/>
      <c r="S42" s="277">
        <f>IF(R42&gt;0.01,VLOOKUP(Q42,'Lookups &amp; OH allocation'!$K$41:$L$43,2,FALSE)*((R42)/60),VLOOKUP(Q42,'Lookups &amp; OH allocation'!$K$41:$L$43,2,FALSE)*((F42)/60))</f>
        <v>31.707342873592989</v>
      </c>
      <c r="T42" s="124">
        <v>0</v>
      </c>
      <c r="U42" s="223">
        <f t="shared" si="20"/>
        <v>120.27287669498899</v>
      </c>
      <c r="V42" s="226">
        <f>IF(AJ42=0,"No Volumes",AM42/'Lookups &amp; OH allocation'!$C$53*'Lookups &amp; OH allocation'!$D$53/AJ42)</f>
        <v>22.446671626541004</v>
      </c>
      <c r="W42" s="123" t="s">
        <v>154</v>
      </c>
      <c r="X42" s="281">
        <f>U42*VLOOKUP(W42,'Lookups &amp; OH allocation'!$K$55:$L$59,2,FALSE)</f>
        <v>0</v>
      </c>
      <c r="Y42" s="124"/>
      <c r="Z42" s="223">
        <f t="shared" si="21"/>
        <v>22.446671626541004</v>
      </c>
      <c r="AA42" s="226">
        <f>(G42/60)*'Lookups &amp; OH allocation'!$I$13</f>
        <v>48.764577581006449</v>
      </c>
      <c r="AB42" s="226">
        <f>SUM(Z42,U42,AA42)*'Lookups &amp; OH allocation'!$G$23</f>
        <v>9.1645832558456402</v>
      </c>
      <c r="AC42" s="179"/>
      <c r="AD42" s="179"/>
      <c r="AE42" s="223">
        <f t="shared" si="22"/>
        <v>57.929160836852091</v>
      </c>
      <c r="AF42" s="124">
        <f>(U42+Z42+AE42)*'Lookups &amp; OH allocation'!$L$62</f>
        <v>12.119182033166277</v>
      </c>
      <c r="AG42" s="124"/>
      <c r="AH42" s="223">
        <f t="shared" si="23"/>
        <v>12.119182033166277</v>
      </c>
      <c r="AI42" s="225">
        <f t="shared" si="24"/>
        <v>212.76789119154836</v>
      </c>
      <c r="AJ42" s="234">
        <f>IFERROR(VLOOKUP($C42,'Volumes - Report Summary'!$C:$AF,MATCH(AM$2,'Volumes - Report Summary'!$C$6:$AF$6,0),FALSE),0)</f>
        <v>10</v>
      </c>
      <c r="AK42" s="266">
        <f>VLOOKUP(B42,'Back Office Time'!$B$5:$G$24,4,FALSE)</f>
        <v>6</v>
      </c>
      <c r="AL42" s="398">
        <f t="shared" si="25"/>
        <v>224.46671626541004</v>
      </c>
      <c r="AM42" s="522">
        <f t="shared" si="26"/>
        <v>60</v>
      </c>
      <c r="AN42" s="517"/>
      <c r="AO42" s="521"/>
      <c r="AP42" s="521"/>
      <c r="AQ42" s="520"/>
      <c r="AR42" s="29"/>
      <c r="AS42" s="289"/>
    </row>
    <row r="43" spans="1:45">
      <c r="B43" s="110" t="s">
        <v>88</v>
      </c>
      <c r="C43" s="111" t="s">
        <v>487</v>
      </c>
      <c r="D43" s="183">
        <v>45</v>
      </c>
      <c r="E43" s="122">
        <v>20</v>
      </c>
      <c r="F43" s="269">
        <f t="shared" si="18"/>
        <v>65</v>
      </c>
      <c r="G43" s="217">
        <f t="shared" si="19"/>
        <v>65</v>
      </c>
      <c r="H43" s="122">
        <v>1</v>
      </c>
      <c r="I43" s="123" t="s">
        <v>199</v>
      </c>
      <c r="J43" s="123"/>
      <c r="K43" s="123" t="s">
        <v>154</v>
      </c>
      <c r="L43" s="272">
        <f>(IF(H43&gt;=1,IF(H43&gt;=2,VLOOKUP(I43,'Lookups &amp; OH allocation'!$B$41:$C$50,2,FALSE)/60*(E43)+VLOOKUP(J43,'Lookups &amp; OH allocation'!$B$41:$C$50,2,FALSE)/60*(E43),VLOOKUP(I43,'Lookups &amp; OH allocation'!$B$41:$C$50,2,FALSE)/60*(E43)),0))*(1+(VLOOKUP(K43,'Lookups &amp; OH allocation'!$K$47:$L$52,2,FALSE)))</f>
        <v>23.617475685705603</v>
      </c>
      <c r="M43" s="218">
        <f>(IF(H43&gt;=1,IF(H43&gt;=2,VLOOKUP(I43,'Lookups &amp; OH allocation'!$B$41:$C$50,2,FALSE)/60*(D43)+VLOOKUP(J43,'Lookups &amp; OH allocation'!$B$41:$C$50,2,FALSE)/60*(D43),VLOOKUP(I43,'Lookups &amp; OH allocation'!$B$41:$C$50,2,FALSE)/60*(D43)),0))*(1+(VLOOKUP(K43,'Lookups &amp; OH allocation'!$K$47:$L$52,2,FALSE)))</f>
        <v>53.139320292837603</v>
      </c>
      <c r="N43" s="273">
        <f>(IF(H43&gt;=1,IF(H43&gt;=2,VLOOKUP(I43,'Lookups &amp; OH allocation'!$B$41:$C$50,2,FALSE)/60*(F43)+VLOOKUP(J43,'Lookups &amp; OH allocation'!$B$41:$C$50,2,FALSE)/60*(F43),VLOOKUP(I43,'Lookups &amp; OH allocation'!$B$41:$C$50,2,FALSE)/60*(F43)),0))*(1+(VLOOKUP(K43,'Lookups &amp; OH allocation'!$K$47:$L$52,2,FALSE)))</f>
        <v>76.756795978543209</v>
      </c>
      <c r="O43" s="221" t="s">
        <v>238</v>
      </c>
      <c r="P43" s="277">
        <f>VLOOKUP(O43,'Lookups &amp; OH allocation'!$B$62:$C$72,2,FALSE)</f>
        <v>0</v>
      </c>
      <c r="Q43" s="125" t="s">
        <v>101</v>
      </c>
      <c r="R43" s="122"/>
      <c r="S43" s="277">
        <f>IF(R43&gt;0.01,VLOOKUP(Q43,'Lookups &amp; OH allocation'!$K$41:$L$43,2,FALSE)*((R43)/60),VLOOKUP(Q43,'Lookups &amp; OH allocation'!$K$41:$L$43,2,FALSE)*((F43)/60))</f>
        <v>7.4385512704907431</v>
      </c>
      <c r="T43" s="124">
        <v>0</v>
      </c>
      <c r="U43" s="223">
        <f t="shared" si="20"/>
        <v>84.195347249033958</v>
      </c>
      <c r="V43" s="226">
        <f>IF(AJ43=0,"No Volumes",AM43/'Lookups &amp; OH allocation'!$C$53*'Lookups &amp; OH allocation'!$D$53/AJ43)</f>
        <v>22.446671626541004</v>
      </c>
      <c r="W43" s="123" t="s">
        <v>154</v>
      </c>
      <c r="X43" s="281">
        <f>U43*VLOOKUP(W43,'Lookups &amp; OH allocation'!$K$55:$L$59,2,FALSE)</f>
        <v>0</v>
      </c>
      <c r="Y43" s="124"/>
      <c r="Z43" s="223">
        <f t="shared" si="21"/>
        <v>22.446671626541004</v>
      </c>
      <c r="AA43" s="226">
        <f>(G43/60)*'Lookups &amp; OH allocation'!$I$13</f>
        <v>42.262633903538919</v>
      </c>
      <c r="AB43" s="226">
        <f>SUM(Z43,U43,AA43)*'Lookups &amp; OH allocation'!$G$23</f>
        <v>7.1266956524196123</v>
      </c>
      <c r="AC43" s="179"/>
      <c r="AD43" s="179"/>
      <c r="AE43" s="223">
        <f t="shared" si="22"/>
        <v>49.389329555958533</v>
      </c>
      <c r="AF43" s="124">
        <f>(U43+Z43+AE43)*'Lookups &amp; OH allocation'!$L$62</f>
        <v>9.4242934452646239</v>
      </c>
      <c r="AG43" s="124"/>
      <c r="AH43" s="223">
        <f t="shared" si="23"/>
        <v>9.4242934452646239</v>
      </c>
      <c r="AI43" s="225">
        <f t="shared" si="24"/>
        <v>165.45564187679813</v>
      </c>
      <c r="AJ43" s="234">
        <f>IFERROR(VLOOKUP($C43,'Volumes - Report Summary'!$C:$AF,MATCH(AM$2,'Volumes - Report Summary'!$C$6:$AF$6,0),FALSE),0)</f>
        <v>1</v>
      </c>
      <c r="AK43" s="266">
        <f>VLOOKUP(B43,'Back Office Time'!$B$5:$G$24,4,FALSE)</f>
        <v>6</v>
      </c>
      <c r="AL43" s="398">
        <f t="shared" si="25"/>
        <v>22.446671626541004</v>
      </c>
      <c r="AM43" s="522">
        <f t="shared" si="26"/>
        <v>6</v>
      </c>
      <c r="AN43" s="517"/>
      <c r="AO43" s="521"/>
      <c r="AP43" s="521"/>
      <c r="AQ43" s="520"/>
      <c r="AR43" s="29"/>
      <c r="AS43" s="289"/>
    </row>
    <row r="44" spans="1:45">
      <c r="B44" s="110" t="s">
        <v>88</v>
      </c>
      <c r="C44" s="111" t="s">
        <v>88</v>
      </c>
      <c r="D44" s="183">
        <v>20</v>
      </c>
      <c r="E44" s="122">
        <v>20</v>
      </c>
      <c r="F44" s="269">
        <f t="shared" si="18"/>
        <v>40</v>
      </c>
      <c r="G44" s="217">
        <f t="shared" si="19"/>
        <v>40</v>
      </c>
      <c r="H44" s="122">
        <v>1</v>
      </c>
      <c r="I44" s="123" t="s">
        <v>199</v>
      </c>
      <c r="J44" s="123"/>
      <c r="K44" s="123" t="s">
        <v>154</v>
      </c>
      <c r="L44" s="272">
        <f>(IF(H44&gt;=1,IF(H44&gt;=2,VLOOKUP(I44,'Lookups &amp; OH allocation'!$B$41:$C$50,2,FALSE)/60*(E44)+VLOOKUP(J44,'Lookups &amp; OH allocation'!$B$41:$C$50,2,FALSE)/60*(E44),VLOOKUP(I44,'Lookups &amp; OH allocation'!$B$41:$C$50,2,FALSE)/60*(E44)),0))*(1+(VLOOKUP(K44,'Lookups &amp; OH allocation'!$K$47:$L$52,2,FALSE)))</f>
        <v>23.617475685705603</v>
      </c>
      <c r="M44" s="218">
        <f>(IF(H44&gt;=1,IF(H44&gt;=2,VLOOKUP(I44,'Lookups &amp; OH allocation'!$B$41:$C$50,2,FALSE)/60*(D44)+VLOOKUP(J44,'Lookups &amp; OH allocation'!$B$41:$C$50,2,FALSE)/60*(D44),VLOOKUP(I44,'Lookups &amp; OH allocation'!$B$41:$C$50,2,FALSE)/60*(D44)),0))*(1+(VLOOKUP(K44,'Lookups &amp; OH allocation'!$K$47:$L$52,2,FALSE)))</f>
        <v>23.617475685705603</v>
      </c>
      <c r="N44" s="273">
        <f>(IF(H44&gt;=1,IF(H44&gt;=2,VLOOKUP(I44,'Lookups &amp; OH allocation'!$B$41:$C$50,2,FALSE)/60*(F44)+VLOOKUP(J44,'Lookups &amp; OH allocation'!$B$41:$C$50,2,FALSE)/60*(F44),VLOOKUP(I44,'Lookups &amp; OH allocation'!$B$41:$C$50,2,FALSE)/60*(F44)),0))*(1+(VLOOKUP(K44,'Lookups &amp; OH allocation'!$K$47:$L$52,2,FALSE)))</f>
        <v>47.234951371411206</v>
      </c>
      <c r="O44" s="221" t="s">
        <v>238</v>
      </c>
      <c r="P44" s="277">
        <f>VLOOKUP(O44,'Lookups &amp; OH allocation'!$B$62:$C$72,2,FALSE)</f>
        <v>0</v>
      </c>
      <c r="Q44" s="125" t="s">
        <v>100</v>
      </c>
      <c r="R44" s="122"/>
      <c r="S44" s="277">
        <f>IF(R44&gt;0.01,VLOOKUP(Q44,'Lookups &amp; OH allocation'!$K$41:$L$43,2,FALSE)*((R44)/60),VLOOKUP(Q44,'Lookups &amp; OH allocation'!$K$41:$L$43,2,FALSE)*((F44)/60))</f>
        <v>16.910582865916261</v>
      </c>
      <c r="T44" s="124">
        <v>0</v>
      </c>
      <c r="U44" s="223">
        <f t="shared" si="20"/>
        <v>64.145534237327468</v>
      </c>
      <c r="V44" s="226">
        <f>IF(AJ44=0,"No Volumes",AM44/'Lookups &amp; OH allocation'!$C$53*'Lookups &amp; OH allocation'!$D$53/AJ44)</f>
        <v>22.446671626541004</v>
      </c>
      <c r="W44" s="123" t="s">
        <v>154</v>
      </c>
      <c r="X44" s="281">
        <f>U44*VLOOKUP(W44,'Lookups &amp; OH allocation'!$K$55:$L$59,2,FALSE)</f>
        <v>0</v>
      </c>
      <c r="Y44" s="124"/>
      <c r="Z44" s="223">
        <f t="shared" si="21"/>
        <v>22.446671626541004</v>
      </c>
      <c r="AA44" s="226">
        <f>(G44/60)*'Lookups &amp; OH allocation'!$I$13</f>
        <v>26.007774709870105</v>
      </c>
      <c r="AB44" s="226">
        <f>SUM(Z44,U44,AA44)*'Lookups &amp; OH allocation'!$G$23</f>
        <v>5.3891250343115766</v>
      </c>
      <c r="AC44" s="179"/>
      <c r="AD44" s="179"/>
      <c r="AE44" s="223">
        <f t="shared" si="22"/>
        <v>31.396899744181681</v>
      </c>
      <c r="AF44" s="124">
        <f>(U44+Z44+AE44)*'Lookups &amp; OH allocation'!$L$62</f>
        <v>7.1265419787262294</v>
      </c>
      <c r="AG44" s="124"/>
      <c r="AH44" s="223">
        <f t="shared" si="23"/>
        <v>7.1265419787262294</v>
      </c>
      <c r="AI44" s="225">
        <f t="shared" si="24"/>
        <v>125.11564758677638</v>
      </c>
      <c r="AJ44" s="234">
        <f>IFERROR(VLOOKUP($C44,'Volumes - Report Summary'!$C:$AF,MATCH(AM$2,'Volumes - Report Summary'!$C$6:$AF$6,0),FALSE),0)</f>
        <v>1</v>
      </c>
      <c r="AK44" s="266">
        <f>VLOOKUP(B44,'Back Office Time'!$B$5:$G$24,4,FALSE)</f>
        <v>6</v>
      </c>
      <c r="AL44" s="398">
        <f t="shared" si="25"/>
        <v>22.446671626541004</v>
      </c>
      <c r="AM44" s="522">
        <f t="shared" si="26"/>
        <v>6</v>
      </c>
      <c r="AN44" s="517"/>
      <c r="AO44" s="521"/>
      <c r="AP44" s="521"/>
      <c r="AQ44" s="520"/>
      <c r="AR44" s="29"/>
      <c r="AS44" s="289"/>
    </row>
    <row r="45" spans="1:45">
      <c r="B45" s="110" t="s">
        <v>88</v>
      </c>
      <c r="C45" s="111" t="s">
        <v>89</v>
      </c>
      <c r="D45" s="183">
        <v>180</v>
      </c>
      <c r="E45" s="122">
        <v>60</v>
      </c>
      <c r="F45" s="269">
        <f t="shared" si="18"/>
        <v>240</v>
      </c>
      <c r="G45" s="217">
        <f t="shared" si="19"/>
        <v>240</v>
      </c>
      <c r="H45" s="122">
        <v>1</v>
      </c>
      <c r="I45" s="123" t="s">
        <v>199</v>
      </c>
      <c r="J45" s="123"/>
      <c r="K45" s="123" t="s">
        <v>154</v>
      </c>
      <c r="L45" s="272">
        <f>(IF(H45&gt;=1,IF(H45&gt;=2,VLOOKUP(I45,'Lookups &amp; OH allocation'!$B$41:$C$50,2,FALSE)/60*(E45)+VLOOKUP(J45,'Lookups &amp; OH allocation'!$B$41:$C$50,2,FALSE)/60*(E45),VLOOKUP(I45,'Lookups &amp; OH allocation'!$B$41:$C$50,2,FALSE)/60*(E45)),0))*(1+(VLOOKUP(K45,'Lookups &amp; OH allocation'!$K$47:$L$52,2,FALSE)))</f>
        <v>70.852427057116813</v>
      </c>
      <c r="M45" s="218">
        <f>(IF(H45&gt;=1,IF(H45&gt;=2,VLOOKUP(I45,'Lookups &amp; OH allocation'!$B$41:$C$50,2,FALSE)/60*(D45)+VLOOKUP(J45,'Lookups &amp; OH allocation'!$B$41:$C$50,2,FALSE)/60*(D45),VLOOKUP(I45,'Lookups &amp; OH allocation'!$B$41:$C$50,2,FALSE)/60*(D45)),0))*(1+(VLOOKUP(K45,'Lookups &amp; OH allocation'!$K$47:$L$52,2,FALSE)))</f>
        <v>212.55728117135041</v>
      </c>
      <c r="N45" s="273">
        <f>(IF(H45&gt;=1,IF(H45&gt;=2,VLOOKUP(I45,'Lookups &amp; OH allocation'!$B$41:$C$50,2,FALSE)/60*(F45)+VLOOKUP(J45,'Lookups &amp; OH allocation'!$B$41:$C$50,2,FALSE)/60*(F45),VLOOKUP(I45,'Lookups &amp; OH allocation'!$B$41:$C$50,2,FALSE)/60*(F45)),0))*(1+(VLOOKUP(K45,'Lookups &amp; OH allocation'!$K$47:$L$52,2,FALSE)))</f>
        <v>283.40970822846725</v>
      </c>
      <c r="O45" s="221" t="s">
        <v>238</v>
      </c>
      <c r="P45" s="277">
        <f>VLOOKUP(O45,'Lookups &amp; OH allocation'!$B$62:$C$72,2,FALSE)</f>
        <v>0</v>
      </c>
      <c r="Q45" s="125" t="s">
        <v>100</v>
      </c>
      <c r="R45" s="122"/>
      <c r="S45" s="277">
        <f>IF(R45&gt;0.01,VLOOKUP(Q45,'Lookups &amp; OH allocation'!$K$41:$L$43,2,FALSE)*((R45)/60),VLOOKUP(Q45,'Lookups &amp; OH allocation'!$K$41:$L$43,2,FALSE)*((F45)/60))</f>
        <v>101.46349719549757</v>
      </c>
      <c r="T45" s="124">
        <v>0</v>
      </c>
      <c r="U45" s="223">
        <f t="shared" si="20"/>
        <v>384.87320542396481</v>
      </c>
      <c r="V45" s="226">
        <f>IF(AJ45=0,"No Volumes",AM45/'Lookups &amp; OH allocation'!$C$53*'Lookups &amp; OH allocation'!$D$53/AJ45)</f>
        <v>22.446671626541004</v>
      </c>
      <c r="W45" s="123" t="s">
        <v>151</v>
      </c>
      <c r="X45" s="281">
        <f>U45*VLOOKUP(W45,'Lookups &amp; OH allocation'!$K$55:$L$59,2,FALSE)</f>
        <v>192.4366027119824</v>
      </c>
      <c r="Y45" s="124"/>
      <c r="Z45" s="223">
        <f t="shared" si="21"/>
        <v>214.88327433852339</v>
      </c>
      <c r="AA45" s="226">
        <f>(G45/60)*'Lookups &amp; OH allocation'!$I$13</f>
        <v>156.04664825922063</v>
      </c>
      <c r="AB45" s="226">
        <f>SUM(Z45,U45,AA45)*'Lookups &amp; OH allocation'!$G$23</f>
        <v>36.173341571452738</v>
      </c>
      <c r="AC45" s="179"/>
      <c r="AD45" s="179"/>
      <c r="AE45" s="223">
        <f t="shared" si="22"/>
        <v>192.21998983067337</v>
      </c>
      <c r="AF45" s="124">
        <f>(U45+Z45+AE45)*'Lookups &amp; OH allocation'!$L$62</f>
        <v>47.835378763426959</v>
      </c>
      <c r="AG45" s="124"/>
      <c r="AH45" s="223">
        <f t="shared" si="23"/>
        <v>47.835378763426959</v>
      </c>
      <c r="AI45" s="225">
        <f t="shared" si="24"/>
        <v>839.8118483565886</v>
      </c>
      <c r="AJ45" s="234">
        <f>IFERROR(VLOOKUP($C45,'Volumes - Report Summary'!$C:$AF,MATCH(AM$2,'Volumes - Report Summary'!$C$6:$AF$6,0),FALSE),0)</f>
        <v>1</v>
      </c>
      <c r="AK45" s="266">
        <f>VLOOKUP(B45,'Back Office Time'!$B$5:$G$24,4,FALSE)</f>
        <v>6</v>
      </c>
      <c r="AL45" s="398">
        <f t="shared" si="25"/>
        <v>22.446671626541004</v>
      </c>
      <c r="AM45" s="522">
        <f t="shared" si="26"/>
        <v>6</v>
      </c>
      <c r="AN45" s="517"/>
      <c r="AO45" s="521"/>
      <c r="AP45" s="521"/>
      <c r="AQ45" s="520"/>
      <c r="AR45" s="29"/>
      <c r="AS45" s="289"/>
    </row>
    <row r="46" spans="1:45">
      <c r="B46" s="110" t="s">
        <v>88</v>
      </c>
      <c r="C46" s="111" t="s">
        <v>90</v>
      </c>
      <c r="D46" s="183">
        <v>10</v>
      </c>
      <c r="E46" s="122">
        <v>20</v>
      </c>
      <c r="F46" s="269">
        <f t="shared" si="18"/>
        <v>30</v>
      </c>
      <c r="G46" s="217">
        <f t="shared" si="19"/>
        <v>30</v>
      </c>
      <c r="H46" s="122">
        <v>1</v>
      </c>
      <c r="I46" s="123" t="s">
        <v>199</v>
      </c>
      <c r="J46" s="123"/>
      <c r="K46" s="123" t="s">
        <v>154</v>
      </c>
      <c r="L46" s="272">
        <f>(IF(H46&gt;=1,IF(H46&gt;=2,VLOOKUP(I46,'Lookups &amp; OH allocation'!$B$41:$C$50,2,FALSE)/60*(E46)+VLOOKUP(J46,'Lookups &amp; OH allocation'!$B$41:$C$50,2,FALSE)/60*(E46),VLOOKUP(I46,'Lookups &amp; OH allocation'!$B$41:$C$50,2,FALSE)/60*(E46)),0))*(1+(VLOOKUP(K46,'Lookups &amp; OH allocation'!$K$47:$L$52,2,FALSE)))</f>
        <v>23.617475685705603</v>
      </c>
      <c r="M46" s="218">
        <f>(IF(H46&gt;=1,IF(H46&gt;=2,VLOOKUP(I46,'Lookups &amp; OH allocation'!$B$41:$C$50,2,FALSE)/60*(D46)+VLOOKUP(J46,'Lookups &amp; OH allocation'!$B$41:$C$50,2,FALSE)/60*(D46),VLOOKUP(I46,'Lookups &amp; OH allocation'!$B$41:$C$50,2,FALSE)/60*(D46)),0))*(1+(VLOOKUP(K46,'Lookups &amp; OH allocation'!$K$47:$L$52,2,FALSE)))</f>
        <v>11.808737842852802</v>
      </c>
      <c r="N46" s="273">
        <f>(IF(H46&gt;=1,IF(H46&gt;=2,VLOOKUP(I46,'Lookups &amp; OH allocation'!$B$41:$C$50,2,FALSE)/60*(F46)+VLOOKUP(J46,'Lookups &amp; OH allocation'!$B$41:$C$50,2,FALSE)/60*(F46),VLOOKUP(I46,'Lookups &amp; OH allocation'!$B$41:$C$50,2,FALSE)/60*(F46)),0))*(1+(VLOOKUP(K46,'Lookups &amp; OH allocation'!$K$47:$L$52,2,FALSE)))</f>
        <v>35.426213528558407</v>
      </c>
      <c r="O46" s="221" t="s">
        <v>238</v>
      </c>
      <c r="P46" s="277">
        <f>VLOOKUP(O46,'Lookups &amp; OH allocation'!$B$62:$C$72,2,FALSE)</f>
        <v>0</v>
      </c>
      <c r="Q46" s="125" t="s">
        <v>100</v>
      </c>
      <c r="R46" s="122"/>
      <c r="S46" s="277">
        <f>IF(R46&gt;0.01,VLOOKUP(Q46,'Lookups &amp; OH allocation'!$K$41:$L$43,2,FALSE)*((R46)/60),VLOOKUP(Q46,'Lookups &amp; OH allocation'!$K$41:$L$43,2,FALSE)*((F46)/60))</f>
        <v>12.682937149437196</v>
      </c>
      <c r="T46" s="124">
        <v>0</v>
      </c>
      <c r="U46" s="223">
        <f t="shared" si="20"/>
        <v>48.109150677995601</v>
      </c>
      <c r="V46" s="226">
        <f>IF(AJ46=0,"No Volumes",AM46/'Lookups &amp; OH allocation'!$C$53*'Lookups &amp; OH allocation'!$D$53/AJ46)</f>
        <v>22.446671626541004</v>
      </c>
      <c r="W46" s="123" t="s">
        <v>154</v>
      </c>
      <c r="X46" s="281">
        <f>U46*VLOOKUP(W46,'Lookups &amp; OH allocation'!$K$55:$L$59,2,FALSE)</f>
        <v>0</v>
      </c>
      <c r="Y46" s="124"/>
      <c r="Z46" s="223">
        <f t="shared" si="21"/>
        <v>22.446671626541004</v>
      </c>
      <c r="AA46" s="226">
        <f>(G46/60)*'Lookups &amp; OH allocation'!$I$13</f>
        <v>19.505831032402579</v>
      </c>
      <c r="AB46" s="226">
        <f>SUM(Z46,U46,AA46)*'Lookups &amp; OH allocation'!$G$23</f>
        <v>4.3104226853018437</v>
      </c>
      <c r="AC46" s="179"/>
      <c r="AD46" s="179"/>
      <c r="AE46" s="223">
        <f t="shared" si="22"/>
        <v>23.816253717704424</v>
      </c>
      <c r="AF46" s="124">
        <f>(U46+Z46+AE46)*'Lookups &amp; OH allocation'!$L$62</f>
        <v>5.7000733917433584</v>
      </c>
      <c r="AG46" s="124"/>
      <c r="AH46" s="223">
        <f t="shared" si="23"/>
        <v>5.7000733917433584</v>
      </c>
      <c r="AI46" s="225">
        <f t="shared" si="24"/>
        <v>100.07214941398439</v>
      </c>
      <c r="AJ46" s="234">
        <f>IFERROR(VLOOKUP($C46,'Volumes - Report Summary'!$C:$AF,MATCH(AM$2,'Volumes - Report Summary'!$C$6:$AF$6,0),FALSE),0)</f>
        <v>1</v>
      </c>
      <c r="AK46" s="266">
        <f>VLOOKUP(B46,'Back Office Time'!$B$5:$G$24,4,FALSE)</f>
        <v>6</v>
      </c>
      <c r="AL46" s="398">
        <f t="shared" si="25"/>
        <v>22.446671626541004</v>
      </c>
      <c r="AM46" s="522">
        <f t="shared" si="26"/>
        <v>6</v>
      </c>
      <c r="AN46" s="517"/>
      <c r="AO46" s="521"/>
      <c r="AP46" s="521"/>
      <c r="AQ46" s="520"/>
      <c r="AR46" s="29"/>
      <c r="AS46" s="289"/>
    </row>
    <row r="47" spans="1:45">
      <c r="A47" t="s">
        <v>145</v>
      </c>
      <c r="B47" s="112" t="s">
        <v>217</v>
      </c>
      <c r="C47" s="112"/>
      <c r="D47" s="184"/>
      <c r="E47" s="113"/>
      <c r="F47" s="116"/>
      <c r="G47" s="271"/>
      <c r="H47" s="113"/>
      <c r="I47" s="114"/>
      <c r="J47" s="114"/>
      <c r="K47" s="114"/>
      <c r="L47" s="274"/>
      <c r="M47" s="178"/>
      <c r="N47" s="275"/>
      <c r="O47" s="203"/>
      <c r="P47" s="276"/>
      <c r="Q47" s="116"/>
      <c r="R47" s="113"/>
      <c r="S47" s="276"/>
      <c r="T47" s="115"/>
      <c r="U47" s="185"/>
      <c r="V47" s="220"/>
      <c r="W47" s="114"/>
      <c r="X47" s="114"/>
      <c r="Y47" s="115"/>
      <c r="Z47" s="227"/>
      <c r="AA47" s="226"/>
      <c r="AB47" s="226"/>
      <c r="AC47" s="118"/>
      <c r="AD47" s="219"/>
      <c r="AE47" s="185"/>
      <c r="AF47" s="115"/>
      <c r="AG47" s="115"/>
      <c r="AH47" s="185"/>
      <c r="AI47" s="186"/>
      <c r="AJ47" s="232"/>
      <c r="AK47" s="266"/>
      <c r="AL47" s="399"/>
      <c r="AM47" s="522"/>
      <c r="AN47" s="523"/>
      <c r="AO47" s="506"/>
      <c r="AP47" s="506"/>
      <c r="AQ47" s="29"/>
      <c r="AR47" s="291"/>
      <c r="AS47" s="291"/>
    </row>
    <row r="48" spans="1:45">
      <c r="B48" s="110" t="s">
        <v>217</v>
      </c>
      <c r="C48" s="111" t="s">
        <v>218</v>
      </c>
      <c r="D48" s="183">
        <v>60</v>
      </c>
      <c r="E48" s="122">
        <v>20</v>
      </c>
      <c r="F48" s="269">
        <f t="shared" ref="F48:F55" si="27">SUM(D48:E48)</f>
        <v>80</v>
      </c>
      <c r="G48" s="217">
        <f t="shared" ref="G48:G55" si="28">SUM(D48:E48)*H48</f>
        <v>160</v>
      </c>
      <c r="H48" s="122">
        <v>2</v>
      </c>
      <c r="I48" s="123" t="s">
        <v>199</v>
      </c>
      <c r="J48" s="123" t="s">
        <v>199</v>
      </c>
      <c r="K48" s="123" t="s">
        <v>154</v>
      </c>
      <c r="L48" s="272">
        <f>(IF(H48&gt;=1,IF(H48&gt;=2,VLOOKUP(I48,'Lookups &amp; OH allocation'!$B$41:$C$50,2,FALSE)/60*(E48)+VLOOKUP(J48,'Lookups &amp; OH allocation'!$B$41:$C$50,2,FALSE)/60*(E48),VLOOKUP(I48,'Lookups &amp; OH allocation'!$B$41:$C$50,2,FALSE)/60*(E48)),0))*(1+(VLOOKUP(K48,'Lookups &amp; OH allocation'!$K$47:$L$52,2,FALSE)))</f>
        <v>47.234951371411206</v>
      </c>
      <c r="M48" s="218">
        <f>(IF(H48&gt;=1,IF(H48&gt;=2,VLOOKUP(I48,'Lookups &amp; OH allocation'!$B$41:$C$50,2,FALSE)/60*(D48)+VLOOKUP(J48,'Lookups &amp; OH allocation'!$B$41:$C$50,2,FALSE)/60*(D48),VLOOKUP(I48,'Lookups &amp; OH allocation'!$B$41:$C$50,2,FALSE)/60*(D48)),0))*(1+(VLOOKUP(K48,'Lookups &amp; OH allocation'!$K$47:$L$52,2,FALSE)))</f>
        <v>141.70485411423363</v>
      </c>
      <c r="N48" s="273">
        <f>(IF(H48&gt;=1,IF(H48&gt;=2,VLOOKUP(I48,'Lookups &amp; OH allocation'!$B$41:$C$50,2,FALSE)/60*(F48)+VLOOKUP(J48,'Lookups &amp; OH allocation'!$B$41:$C$50,2,FALSE)/60*(F48),VLOOKUP(I48,'Lookups &amp; OH allocation'!$B$41:$C$50,2,FALSE)/60*(F48)),0))*(1+(VLOOKUP(K48,'Lookups &amp; OH allocation'!$K$47:$L$52,2,FALSE)))</f>
        <v>188.93980548564483</v>
      </c>
      <c r="O48" s="221" t="s">
        <v>232</v>
      </c>
      <c r="P48" s="277">
        <f>VLOOKUP(O48,'Lookups &amp; OH allocation'!$B$62:$C$72,2,FALSE)</f>
        <v>123.82666249999998</v>
      </c>
      <c r="Q48" s="125" t="s">
        <v>100</v>
      </c>
      <c r="R48" s="122"/>
      <c r="S48" s="277">
        <f>IF(R48&gt;0.01,VLOOKUP(Q48,'Lookups &amp; OH allocation'!$K$41:$L$43,2,FALSE)*((R48)/60),VLOOKUP(Q48,'Lookups &amp; OH allocation'!$K$41:$L$43,2,FALSE)*((F48)/60))</f>
        <v>33.821165731832522</v>
      </c>
      <c r="T48" s="124">
        <v>0</v>
      </c>
      <c r="U48" s="223">
        <f t="shared" ref="U48:U55" si="29">SUM(N48,P48,S48,T48)</f>
        <v>346.58763371747733</v>
      </c>
      <c r="V48" s="226">
        <f>IF(AJ48=0,"No Volumes",AM48/'Lookups &amp; OH allocation'!$C$53*'Lookups &amp; OH allocation'!$D$53/AJ48)</f>
        <v>44.893343253082016</v>
      </c>
      <c r="W48" s="123" t="s">
        <v>154</v>
      </c>
      <c r="X48" s="281">
        <f>U48*VLOOKUP(W48,'Lookups &amp; OH allocation'!$K$55:$L$59,2,FALSE)</f>
        <v>0</v>
      </c>
      <c r="Y48" s="124"/>
      <c r="Z48" s="223">
        <f t="shared" ref="Z48:Z55" si="30">SUM(V48,X48,Y48)</f>
        <v>44.893343253082016</v>
      </c>
      <c r="AA48" s="226">
        <f>(G48/60)*'Lookups &amp; OH allocation'!$I$13</f>
        <v>104.03109883948042</v>
      </c>
      <c r="AB48" s="226">
        <f>SUM(Z48,U48,AA48)*'Lookups &amp; OH allocation'!$G$23</f>
        <v>23.715603847754007</v>
      </c>
      <c r="AC48" s="179"/>
      <c r="AD48" s="179"/>
      <c r="AE48" s="223">
        <f t="shared" ref="AE48:AE55" si="31">SUM(AA48:AD48)</f>
        <v>127.74670268723443</v>
      </c>
      <c r="AF48" s="124">
        <f>(U48+Z48+AE48)*'Lookups &amp; OH allocation'!$L$62</f>
        <v>31.361351851330749</v>
      </c>
      <c r="AG48" s="124"/>
      <c r="AH48" s="223">
        <f t="shared" ref="AH48:AH55" si="32">SUM(AF48,AG48)</f>
        <v>31.361351851330749</v>
      </c>
      <c r="AI48" s="225">
        <f t="shared" ref="AI48:AI55" si="33">U48+Z48+AE48+AH48</f>
        <v>550.58903150912454</v>
      </c>
      <c r="AJ48" s="234">
        <f>IFERROR(VLOOKUP($C48,'Volumes - Report Summary'!$C:$AF,MATCH(AM$2,'Volumes - Report Summary'!$C$6:$AF$6,0),FALSE),0)</f>
        <v>1288</v>
      </c>
      <c r="AK48" s="266">
        <f>VLOOKUP(B48,'Back Office Time'!$B$5:$G$24,4,FALSE)</f>
        <v>12</v>
      </c>
      <c r="AL48" s="398">
        <f t="shared" ref="AL48:AL55" si="34">IFERROR(V48*AJ48,0)</f>
        <v>57822.626109969635</v>
      </c>
      <c r="AM48" s="522">
        <f t="shared" ref="AM48:AM55" si="35">AK48*AJ48</f>
        <v>15456</v>
      </c>
      <c r="AN48" s="517"/>
      <c r="AO48" s="521"/>
      <c r="AP48" s="521"/>
      <c r="AQ48" s="520"/>
      <c r="AR48" s="29"/>
      <c r="AS48" s="289"/>
    </row>
    <row r="49" spans="1:45">
      <c r="B49" s="110" t="s">
        <v>217</v>
      </c>
      <c r="C49" s="111" t="s">
        <v>219</v>
      </c>
      <c r="D49" s="183">
        <v>80</v>
      </c>
      <c r="E49" s="122">
        <v>20</v>
      </c>
      <c r="F49" s="269">
        <f t="shared" si="27"/>
        <v>100</v>
      </c>
      <c r="G49" s="217">
        <f t="shared" si="28"/>
        <v>200</v>
      </c>
      <c r="H49" s="122">
        <v>2</v>
      </c>
      <c r="I49" s="123" t="s">
        <v>199</v>
      </c>
      <c r="J49" s="123" t="s">
        <v>199</v>
      </c>
      <c r="K49" s="123" t="s">
        <v>154</v>
      </c>
      <c r="L49" s="272">
        <f>(IF(H49&gt;=1,IF(H49&gt;=2,VLOOKUP(I49,'Lookups &amp; OH allocation'!$B$41:$C$50,2,FALSE)/60*(E49)+VLOOKUP(J49,'Lookups &amp; OH allocation'!$B$41:$C$50,2,FALSE)/60*(E49),VLOOKUP(I49,'Lookups &amp; OH allocation'!$B$41:$C$50,2,FALSE)/60*(E49)),0))*(1+(VLOOKUP(K49,'Lookups &amp; OH allocation'!$K$47:$L$52,2,FALSE)))</f>
        <v>47.234951371411206</v>
      </c>
      <c r="M49" s="218">
        <f>(IF(H49&gt;=1,IF(H49&gt;=2,VLOOKUP(I49,'Lookups &amp; OH allocation'!$B$41:$C$50,2,FALSE)/60*(D49)+VLOOKUP(J49,'Lookups &amp; OH allocation'!$B$41:$C$50,2,FALSE)/60*(D49),VLOOKUP(I49,'Lookups &amp; OH allocation'!$B$41:$C$50,2,FALSE)/60*(D49)),0))*(1+(VLOOKUP(K49,'Lookups &amp; OH allocation'!$K$47:$L$52,2,FALSE)))</f>
        <v>188.93980548564483</v>
      </c>
      <c r="N49" s="273">
        <f>(IF(H49&gt;=1,IF(H49&gt;=2,VLOOKUP(I49,'Lookups &amp; OH allocation'!$B$41:$C$50,2,FALSE)/60*(F49)+VLOOKUP(J49,'Lookups &amp; OH allocation'!$B$41:$C$50,2,FALSE)/60*(F49),VLOOKUP(I49,'Lookups &amp; OH allocation'!$B$41:$C$50,2,FALSE)/60*(F49)),0))*(1+(VLOOKUP(K49,'Lookups &amp; OH allocation'!$K$47:$L$52,2,FALSE)))</f>
        <v>236.17475685705602</v>
      </c>
      <c r="O49" s="221" t="s">
        <v>233</v>
      </c>
      <c r="P49" s="277">
        <f>VLOOKUP(O49,'Lookups &amp; OH allocation'!$B$62:$C$72,2,FALSE)</f>
        <v>245.62561874999997</v>
      </c>
      <c r="Q49" s="125" t="s">
        <v>100</v>
      </c>
      <c r="R49" s="122"/>
      <c r="S49" s="277">
        <f>IF(R49&gt;0.01,VLOOKUP(Q49,'Lookups &amp; OH allocation'!$K$41:$L$43,2,FALSE)*((R49)/60),VLOOKUP(Q49,'Lookups &amp; OH allocation'!$K$41:$L$43,2,FALSE)*((F49)/60))</f>
        <v>42.276457164790656</v>
      </c>
      <c r="T49" s="124">
        <v>0</v>
      </c>
      <c r="U49" s="223">
        <f t="shared" si="29"/>
        <v>524.07683277184674</v>
      </c>
      <c r="V49" s="226">
        <f>IF(AJ49=0,"No Volumes",AM49/'Lookups &amp; OH allocation'!$C$53*'Lookups &amp; OH allocation'!$D$53/AJ49)</f>
        <v>44.893343253082008</v>
      </c>
      <c r="W49" s="123" t="s">
        <v>154</v>
      </c>
      <c r="X49" s="281">
        <f>U49*VLOOKUP(W49,'Lookups &amp; OH allocation'!$K$55:$L$59,2,FALSE)</f>
        <v>0</v>
      </c>
      <c r="Y49" s="124"/>
      <c r="Z49" s="223">
        <f t="shared" si="30"/>
        <v>44.893343253082008</v>
      </c>
      <c r="AA49" s="226">
        <f>(G49/60)*'Lookups &amp; OH allocation'!$I$13</f>
        <v>130.03887354935054</v>
      </c>
      <c r="AB49" s="226">
        <f>SUM(Z49,U49,AA49)*'Lookups &amp; OH allocation'!$G$23</f>
        <v>33.455131600170716</v>
      </c>
      <c r="AC49" s="179"/>
      <c r="AD49" s="179"/>
      <c r="AE49" s="223">
        <f t="shared" si="31"/>
        <v>163.49400514952126</v>
      </c>
      <c r="AF49" s="124">
        <f>(U49+Z49+AE49)*'Lookups &amp; OH allocation'!$L$62</f>
        <v>44.240836542936783</v>
      </c>
      <c r="AG49" s="124"/>
      <c r="AH49" s="223">
        <f t="shared" si="32"/>
        <v>44.240836542936783</v>
      </c>
      <c r="AI49" s="225">
        <f t="shared" si="33"/>
        <v>776.7050177173868</v>
      </c>
      <c r="AJ49" s="234">
        <f>IFERROR(VLOOKUP($C49,'Volumes - Report Summary'!$C:$AF,MATCH(AM$2,'Volumes - Report Summary'!$C$6:$AF$6,0),FALSE),0)</f>
        <v>113</v>
      </c>
      <c r="AK49" s="266">
        <f>VLOOKUP(B49,'Back Office Time'!$B$5:$G$24,4,FALSE)</f>
        <v>12</v>
      </c>
      <c r="AL49" s="398">
        <f t="shared" si="34"/>
        <v>5072.9477875982666</v>
      </c>
      <c r="AM49" s="522">
        <f t="shared" si="35"/>
        <v>1356</v>
      </c>
      <c r="AN49" s="517"/>
      <c r="AO49" s="521"/>
      <c r="AP49" s="521"/>
      <c r="AQ49" s="520"/>
      <c r="AR49" s="29"/>
      <c r="AS49" s="289"/>
    </row>
    <row r="50" spans="1:45">
      <c r="B50" s="110" t="s">
        <v>217</v>
      </c>
      <c r="C50" s="111" t="s">
        <v>220</v>
      </c>
      <c r="D50" s="183">
        <v>40</v>
      </c>
      <c r="E50" s="122">
        <v>20</v>
      </c>
      <c r="F50" s="269">
        <f t="shared" si="27"/>
        <v>60</v>
      </c>
      <c r="G50" s="217">
        <f t="shared" si="28"/>
        <v>60</v>
      </c>
      <c r="H50" s="122">
        <v>1</v>
      </c>
      <c r="I50" s="123" t="s">
        <v>199</v>
      </c>
      <c r="J50" s="123"/>
      <c r="K50" s="123" t="s">
        <v>154</v>
      </c>
      <c r="L50" s="272">
        <f>(IF(H50&gt;=1,IF(H50&gt;=2,VLOOKUP(I50,'Lookups &amp; OH allocation'!$B$41:$C$50,2,FALSE)/60*(E50)+VLOOKUP(J50,'Lookups &amp; OH allocation'!$B$41:$C$50,2,FALSE)/60*(E50),VLOOKUP(I50,'Lookups &amp; OH allocation'!$B$41:$C$50,2,FALSE)/60*(E50)),0))*(1+(VLOOKUP(K50,'Lookups &amp; OH allocation'!$K$47:$L$52,2,FALSE)))</f>
        <v>23.617475685705603</v>
      </c>
      <c r="M50" s="218">
        <f>(IF(H50&gt;=1,IF(H50&gt;=2,VLOOKUP(I50,'Lookups &amp; OH allocation'!$B$41:$C$50,2,FALSE)/60*(D50)+VLOOKUP(J50,'Lookups &amp; OH allocation'!$B$41:$C$50,2,FALSE)/60*(D50),VLOOKUP(I50,'Lookups &amp; OH allocation'!$B$41:$C$50,2,FALSE)/60*(D50)),0))*(1+(VLOOKUP(K50,'Lookups &amp; OH allocation'!$K$47:$L$52,2,FALSE)))</f>
        <v>47.234951371411206</v>
      </c>
      <c r="N50" s="273">
        <f>(IF(H50&gt;=1,IF(H50&gt;=2,VLOOKUP(I50,'Lookups &amp; OH allocation'!$B$41:$C$50,2,FALSE)/60*(F50)+VLOOKUP(J50,'Lookups &amp; OH allocation'!$B$41:$C$50,2,FALSE)/60*(F50),VLOOKUP(I50,'Lookups &amp; OH allocation'!$B$41:$C$50,2,FALSE)/60*(F50)),0))*(1+(VLOOKUP(K50,'Lookups &amp; OH allocation'!$K$47:$L$52,2,FALSE)))</f>
        <v>70.852427057116813</v>
      </c>
      <c r="O50" s="221" t="s">
        <v>234</v>
      </c>
      <c r="P50" s="277">
        <f>VLOOKUP(O50,'Lookups &amp; OH allocation'!$B$62:$C$72,2,FALSE)</f>
        <v>1.1031562500000001</v>
      </c>
      <c r="Q50" s="125" t="s">
        <v>101</v>
      </c>
      <c r="R50" s="122"/>
      <c r="S50" s="277">
        <f>IF(R50&gt;0.01,VLOOKUP(Q50,'Lookups &amp; OH allocation'!$K$41:$L$43,2,FALSE)*((R50)/60),VLOOKUP(Q50,'Lookups &amp; OH allocation'!$K$41:$L$43,2,FALSE)*((F50)/60))</f>
        <v>6.8663550189145326</v>
      </c>
      <c r="T50" s="124">
        <v>0</v>
      </c>
      <c r="U50" s="223">
        <f t="shared" si="29"/>
        <v>78.821938326031344</v>
      </c>
      <c r="V50" s="226">
        <f>IF(AJ50=0,"No Volumes",AM50/'Lookups &amp; OH allocation'!$C$53*'Lookups &amp; OH allocation'!$D$53/AJ50)</f>
        <v>44.893343253082008</v>
      </c>
      <c r="W50" s="123" t="s">
        <v>154</v>
      </c>
      <c r="X50" s="281">
        <f>U50*VLOOKUP(W50,'Lookups &amp; OH allocation'!$K$55:$L$59,2,FALSE)</f>
        <v>0</v>
      </c>
      <c r="Y50" s="124"/>
      <c r="Z50" s="223">
        <f t="shared" si="30"/>
        <v>44.893343253082008</v>
      </c>
      <c r="AA50" s="226">
        <f>(G50/60)*'Lookups &amp; OH allocation'!$I$13</f>
        <v>39.011662064805158</v>
      </c>
      <c r="AB50" s="226">
        <f>SUM(Z50,U50,AA50)*'Lookups &amp; OH allocation'!$G$23</f>
        <v>7.7882415368105358</v>
      </c>
      <c r="AC50" s="179"/>
      <c r="AD50" s="179"/>
      <c r="AE50" s="223">
        <f t="shared" si="31"/>
        <v>46.799903601615696</v>
      </c>
      <c r="AF50" s="124">
        <f>(U50+Z50+AE50)*'Lookups &amp; OH allocation'!$L$62</f>
        <v>10.299117184916035</v>
      </c>
      <c r="AG50" s="124"/>
      <c r="AH50" s="223">
        <f t="shared" si="32"/>
        <v>10.299117184916035</v>
      </c>
      <c r="AI50" s="225">
        <f t="shared" si="33"/>
        <v>180.81430236564509</v>
      </c>
      <c r="AJ50" s="234">
        <f>IFERROR(VLOOKUP($C50,'Volumes - Report Summary'!$C:$AF,MATCH(AM$2,'Volumes - Report Summary'!$C$6:$AF$6,0),FALSE),0)</f>
        <v>792</v>
      </c>
      <c r="AK50" s="266">
        <f>VLOOKUP(B50,'Back Office Time'!$B$5:$G$24,4,FALSE)</f>
        <v>12</v>
      </c>
      <c r="AL50" s="398">
        <f t="shared" si="34"/>
        <v>35555.527856440953</v>
      </c>
      <c r="AM50" s="522">
        <f t="shared" si="35"/>
        <v>9504</v>
      </c>
      <c r="AN50" s="517"/>
      <c r="AO50" s="521"/>
      <c r="AP50" s="521"/>
      <c r="AQ50" s="520"/>
      <c r="AR50" s="29"/>
      <c r="AS50" s="289"/>
    </row>
    <row r="51" spans="1:45">
      <c r="B51" s="110" t="s">
        <v>217</v>
      </c>
      <c r="C51" s="111" t="s">
        <v>221</v>
      </c>
      <c r="D51" s="183">
        <v>60</v>
      </c>
      <c r="E51" s="122">
        <v>20</v>
      </c>
      <c r="F51" s="269">
        <f t="shared" si="27"/>
        <v>80</v>
      </c>
      <c r="G51" s="217">
        <f t="shared" si="28"/>
        <v>80</v>
      </c>
      <c r="H51" s="122">
        <v>1</v>
      </c>
      <c r="I51" s="123" t="s">
        <v>199</v>
      </c>
      <c r="J51" s="123"/>
      <c r="K51" s="123" t="s">
        <v>154</v>
      </c>
      <c r="L51" s="272">
        <f>(IF(H51&gt;=1,IF(H51&gt;=2,VLOOKUP(I51,'Lookups &amp; OH allocation'!$B$41:$C$50,2,FALSE)/60*(E51)+VLOOKUP(J51,'Lookups &amp; OH allocation'!$B$41:$C$50,2,FALSE)/60*(E51),VLOOKUP(I51,'Lookups &amp; OH allocation'!$B$41:$C$50,2,FALSE)/60*(E51)),0))*(1+(VLOOKUP(K51,'Lookups &amp; OH allocation'!$K$47:$L$52,2,FALSE)))</f>
        <v>23.617475685705603</v>
      </c>
      <c r="M51" s="218">
        <f>(IF(H51&gt;=1,IF(H51&gt;=2,VLOOKUP(I51,'Lookups &amp; OH allocation'!$B$41:$C$50,2,FALSE)/60*(D51)+VLOOKUP(J51,'Lookups &amp; OH allocation'!$B$41:$C$50,2,FALSE)/60*(D51),VLOOKUP(I51,'Lookups &amp; OH allocation'!$B$41:$C$50,2,FALSE)/60*(D51)),0))*(1+(VLOOKUP(K51,'Lookups &amp; OH allocation'!$K$47:$L$52,2,FALSE)))</f>
        <v>70.852427057116813</v>
      </c>
      <c r="N51" s="273">
        <f>(IF(H51&gt;=1,IF(H51&gt;=2,VLOOKUP(I51,'Lookups &amp; OH allocation'!$B$41:$C$50,2,FALSE)/60*(F51)+VLOOKUP(J51,'Lookups &amp; OH allocation'!$B$41:$C$50,2,FALSE)/60*(F51),VLOOKUP(I51,'Lookups &amp; OH allocation'!$B$41:$C$50,2,FALSE)/60*(F51)),0))*(1+(VLOOKUP(K51,'Lookups &amp; OH allocation'!$K$47:$L$52,2,FALSE)))</f>
        <v>94.469902742822413</v>
      </c>
      <c r="O51" s="221" t="s">
        <v>235</v>
      </c>
      <c r="P51" s="277">
        <f>VLOOKUP(O51,'Lookups &amp; OH allocation'!$B$62:$C$72,2,FALSE)</f>
        <v>3.3199749999999999</v>
      </c>
      <c r="Q51" s="125" t="s">
        <v>101</v>
      </c>
      <c r="R51" s="122"/>
      <c r="S51" s="277">
        <f>IF(R51&gt;0.01,VLOOKUP(Q51,'Lookups &amp; OH allocation'!$K$41:$L$43,2,FALSE)*((R51)/60),VLOOKUP(Q51,'Lookups &amp; OH allocation'!$K$41:$L$43,2,FALSE)*((F51)/60))</f>
        <v>9.1551400252193762</v>
      </c>
      <c r="T51" s="124">
        <v>0</v>
      </c>
      <c r="U51" s="223">
        <f t="shared" si="29"/>
        <v>106.94501776804179</v>
      </c>
      <c r="V51" s="226">
        <f>IF(AJ51=0,"No Volumes",AM51/'Lookups &amp; OH allocation'!$C$53*'Lookups &amp; OH allocation'!$D$53/AJ51)</f>
        <v>44.893343253082016</v>
      </c>
      <c r="W51" s="123" t="s">
        <v>154</v>
      </c>
      <c r="X51" s="281">
        <f>U51*VLOOKUP(W51,'Lookups &amp; OH allocation'!$K$55:$L$59,2,FALSE)</f>
        <v>0</v>
      </c>
      <c r="Y51" s="124"/>
      <c r="Z51" s="223">
        <f t="shared" si="30"/>
        <v>44.893343253082016</v>
      </c>
      <c r="AA51" s="226">
        <f>(G51/60)*'Lookups &amp; OH allocation'!$I$13</f>
        <v>52.015549419740211</v>
      </c>
      <c r="AB51" s="226">
        <f>SUM(Z51,U51,AA51)*'Lookups &amp; OH allocation'!$G$23</f>
        <v>9.7566110269417994</v>
      </c>
      <c r="AC51" s="179"/>
      <c r="AD51" s="179"/>
      <c r="AE51" s="223">
        <f t="shared" si="31"/>
        <v>61.772160446682008</v>
      </c>
      <c r="AF51" s="124">
        <f>(U51+Z51+AE51)*'Lookups &amp; OH allocation'!$L$62</f>
        <v>12.902075496655472</v>
      </c>
      <c r="AG51" s="124"/>
      <c r="AH51" s="223">
        <f t="shared" si="32"/>
        <v>12.902075496655472</v>
      </c>
      <c r="AI51" s="225">
        <f t="shared" si="33"/>
        <v>226.5125969644613</v>
      </c>
      <c r="AJ51" s="234">
        <f>IFERROR(VLOOKUP($C51,'Volumes - Report Summary'!$C:$AF,MATCH(AM$2,'Volumes - Report Summary'!$C$6:$AF$6,0),FALSE),0)</f>
        <v>72</v>
      </c>
      <c r="AK51" s="266">
        <f>VLOOKUP(B51,'Back Office Time'!$B$5:$G$24,4,FALSE)</f>
        <v>12</v>
      </c>
      <c r="AL51" s="398">
        <f t="shared" si="34"/>
        <v>3232.3207142219053</v>
      </c>
      <c r="AM51" s="522">
        <f t="shared" si="35"/>
        <v>864</v>
      </c>
      <c r="AN51" s="517"/>
      <c r="AO51" s="521"/>
      <c r="AP51" s="521"/>
      <c r="AQ51" s="520"/>
      <c r="AR51" s="29"/>
      <c r="AS51" s="289"/>
    </row>
    <row r="52" spans="1:45">
      <c r="B52" s="110" t="s">
        <v>217</v>
      </c>
      <c r="C52" s="111" t="s">
        <v>222</v>
      </c>
      <c r="D52" s="183">
        <v>60</v>
      </c>
      <c r="E52" s="122">
        <v>20</v>
      </c>
      <c r="F52" s="269">
        <f t="shared" si="27"/>
        <v>80</v>
      </c>
      <c r="G52" s="217">
        <f t="shared" si="28"/>
        <v>160</v>
      </c>
      <c r="H52" s="122">
        <v>2</v>
      </c>
      <c r="I52" s="123" t="s">
        <v>199</v>
      </c>
      <c r="J52" s="123" t="s">
        <v>199</v>
      </c>
      <c r="K52" s="123" t="s">
        <v>154</v>
      </c>
      <c r="L52" s="272">
        <f>(IF(H52&gt;=1,IF(H52&gt;=2,VLOOKUP(I52,'Lookups &amp; OH allocation'!$B$41:$C$50,2,FALSE)/60*(E52)+VLOOKUP(J52,'Lookups &amp; OH allocation'!$B$41:$C$50,2,FALSE)/60*(E52),VLOOKUP(I52,'Lookups &amp; OH allocation'!$B$41:$C$50,2,FALSE)/60*(E52)),0))*(1+(VLOOKUP(K52,'Lookups &amp; OH allocation'!$K$47:$L$52,2,FALSE)))</f>
        <v>47.234951371411206</v>
      </c>
      <c r="M52" s="218">
        <f>(IF(H52&gt;=1,IF(H52&gt;=2,VLOOKUP(I52,'Lookups &amp; OH allocation'!$B$41:$C$50,2,FALSE)/60*(D52)+VLOOKUP(J52,'Lookups &amp; OH allocation'!$B$41:$C$50,2,FALSE)/60*(D52),VLOOKUP(I52,'Lookups &amp; OH allocation'!$B$41:$C$50,2,FALSE)/60*(D52)),0))*(1+(VLOOKUP(K52,'Lookups &amp; OH allocation'!$K$47:$L$52,2,FALSE)))</f>
        <v>141.70485411423363</v>
      </c>
      <c r="N52" s="273">
        <f>(IF(H52&gt;=1,IF(H52&gt;=2,VLOOKUP(I52,'Lookups &amp; OH allocation'!$B$41:$C$50,2,FALSE)/60*(F52)+VLOOKUP(J52,'Lookups &amp; OH allocation'!$B$41:$C$50,2,FALSE)/60*(F52),VLOOKUP(I52,'Lookups &amp; OH allocation'!$B$41:$C$50,2,FALSE)/60*(F52)),0))*(1+(VLOOKUP(K52,'Lookups &amp; OH allocation'!$K$47:$L$52,2,FALSE)))</f>
        <v>188.93980548564483</v>
      </c>
      <c r="O52" s="221" t="s">
        <v>236</v>
      </c>
      <c r="P52" s="277">
        <f>VLOOKUP(O52,'Lookups &amp; OH allocation'!$B$62:$C$72,2,FALSE)</f>
        <v>7.6170312499999993</v>
      </c>
      <c r="Q52" s="125" t="s">
        <v>100</v>
      </c>
      <c r="R52" s="122"/>
      <c r="S52" s="277">
        <f>IF(R52&gt;0.01,VLOOKUP(Q52,'Lookups &amp; OH allocation'!$K$41:$L$43,2,FALSE)*((R52)/60),VLOOKUP(Q52,'Lookups &amp; OH allocation'!$K$41:$L$43,2,FALSE)*((F52)/60))</f>
        <v>33.821165731832522</v>
      </c>
      <c r="T52" s="124">
        <v>0</v>
      </c>
      <c r="U52" s="223">
        <f t="shared" si="29"/>
        <v>230.37800246747736</v>
      </c>
      <c r="V52" s="226">
        <f>IF(AJ52=0,"No Volumes",AM52/'Lookups &amp; OH allocation'!$C$53*'Lookups &amp; OH allocation'!$D$53/AJ52)</f>
        <v>44.893343253082001</v>
      </c>
      <c r="W52" s="123" t="s">
        <v>154</v>
      </c>
      <c r="X52" s="281">
        <f>U52*VLOOKUP(W52,'Lookups &amp; OH allocation'!$K$55:$L$59,2,FALSE)</f>
        <v>0</v>
      </c>
      <c r="Y52" s="124"/>
      <c r="Z52" s="223">
        <f t="shared" si="30"/>
        <v>44.893343253082001</v>
      </c>
      <c r="AA52" s="226">
        <f>(G52/60)*'Lookups &amp; OH allocation'!$I$13</f>
        <v>104.03109883948042</v>
      </c>
      <c r="AB52" s="226">
        <f>SUM(Z52,U52,AA52)*'Lookups &amp; OH allocation'!$G$23</f>
        <v>18.153718048072484</v>
      </c>
      <c r="AC52" s="179"/>
      <c r="AD52" s="179"/>
      <c r="AE52" s="223">
        <f t="shared" si="31"/>
        <v>122.1848168875529</v>
      </c>
      <c r="AF52" s="124">
        <f>(U52+Z52+AE52)*'Lookups &amp; OH allocation'!$L$62</f>
        <v>24.00635222152998</v>
      </c>
      <c r="AG52" s="124"/>
      <c r="AH52" s="223">
        <f t="shared" si="32"/>
        <v>24.00635222152998</v>
      </c>
      <c r="AI52" s="225">
        <f t="shared" si="33"/>
        <v>421.4625148296422</v>
      </c>
      <c r="AJ52" s="234">
        <f>IFERROR(VLOOKUP($C52,'Volumes - Report Summary'!$C:$AF,MATCH(AM$2,'Volumes - Report Summary'!$C$6:$AF$6,0),FALSE),0)</f>
        <v>772</v>
      </c>
      <c r="AK52" s="266">
        <f>VLOOKUP(B52,'Back Office Time'!$B$5:$G$24,4,FALSE)</f>
        <v>12</v>
      </c>
      <c r="AL52" s="398">
        <f t="shared" si="34"/>
        <v>34657.660991379307</v>
      </c>
      <c r="AM52" s="522">
        <f t="shared" si="35"/>
        <v>9264</v>
      </c>
      <c r="AN52" s="517"/>
      <c r="AO52" s="521"/>
      <c r="AP52" s="521"/>
      <c r="AQ52" s="520"/>
      <c r="AR52" s="29"/>
      <c r="AS52" s="289"/>
    </row>
    <row r="53" spans="1:45">
      <c r="B53" s="110" t="s">
        <v>217</v>
      </c>
      <c r="C53" s="111" t="s">
        <v>223</v>
      </c>
      <c r="D53" s="183">
        <v>80</v>
      </c>
      <c r="E53" s="122">
        <v>20</v>
      </c>
      <c r="F53" s="269">
        <f t="shared" si="27"/>
        <v>100</v>
      </c>
      <c r="G53" s="217">
        <f t="shared" si="28"/>
        <v>200</v>
      </c>
      <c r="H53" s="122">
        <v>2</v>
      </c>
      <c r="I53" s="123" t="s">
        <v>199</v>
      </c>
      <c r="J53" s="123" t="s">
        <v>199</v>
      </c>
      <c r="K53" s="123" t="s">
        <v>154</v>
      </c>
      <c r="L53" s="272">
        <f>(IF(H53&gt;=1,IF(H53&gt;=2,VLOOKUP(I53,'Lookups &amp; OH allocation'!$B$41:$C$50,2,FALSE)/60*(E53)+VLOOKUP(J53,'Lookups &amp; OH allocation'!$B$41:$C$50,2,FALSE)/60*(E53),VLOOKUP(I53,'Lookups &amp; OH allocation'!$B$41:$C$50,2,FALSE)/60*(E53)),0))*(1+(VLOOKUP(K53,'Lookups &amp; OH allocation'!$K$47:$L$52,2,FALSE)))</f>
        <v>47.234951371411206</v>
      </c>
      <c r="M53" s="218">
        <f>(IF(H53&gt;=1,IF(H53&gt;=2,VLOOKUP(I53,'Lookups &amp; OH allocation'!$B$41:$C$50,2,FALSE)/60*(D53)+VLOOKUP(J53,'Lookups &amp; OH allocation'!$B$41:$C$50,2,FALSE)/60*(D53),VLOOKUP(I53,'Lookups &amp; OH allocation'!$B$41:$C$50,2,FALSE)/60*(D53)),0))*(1+(VLOOKUP(K53,'Lookups &amp; OH allocation'!$K$47:$L$52,2,FALSE)))</f>
        <v>188.93980548564483</v>
      </c>
      <c r="N53" s="273">
        <f>(IF(H53&gt;=1,IF(H53&gt;=2,VLOOKUP(I53,'Lookups &amp; OH allocation'!$B$41:$C$50,2,FALSE)/60*(F53)+VLOOKUP(J53,'Lookups &amp; OH allocation'!$B$41:$C$50,2,FALSE)/60*(F53),VLOOKUP(I53,'Lookups &amp; OH allocation'!$B$41:$C$50,2,FALSE)/60*(F53)),0))*(1+(VLOOKUP(K53,'Lookups &amp; OH allocation'!$K$47:$L$52,2,FALSE)))</f>
        <v>236.17475685705602</v>
      </c>
      <c r="O53" s="221" t="s">
        <v>237</v>
      </c>
      <c r="P53" s="277">
        <f>VLOOKUP(O53,'Lookups &amp; OH allocation'!$B$62:$C$72,2,FALSE)</f>
        <v>22.861599999999999</v>
      </c>
      <c r="Q53" s="125" t="s">
        <v>100</v>
      </c>
      <c r="R53" s="122"/>
      <c r="S53" s="277">
        <f>IF(R53&gt;0.01,VLOOKUP(Q53,'Lookups &amp; OH allocation'!$K$41:$L$43,2,FALSE)*((R53)/60),VLOOKUP(Q53,'Lookups &amp; OH allocation'!$K$41:$L$43,2,FALSE)*((F53)/60))</f>
        <v>42.276457164790656</v>
      </c>
      <c r="T53" s="124">
        <v>0</v>
      </c>
      <c r="U53" s="223">
        <f t="shared" si="29"/>
        <v>301.31281402184669</v>
      </c>
      <c r="V53" s="226">
        <f>IF(AJ53=0,"No Volumes",AM53/'Lookups &amp; OH allocation'!$C$53*'Lookups &amp; OH allocation'!$D$53/AJ53)</f>
        <v>44.893343253082016</v>
      </c>
      <c r="W53" s="123" t="s">
        <v>154</v>
      </c>
      <c r="X53" s="281">
        <f>U53*VLOOKUP(W53,'Lookups &amp; OH allocation'!$K$55:$L$59,2,FALSE)</f>
        <v>0</v>
      </c>
      <c r="Y53" s="124"/>
      <c r="Z53" s="223">
        <f t="shared" si="30"/>
        <v>44.893343253082016</v>
      </c>
      <c r="AA53" s="226">
        <f>(G53/60)*'Lookups &amp; OH allocation'!$I$13</f>
        <v>130.03887354935054</v>
      </c>
      <c r="AB53" s="226">
        <f>SUM(Z53,U53,AA53)*'Lookups &amp; OH allocation'!$G$23</f>
        <v>22.793467680936711</v>
      </c>
      <c r="AC53" s="179"/>
      <c r="AD53" s="179"/>
      <c r="AE53" s="223">
        <f t="shared" si="31"/>
        <v>152.83234123028726</v>
      </c>
      <c r="AF53" s="124">
        <f>(U53+Z53+AE53)*'Lookups &amp; OH allocation'!$L$62</f>
        <v>30.141925309715049</v>
      </c>
      <c r="AG53" s="124"/>
      <c r="AH53" s="223">
        <f t="shared" si="32"/>
        <v>30.141925309715049</v>
      </c>
      <c r="AI53" s="225">
        <f t="shared" si="33"/>
        <v>529.18042381493103</v>
      </c>
      <c r="AJ53" s="234">
        <f>IFERROR(VLOOKUP($C53,'Volumes - Report Summary'!$C:$AF,MATCH(AM$2,'Volumes - Report Summary'!$C$6:$AF$6,0),FALSE),0)</f>
        <v>62</v>
      </c>
      <c r="AK53" s="266">
        <f>VLOOKUP(B53,'Back Office Time'!$B$5:$G$24,4,FALSE)</f>
        <v>12</v>
      </c>
      <c r="AL53" s="398">
        <f t="shared" si="34"/>
        <v>2783.3872816910848</v>
      </c>
      <c r="AM53" s="522">
        <f t="shared" si="35"/>
        <v>744</v>
      </c>
      <c r="AN53" s="517"/>
      <c r="AO53" s="521"/>
      <c r="AP53" s="521"/>
      <c r="AQ53" s="520"/>
      <c r="AR53" s="29"/>
      <c r="AS53" s="289"/>
    </row>
    <row r="54" spans="1:45">
      <c r="B54" s="110" t="s">
        <v>217</v>
      </c>
      <c r="C54" s="111" t="s">
        <v>349</v>
      </c>
      <c r="D54" s="183">
        <v>180</v>
      </c>
      <c r="E54" s="122">
        <v>60</v>
      </c>
      <c r="F54" s="269">
        <f t="shared" si="27"/>
        <v>240</v>
      </c>
      <c r="G54" s="217">
        <f t="shared" si="28"/>
        <v>480</v>
      </c>
      <c r="H54" s="122">
        <v>2</v>
      </c>
      <c r="I54" s="123" t="s">
        <v>199</v>
      </c>
      <c r="J54" s="123" t="s">
        <v>199</v>
      </c>
      <c r="K54" s="123" t="s">
        <v>154</v>
      </c>
      <c r="L54" s="272">
        <f>(IF(H54&gt;=1,IF(H54&gt;=2,VLOOKUP(I54,'Lookups &amp; OH allocation'!$B$41:$C$50,2,FALSE)/60*(E54)+VLOOKUP(J54,'Lookups &amp; OH allocation'!$B$41:$C$50,2,FALSE)/60*(E54),VLOOKUP(I54,'Lookups &amp; OH allocation'!$B$41:$C$50,2,FALSE)/60*(E54)),0))*(1+(VLOOKUP(K54,'Lookups &amp; OH allocation'!$K$47:$L$52,2,FALSE)))</f>
        <v>141.70485411423363</v>
      </c>
      <c r="M54" s="218">
        <f>(IF(H54&gt;=1,IF(H54&gt;=2,VLOOKUP(I54,'Lookups &amp; OH allocation'!$B$41:$C$50,2,FALSE)/60*(D54)+VLOOKUP(J54,'Lookups &amp; OH allocation'!$B$41:$C$50,2,FALSE)/60*(D54),VLOOKUP(I54,'Lookups &amp; OH allocation'!$B$41:$C$50,2,FALSE)/60*(D54)),0))*(1+(VLOOKUP(K54,'Lookups &amp; OH allocation'!$K$47:$L$52,2,FALSE)))</f>
        <v>425.11456234270082</v>
      </c>
      <c r="N54" s="273">
        <f>(IF(H54&gt;=1,IF(H54&gt;=2,VLOOKUP(I54,'Lookups &amp; OH allocation'!$B$41:$C$50,2,FALSE)/60*(F54)+VLOOKUP(J54,'Lookups &amp; OH allocation'!$B$41:$C$50,2,FALSE)/60*(F54),VLOOKUP(I54,'Lookups &amp; OH allocation'!$B$41:$C$50,2,FALSE)/60*(F54)),0))*(1+(VLOOKUP(K54,'Lookups &amp; OH allocation'!$K$47:$L$52,2,FALSE)))</f>
        <v>566.8194164569345</v>
      </c>
      <c r="O54" s="221" t="s">
        <v>237</v>
      </c>
      <c r="P54" s="277">
        <f>VLOOKUP(O54,'Lookups &amp; OH allocation'!$B$62:$C$72,2,FALSE)</f>
        <v>22.861599999999999</v>
      </c>
      <c r="Q54" s="125" t="s">
        <v>100</v>
      </c>
      <c r="R54" s="122"/>
      <c r="S54" s="277">
        <f>IF(R54&gt;0.01,VLOOKUP(Q54,'Lookups &amp; OH allocation'!$K$41:$L$43,2,FALSE)*((R54)/60),VLOOKUP(Q54,'Lookups &amp; OH allocation'!$K$41:$L$43,2,FALSE)*((F54)/60))</f>
        <v>101.46349719549757</v>
      </c>
      <c r="T54" s="124">
        <v>0</v>
      </c>
      <c r="U54" s="223">
        <f t="shared" si="29"/>
        <v>691.14451365243201</v>
      </c>
      <c r="V54" s="226">
        <f>IF(AJ54=0,"No Volumes",AM54/'Lookups &amp; OH allocation'!$C$53*'Lookups &amp; OH allocation'!$D$53/AJ54)</f>
        <v>44.893343253082008</v>
      </c>
      <c r="W54" s="123" t="s">
        <v>151</v>
      </c>
      <c r="X54" s="281">
        <f>U54*VLOOKUP(W54,'Lookups &amp; OH allocation'!$K$55:$L$59,2,FALSE)</f>
        <v>345.57225682621601</v>
      </c>
      <c r="Y54" s="124"/>
      <c r="Z54" s="223">
        <f t="shared" si="30"/>
        <v>390.46560007929804</v>
      </c>
      <c r="AA54" s="226">
        <f>(G54/60)*'Lookups &amp; OH allocation'!$I$13</f>
        <v>312.09329651844126</v>
      </c>
      <c r="AB54" s="226">
        <f>SUM(Z54,U54,AA54)*'Lookups &amp; OH allocation'!$G$23</f>
        <v>66.703758742355873</v>
      </c>
      <c r="AC54" s="179"/>
      <c r="AD54" s="179"/>
      <c r="AE54" s="223">
        <f t="shared" si="31"/>
        <v>378.79705526079715</v>
      </c>
      <c r="AF54" s="124">
        <f>(U54+Z54+AE54)*'Lookups &amp; OH allocation'!$L$62</f>
        <v>88.20859300714865</v>
      </c>
      <c r="AG54" s="124"/>
      <c r="AH54" s="223">
        <f t="shared" si="32"/>
        <v>88.20859300714865</v>
      </c>
      <c r="AI54" s="225">
        <f t="shared" si="33"/>
        <v>1548.6157619996759</v>
      </c>
      <c r="AJ54" s="234">
        <f>IFERROR(VLOOKUP($C54,'Volumes - Report Summary'!$C:$AF,MATCH(AM$2,'Volumes - Report Summary'!$C$6:$AF$6,0),FALSE),0)</f>
        <v>1</v>
      </c>
      <c r="AK54" s="266">
        <f>VLOOKUP(B54,'Back Office Time'!$B$5:$G$24,4,FALSE)</f>
        <v>12</v>
      </c>
      <c r="AL54" s="398">
        <f t="shared" si="34"/>
        <v>44.893343253082008</v>
      </c>
      <c r="AM54" s="522">
        <f t="shared" si="35"/>
        <v>12</v>
      </c>
      <c r="AN54" s="517"/>
      <c r="AO54" s="521"/>
      <c r="AP54" s="521"/>
      <c r="AQ54" s="520"/>
      <c r="AR54" s="29"/>
      <c r="AS54" s="289"/>
    </row>
    <row r="55" spans="1:45">
      <c r="B55" s="110" t="s">
        <v>217</v>
      </c>
      <c r="C55" s="111" t="s">
        <v>476</v>
      </c>
      <c r="D55" s="183">
        <f>10/2</f>
        <v>5</v>
      </c>
      <c r="E55" s="122">
        <v>20</v>
      </c>
      <c r="F55" s="269">
        <f t="shared" si="27"/>
        <v>25</v>
      </c>
      <c r="G55" s="217">
        <f t="shared" si="28"/>
        <v>50</v>
      </c>
      <c r="H55" s="122">
        <v>2</v>
      </c>
      <c r="I55" s="123" t="s">
        <v>199</v>
      </c>
      <c r="J55" s="123" t="s">
        <v>199</v>
      </c>
      <c r="K55" s="123" t="s">
        <v>154</v>
      </c>
      <c r="L55" s="272">
        <f>(IF(H55&gt;=1,IF(H55&gt;=2,VLOOKUP(I55,'Lookups &amp; OH allocation'!$B$41:$C$50,2,FALSE)/60*(E55)+VLOOKUP(J55,'Lookups &amp; OH allocation'!$B$41:$C$50,2,FALSE)/60*(E55),VLOOKUP(I55,'Lookups &amp; OH allocation'!$B$41:$C$50,2,FALSE)/60*(E55)),0))*(1+(VLOOKUP(K55,'Lookups &amp; OH allocation'!$K$47:$L$52,2,FALSE)))</f>
        <v>47.234951371411206</v>
      </c>
      <c r="M55" s="218">
        <f>(IF(H55&gt;=1,IF(H55&gt;=2,VLOOKUP(I55,'Lookups &amp; OH allocation'!$B$41:$C$50,2,FALSE)/60*(D55)+VLOOKUP(J55,'Lookups &amp; OH allocation'!$B$41:$C$50,2,FALSE)/60*(D55),VLOOKUP(I55,'Lookups &amp; OH allocation'!$B$41:$C$50,2,FALSE)/60*(D55)),0))*(1+(VLOOKUP(K55,'Lookups &amp; OH allocation'!$K$47:$L$52,2,FALSE)))</f>
        <v>11.808737842852802</v>
      </c>
      <c r="N55" s="273">
        <f>(IF(H55&gt;=1,IF(H55&gt;=2,VLOOKUP(I55,'Lookups &amp; OH allocation'!$B$41:$C$50,2,FALSE)/60*(F55)+VLOOKUP(J55,'Lookups &amp; OH allocation'!$B$41:$C$50,2,FALSE)/60*(F55),VLOOKUP(I55,'Lookups &amp; OH allocation'!$B$41:$C$50,2,FALSE)/60*(F55)),0))*(1+(VLOOKUP(K55,'Lookups &amp; OH allocation'!$K$47:$L$52,2,FALSE)))</f>
        <v>59.043689214264006</v>
      </c>
      <c r="O55" s="221" t="s">
        <v>238</v>
      </c>
      <c r="P55" s="277">
        <f>VLOOKUP(O55,'Lookups &amp; OH allocation'!$B$62:$C$72,2,FALSE)</f>
        <v>0</v>
      </c>
      <c r="Q55" s="125" t="s">
        <v>101</v>
      </c>
      <c r="R55" s="122"/>
      <c r="S55" s="277">
        <f>IF(R55&gt;0.01,VLOOKUP(Q55,'Lookups &amp; OH allocation'!$K$41:$L$43,2,FALSE)*((R55)/60),VLOOKUP(Q55,'Lookups &amp; OH allocation'!$K$41:$L$43,2,FALSE)*((F55)/60))</f>
        <v>2.8609812578810554</v>
      </c>
      <c r="T55" s="124">
        <v>0</v>
      </c>
      <c r="U55" s="223">
        <f t="shared" si="29"/>
        <v>61.904670472145064</v>
      </c>
      <c r="V55" s="226">
        <f>IF(AJ55=0,"No Volumes",AM55/'Lookups &amp; OH allocation'!$C$53*'Lookups &amp; OH allocation'!$D$53/AJ55)</f>
        <v>44.893343253082008</v>
      </c>
      <c r="W55" s="123" t="s">
        <v>154</v>
      </c>
      <c r="X55" s="281">
        <f>U55*VLOOKUP(W55,'Lookups &amp; OH allocation'!$K$55:$L$59,2,FALSE)</f>
        <v>0</v>
      </c>
      <c r="Y55" s="124"/>
      <c r="Z55" s="223">
        <f t="shared" si="30"/>
        <v>44.893343253082008</v>
      </c>
      <c r="AA55" s="226">
        <f>(G55/60)*'Lookups &amp; OH allocation'!$I$13</f>
        <v>32.509718387337635</v>
      </c>
      <c r="AB55" s="226">
        <f>SUM(Z55,U55,AA55)*'Lookups &amp; OH allocation'!$G$23</f>
        <v>6.6673793616629453</v>
      </c>
      <c r="AC55" s="179"/>
      <c r="AD55" s="179"/>
      <c r="AE55" s="223">
        <f t="shared" si="31"/>
        <v>39.177097749000581</v>
      </c>
      <c r="AF55" s="124">
        <f>(U55+Z55+AE55)*'Lookups &amp; OH allocation'!$L$62</f>
        <v>8.8168967330433503</v>
      </c>
      <c r="AG55" s="124"/>
      <c r="AH55" s="223">
        <f t="shared" si="32"/>
        <v>8.8168967330433503</v>
      </c>
      <c r="AI55" s="225">
        <f t="shared" si="33"/>
        <v>154.79200820727101</v>
      </c>
      <c r="AJ55" s="234">
        <f>IFERROR(VLOOKUP($C55,'Volumes - Report Summary'!$C:$AF,MATCH(AM$2,'Volumes - Report Summary'!$C$6:$AF$6,0),FALSE),0)</f>
        <v>10</v>
      </c>
      <c r="AK55" s="266">
        <f>VLOOKUP(B55,'Back Office Time'!$B$5:$G$24,4,FALSE)</f>
        <v>12</v>
      </c>
      <c r="AL55" s="398">
        <f t="shared" si="34"/>
        <v>448.93343253082008</v>
      </c>
      <c r="AM55" s="522">
        <f t="shared" si="35"/>
        <v>120</v>
      </c>
      <c r="AN55" s="517"/>
      <c r="AO55" s="521"/>
      <c r="AP55" s="521"/>
      <c r="AQ55" s="520"/>
      <c r="AR55" s="29"/>
      <c r="AS55" s="289"/>
    </row>
    <row r="56" spans="1:45">
      <c r="A56" t="s">
        <v>145</v>
      </c>
      <c r="B56" s="120" t="s">
        <v>68</v>
      </c>
      <c r="C56" s="112"/>
      <c r="D56" s="184"/>
      <c r="E56" s="113"/>
      <c r="F56" s="116"/>
      <c r="G56" s="271"/>
      <c r="H56" s="113"/>
      <c r="I56" s="114"/>
      <c r="J56" s="114"/>
      <c r="K56" s="114"/>
      <c r="L56" s="274"/>
      <c r="M56" s="178"/>
      <c r="N56" s="275"/>
      <c r="O56" s="203"/>
      <c r="P56" s="276"/>
      <c r="Q56" s="116"/>
      <c r="R56" s="113"/>
      <c r="S56" s="276"/>
      <c r="T56" s="115"/>
      <c r="U56" s="185"/>
      <c r="V56" s="220"/>
      <c r="W56" s="114"/>
      <c r="X56" s="114"/>
      <c r="Y56" s="115"/>
      <c r="Z56" s="227"/>
      <c r="AA56" s="226"/>
      <c r="AB56" s="226"/>
      <c r="AC56" s="118"/>
      <c r="AD56" s="219"/>
      <c r="AE56" s="185"/>
      <c r="AF56" s="115"/>
      <c r="AG56" s="115"/>
      <c r="AH56" s="185"/>
      <c r="AI56" s="186"/>
      <c r="AJ56" s="232"/>
      <c r="AK56" s="266"/>
      <c r="AL56" s="399"/>
      <c r="AM56" s="522"/>
      <c r="AN56" s="523"/>
      <c r="AO56" s="506"/>
      <c r="AP56" s="506"/>
      <c r="AQ56" s="29"/>
      <c r="AR56" s="291"/>
      <c r="AS56" s="291"/>
    </row>
    <row r="57" spans="1:45">
      <c r="B57" s="110" t="s">
        <v>68</v>
      </c>
      <c r="C57" s="111" t="s">
        <v>224</v>
      </c>
      <c r="D57" s="183">
        <v>40</v>
      </c>
      <c r="E57" s="122">
        <v>20</v>
      </c>
      <c r="F57" s="269">
        <f>SUM(D57:E57)</f>
        <v>60</v>
      </c>
      <c r="G57" s="217">
        <f>SUM(D57:E57)*H57</f>
        <v>60</v>
      </c>
      <c r="H57" s="122">
        <v>1</v>
      </c>
      <c r="I57" s="123" t="s">
        <v>199</v>
      </c>
      <c r="J57" s="123"/>
      <c r="K57" s="123" t="s">
        <v>154</v>
      </c>
      <c r="L57" s="272">
        <f>(IF(H57&gt;=1,IF(H57&gt;=2,VLOOKUP(I57,'Lookups &amp; OH allocation'!$B$41:$C$50,2,FALSE)/60*(E57)+VLOOKUP(J57,'Lookups &amp; OH allocation'!$B$41:$C$50,2,FALSE)/60*(E57),VLOOKUP(I57,'Lookups &amp; OH allocation'!$B$41:$C$50,2,FALSE)/60*(E57)),0))*(1+(VLOOKUP(K57,'Lookups &amp; OH allocation'!$K$47:$L$52,2,FALSE)))</f>
        <v>23.617475685705603</v>
      </c>
      <c r="M57" s="218">
        <f>(IF(H57&gt;=1,IF(H57&gt;=2,VLOOKUP(I57,'Lookups &amp; OH allocation'!$B$41:$C$50,2,FALSE)/60*(D57)+VLOOKUP(J57,'Lookups &amp; OH allocation'!$B$41:$C$50,2,FALSE)/60*(D57),VLOOKUP(I57,'Lookups &amp; OH allocation'!$B$41:$C$50,2,FALSE)/60*(D57)),0))*(1+(VLOOKUP(K57,'Lookups &amp; OH allocation'!$K$47:$L$52,2,FALSE)))</f>
        <v>47.234951371411206</v>
      </c>
      <c r="N57" s="273">
        <f>(IF(H57&gt;=1,IF(H57&gt;=2,VLOOKUP(I57,'Lookups &amp; OH allocation'!$B$41:$C$50,2,FALSE)/60*(F57)+VLOOKUP(J57,'Lookups &amp; OH allocation'!$B$41:$C$50,2,FALSE)/60*(F57),VLOOKUP(I57,'Lookups &amp; OH allocation'!$B$41:$C$50,2,FALSE)/60*(F57)),0))*(1+(VLOOKUP(K57,'Lookups &amp; OH allocation'!$K$47:$L$52,2,FALSE)))</f>
        <v>70.852427057116813</v>
      </c>
      <c r="O57" s="221" t="s">
        <v>238</v>
      </c>
      <c r="P57" s="277">
        <f>VLOOKUP(O57,'Lookups &amp; OH allocation'!$B$62:$C$72,2,FALSE)</f>
        <v>0</v>
      </c>
      <c r="Q57" s="125" t="s">
        <v>101</v>
      </c>
      <c r="R57" s="122"/>
      <c r="S57" s="277">
        <f>IF(R57&gt;0.01,VLOOKUP(Q57,'Lookups &amp; OH allocation'!$K$41:$L$43,2,FALSE)*((R57)/60),VLOOKUP(Q57,'Lookups &amp; OH allocation'!$K$41:$L$43,2,FALSE)*((F57)/60))</f>
        <v>6.8663550189145326</v>
      </c>
      <c r="T57" s="124">
        <v>0</v>
      </c>
      <c r="U57" s="223">
        <f>SUM(N57,P57,S57,T57)</f>
        <v>77.718782076031346</v>
      </c>
      <c r="V57" s="570">
        <f>IF(AJ57=0,"No Volumes",AM57/'Lookups &amp; OH allocation'!$C$53*'Lookups &amp; OH allocation'!$D$53/AJ57)</f>
        <v>37.411119377568333</v>
      </c>
      <c r="W57" s="123" t="s">
        <v>154</v>
      </c>
      <c r="X57" s="281">
        <f>U57*VLOOKUP(W57,'Lookups &amp; OH allocation'!$K$55:$L$59,2,FALSE)</f>
        <v>0</v>
      </c>
      <c r="Y57" s="124"/>
      <c r="Z57" s="223">
        <f>SUM(V57,X57,Y57)</f>
        <v>37.411119377568333</v>
      </c>
      <c r="AA57" s="226">
        <f>(G57/60)*'Lookups &amp; OH allocation'!$I$13</f>
        <v>39.011662064805158</v>
      </c>
      <c r="AB57" s="226">
        <f>SUM(Z57,U57,AA57)*'Lookups &amp; OH allocation'!$G$23</f>
        <v>7.3773383845387883</v>
      </c>
      <c r="AC57" s="179"/>
      <c r="AD57" s="179"/>
      <c r="AE57" s="223">
        <f>SUM(AA57:AD57)</f>
        <v>46.389000449343946</v>
      </c>
      <c r="AF57" s="124">
        <f>(U57+Z57+AE57)*'Lookups &amp; OH allocation'!$L$62</f>
        <v>9.755741674937795</v>
      </c>
      <c r="AG57" s="124"/>
      <c r="AH57" s="223">
        <f>SUM(AF57,AG57)</f>
        <v>9.755741674937795</v>
      </c>
      <c r="AI57" s="225">
        <f>U57+Z57+AE57+AH57</f>
        <v>171.27464357788142</v>
      </c>
      <c r="AJ57" s="234">
        <f>IFERROR(VLOOKUP($C57,'Volumes - Report Summary'!$C:$AF,MATCH(AM$2,'Volumes - Report Summary'!$C$6:$AF$6,0),FALSE),0)</f>
        <v>2186.1964928950338</v>
      </c>
      <c r="AK57" s="266">
        <f>VLOOKUP(B57,'Back Office Time'!$B$5:$G$24,4,FALSE)</f>
        <v>10</v>
      </c>
      <c r="AL57" s="398">
        <f>IFERROR(V57*AJ57,0)</f>
        <v>81788.057978517332</v>
      </c>
      <c r="AM57" s="522">
        <f>AK57*AJ57</f>
        <v>21861.964928950336</v>
      </c>
      <c r="AN57" s="517"/>
      <c r="AO57" s="521"/>
      <c r="AP57" s="521"/>
      <c r="AQ57" s="520"/>
      <c r="AR57" s="29"/>
      <c r="AS57" s="289"/>
    </row>
    <row r="58" spans="1:45">
      <c r="B58" s="110" t="s">
        <v>68</v>
      </c>
      <c r="C58" s="111" t="s">
        <v>225</v>
      </c>
      <c r="D58" s="183">
        <v>60</v>
      </c>
      <c r="E58" s="122">
        <v>20</v>
      </c>
      <c r="F58" s="269">
        <f>SUM(D58:E58)</f>
        <v>80</v>
      </c>
      <c r="G58" s="217">
        <f>SUM(D58:E58)*H58</f>
        <v>80</v>
      </c>
      <c r="H58" s="122">
        <v>1</v>
      </c>
      <c r="I58" s="123" t="s">
        <v>199</v>
      </c>
      <c r="J58" s="123"/>
      <c r="K58" s="123" t="s">
        <v>154</v>
      </c>
      <c r="L58" s="272">
        <f>(IF(H58&gt;=1,IF(H58&gt;=2,VLOOKUP(I58,'Lookups &amp; OH allocation'!$B$41:$C$50,2,FALSE)/60*(E58)+VLOOKUP(J58,'Lookups &amp; OH allocation'!$B$41:$C$50,2,FALSE)/60*(E58),VLOOKUP(I58,'Lookups &amp; OH allocation'!$B$41:$C$50,2,FALSE)/60*(E58)),0))*(1+(VLOOKUP(K58,'Lookups &amp; OH allocation'!$K$47:$L$52,2,FALSE)))</f>
        <v>23.617475685705603</v>
      </c>
      <c r="M58" s="218">
        <f>(IF(H58&gt;=1,IF(H58&gt;=2,VLOOKUP(I58,'Lookups &amp; OH allocation'!$B$41:$C$50,2,FALSE)/60*(D58)+VLOOKUP(J58,'Lookups &amp; OH allocation'!$B$41:$C$50,2,FALSE)/60*(D58),VLOOKUP(I58,'Lookups &amp; OH allocation'!$B$41:$C$50,2,FALSE)/60*(D58)),0))*(1+(VLOOKUP(K58,'Lookups &amp; OH allocation'!$K$47:$L$52,2,FALSE)))</f>
        <v>70.852427057116813</v>
      </c>
      <c r="N58" s="273">
        <f>(IF(H58&gt;=1,IF(H58&gt;=2,VLOOKUP(I58,'Lookups &amp; OH allocation'!$B$41:$C$50,2,FALSE)/60*(F58)+VLOOKUP(J58,'Lookups &amp; OH allocation'!$B$41:$C$50,2,FALSE)/60*(F58),VLOOKUP(I58,'Lookups &amp; OH allocation'!$B$41:$C$50,2,FALSE)/60*(F58)),0))*(1+(VLOOKUP(K58,'Lookups &amp; OH allocation'!$K$47:$L$52,2,FALSE)))</f>
        <v>94.469902742822413</v>
      </c>
      <c r="O58" s="221" t="s">
        <v>238</v>
      </c>
      <c r="P58" s="277">
        <f>VLOOKUP(O58,'Lookups &amp; OH allocation'!$B$62:$C$72,2,FALSE)</f>
        <v>0</v>
      </c>
      <c r="Q58" s="125" t="s">
        <v>101</v>
      </c>
      <c r="R58" s="122"/>
      <c r="S58" s="277">
        <f>IF(R58&gt;0.01,VLOOKUP(Q58,'Lookups &amp; OH allocation'!$K$41:$L$43,2,FALSE)*((R58)/60),VLOOKUP(Q58,'Lookups &amp; OH allocation'!$K$41:$L$43,2,FALSE)*((F58)/60))</f>
        <v>9.1551400252193762</v>
      </c>
      <c r="T58" s="124">
        <v>0</v>
      </c>
      <c r="U58" s="223">
        <f>SUM(N58,P58,S58,T58)</f>
        <v>103.62504276804179</v>
      </c>
      <c r="V58" s="570">
        <f>IF(AJ58=0,"No Volumes",AM58/'Lookups &amp; OH allocation'!$C$53*'Lookups &amp; OH allocation'!$D$53/AJ58)</f>
        <v>37.41111937756834</v>
      </c>
      <c r="W58" s="123" t="s">
        <v>154</v>
      </c>
      <c r="X58" s="281">
        <f>U58*VLOOKUP(W58,'Lookups &amp; OH allocation'!$K$55:$L$59,2,FALSE)</f>
        <v>0</v>
      </c>
      <c r="Y58" s="124"/>
      <c r="Z58" s="223">
        <f>SUM(V58,X58,Y58)</f>
        <v>37.41111937756834</v>
      </c>
      <c r="AA58" s="226">
        <f>(G58/60)*'Lookups &amp; OH allocation'!$I$13</f>
        <v>52.015549419740211</v>
      </c>
      <c r="AB58" s="226">
        <f>SUM(Z58,U58,AA58)*'Lookups &amp; OH allocation'!$G$23</f>
        <v>9.2396091581224713</v>
      </c>
      <c r="AC58" s="179"/>
      <c r="AD58" s="179"/>
      <c r="AE58" s="223">
        <f>SUM(AA58:AD58)</f>
        <v>61.25515857786268</v>
      </c>
      <c r="AF58" s="124">
        <f>(U58+Z58+AE58)*'Lookups &amp; OH allocation'!$L$62</f>
        <v>12.218395771697759</v>
      </c>
      <c r="AG58" s="124"/>
      <c r="AH58" s="223">
        <f>SUM(AF58,AG58)</f>
        <v>12.218395771697759</v>
      </c>
      <c r="AI58" s="225">
        <f>U58+Z58+AE58+AH58</f>
        <v>214.50971649517061</v>
      </c>
      <c r="AJ58" s="234">
        <f>IFERROR(VLOOKUP($C58,'Volumes - Report Summary'!$C:$AF,MATCH(AM$2,'Volumes - Report Summary'!$C$6:$AF$6,0),FALSE),0)</f>
        <v>176.40350710496602</v>
      </c>
      <c r="AK58" s="266">
        <f>VLOOKUP(B58,'Back Office Time'!$B$5:$G$24,4,FALSE)</f>
        <v>10</v>
      </c>
      <c r="AL58" s="398">
        <f>IFERROR(V58*AJ58,0)</f>
        <v>6599.4526629256088</v>
      </c>
      <c r="AM58" s="522">
        <f>AK58*AJ58</f>
        <v>1764.0350710496602</v>
      </c>
      <c r="AN58" s="517"/>
      <c r="AO58" s="521"/>
      <c r="AP58" s="521"/>
      <c r="AQ58" s="520"/>
      <c r="AR58" s="29"/>
      <c r="AS58" s="289"/>
    </row>
    <row r="59" spans="1:45">
      <c r="B59" s="110" t="s">
        <v>68</v>
      </c>
      <c r="C59" s="111" t="s">
        <v>69</v>
      </c>
      <c r="D59" s="183">
        <v>180</v>
      </c>
      <c r="E59" s="122">
        <v>60</v>
      </c>
      <c r="F59" s="269">
        <f>SUM(D59:E59)</f>
        <v>240</v>
      </c>
      <c r="G59" s="217">
        <f>SUM(D59:E59)*H59</f>
        <v>480</v>
      </c>
      <c r="H59" s="122">
        <v>2</v>
      </c>
      <c r="I59" s="123" t="s">
        <v>199</v>
      </c>
      <c r="J59" s="123" t="s">
        <v>199</v>
      </c>
      <c r="K59" s="123" t="s">
        <v>154</v>
      </c>
      <c r="L59" s="272">
        <f>(IF(H59&gt;=1,IF(H59&gt;=2,VLOOKUP(I59,'Lookups &amp; OH allocation'!$B$41:$C$50,2,FALSE)/60*(E59)+VLOOKUP(J59,'Lookups &amp; OH allocation'!$B$41:$C$50,2,FALSE)/60*(E59),VLOOKUP(I59,'Lookups &amp; OH allocation'!$B$41:$C$50,2,FALSE)/60*(E59)),0))*(1+(VLOOKUP(K59,'Lookups &amp; OH allocation'!$K$47:$L$52,2,FALSE)))</f>
        <v>141.70485411423363</v>
      </c>
      <c r="M59" s="218">
        <f>(IF(H59&gt;=1,IF(H59&gt;=2,VLOOKUP(I59,'Lookups &amp; OH allocation'!$B$41:$C$50,2,FALSE)/60*(D59)+VLOOKUP(J59,'Lookups &amp; OH allocation'!$B$41:$C$50,2,FALSE)/60*(D59),VLOOKUP(I59,'Lookups &amp; OH allocation'!$B$41:$C$50,2,FALSE)/60*(D59)),0))*(1+(VLOOKUP(K59,'Lookups &amp; OH allocation'!$K$47:$L$52,2,FALSE)))</f>
        <v>425.11456234270082</v>
      </c>
      <c r="N59" s="273">
        <f>(IF(H59&gt;=1,IF(H59&gt;=2,VLOOKUP(I59,'Lookups &amp; OH allocation'!$B$41:$C$50,2,FALSE)/60*(F59)+VLOOKUP(J59,'Lookups &amp; OH allocation'!$B$41:$C$50,2,FALSE)/60*(F59),VLOOKUP(I59,'Lookups &amp; OH allocation'!$B$41:$C$50,2,FALSE)/60*(F59)),0))*(1+(VLOOKUP(K59,'Lookups &amp; OH allocation'!$K$47:$L$52,2,FALSE)))</f>
        <v>566.8194164569345</v>
      </c>
      <c r="O59" s="221" t="s">
        <v>238</v>
      </c>
      <c r="P59" s="277">
        <f>VLOOKUP(O59,'Lookups &amp; OH allocation'!$B$62:$C$72,2,FALSE)</f>
        <v>0</v>
      </c>
      <c r="Q59" s="125" t="s">
        <v>101</v>
      </c>
      <c r="R59" s="122"/>
      <c r="S59" s="277">
        <f>IF(R59&gt;0.01,VLOOKUP(Q59,'Lookups &amp; OH allocation'!$K$41:$L$43,2,FALSE)*((R59)/60),VLOOKUP(Q59,'Lookups &amp; OH allocation'!$K$41:$L$43,2,FALSE)*((F59)/60))</f>
        <v>27.46542007565813</v>
      </c>
      <c r="T59" s="124">
        <v>0</v>
      </c>
      <c r="U59" s="223">
        <f>SUM(N59,P59,S59,T59)</f>
        <v>594.28483653259264</v>
      </c>
      <c r="V59" s="570">
        <f>IF(AJ59=0,"No Volumes",AM59/'Lookups &amp; OH allocation'!$C$53*'Lookups &amp; OH allocation'!$D$53/AJ59)</f>
        <v>37.411119377568347</v>
      </c>
      <c r="W59" s="123" t="s">
        <v>151</v>
      </c>
      <c r="X59" s="281">
        <f>U59*VLOOKUP(W59,'Lookups &amp; OH allocation'!$K$55:$L$59,2,FALSE)</f>
        <v>297.14241826629632</v>
      </c>
      <c r="Y59" s="124"/>
      <c r="Z59" s="223">
        <f>SUM(V59,X59,Y59)</f>
        <v>334.55353764386467</v>
      </c>
      <c r="AA59" s="226">
        <f>(G59/60)*'Lookups &amp; OH allocation'!$I$13</f>
        <v>312.09329651844126</v>
      </c>
      <c r="AB59" s="226">
        <f>SUM(Z59,U59,AA59)*'Lookups &amp; OH allocation'!$G$23</f>
        <v>59.391981227141393</v>
      </c>
      <c r="AC59" s="179"/>
      <c r="AD59" s="179"/>
      <c r="AE59" s="223">
        <f>SUM(AA59:AD59)</f>
        <v>371.48527774558266</v>
      </c>
      <c r="AF59" s="124">
        <f>(U59+Z59+AE59)*'Lookups &amp; OH allocation'!$L$62</f>
        <v>78.539548576091221</v>
      </c>
      <c r="AG59" s="124"/>
      <c r="AH59" s="223">
        <f>SUM(AF59,AG59)</f>
        <v>78.539548576091221</v>
      </c>
      <c r="AI59" s="225">
        <f>U59+Z59+AE59+AH59</f>
        <v>1378.8632004981312</v>
      </c>
      <c r="AJ59" s="234">
        <f>IFERROR(VLOOKUP($C59,'Volumes - Report Summary'!$C:$AF,MATCH(AM$2,'Volumes - Report Summary'!$C$6:$AF$6,0),FALSE),0)</f>
        <v>1</v>
      </c>
      <c r="AK59" s="266">
        <f>VLOOKUP(B59,'Back Office Time'!$B$5:$G$24,4,FALSE)</f>
        <v>10</v>
      </c>
      <c r="AL59" s="398">
        <f>IFERROR(V59*AJ59,0)</f>
        <v>37.411119377568347</v>
      </c>
      <c r="AM59" s="522">
        <f>AK59*AJ59</f>
        <v>10</v>
      </c>
      <c r="AN59" s="517"/>
      <c r="AO59" s="521"/>
      <c r="AP59" s="521"/>
      <c r="AQ59" s="520"/>
      <c r="AR59" s="29"/>
      <c r="AS59" s="289"/>
    </row>
    <row r="60" spans="1:45">
      <c r="B60" s="110" t="s">
        <v>68</v>
      </c>
      <c r="C60" s="111" t="s">
        <v>488</v>
      </c>
      <c r="D60" s="183">
        <v>15</v>
      </c>
      <c r="E60" s="122">
        <v>20</v>
      </c>
      <c r="F60" s="269">
        <f>SUM(D60:E60)</f>
        <v>35</v>
      </c>
      <c r="G60" s="217">
        <f>SUM(D60:E60)*H60</f>
        <v>35</v>
      </c>
      <c r="H60" s="122">
        <v>1</v>
      </c>
      <c r="I60" s="123" t="s">
        <v>199</v>
      </c>
      <c r="J60" s="123"/>
      <c r="K60" s="123" t="s">
        <v>154</v>
      </c>
      <c r="L60" s="272">
        <f>(IF(H60&gt;=1,IF(H60&gt;=2,VLOOKUP(I60,'Lookups &amp; OH allocation'!$B$41:$C$50,2,FALSE)/60*(E60)+VLOOKUP(J60,'Lookups &amp; OH allocation'!$B$41:$C$50,2,FALSE)/60*(E60),VLOOKUP(I60,'Lookups &amp; OH allocation'!$B$41:$C$50,2,FALSE)/60*(E60)),0))*(1+(VLOOKUP(K60,'Lookups &amp; OH allocation'!$K$47:$L$52,2,FALSE)))</f>
        <v>23.617475685705603</v>
      </c>
      <c r="M60" s="218">
        <f>(IF(H60&gt;=1,IF(H60&gt;=2,VLOOKUP(I60,'Lookups &amp; OH allocation'!$B$41:$C$50,2,FALSE)/60*(D60)+VLOOKUP(J60,'Lookups &amp; OH allocation'!$B$41:$C$50,2,FALSE)/60*(D60),VLOOKUP(I60,'Lookups &amp; OH allocation'!$B$41:$C$50,2,FALSE)/60*(D60)),0))*(1+(VLOOKUP(K60,'Lookups &amp; OH allocation'!$K$47:$L$52,2,FALSE)))</f>
        <v>17.713106764279203</v>
      </c>
      <c r="N60" s="273">
        <f>(IF(H60&gt;=1,IF(H60&gt;=2,VLOOKUP(I60,'Lookups &amp; OH allocation'!$B$41:$C$50,2,FALSE)/60*(F60)+VLOOKUP(J60,'Lookups &amp; OH allocation'!$B$41:$C$50,2,FALSE)/60*(F60),VLOOKUP(I60,'Lookups &amp; OH allocation'!$B$41:$C$50,2,FALSE)/60*(F60)),0))*(1+(VLOOKUP(K60,'Lookups &amp; OH allocation'!$K$47:$L$52,2,FALSE)))</f>
        <v>41.330582449984803</v>
      </c>
      <c r="O60" s="221" t="s">
        <v>238</v>
      </c>
      <c r="P60" s="277">
        <f>VLOOKUP(O60,'Lookups &amp; OH allocation'!$B$62:$C$72,2,FALSE)</f>
        <v>0</v>
      </c>
      <c r="Q60" s="125" t="s">
        <v>101</v>
      </c>
      <c r="R60" s="122"/>
      <c r="S60" s="277">
        <f>IF(R60&gt;0.01,VLOOKUP(Q60,'Lookups &amp; OH allocation'!$K$41:$L$43,2,FALSE)*((R60)/60),VLOOKUP(Q60,'Lookups &amp; OH allocation'!$K$41:$L$43,2,FALSE)*((F60)/60))</f>
        <v>4.0053737610334776</v>
      </c>
      <c r="T60" s="124">
        <v>0</v>
      </c>
      <c r="U60" s="223">
        <f>SUM(N60,P60,S60,T60)</f>
        <v>45.335956211018278</v>
      </c>
      <c r="V60" s="570">
        <f>IF(AJ60=0,"No Volumes",AM60/'Lookups &amp; OH allocation'!$C$53*'Lookups &amp; OH allocation'!$D$53/AJ60)</f>
        <v>37.411119377568347</v>
      </c>
      <c r="W60" s="123" t="s">
        <v>154</v>
      </c>
      <c r="X60" s="281">
        <f>U60*VLOOKUP(W60,'Lookups &amp; OH allocation'!$K$55:$L$59,2,FALSE)</f>
        <v>0</v>
      </c>
      <c r="Y60" s="124"/>
      <c r="Z60" s="223">
        <f>SUM(V60,X60,Y60)</f>
        <v>37.411119377568347</v>
      </c>
      <c r="AA60" s="226">
        <f>(G60/60)*'Lookups &amp; OH allocation'!$I$13</f>
        <v>22.756802871136344</v>
      </c>
      <c r="AB60" s="226">
        <f>SUM(Z60,U60,AA60)*'Lookups &amp; OH allocation'!$G$23</f>
        <v>5.0494999175591859</v>
      </c>
      <c r="AC60" s="179"/>
      <c r="AD60" s="179"/>
      <c r="AE60" s="223">
        <f>SUM(AA60:AD60)</f>
        <v>27.806302788695529</v>
      </c>
      <c r="AF60" s="124">
        <f>(U60+Z60+AE60)*'Lookups &amp; OH allocation'!$L$62</f>
        <v>6.6774240539878429</v>
      </c>
      <c r="AG60" s="124"/>
      <c r="AH60" s="223">
        <f>SUM(AF60,AG60)</f>
        <v>6.6774240539878429</v>
      </c>
      <c r="AI60" s="225">
        <f>U60+Z60+AE60+AH60</f>
        <v>117.23080243127001</v>
      </c>
      <c r="AJ60" s="234">
        <f>IFERROR(VLOOKUP($C60,'Volumes - Report Summary'!$C:$AF,MATCH(AM$2,'Volumes - Report Summary'!$C$6:$AF$6,0),FALSE),0)</f>
        <v>1</v>
      </c>
      <c r="AK60" s="266">
        <f>VLOOKUP(B60,'Back Office Time'!$B$5:$G$24,4,FALSE)</f>
        <v>10</v>
      </c>
      <c r="AL60" s="398">
        <f>IFERROR(V60*AJ60,0)</f>
        <v>37.411119377568347</v>
      </c>
      <c r="AM60" s="522">
        <f>AK60*AJ60</f>
        <v>10</v>
      </c>
      <c r="AN60" s="517"/>
      <c r="AO60" s="521"/>
      <c r="AP60" s="521"/>
      <c r="AQ60" s="520"/>
      <c r="AR60" s="29"/>
      <c r="AS60" s="289"/>
    </row>
    <row r="61" spans="1:45">
      <c r="B61" s="120" t="s">
        <v>350</v>
      </c>
      <c r="C61" s="112"/>
      <c r="D61" s="184"/>
      <c r="E61" s="113"/>
      <c r="F61" s="116"/>
      <c r="G61" s="271"/>
      <c r="H61" s="113"/>
      <c r="I61" s="114"/>
      <c r="J61" s="114"/>
      <c r="K61" s="114"/>
      <c r="L61" s="274"/>
      <c r="M61" s="178"/>
      <c r="N61" s="275"/>
      <c r="O61" s="203"/>
      <c r="P61" s="276"/>
      <c r="Q61" s="116"/>
      <c r="R61" s="113"/>
      <c r="S61" s="276"/>
      <c r="T61" s="115"/>
      <c r="U61" s="185"/>
      <c r="V61" s="220"/>
      <c r="W61" s="114"/>
      <c r="X61" s="114"/>
      <c r="Y61" s="115"/>
      <c r="Z61" s="227"/>
      <c r="AA61" s="226"/>
      <c r="AB61" s="226"/>
      <c r="AC61" s="118"/>
      <c r="AD61" s="219"/>
      <c r="AE61" s="185"/>
      <c r="AF61" s="115"/>
      <c r="AG61" s="115"/>
      <c r="AH61" s="185"/>
      <c r="AI61" s="186"/>
      <c r="AJ61" s="232"/>
      <c r="AK61" s="266"/>
      <c r="AL61" s="399"/>
      <c r="AM61" s="522"/>
      <c r="AN61" s="523"/>
      <c r="AO61" s="506"/>
      <c r="AP61" s="506"/>
      <c r="AQ61" s="29"/>
      <c r="AR61" s="291"/>
      <c r="AS61" s="291"/>
    </row>
    <row r="62" spans="1:45">
      <c r="B62" s="110" t="s">
        <v>350</v>
      </c>
      <c r="C62" s="111" t="s">
        <v>229</v>
      </c>
      <c r="D62" s="183">
        <v>40</v>
      </c>
      <c r="E62" s="122">
        <v>20</v>
      </c>
      <c r="F62" s="269">
        <f>SUM(D62:E62)</f>
        <v>60</v>
      </c>
      <c r="G62" s="217">
        <f>SUM(D62:E62)*H62</f>
        <v>120</v>
      </c>
      <c r="H62" s="122">
        <v>2</v>
      </c>
      <c r="I62" s="123" t="s">
        <v>199</v>
      </c>
      <c r="J62" s="123" t="s">
        <v>199</v>
      </c>
      <c r="K62" s="123" t="s">
        <v>154</v>
      </c>
      <c r="L62" s="272">
        <f>(IF(H62&gt;=1,IF(H62&gt;=2,VLOOKUP(I62,'Lookups &amp; OH allocation'!$B$41:$C$50,2,FALSE)/60*(E62)+VLOOKUP(J62,'Lookups &amp; OH allocation'!$B$41:$C$50,2,FALSE)/60*(E62),VLOOKUP(I62,'Lookups &amp; OH allocation'!$B$41:$C$50,2,FALSE)/60*(E62)),0))*(1+(VLOOKUP(K62,'Lookups &amp; OH allocation'!$K$47:$L$52,2,FALSE)))</f>
        <v>47.234951371411206</v>
      </c>
      <c r="M62" s="218">
        <f>(IF(H62&gt;=1,IF(H62&gt;=2,VLOOKUP(I62,'Lookups &amp; OH allocation'!$B$41:$C$50,2,FALSE)/60*(D62)+VLOOKUP(J62,'Lookups &amp; OH allocation'!$B$41:$C$50,2,FALSE)/60*(D62),VLOOKUP(I62,'Lookups &amp; OH allocation'!$B$41:$C$50,2,FALSE)/60*(D62)),0))*(1+(VLOOKUP(K62,'Lookups &amp; OH allocation'!$K$47:$L$52,2,FALSE)))</f>
        <v>94.469902742822413</v>
      </c>
      <c r="N62" s="273">
        <f>(IF(H62&gt;=1,IF(H62&gt;=2,VLOOKUP(I62,'Lookups &amp; OH allocation'!$B$41:$C$50,2,FALSE)/60*(F62)+VLOOKUP(J62,'Lookups &amp; OH allocation'!$B$41:$C$50,2,FALSE)/60*(F62),VLOOKUP(I62,'Lookups &amp; OH allocation'!$B$41:$C$50,2,FALSE)/60*(F62)),0))*(1+(VLOOKUP(K62,'Lookups &amp; OH allocation'!$K$47:$L$52,2,FALSE)))</f>
        <v>141.70485411423363</v>
      </c>
      <c r="O62" s="221" t="s">
        <v>238</v>
      </c>
      <c r="P62" s="277">
        <f>VLOOKUP(O62,'Lookups &amp; OH allocation'!$B$62:$C$72,2,FALSE)</f>
        <v>0</v>
      </c>
      <c r="Q62" s="125" t="s">
        <v>100</v>
      </c>
      <c r="R62" s="122"/>
      <c r="S62" s="277">
        <f>IF(R62&gt;0.01,VLOOKUP(Q62,'Lookups &amp; OH allocation'!$K$41:$L$43,2,FALSE)*((R62)/60),VLOOKUP(Q62,'Lookups &amp; OH allocation'!$K$41:$L$43,2,FALSE)*((F62)/60))</f>
        <v>25.365874298874392</v>
      </c>
      <c r="T62" s="124">
        <v>0</v>
      </c>
      <c r="U62" s="223">
        <f>SUM(N62,P62,S62,T62)</f>
        <v>167.07072841310801</v>
      </c>
      <c r="V62" s="226">
        <f>IF(AJ62=0,"No Volumes",AM62/'Lookups &amp; OH allocation'!$C$53*'Lookups &amp; OH allocation'!$D$53/AJ62)</f>
        <v>44.893343253082008</v>
      </c>
      <c r="W62" s="123" t="s">
        <v>154</v>
      </c>
      <c r="X62" s="281">
        <f>U62*VLOOKUP(W62,'Lookups &amp; OH allocation'!$K$55:$L$59,2,FALSE)</f>
        <v>0</v>
      </c>
      <c r="Y62" s="124"/>
      <c r="Z62" s="223">
        <f>SUM(V62,X62,Y62)</f>
        <v>44.893343253082008</v>
      </c>
      <c r="AA62" s="226">
        <f>(G62/60)*'Lookups &amp; OH allocation'!$I$13</f>
        <v>78.023324129610316</v>
      </c>
      <c r="AB62" s="226">
        <f>SUM(Z62,U62,AA62)*'Lookups &amp; OH allocation'!$G$23</f>
        <v>13.87902845413501</v>
      </c>
      <c r="AC62" s="179"/>
      <c r="AD62" s="179"/>
      <c r="AE62" s="223">
        <f>SUM(AA62:AD62)</f>
        <v>91.902352583745326</v>
      </c>
      <c r="AF62" s="124">
        <f>(U62+Z62+AE62)*'Lookups &amp; OH allocation'!$L$62</f>
        <v>18.353532024696094</v>
      </c>
      <c r="AG62" s="124"/>
      <c r="AH62" s="223">
        <f>SUM(AF62,AG62)</f>
        <v>18.353532024696094</v>
      </c>
      <c r="AI62" s="225">
        <f>U62+Z62+AE62+AH62</f>
        <v>322.21995627463144</v>
      </c>
      <c r="AJ62" s="234">
        <f>IFERROR(VLOOKUP($C62,'Volumes - Report Summary'!$C:$AF,MATCH(AM$2,'Volumes - Report Summary'!$C$6:$AF$6,0),FALSE),0)</f>
        <v>20</v>
      </c>
      <c r="AK62" s="266">
        <f>VLOOKUP(B62,'Back Office Time'!$B$5:$G$24,4,FALSE)</f>
        <v>12</v>
      </c>
      <c r="AL62" s="398">
        <f>IFERROR(V62*AJ62,0)</f>
        <v>897.86686506164017</v>
      </c>
      <c r="AM62" s="522">
        <f>AK62*AJ62</f>
        <v>240</v>
      </c>
      <c r="AN62" s="517"/>
      <c r="AO62" s="521"/>
      <c r="AP62" s="521"/>
      <c r="AQ62" s="520"/>
      <c r="AR62" s="29"/>
      <c r="AS62" s="289"/>
    </row>
    <row r="63" spans="1:45">
      <c r="B63" s="110" t="s">
        <v>350</v>
      </c>
      <c r="C63" s="111" t="s">
        <v>230</v>
      </c>
      <c r="D63" s="183">
        <v>60</v>
      </c>
      <c r="E63" s="122">
        <v>20</v>
      </c>
      <c r="F63" s="269">
        <f>SUM(D63:E63)</f>
        <v>80</v>
      </c>
      <c r="G63" s="217">
        <f>SUM(D63:E63)*H63</f>
        <v>160</v>
      </c>
      <c r="H63" s="122">
        <v>2</v>
      </c>
      <c r="I63" s="123" t="s">
        <v>199</v>
      </c>
      <c r="J63" s="123" t="s">
        <v>199</v>
      </c>
      <c r="K63" s="123" t="s">
        <v>154</v>
      </c>
      <c r="L63" s="272">
        <f>(IF(H63&gt;=1,IF(H63&gt;=2,VLOOKUP(I63,'Lookups &amp; OH allocation'!$B$41:$C$50,2,FALSE)/60*(E63)+VLOOKUP(J63,'Lookups &amp; OH allocation'!$B$41:$C$50,2,FALSE)/60*(E63),VLOOKUP(I63,'Lookups &amp; OH allocation'!$B$41:$C$50,2,FALSE)/60*(E63)),0))*(1+(VLOOKUP(K63,'Lookups &amp; OH allocation'!$K$47:$L$52,2,FALSE)))</f>
        <v>47.234951371411206</v>
      </c>
      <c r="M63" s="218">
        <f>(IF(H63&gt;=1,IF(H63&gt;=2,VLOOKUP(I63,'Lookups &amp; OH allocation'!$B$41:$C$50,2,FALSE)/60*(D63)+VLOOKUP(J63,'Lookups &amp; OH allocation'!$B$41:$C$50,2,FALSE)/60*(D63),VLOOKUP(I63,'Lookups &amp; OH allocation'!$B$41:$C$50,2,FALSE)/60*(D63)),0))*(1+(VLOOKUP(K63,'Lookups &amp; OH allocation'!$K$47:$L$52,2,FALSE)))</f>
        <v>141.70485411423363</v>
      </c>
      <c r="N63" s="273">
        <f>(IF(H63&gt;=1,IF(H63&gt;=2,VLOOKUP(I63,'Lookups &amp; OH allocation'!$B$41:$C$50,2,FALSE)/60*(F63)+VLOOKUP(J63,'Lookups &amp; OH allocation'!$B$41:$C$50,2,FALSE)/60*(F63),VLOOKUP(I63,'Lookups &amp; OH allocation'!$B$41:$C$50,2,FALSE)/60*(F63)),0))*(1+(VLOOKUP(K63,'Lookups &amp; OH allocation'!$K$47:$L$52,2,FALSE)))</f>
        <v>188.93980548564483</v>
      </c>
      <c r="O63" s="221" t="s">
        <v>238</v>
      </c>
      <c r="P63" s="277">
        <f>VLOOKUP(O63,'Lookups &amp; OH allocation'!$B$62:$C$72,2,FALSE)</f>
        <v>0</v>
      </c>
      <c r="Q63" s="125" t="s">
        <v>100</v>
      </c>
      <c r="R63" s="122"/>
      <c r="S63" s="277">
        <f>IF(R63&gt;0.01,VLOOKUP(Q63,'Lookups &amp; OH allocation'!$K$41:$L$43,2,FALSE)*((R63)/60),VLOOKUP(Q63,'Lookups &amp; OH allocation'!$K$41:$L$43,2,FALSE)*((F63)/60))</f>
        <v>33.821165731832522</v>
      </c>
      <c r="T63" s="124">
        <v>0</v>
      </c>
      <c r="U63" s="223">
        <f>SUM(N63,P63,S63,T63)</f>
        <v>222.76097121747733</v>
      </c>
      <c r="V63" s="226">
        <f>IF(AJ63=0,"No Volumes",AM63/'Lookups &amp; OH allocation'!$C$53*'Lookups &amp; OH allocation'!$D$53/AJ63)</f>
        <v>44.893343253082008</v>
      </c>
      <c r="W63" s="123" t="s">
        <v>154</v>
      </c>
      <c r="X63" s="281">
        <f>U63*VLOOKUP(W63,'Lookups &amp; OH allocation'!$K$55:$L$59,2,FALSE)</f>
        <v>0</v>
      </c>
      <c r="Y63" s="124"/>
      <c r="Z63" s="223">
        <f>SUM(V63,X63,Y63)</f>
        <v>44.893343253082008</v>
      </c>
      <c r="AA63" s="226">
        <f>(G63/60)*'Lookups &amp; OH allocation'!$I$13</f>
        <v>104.03109883948042</v>
      </c>
      <c r="AB63" s="226">
        <f>SUM(Z63,U63,AA63)*'Lookups &amp; OH allocation'!$G$23</f>
        <v>17.789160846664917</v>
      </c>
      <c r="AC63" s="179"/>
      <c r="AD63" s="179"/>
      <c r="AE63" s="223">
        <f>SUM(AA63:AD63)</f>
        <v>121.82025968614533</v>
      </c>
      <c r="AF63" s="124">
        <f>(U63+Z63+AE63)*'Lookups &amp; OH allocation'!$L$62</f>
        <v>23.524264279064965</v>
      </c>
      <c r="AG63" s="124"/>
      <c r="AH63" s="223">
        <f>SUM(AF63,AG63)</f>
        <v>23.524264279064965</v>
      </c>
      <c r="AI63" s="225">
        <f>U63+Z63+AE63+AH63</f>
        <v>412.9988384357697</v>
      </c>
      <c r="AJ63" s="234">
        <f>IFERROR(VLOOKUP($C63,'Volumes - Report Summary'!$C:$AF,MATCH(AM$2,'Volumes - Report Summary'!$C$6:$AF$6,0),FALSE),0)</f>
        <v>20</v>
      </c>
      <c r="AK63" s="266">
        <f>VLOOKUP(B63,'Back Office Time'!$B$5:$G$24,4,FALSE)</f>
        <v>12</v>
      </c>
      <c r="AL63" s="398">
        <f>IFERROR(V63*AJ63,0)</f>
        <v>897.86686506164017</v>
      </c>
      <c r="AM63" s="522">
        <f>AK63*AJ63</f>
        <v>240</v>
      </c>
      <c r="AN63" s="517"/>
      <c r="AO63" s="521"/>
      <c r="AP63" s="521"/>
      <c r="AQ63" s="520"/>
      <c r="AR63" s="29"/>
      <c r="AS63" s="289"/>
    </row>
    <row r="64" spans="1:45">
      <c r="B64" s="110" t="s">
        <v>350</v>
      </c>
      <c r="C64" s="111" t="s">
        <v>385</v>
      </c>
      <c r="D64" s="183">
        <v>180</v>
      </c>
      <c r="E64" s="122">
        <v>60</v>
      </c>
      <c r="F64" s="269">
        <f>SUM(D64:E64)</f>
        <v>240</v>
      </c>
      <c r="G64" s="217">
        <f>SUM(D64:E64)*H64</f>
        <v>480</v>
      </c>
      <c r="H64" s="122">
        <v>2</v>
      </c>
      <c r="I64" s="123" t="s">
        <v>199</v>
      </c>
      <c r="J64" s="123" t="s">
        <v>199</v>
      </c>
      <c r="K64" s="123" t="s">
        <v>154</v>
      </c>
      <c r="L64" s="272">
        <f>(IF(H64&gt;=1,IF(H64&gt;=2,VLOOKUP(I64,'Lookups &amp; OH allocation'!$B$41:$C$50,2,FALSE)/60*(E64)+VLOOKUP(J64,'Lookups &amp; OH allocation'!$B$41:$C$50,2,FALSE)/60*(E64),VLOOKUP(I64,'Lookups &amp; OH allocation'!$B$41:$C$50,2,FALSE)/60*(E64)),0))*(1+(VLOOKUP(K64,'Lookups &amp; OH allocation'!$K$47:$L$52,2,FALSE)))</f>
        <v>141.70485411423363</v>
      </c>
      <c r="M64" s="218">
        <f>(IF(H64&gt;=1,IF(H64&gt;=2,VLOOKUP(I64,'Lookups &amp; OH allocation'!$B$41:$C$50,2,FALSE)/60*(D64)+VLOOKUP(J64,'Lookups &amp; OH allocation'!$B$41:$C$50,2,FALSE)/60*(D64),VLOOKUP(I64,'Lookups &amp; OH allocation'!$B$41:$C$50,2,FALSE)/60*(D64)),0))*(1+(VLOOKUP(K64,'Lookups &amp; OH allocation'!$K$47:$L$52,2,FALSE)))</f>
        <v>425.11456234270082</v>
      </c>
      <c r="N64" s="273">
        <f>(IF(H64&gt;=1,IF(H64&gt;=2,VLOOKUP(I64,'Lookups &amp; OH allocation'!$B$41:$C$50,2,FALSE)/60*(F64)+VLOOKUP(J64,'Lookups &amp; OH allocation'!$B$41:$C$50,2,FALSE)/60*(F64),VLOOKUP(I64,'Lookups &amp; OH allocation'!$B$41:$C$50,2,FALSE)/60*(F64)),0))*(1+(VLOOKUP(K64,'Lookups &amp; OH allocation'!$K$47:$L$52,2,FALSE)))</f>
        <v>566.8194164569345</v>
      </c>
      <c r="O64" s="221" t="s">
        <v>238</v>
      </c>
      <c r="P64" s="277">
        <f>VLOOKUP(O64,'Lookups &amp; OH allocation'!$B$62:$C$72,2,FALSE)</f>
        <v>0</v>
      </c>
      <c r="Q64" s="125" t="s">
        <v>100</v>
      </c>
      <c r="R64" s="122"/>
      <c r="S64" s="277">
        <f>IF(R64&gt;0.01,VLOOKUP(Q64,'Lookups &amp; OH allocation'!$K$41:$L$43,2,FALSE)*((R64)/60),VLOOKUP(Q64,'Lookups &amp; OH allocation'!$K$41:$L$43,2,FALSE)*((F64)/60))</f>
        <v>101.46349719549757</v>
      </c>
      <c r="T64" s="124">
        <v>0</v>
      </c>
      <c r="U64" s="223">
        <f>SUM(N64,P64,S64,T64)</f>
        <v>668.28291365243206</v>
      </c>
      <c r="V64" s="226">
        <f>IF(AJ64=0,"No Volumes",AM64/'Lookups &amp; OH allocation'!$C$53*'Lookups &amp; OH allocation'!$D$53/AJ64)</f>
        <v>44.893343253082008</v>
      </c>
      <c r="W64" s="123" t="s">
        <v>151</v>
      </c>
      <c r="X64" s="281">
        <f>U64*VLOOKUP(W64,'Lookups &amp; OH allocation'!$K$55:$L$59,2,FALSE)</f>
        <v>334.14145682621603</v>
      </c>
      <c r="Y64" s="124"/>
      <c r="Z64" s="223">
        <f>SUM(V64,X64,Y64)</f>
        <v>379.03480007929807</v>
      </c>
      <c r="AA64" s="226">
        <f>(G64/60)*'Lookups &amp; OH allocation'!$I$13</f>
        <v>312.09329651844126</v>
      </c>
      <c r="AB64" s="226">
        <f>SUM(Z64,U64,AA64)*'Lookups &amp; OH allocation'!$G$23</f>
        <v>65.062497079743054</v>
      </c>
      <c r="AC64" s="179"/>
      <c r="AD64" s="179"/>
      <c r="AE64" s="223">
        <f>SUM(AA64:AD64)</f>
        <v>377.15579359818435</v>
      </c>
      <c r="AF64" s="124">
        <f>(U64+Z64+AE64)*'Lookups &amp; OH allocation'!$L$62</f>
        <v>86.03819984272684</v>
      </c>
      <c r="AG64" s="124"/>
      <c r="AH64" s="223">
        <f>SUM(AF64,AG64)</f>
        <v>86.03819984272684</v>
      </c>
      <c r="AI64" s="225">
        <f>U64+Z64+AE64+AH64</f>
        <v>1510.5117071726413</v>
      </c>
      <c r="AJ64" s="234">
        <f>IFERROR(VLOOKUP($C64,'Volumes - Report Summary'!$C:$AF,MATCH(AM$2,'Volumes - Report Summary'!$C$6:$AF$6,0),FALSE),0)</f>
        <v>1</v>
      </c>
      <c r="AK64" s="266">
        <f>VLOOKUP(B64,'Back Office Time'!$B$5:$G$24,4,FALSE)</f>
        <v>12</v>
      </c>
      <c r="AL64" s="398">
        <f>IFERROR(V64*AJ64,0)</f>
        <v>44.893343253082008</v>
      </c>
      <c r="AM64" s="522">
        <f>AK64*AJ64</f>
        <v>12</v>
      </c>
      <c r="AN64" s="517"/>
      <c r="AO64" s="521"/>
      <c r="AP64" s="521"/>
      <c r="AQ64" s="520"/>
      <c r="AR64" s="29"/>
      <c r="AS64" s="289"/>
    </row>
    <row r="65" spans="1:45">
      <c r="B65" s="110" t="s">
        <v>350</v>
      </c>
      <c r="C65" s="111" t="s">
        <v>386</v>
      </c>
      <c r="D65" s="183">
        <v>10</v>
      </c>
      <c r="E65" s="122">
        <v>20</v>
      </c>
      <c r="F65" s="269">
        <f>SUM(D65:E65)</f>
        <v>30</v>
      </c>
      <c r="G65" s="217">
        <f>SUM(D65:E65)*H65</f>
        <v>60</v>
      </c>
      <c r="H65" s="122">
        <v>2</v>
      </c>
      <c r="I65" s="123" t="s">
        <v>199</v>
      </c>
      <c r="J65" s="123" t="s">
        <v>199</v>
      </c>
      <c r="K65" s="123" t="s">
        <v>154</v>
      </c>
      <c r="L65" s="272">
        <f>(IF(H65&gt;=1,IF(H65&gt;=2,VLOOKUP(I65,'Lookups &amp; OH allocation'!$B$41:$C$50,2,FALSE)/60*(E65)+VLOOKUP(J65,'Lookups &amp; OH allocation'!$B$41:$C$50,2,FALSE)/60*(E65),VLOOKUP(I65,'Lookups &amp; OH allocation'!$B$41:$C$50,2,FALSE)/60*(E65)),0))*(1+(VLOOKUP(K65,'Lookups &amp; OH allocation'!$K$47:$L$52,2,FALSE)))</f>
        <v>47.234951371411206</v>
      </c>
      <c r="M65" s="218">
        <f>(IF(H65&gt;=1,IF(H65&gt;=2,VLOOKUP(I65,'Lookups &amp; OH allocation'!$B$41:$C$50,2,FALSE)/60*(D65)+VLOOKUP(J65,'Lookups &amp; OH allocation'!$B$41:$C$50,2,FALSE)/60*(D65),VLOOKUP(I65,'Lookups &amp; OH allocation'!$B$41:$C$50,2,FALSE)/60*(D65)),0))*(1+(VLOOKUP(K65,'Lookups &amp; OH allocation'!$K$47:$L$52,2,FALSE)))</f>
        <v>23.617475685705603</v>
      </c>
      <c r="N65" s="273">
        <f>(IF(H65&gt;=1,IF(H65&gt;=2,VLOOKUP(I65,'Lookups &amp; OH allocation'!$B$41:$C$50,2,FALSE)/60*(F65)+VLOOKUP(J65,'Lookups &amp; OH allocation'!$B$41:$C$50,2,FALSE)/60*(F65),VLOOKUP(I65,'Lookups &amp; OH allocation'!$B$41:$C$50,2,FALSE)/60*(F65)),0))*(1+(VLOOKUP(K65,'Lookups &amp; OH allocation'!$K$47:$L$52,2,FALSE)))</f>
        <v>70.852427057116813</v>
      </c>
      <c r="O65" s="221" t="s">
        <v>238</v>
      </c>
      <c r="P65" s="277">
        <f>VLOOKUP(O65,'Lookups &amp; OH allocation'!$B$62:$C$72,2,FALSE)</f>
        <v>0</v>
      </c>
      <c r="Q65" s="125" t="s">
        <v>100</v>
      </c>
      <c r="R65" s="122"/>
      <c r="S65" s="277">
        <f>IF(R65&gt;0.01,VLOOKUP(Q65,'Lookups &amp; OH allocation'!$K$41:$L$43,2,FALSE)*((R65)/60),VLOOKUP(Q65,'Lookups &amp; OH allocation'!$K$41:$L$43,2,FALSE)*((F65)/60))</f>
        <v>12.682937149437196</v>
      </c>
      <c r="T65" s="124">
        <v>0</v>
      </c>
      <c r="U65" s="223">
        <f>SUM(N65,P65,S65,T65)</f>
        <v>83.535364206554007</v>
      </c>
      <c r="V65" s="226">
        <f>IF(AJ65=0,"No Volumes",AM65/'Lookups &amp; OH allocation'!$C$53*'Lookups &amp; OH allocation'!$D$53/AJ65)</f>
        <v>44.893343253082008</v>
      </c>
      <c r="W65" s="123" t="s">
        <v>154</v>
      </c>
      <c r="X65" s="281">
        <f>U65*VLOOKUP(W65,'Lookups &amp; OH allocation'!$K$55:$L$59,2,FALSE)</f>
        <v>0</v>
      </c>
      <c r="Y65" s="124"/>
      <c r="Z65" s="223">
        <f>SUM(V65,X65,Y65)</f>
        <v>44.893343253082008</v>
      </c>
      <c r="AA65" s="226">
        <f>(G65/60)*'Lookups &amp; OH allocation'!$I$13</f>
        <v>39.011662064805158</v>
      </c>
      <c r="AB65" s="226">
        <f>SUM(Z65,U65,AA65)*'Lookups &amp; OH allocation'!$G$23</f>
        <v>8.0138298653401527</v>
      </c>
      <c r="AC65" s="179"/>
      <c r="AD65" s="179"/>
      <c r="AE65" s="223">
        <f>SUM(AA65:AD65)</f>
        <v>47.025491930145307</v>
      </c>
      <c r="AF65" s="124">
        <f>(U65+Z65+AE65)*'Lookups &amp; OH allocation'!$L$62</f>
        <v>10.597433643142793</v>
      </c>
      <c r="AG65" s="124"/>
      <c r="AH65" s="223">
        <f>SUM(AF65,AG65)</f>
        <v>10.597433643142793</v>
      </c>
      <c r="AI65" s="225">
        <f>U65+Z65+AE65+AH65</f>
        <v>186.05163303292414</v>
      </c>
      <c r="AJ65" s="234">
        <f>IFERROR(VLOOKUP($C65,'Volumes - Report Summary'!$C:$AF,MATCH(AM$2,'Volumes - Report Summary'!$C$6:$AF$6,0),FALSE),0)</f>
        <v>1</v>
      </c>
      <c r="AK65" s="266">
        <f>VLOOKUP(B65,'Back Office Time'!$B$5:$G$24,4,FALSE)</f>
        <v>12</v>
      </c>
      <c r="AL65" s="398">
        <f>IFERROR(V65*AJ65,0)</f>
        <v>44.893343253082008</v>
      </c>
      <c r="AM65" s="522">
        <f>AK65*AJ65</f>
        <v>12</v>
      </c>
      <c r="AN65" s="517"/>
      <c r="AO65" s="521"/>
      <c r="AP65" s="521"/>
      <c r="AQ65" s="520"/>
      <c r="AR65" s="29"/>
      <c r="AS65" s="289"/>
    </row>
    <row r="66" spans="1:45">
      <c r="A66" t="s">
        <v>145</v>
      </c>
      <c r="B66" s="112" t="s">
        <v>351</v>
      </c>
      <c r="C66" s="112" t="s">
        <v>351</v>
      </c>
      <c r="D66" s="184"/>
      <c r="E66" s="113"/>
      <c r="F66" s="116"/>
      <c r="G66" s="271"/>
      <c r="H66" s="113"/>
      <c r="I66" s="114"/>
      <c r="J66" s="114"/>
      <c r="K66" s="114"/>
      <c r="L66" s="274"/>
      <c r="M66" s="178"/>
      <c r="N66" s="275"/>
      <c r="O66" s="203"/>
      <c r="P66" s="276"/>
      <c r="Q66" s="116"/>
      <c r="R66" s="113"/>
      <c r="S66" s="276"/>
      <c r="T66" s="115"/>
      <c r="U66" s="185"/>
      <c r="V66" s="220"/>
      <c r="W66" s="114"/>
      <c r="X66" s="114"/>
      <c r="Y66" s="115"/>
      <c r="Z66" s="227"/>
      <c r="AA66" s="226"/>
      <c r="AB66" s="226"/>
      <c r="AC66" s="118"/>
      <c r="AD66" s="219"/>
      <c r="AE66" s="185"/>
      <c r="AF66" s="115"/>
      <c r="AG66" s="115"/>
      <c r="AH66" s="185"/>
      <c r="AI66" s="186"/>
      <c r="AJ66" s="232"/>
      <c r="AK66" s="266"/>
      <c r="AL66" s="399"/>
      <c r="AM66" s="522"/>
      <c r="AN66" s="523"/>
      <c r="AO66" s="506"/>
      <c r="AP66" s="506"/>
      <c r="AQ66" s="29"/>
      <c r="AR66" s="291"/>
      <c r="AS66" s="291"/>
    </row>
    <row r="67" spans="1:45">
      <c r="B67" s="110" t="s">
        <v>351</v>
      </c>
      <c r="C67" s="111" t="s">
        <v>368</v>
      </c>
      <c r="D67" s="183">
        <v>40</v>
      </c>
      <c r="E67" s="122">
        <v>20</v>
      </c>
      <c r="F67" s="269">
        <f t="shared" ref="F67:F78" si="36">SUM(D67:E67)</f>
        <v>60</v>
      </c>
      <c r="G67" s="217">
        <f t="shared" ref="G67:G78" si="37">SUM(D67:E67)*H67</f>
        <v>120</v>
      </c>
      <c r="H67" s="122">
        <v>2</v>
      </c>
      <c r="I67" s="123" t="s">
        <v>199</v>
      </c>
      <c r="J67" s="123" t="s">
        <v>199</v>
      </c>
      <c r="K67" s="123" t="s">
        <v>154</v>
      </c>
      <c r="L67" s="272">
        <f>(IF(H67&gt;=1,IF(H67&gt;=2,VLOOKUP(I67,'Lookups &amp; OH allocation'!$B$41:$C$50,2,FALSE)/60*(E67)+VLOOKUP(J67,'Lookups &amp; OH allocation'!$B$41:$C$50,2,FALSE)/60*(E67),VLOOKUP(I67,'Lookups &amp; OH allocation'!$B$41:$C$50,2,FALSE)/60*(E67)),0))*(1+(VLOOKUP(K67,'Lookups &amp; OH allocation'!$K$47:$L$52,2,FALSE)))</f>
        <v>47.234951371411206</v>
      </c>
      <c r="M67" s="218">
        <f>(IF(H67&gt;=1,IF(H67&gt;=2,VLOOKUP(I67,'Lookups &amp; OH allocation'!$B$41:$C$50,2,FALSE)/60*(D67)+VLOOKUP(J67,'Lookups &amp; OH allocation'!$B$41:$C$50,2,FALSE)/60*(D67),VLOOKUP(I67,'Lookups &amp; OH allocation'!$B$41:$C$50,2,FALSE)/60*(D67)),0))*(1+(VLOOKUP(K67,'Lookups &amp; OH allocation'!$K$47:$L$52,2,FALSE)))</f>
        <v>94.469902742822413</v>
      </c>
      <c r="N67" s="273">
        <f>(IF(H67&gt;=1,IF(H67&gt;=2,VLOOKUP(I67,'Lookups &amp; OH allocation'!$B$41:$C$50,2,FALSE)/60*(F67)+VLOOKUP(J67,'Lookups &amp; OH allocation'!$B$41:$C$50,2,FALSE)/60*(F67),VLOOKUP(I67,'Lookups &amp; OH allocation'!$B$41:$C$50,2,FALSE)/60*(F67)),0))*(1+(VLOOKUP(K67,'Lookups &amp; OH allocation'!$K$47:$L$52,2,FALSE)))</f>
        <v>141.70485411423363</v>
      </c>
      <c r="O67" s="221" t="s">
        <v>238</v>
      </c>
      <c r="P67" s="277">
        <f>VLOOKUP(O67,'Lookups &amp; OH allocation'!$B$62:$C$72,2,FALSE)</f>
        <v>0</v>
      </c>
      <c r="Q67" s="125" t="s">
        <v>100</v>
      </c>
      <c r="R67" s="122"/>
      <c r="S67" s="277">
        <f>IF(R67&gt;0.01,VLOOKUP(Q67,'Lookups &amp; OH allocation'!$K$41:$L$43,2,FALSE)*((R67)/60),VLOOKUP(Q67,'Lookups &amp; OH allocation'!$K$41:$L$43,2,FALSE)*((F67)/60))</f>
        <v>25.365874298874392</v>
      </c>
      <c r="T67" s="124">
        <v>0</v>
      </c>
      <c r="U67" s="223">
        <f t="shared" ref="U67:U78" si="38">SUM(N67,P67,S67,T67)</f>
        <v>167.07072841310801</v>
      </c>
      <c r="V67" s="226">
        <f>IF(AJ67=0,"No Volumes",AM67/'Lookups &amp; OH allocation'!$C$53*'Lookups &amp; OH allocation'!$D$53/AJ67)</f>
        <v>44.893343253082016</v>
      </c>
      <c r="W67" s="123" t="s">
        <v>154</v>
      </c>
      <c r="X67" s="281">
        <f>U67*VLOOKUP(W67,'Lookups &amp; OH allocation'!$K$55:$L$59,2,FALSE)</f>
        <v>0</v>
      </c>
      <c r="Y67" s="124"/>
      <c r="Z67" s="223">
        <f t="shared" ref="Z67:Z78" si="39">SUM(V67,X67,Y67)</f>
        <v>44.893343253082016</v>
      </c>
      <c r="AA67" s="226">
        <f>(G67/60)*'Lookups &amp; OH allocation'!$I$13</f>
        <v>78.023324129610316</v>
      </c>
      <c r="AB67" s="226">
        <f>SUM(Z67,U67,AA67)*'Lookups &amp; OH allocation'!$G$23</f>
        <v>13.87902845413501</v>
      </c>
      <c r="AC67" s="179"/>
      <c r="AD67" s="179"/>
      <c r="AE67" s="223">
        <f t="shared" ref="AE67:AE78" si="40">SUM(AA67:AD67)</f>
        <v>91.902352583745326</v>
      </c>
      <c r="AF67" s="124">
        <f>(U67+Z67+AE67)*'Lookups &amp; OH allocation'!$L$62</f>
        <v>18.353532024696094</v>
      </c>
      <c r="AG67" s="124"/>
      <c r="AH67" s="223">
        <f t="shared" ref="AH67:AH78" si="41">SUM(AF67,AG67)</f>
        <v>18.353532024696094</v>
      </c>
      <c r="AI67" s="225">
        <f t="shared" ref="AI67:AI78" si="42">U67+Z67+AE67+AH67</f>
        <v>322.21995627463144</v>
      </c>
      <c r="AJ67" s="234">
        <f>IFERROR(VLOOKUP($C67,'Volumes - Report Summary'!$C:$AF,MATCH(AM$2,'Volumes - Report Summary'!$C$6:$AF$6,0),FALSE),0)</f>
        <v>582</v>
      </c>
      <c r="AK67" s="266">
        <f>VLOOKUP(B67,'Back Office Time'!$B$5:$G$24,4,FALSE)</f>
        <v>12</v>
      </c>
      <c r="AL67" s="398">
        <f t="shared" ref="AL67:AL78" si="43">IFERROR(V67*AJ67,0)</f>
        <v>26127.925773293733</v>
      </c>
      <c r="AM67" s="522">
        <f t="shared" ref="AM67:AM78" si="44">AK67*AJ67</f>
        <v>6984</v>
      </c>
      <c r="AN67" s="517"/>
      <c r="AO67" s="521"/>
      <c r="AP67" s="521"/>
      <c r="AQ67" s="520"/>
      <c r="AR67" s="29"/>
      <c r="AS67" s="289"/>
    </row>
    <row r="68" spans="1:45">
      <c r="B68" s="110" t="s">
        <v>351</v>
      </c>
      <c r="C68" s="111" t="s">
        <v>369</v>
      </c>
      <c r="D68" s="183">
        <v>60</v>
      </c>
      <c r="E68" s="122">
        <v>20</v>
      </c>
      <c r="F68" s="269">
        <f t="shared" si="36"/>
        <v>80</v>
      </c>
      <c r="G68" s="217">
        <f t="shared" si="37"/>
        <v>160</v>
      </c>
      <c r="H68" s="122">
        <v>2</v>
      </c>
      <c r="I68" s="123" t="s">
        <v>199</v>
      </c>
      <c r="J68" s="123" t="s">
        <v>199</v>
      </c>
      <c r="K68" s="123" t="s">
        <v>154</v>
      </c>
      <c r="L68" s="272">
        <f>(IF(H68&gt;=1,IF(H68&gt;=2,VLOOKUP(I68,'Lookups &amp; OH allocation'!$B$41:$C$50,2,FALSE)/60*(E68)+VLOOKUP(J68,'Lookups &amp; OH allocation'!$B$41:$C$50,2,FALSE)/60*(E68),VLOOKUP(I68,'Lookups &amp; OH allocation'!$B$41:$C$50,2,FALSE)/60*(E68)),0))*(1+(VLOOKUP(K68,'Lookups &amp; OH allocation'!$K$47:$L$52,2,FALSE)))</f>
        <v>47.234951371411206</v>
      </c>
      <c r="M68" s="218">
        <f>(IF(H68&gt;=1,IF(H68&gt;=2,VLOOKUP(I68,'Lookups &amp; OH allocation'!$B$41:$C$50,2,FALSE)/60*(D68)+VLOOKUP(J68,'Lookups &amp; OH allocation'!$B$41:$C$50,2,FALSE)/60*(D68),VLOOKUP(I68,'Lookups &amp; OH allocation'!$B$41:$C$50,2,FALSE)/60*(D68)),0))*(1+(VLOOKUP(K68,'Lookups &amp; OH allocation'!$K$47:$L$52,2,FALSE)))</f>
        <v>141.70485411423363</v>
      </c>
      <c r="N68" s="273">
        <f>(IF(H68&gt;=1,IF(H68&gt;=2,VLOOKUP(I68,'Lookups &amp; OH allocation'!$B$41:$C$50,2,FALSE)/60*(F68)+VLOOKUP(J68,'Lookups &amp; OH allocation'!$B$41:$C$50,2,FALSE)/60*(F68),VLOOKUP(I68,'Lookups &amp; OH allocation'!$B$41:$C$50,2,FALSE)/60*(F68)),0))*(1+(VLOOKUP(K68,'Lookups &amp; OH allocation'!$K$47:$L$52,2,FALSE)))</f>
        <v>188.93980548564483</v>
      </c>
      <c r="O68" s="221" t="s">
        <v>238</v>
      </c>
      <c r="P68" s="277">
        <f>VLOOKUP(O68,'Lookups &amp; OH allocation'!$B$62:$C$72,2,FALSE)</f>
        <v>0</v>
      </c>
      <c r="Q68" s="125" t="s">
        <v>100</v>
      </c>
      <c r="R68" s="122"/>
      <c r="S68" s="277">
        <f>IF(R68&gt;0.01,VLOOKUP(Q68,'Lookups &amp; OH allocation'!$K$41:$L$43,2,FALSE)*((R68)/60),VLOOKUP(Q68,'Lookups &amp; OH allocation'!$K$41:$L$43,2,FALSE)*((F68)/60))</f>
        <v>33.821165731832522</v>
      </c>
      <c r="T68" s="124">
        <v>0</v>
      </c>
      <c r="U68" s="223">
        <f t="shared" si="38"/>
        <v>222.76097121747733</v>
      </c>
      <c r="V68" s="226">
        <f>IF(AJ68=0,"No Volumes",AM68/'Lookups &amp; OH allocation'!$C$53*'Lookups &amp; OH allocation'!$D$53/AJ68)</f>
        <v>44.893343253082016</v>
      </c>
      <c r="W68" s="123" t="s">
        <v>154</v>
      </c>
      <c r="X68" s="281">
        <f>U68*VLOOKUP(W68,'Lookups &amp; OH allocation'!$K$55:$L$59,2,FALSE)</f>
        <v>0</v>
      </c>
      <c r="Y68" s="124"/>
      <c r="Z68" s="223">
        <f t="shared" si="39"/>
        <v>44.893343253082016</v>
      </c>
      <c r="AA68" s="226">
        <f>(G68/60)*'Lookups &amp; OH allocation'!$I$13</f>
        <v>104.03109883948042</v>
      </c>
      <c r="AB68" s="226">
        <f>SUM(Z68,U68,AA68)*'Lookups &amp; OH allocation'!$G$23</f>
        <v>17.789160846664917</v>
      </c>
      <c r="AC68" s="179"/>
      <c r="AD68" s="179"/>
      <c r="AE68" s="223">
        <f t="shared" si="40"/>
        <v>121.82025968614533</v>
      </c>
      <c r="AF68" s="124">
        <f>(U68+Z68+AE68)*'Lookups &amp; OH allocation'!$L$62</f>
        <v>23.524264279064965</v>
      </c>
      <c r="AG68" s="124"/>
      <c r="AH68" s="223">
        <f t="shared" si="41"/>
        <v>23.524264279064965</v>
      </c>
      <c r="AI68" s="225">
        <f t="shared" si="42"/>
        <v>412.9988384357697</v>
      </c>
      <c r="AJ68" s="234">
        <f>IFERROR(VLOOKUP($C68,'Volumes - Report Summary'!$C:$AF,MATCH(AM$2,'Volumes - Report Summary'!$C$6:$AF$6,0),FALSE),0)</f>
        <v>136</v>
      </c>
      <c r="AK68" s="266">
        <f>VLOOKUP(B68,'Back Office Time'!$B$5:$G$24,4,FALSE)</f>
        <v>12</v>
      </c>
      <c r="AL68" s="398">
        <f t="shared" si="43"/>
        <v>6105.4946824191538</v>
      </c>
      <c r="AM68" s="522">
        <f t="shared" si="44"/>
        <v>1632</v>
      </c>
      <c r="AN68" s="517"/>
      <c r="AO68" s="521"/>
      <c r="AP68" s="521"/>
      <c r="AQ68" s="520"/>
      <c r="AR68" s="29"/>
      <c r="AS68" s="289"/>
    </row>
    <row r="69" spans="1:45">
      <c r="B69" s="110" t="s">
        <v>351</v>
      </c>
      <c r="C69" s="111" t="s">
        <v>383</v>
      </c>
      <c r="D69" s="183">
        <v>50</v>
      </c>
      <c r="E69" s="122">
        <v>20</v>
      </c>
      <c r="F69" s="269">
        <f t="shared" si="36"/>
        <v>70</v>
      </c>
      <c r="G69" s="217">
        <f t="shared" si="37"/>
        <v>70</v>
      </c>
      <c r="H69" s="122">
        <v>1</v>
      </c>
      <c r="I69" s="123" t="s">
        <v>199</v>
      </c>
      <c r="J69" s="123"/>
      <c r="K69" s="123" t="s">
        <v>154</v>
      </c>
      <c r="L69" s="272">
        <f>(IF(H69&gt;=1,IF(H69&gt;=2,VLOOKUP(I69,'Lookups &amp; OH allocation'!$B$41:$C$50,2,FALSE)/60*(E69)+VLOOKUP(J69,'Lookups &amp; OH allocation'!$B$41:$C$50,2,FALSE)/60*(E69),VLOOKUP(I69,'Lookups &amp; OH allocation'!$B$41:$C$50,2,FALSE)/60*(E69)),0))*(1+(VLOOKUP(K69,'Lookups &amp; OH allocation'!$K$47:$L$52,2,FALSE)))</f>
        <v>23.617475685705603</v>
      </c>
      <c r="M69" s="218">
        <f>(IF(H69&gt;=1,IF(H69&gt;=2,VLOOKUP(I69,'Lookups &amp; OH allocation'!$B$41:$C$50,2,FALSE)/60*(D69)+VLOOKUP(J69,'Lookups &amp; OH allocation'!$B$41:$C$50,2,FALSE)/60*(D69),VLOOKUP(I69,'Lookups &amp; OH allocation'!$B$41:$C$50,2,FALSE)/60*(D69)),0))*(1+(VLOOKUP(K69,'Lookups &amp; OH allocation'!$K$47:$L$52,2,FALSE)))</f>
        <v>59.043689214264006</v>
      </c>
      <c r="N69" s="273">
        <f>(IF(H69&gt;=1,IF(H69&gt;=2,VLOOKUP(I69,'Lookups &amp; OH allocation'!$B$41:$C$50,2,FALSE)/60*(F69)+VLOOKUP(J69,'Lookups &amp; OH allocation'!$B$41:$C$50,2,FALSE)/60*(F69),VLOOKUP(I69,'Lookups &amp; OH allocation'!$B$41:$C$50,2,FALSE)/60*(F69)),0))*(1+(VLOOKUP(K69,'Lookups &amp; OH allocation'!$K$47:$L$52,2,FALSE)))</f>
        <v>82.661164899969606</v>
      </c>
      <c r="O69" s="221" t="s">
        <v>238</v>
      </c>
      <c r="P69" s="277">
        <f>VLOOKUP(O69,'Lookups &amp; OH allocation'!$B$62:$C$72,2,FALSE)</f>
        <v>0</v>
      </c>
      <c r="Q69" s="125" t="s">
        <v>100</v>
      </c>
      <c r="R69" s="122"/>
      <c r="S69" s="277">
        <f>IF(R69&gt;0.01,VLOOKUP(Q69,'Lookups &amp; OH allocation'!$K$41:$L$43,2,FALSE)*((R69)/60),VLOOKUP(Q69,'Lookups &amp; OH allocation'!$K$41:$L$43,2,FALSE)*((F69)/60))</f>
        <v>29.593520015353459</v>
      </c>
      <c r="T69" s="124">
        <v>0</v>
      </c>
      <c r="U69" s="223">
        <f t="shared" si="38"/>
        <v>112.25468491532307</v>
      </c>
      <c r="V69" s="226">
        <f>IF(AJ69=0,"No Volumes",AM69/'Lookups &amp; OH allocation'!$C$53*'Lookups &amp; OH allocation'!$D$53/AJ69)</f>
        <v>44.893343253082008</v>
      </c>
      <c r="W69" s="123" t="s">
        <v>154</v>
      </c>
      <c r="X69" s="281">
        <f>U69*VLOOKUP(W69,'Lookups &amp; OH allocation'!$K$55:$L$59,2,FALSE)</f>
        <v>0</v>
      </c>
      <c r="Y69" s="124"/>
      <c r="Z69" s="223">
        <f t="shared" si="39"/>
        <v>44.893343253082008</v>
      </c>
      <c r="AA69" s="226">
        <f>(G69/60)*'Lookups &amp; OH allocation'!$I$13</f>
        <v>45.513605742272688</v>
      </c>
      <c r="AB69" s="226">
        <f>SUM(Z69,U69,AA69)*'Lookups &amp; OH allocation'!$G$23</f>
        <v>9.6995477196134186</v>
      </c>
      <c r="AC69" s="179"/>
      <c r="AD69" s="179"/>
      <c r="AE69" s="223">
        <f t="shared" si="40"/>
        <v>55.213153461886108</v>
      </c>
      <c r="AF69" s="124">
        <f>(U69+Z69+AE69)*'Lookups &amp; OH allocation'!$L$62</f>
        <v>12.826615370469588</v>
      </c>
      <c r="AG69" s="124"/>
      <c r="AH69" s="223">
        <f t="shared" si="41"/>
        <v>12.826615370469588</v>
      </c>
      <c r="AI69" s="225">
        <f t="shared" si="42"/>
        <v>225.18779700076078</v>
      </c>
      <c r="AJ69" s="234">
        <f>IFERROR(VLOOKUP($C69,'Volumes - Report Summary'!$C:$AF,MATCH(AM$2,'Volumes - Report Summary'!$C$6:$AF$6,0),FALSE),0)</f>
        <v>166</v>
      </c>
      <c r="AK69" s="266">
        <f>VLOOKUP(B69,'Back Office Time'!$B$5:$G$24,4,FALSE)</f>
        <v>12</v>
      </c>
      <c r="AL69" s="398">
        <f t="shared" si="43"/>
        <v>7452.294980011613</v>
      </c>
      <c r="AM69" s="522">
        <f t="shared" si="44"/>
        <v>1992</v>
      </c>
      <c r="AN69" s="517"/>
      <c r="AO69" s="521"/>
      <c r="AP69" s="521"/>
      <c r="AQ69" s="520"/>
      <c r="AR69" s="29"/>
      <c r="AS69" s="289"/>
    </row>
    <row r="70" spans="1:45">
      <c r="B70" s="110" t="s">
        <v>351</v>
      </c>
      <c r="C70" s="111" t="s">
        <v>384</v>
      </c>
      <c r="D70" s="183">
        <v>70</v>
      </c>
      <c r="E70" s="122">
        <v>20</v>
      </c>
      <c r="F70" s="269">
        <f t="shared" si="36"/>
        <v>90</v>
      </c>
      <c r="G70" s="217">
        <f t="shared" si="37"/>
        <v>90</v>
      </c>
      <c r="H70" s="122">
        <v>1</v>
      </c>
      <c r="I70" s="123" t="s">
        <v>199</v>
      </c>
      <c r="J70" s="123"/>
      <c r="K70" s="123" t="s">
        <v>154</v>
      </c>
      <c r="L70" s="272">
        <f>(IF(H70&gt;=1,IF(H70&gt;=2,VLOOKUP(I70,'Lookups &amp; OH allocation'!$B$41:$C$50,2,FALSE)/60*(E70)+VLOOKUP(J70,'Lookups &amp; OH allocation'!$B$41:$C$50,2,FALSE)/60*(E70),VLOOKUP(I70,'Lookups &amp; OH allocation'!$B$41:$C$50,2,FALSE)/60*(E70)),0))*(1+(VLOOKUP(K70,'Lookups &amp; OH allocation'!$K$47:$L$52,2,FALSE)))</f>
        <v>23.617475685705603</v>
      </c>
      <c r="M70" s="218">
        <f>(IF(H70&gt;=1,IF(H70&gt;=2,VLOOKUP(I70,'Lookups &amp; OH allocation'!$B$41:$C$50,2,FALSE)/60*(D70)+VLOOKUP(J70,'Lookups &amp; OH allocation'!$B$41:$C$50,2,FALSE)/60*(D70),VLOOKUP(I70,'Lookups &amp; OH allocation'!$B$41:$C$50,2,FALSE)/60*(D70)),0))*(1+(VLOOKUP(K70,'Lookups &amp; OH allocation'!$K$47:$L$52,2,FALSE)))</f>
        <v>82.661164899969606</v>
      </c>
      <c r="N70" s="273">
        <f>(IF(H70&gt;=1,IF(H70&gt;=2,VLOOKUP(I70,'Lookups &amp; OH allocation'!$B$41:$C$50,2,FALSE)/60*(F70)+VLOOKUP(J70,'Lookups &amp; OH allocation'!$B$41:$C$50,2,FALSE)/60*(F70),VLOOKUP(I70,'Lookups &amp; OH allocation'!$B$41:$C$50,2,FALSE)/60*(F70)),0))*(1+(VLOOKUP(K70,'Lookups &amp; OH allocation'!$K$47:$L$52,2,FALSE)))</f>
        <v>106.27864058567521</v>
      </c>
      <c r="O70" s="221" t="s">
        <v>238</v>
      </c>
      <c r="P70" s="277">
        <f>VLOOKUP(O70,'Lookups &amp; OH allocation'!$B$62:$C$72,2,FALSE)</f>
        <v>0</v>
      </c>
      <c r="Q70" s="125" t="s">
        <v>100</v>
      </c>
      <c r="R70" s="122"/>
      <c r="S70" s="277">
        <f>IF(R70&gt;0.01,VLOOKUP(Q70,'Lookups &amp; OH allocation'!$K$41:$L$43,2,FALSE)*((R70)/60),VLOOKUP(Q70,'Lookups &amp; OH allocation'!$K$41:$L$43,2,FALSE)*((F70)/60))</f>
        <v>38.048811448311589</v>
      </c>
      <c r="T70" s="124">
        <v>0</v>
      </c>
      <c r="U70" s="223">
        <f t="shared" si="38"/>
        <v>144.32745203398679</v>
      </c>
      <c r="V70" s="226">
        <f>IF(AJ70=0,"No Volumes",AM70/'Lookups &amp; OH allocation'!$C$53*'Lookups &amp; OH allocation'!$D$53/AJ70)</f>
        <v>44.893343253082008</v>
      </c>
      <c r="W70" s="123" t="s">
        <v>154</v>
      </c>
      <c r="X70" s="281">
        <f>U70*VLOOKUP(W70,'Lookups &amp; OH allocation'!$K$55:$L$59,2,FALSE)</f>
        <v>0</v>
      </c>
      <c r="Y70" s="124"/>
      <c r="Z70" s="223">
        <f t="shared" si="39"/>
        <v>44.893343253082008</v>
      </c>
      <c r="AA70" s="226">
        <f>(G70/60)*'Lookups &amp; OH allocation'!$I$13</f>
        <v>58.517493097207733</v>
      </c>
      <c r="AB70" s="226">
        <f>SUM(Z70,U70,AA70)*'Lookups &amp; OH allocation'!$G$23</f>
        <v>11.856952417632884</v>
      </c>
      <c r="AC70" s="179"/>
      <c r="AD70" s="179"/>
      <c r="AE70" s="223">
        <f t="shared" si="40"/>
        <v>70.374445514840616</v>
      </c>
      <c r="AF70" s="124">
        <f>(U70+Z70+AE70)*'Lookups &amp; OH allocation'!$L$62</f>
        <v>15.67955254443533</v>
      </c>
      <c r="AG70" s="124"/>
      <c r="AH70" s="223">
        <f t="shared" si="41"/>
        <v>15.67955254443533</v>
      </c>
      <c r="AI70" s="225">
        <f t="shared" si="42"/>
        <v>275.27479334634478</v>
      </c>
      <c r="AJ70" s="234">
        <f>IFERROR(VLOOKUP($C70,'Volumes - Report Summary'!$C:$AF,MATCH(AM$2,'Volumes - Report Summary'!$C$6:$AF$6,0),FALSE),0)</f>
        <v>114</v>
      </c>
      <c r="AK70" s="266">
        <f>VLOOKUP(B70,'Back Office Time'!$B$5:$G$24,4,FALSE)</f>
        <v>12</v>
      </c>
      <c r="AL70" s="398">
        <f t="shared" si="43"/>
        <v>5117.8411308513487</v>
      </c>
      <c r="AM70" s="522">
        <f t="shared" si="44"/>
        <v>1368</v>
      </c>
      <c r="AN70" s="517"/>
      <c r="AO70" s="521"/>
      <c r="AP70" s="521"/>
      <c r="AQ70" s="520"/>
      <c r="AR70" s="29"/>
      <c r="AS70" s="289"/>
    </row>
    <row r="71" spans="1:45">
      <c r="B71" s="110" t="s">
        <v>351</v>
      </c>
      <c r="C71" s="111" t="s">
        <v>370</v>
      </c>
      <c r="D71" s="183">
        <v>95</v>
      </c>
      <c r="E71" s="122">
        <v>20</v>
      </c>
      <c r="F71" s="269">
        <f t="shared" si="36"/>
        <v>115</v>
      </c>
      <c r="G71" s="217">
        <f t="shared" si="37"/>
        <v>230</v>
      </c>
      <c r="H71" s="122">
        <v>2</v>
      </c>
      <c r="I71" s="123" t="s">
        <v>199</v>
      </c>
      <c r="J71" s="123" t="s">
        <v>199</v>
      </c>
      <c r="K71" s="123" t="s">
        <v>154</v>
      </c>
      <c r="L71" s="272">
        <f>(IF(H71&gt;=1,IF(H71&gt;=2,VLOOKUP(I71,'Lookups &amp; OH allocation'!$B$41:$C$50,2,FALSE)/60*(E71)+VLOOKUP(J71,'Lookups &amp; OH allocation'!$B$41:$C$50,2,FALSE)/60*(E71),VLOOKUP(I71,'Lookups &amp; OH allocation'!$B$41:$C$50,2,FALSE)/60*(E71)),0))*(1+(VLOOKUP(K71,'Lookups &amp; OH allocation'!$K$47:$L$52,2,FALSE)))</f>
        <v>47.234951371411206</v>
      </c>
      <c r="M71" s="218">
        <f>(IF(H71&gt;=1,IF(H71&gt;=2,VLOOKUP(I71,'Lookups &amp; OH allocation'!$B$41:$C$50,2,FALSE)/60*(D71)+VLOOKUP(J71,'Lookups &amp; OH allocation'!$B$41:$C$50,2,FALSE)/60*(D71),VLOOKUP(I71,'Lookups &amp; OH allocation'!$B$41:$C$50,2,FALSE)/60*(D71)),0))*(1+(VLOOKUP(K71,'Lookups &amp; OH allocation'!$K$47:$L$52,2,FALSE)))</f>
        <v>224.36601901420323</v>
      </c>
      <c r="N71" s="273">
        <f>(IF(H71&gt;=1,IF(H71&gt;=2,VLOOKUP(I71,'Lookups &amp; OH allocation'!$B$41:$C$50,2,FALSE)/60*(F71)+VLOOKUP(J71,'Lookups &amp; OH allocation'!$B$41:$C$50,2,FALSE)/60*(F71),VLOOKUP(I71,'Lookups &amp; OH allocation'!$B$41:$C$50,2,FALSE)/60*(F71)),0))*(1+(VLOOKUP(K71,'Lookups &amp; OH allocation'!$K$47:$L$52,2,FALSE)))</f>
        <v>271.6009703856144</v>
      </c>
      <c r="O71" s="221" t="s">
        <v>233</v>
      </c>
      <c r="P71" s="277">
        <f>VLOOKUP(O71,'Lookups &amp; OH allocation'!$B$62:$C$72,2,FALSE)</f>
        <v>245.62561874999997</v>
      </c>
      <c r="Q71" s="125" t="s">
        <v>100</v>
      </c>
      <c r="R71" s="122"/>
      <c r="S71" s="277">
        <f>IF(R71&gt;0.01,VLOOKUP(Q71,'Lookups &amp; OH allocation'!$K$41:$L$43,2,FALSE)*((R71)/60),VLOOKUP(Q71,'Lookups &amp; OH allocation'!$K$41:$L$43,2,FALSE)*((F71)/60))</f>
        <v>48.617925739509253</v>
      </c>
      <c r="T71" s="124">
        <v>0</v>
      </c>
      <c r="U71" s="223">
        <f t="shared" si="38"/>
        <v>565.84451487512365</v>
      </c>
      <c r="V71" s="226">
        <f>IF(AJ71=0,"No Volumes",AM71/'Lookups &amp; OH allocation'!$C$53*'Lookups &amp; OH allocation'!$D$53/AJ71)</f>
        <v>44.893343253082008</v>
      </c>
      <c r="W71" s="123" t="s">
        <v>154</v>
      </c>
      <c r="X71" s="281">
        <f>U71*VLOOKUP(W71,'Lookups &amp; OH allocation'!$K$55:$L$59,2,FALSE)</f>
        <v>0</v>
      </c>
      <c r="Y71" s="124"/>
      <c r="Z71" s="223">
        <f t="shared" si="39"/>
        <v>44.893343253082008</v>
      </c>
      <c r="AA71" s="226">
        <f>(G71/60)*'Lookups &amp; OH allocation'!$I$13</f>
        <v>149.54470458175311</v>
      </c>
      <c r="AB71" s="226">
        <f>SUM(Z71,U71,AA71)*'Lookups &amp; OH allocation'!$G$23</f>
        <v>36.387730894568136</v>
      </c>
      <c r="AC71" s="179"/>
      <c r="AD71" s="179"/>
      <c r="AE71" s="223">
        <f t="shared" si="40"/>
        <v>185.93243547632125</v>
      </c>
      <c r="AF71" s="124">
        <f>(U71+Z71+AE71)*'Lookups &amp; OH allocation'!$L$62</f>
        <v>48.118885733713427</v>
      </c>
      <c r="AG71" s="124"/>
      <c r="AH71" s="223">
        <f t="shared" si="41"/>
        <v>48.118885733713427</v>
      </c>
      <c r="AI71" s="225">
        <f t="shared" si="42"/>
        <v>844.78917933824039</v>
      </c>
      <c r="AJ71" s="234">
        <f>IFERROR(VLOOKUP($C71,'Volumes - Report Summary'!$C:$AF,MATCH(AM$2,'Volumes - Report Summary'!$C$6:$AF$6,0),FALSE),0)</f>
        <v>1</v>
      </c>
      <c r="AK71" s="266">
        <f>VLOOKUP(B71,'Back Office Time'!$B$5:$G$24,4,FALSE)</f>
        <v>12</v>
      </c>
      <c r="AL71" s="398">
        <f t="shared" si="43"/>
        <v>44.893343253082008</v>
      </c>
      <c r="AM71" s="522">
        <f t="shared" si="44"/>
        <v>12</v>
      </c>
      <c r="AN71" s="517"/>
      <c r="AO71" s="521"/>
      <c r="AP71" s="521"/>
      <c r="AQ71" s="520"/>
      <c r="AR71" s="29"/>
      <c r="AS71" s="289"/>
    </row>
    <row r="72" spans="1:45">
      <c r="B72" s="110" t="s">
        <v>351</v>
      </c>
      <c r="C72" s="111" t="s">
        <v>371</v>
      </c>
      <c r="D72" s="183">
        <v>75</v>
      </c>
      <c r="E72" s="122">
        <v>20</v>
      </c>
      <c r="F72" s="269">
        <f t="shared" si="36"/>
        <v>95</v>
      </c>
      <c r="G72" s="217">
        <f t="shared" si="37"/>
        <v>190</v>
      </c>
      <c r="H72" s="122">
        <v>2</v>
      </c>
      <c r="I72" s="123" t="s">
        <v>199</v>
      </c>
      <c r="J72" s="123" t="s">
        <v>199</v>
      </c>
      <c r="K72" s="123" t="s">
        <v>154</v>
      </c>
      <c r="L72" s="272">
        <f>(IF(H72&gt;=1,IF(H72&gt;=2,VLOOKUP(I72,'Lookups &amp; OH allocation'!$B$41:$C$50,2,FALSE)/60*(E72)+VLOOKUP(J72,'Lookups &amp; OH allocation'!$B$41:$C$50,2,FALSE)/60*(E72),VLOOKUP(I72,'Lookups &amp; OH allocation'!$B$41:$C$50,2,FALSE)/60*(E72)),0))*(1+(VLOOKUP(K72,'Lookups &amp; OH allocation'!$K$47:$L$52,2,FALSE)))</f>
        <v>47.234951371411206</v>
      </c>
      <c r="M72" s="218">
        <f>(IF(H72&gt;=1,IF(H72&gt;=2,VLOOKUP(I72,'Lookups &amp; OH allocation'!$B$41:$C$50,2,FALSE)/60*(D72)+VLOOKUP(J72,'Lookups &amp; OH allocation'!$B$41:$C$50,2,FALSE)/60*(D72),VLOOKUP(I72,'Lookups &amp; OH allocation'!$B$41:$C$50,2,FALSE)/60*(D72)),0))*(1+(VLOOKUP(K72,'Lookups &amp; OH allocation'!$K$47:$L$52,2,FALSE)))</f>
        <v>177.131067642792</v>
      </c>
      <c r="N72" s="273">
        <f>(IF(H72&gt;=1,IF(H72&gt;=2,VLOOKUP(I72,'Lookups &amp; OH allocation'!$B$41:$C$50,2,FALSE)/60*(F72)+VLOOKUP(J72,'Lookups &amp; OH allocation'!$B$41:$C$50,2,FALSE)/60*(F72),VLOOKUP(I72,'Lookups &amp; OH allocation'!$B$41:$C$50,2,FALSE)/60*(F72)),0))*(1+(VLOOKUP(K72,'Lookups &amp; OH allocation'!$K$47:$L$52,2,FALSE)))</f>
        <v>224.36601901420323</v>
      </c>
      <c r="O72" s="221" t="s">
        <v>232</v>
      </c>
      <c r="P72" s="277">
        <f>VLOOKUP(O72,'Lookups &amp; OH allocation'!$B$62:$C$72,2,FALSE)</f>
        <v>123.82666249999998</v>
      </c>
      <c r="Q72" s="125" t="s">
        <v>100</v>
      </c>
      <c r="R72" s="122"/>
      <c r="S72" s="277">
        <f>IF(R72&gt;0.01,VLOOKUP(Q72,'Lookups &amp; OH allocation'!$K$41:$L$43,2,FALSE)*((R72)/60),VLOOKUP(Q72,'Lookups &amp; OH allocation'!$K$41:$L$43,2,FALSE)*((F72)/60))</f>
        <v>40.162634306551119</v>
      </c>
      <c r="T72" s="124">
        <v>0</v>
      </c>
      <c r="U72" s="223">
        <f t="shared" si="38"/>
        <v>388.35531582075436</v>
      </c>
      <c r="V72" s="226">
        <f>IF(AJ72=0,"No Volumes",AM72/'Lookups &amp; OH allocation'!$C$53*'Lookups &amp; OH allocation'!$D$53/AJ72)</f>
        <v>44.893343253082008</v>
      </c>
      <c r="W72" s="123" t="s">
        <v>154</v>
      </c>
      <c r="X72" s="281">
        <f>U72*VLOOKUP(W72,'Lookups &amp; OH allocation'!$K$55:$L$59,2,FALSE)</f>
        <v>0</v>
      </c>
      <c r="Y72" s="124"/>
      <c r="Z72" s="223">
        <f t="shared" si="39"/>
        <v>44.893343253082008</v>
      </c>
      <c r="AA72" s="226">
        <f>(G72/60)*'Lookups &amp; OH allocation'!$I$13</f>
        <v>123.53692987188299</v>
      </c>
      <c r="AB72" s="226">
        <f>SUM(Z72,U72,AA72)*'Lookups &amp; OH allocation'!$G$23</f>
        <v>26.648203142151438</v>
      </c>
      <c r="AC72" s="179"/>
      <c r="AD72" s="179"/>
      <c r="AE72" s="223">
        <f t="shared" si="40"/>
        <v>150.18513301403442</v>
      </c>
      <c r="AF72" s="124">
        <f>(U72+Z72+AE72)*'Lookups &amp; OH allocation'!$L$62</f>
        <v>35.239401042107403</v>
      </c>
      <c r="AG72" s="124"/>
      <c r="AH72" s="223">
        <f t="shared" si="41"/>
        <v>35.239401042107403</v>
      </c>
      <c r="AI72" s="225">
        <f t="shared" si="42"/>
        <v>618.67319312997824</v>
      </c>
      <c r="AJ72" s="234">
        <f>IFERROR(VLOOKUP($C72,'Volumes - Report Summary'!$C:$AF,MATCH(AM$2,'Volumes - Report Summary'!$C$6:$AF$6,0),FALSE),0)</f>
        <v>1</v>
      </c>
      <c r="AK72" s="266">
        <f>VLOOKUP(B72,'Back Office Time'!$B$5:$G$24,4,FALSE)</f>
        <v>12</v>
      </c>
      <c r="AL72" s="398">
        <f t="shared" si="43"/>
        <v>44.893343253082008</v>
      </c>
      <c r="AM72" s="522">
        <f t="shared" si="44"/>
        <v>12</v>
      </c>
      <c r="AN72" s="517"/>
      <c r="AO72" s="521"/>
      <c r="AP72" s="521"/>
      <c r="AQ72" s="520"/>
      <c r="AR72" s="29"/>
      <c r="AS72" s="289"/>
    </row>
    <row r="73" spans="1:45">
      <c r="B73" s="110" t="s">
        <v>351</v>
      </c>
      <c r="C73" s="111" t="s">
        <v>372</v>
      </c>
      <c r="D73" s="183">
        <v>55</v>
      </c>
      <c r="E73" s="122">
        <v>20</v>
      </c>
      <c r="F73" s="269">
        <f t="shared" si="36"/>
        <v>75</v>
      </c>
      <c r="G73" s="217">
        <f t="shared" si="37"/>
        <v>150</v>
      </c>
      <c r="H73" s="122">
        <v>2</v>
      </c>
      <c r="I73" s="123" t="s">
        <v>199</v>
      </c>
      <c r="J73" s="123" t="s">
        <v>199</v>
      </c>
      <c r="K73" s="123" t="s">
        <v>154</v>
      </c>
      <c r="L73" s="272">
        <f>(IF(H73&gt;=1,IF(H73&gt;=2,VLOOKUP(I73,'Lookups &amp; OH allocation'!$B$41:$C$50,2,FALSE)/60*(E73)+VLOOKUP(J73,'Lookups &amp; OH allocation'!$B$41:$C$50,2,FALSE)/60*(E73),VLOOKUP(I73,'Lookups &amp; OH allocation'!$B$41:$C$50,2,FALSE)/60*(E73)),0))*(1+(VLOOKUP(K73,'Lookups &amp; OH allocation'!$K$47:$L$52,2,FALSE)))</f>
        <v>47.234951371411206</v>
      </c>
      <c r="M73" s="218">
        <f>(IF(H73&gt;=1,IF(H73&gt;=2,VLOOKUP(I73,'Lookups &amp; OH allocation'!$B$41:$C$50,2,FALSE)/60*(D73)+VLOOKUP(J73,'Lookups &amp; OH allocation'!$B$41:$C$50,2,FALSE)/60*(D73),VLOOKUP(I73,'Lookups &amp; OH allocation'!$B$41:$C$50,2,FALSE)/60*(D73)),0))*(1+(VLOOKUP(K73,'Lookups &amp; OH allocation'!$K$47:$L$52,2,FALSE)))</f>
        <v>129.89611627138081</v>
      </c>
      <c r="N73" s="273">
        <f>(IF(H73&gt;=1,IF(H73&gt;=2,VLOOKUP(I73,'Lookups &amp; OH allocation'!$B$41:$C$50,2,FALSE)/60*(F73)+VLOOKUP(J73,'Lookups &amp; OH allocation'!$B$41:$C$50,2,FALSE)/60*(F73),VLOOKUP(I73,'Lookups &amp; OH allocation'!$B$41:$C$50,2,FALSE)/60*(F73)),0))*(1+(VLOOKUP(K73,'Lookups &amp; OH allocation'!$K$47:$L$52,2,FALSE)))</f>
        <v>177.131067642792</v>
      </c>
      <c r="O73" s="221" t="s">
        <v>234</v>
      </c>
      <c r="P73" s="277">
        <f>VLOOKUP(O73,'Lookups &amp; OH allocation'!$B$62:$C$72,2,FALSE)</f>
        <v>1.1031562500000001</v>
      </c>
      <c r="Q73" s="125" t="s">
        <v>100</v>
      </c>
      <c r="R73" s="122"/>
      <c r="S73" s="277">
        <f>IF(R73&gt;0.01,VLOOKUP(Q73,'Lookups &amp; OH allocation'!$K$41:$L$43,2,FALSE)*((R73)/60),VLOOKUP(Q73,'Lookups &amp; OH allocation'!$K$41:$L$43,2,FALSE)*((F73)/60))</f>
        <v>31.707342873592989</v>
      </c>
      <c r="T73" s="124">
        <v>0</v>
      </c>
      <c r="U73" s="223">
        <f t="shared" si="38"/>
        <v>209.94156676638499</v>
      </c>
      <c r="V73" s="226">
        <f>IF(AJ73=0,"No Volumes",AM73/'Lookups &amp; OH allocation'!$C$53*'Lookups &amp; OH allocation'!$D$53/AJ73)</f>
        <v>44.893343253082008</v>
      </c>
      <c r="W73" s="123" t="s">
        <v>154</v>
      </c>
      <c r="X73" s="281">
        <f>U73*VLOOKUP(W73,'Lookups &amp; OH allocation'!$K$55:$L$59,2,FALSE)</f>
        <v>0</v>
      </c>
      <c r="Y73" s="124"/>
      <c r="Z73" s="223">
        <f t="shared" si="39"/>
        <v>44.893343253082008</v>
      </c>
      <c r="AA73" s="226">
        <f>(G73/60)*'Lookups &amp; OH allocation'!$I$13</f>
        <v>97.529155162012898</v>
      </c>
      <c r="AB73" s="226">
        <f>SUM(Z73,U73,AA73)*'Lookups &amp; OH allocation'!$G$23</f>
        <v>16.864425688046637</v>
      </c>
      <c r="AC73" s="179"/>
      <c r="AD73" s="179"/>
      <c r="AE73" s="223">
        <f t="shared" si="40"/>
        <v>114.39358085005954</v>
      </c>
      <c r="AF73" s="124">
        <f>(U73+Z73+AE73)*'Lookups &amp; OH allocation'!$L$62</f>
        <v>22.301400848519403</v>
      </c>
      <c r="AG73" s="124"/>
      <c r="AH73" s="223">
        <f t="shared" si="41"/>
        <v>22.301400848519403</v>
      </c>
      <c r="AI73" s="225">
        <f t="shared" si="42"/>
        <v>391.52989171804592</v>
      </c>
      <c r="AJ73" s="234">
        <f>IFERROR(VLOOKUP($C73,'Volumes - Report Summary'!$C:$AF,MATCH(AM$2,'Volumes - Report Summary'!$C$6:$AF$6,0),FALSE),0)</f>
        <v>1</v>
      </c>
      <c r="AK73" s="266">
        <f>VLOOKUP(B73,'Back Office Time'!$B$5:$G$24,4,FALSE)</f>
        <v>12</v>
      </c>
      <c r="AL73" s="398">
        <f t="shared" si="43"/>
        <v>44.893343253082008</v>
      </c>
      <c r="AM73" s="522">
        <f t="shared" si="44"/>
        <v>12</v>
      </c>
      <c r="AN73" s="517"/>
      <c r="AO73" s="521"/>
      <c r="AP73" s="521"/>
      <c r="AQ73" s="520"/>
      <c r="AR73" s="29"/>
      <c r="AS73" s="289"/>
    </row>
    <row r="74" spans="1:45">
      <c r="B74" s="110" t="s">
        <v>351</v>
      </c>
      <c r="C74" s="111" t="s">
        <v>373</v>
      </c>
      <c r="D74" s="183">
        <v>75</v>
      </c>
      <c r="E74" s="122">
        <v>20</v>
      </c>
      <c r="F74" s="269">
        <f t="shared" si="36"/>
        <v>95</v>
      </c>
      <c r="G74" s="217">
        <f t="shared" si="37"/>
        <v>190</v>
      </c>
      <c r="H74" s="122">
        <v>2</v>
      </c>
      <c r="I74" s="123" t="s">
        <v>199</v>
      </c>
      <c r="J74" s="123" t="s">
        <v>199</v>
      </c>
      <c r="K74" s="123" t="s">
        <v>154</v>
      </c>
      <c r="L74" s="272">
        <f>(IF(H74&gt;=1,IF(H74&gt;=2,VLOOKUP(I74,'Lookups &amp; OH allocation'!$B$41:$C$50,2,FALSE)/60*(E74)+VLOOKUP(J74,'Lookups &amp; OH allocation'!$B$41:$C$50,2,FALSE)/60*(E74),VLOOKUP(I74,'Lookups &amp; OH allocation'!$B$41:$C$50,2,FALSE)/60*(E74)),0))*(1+(VLOOKUP(K74,'Lookups &amp; OH allocation'!$K$47:$L$52,2,FALSE)))</f>
        <v>47.234951371411206</v>
      </c>
      <c r="M74" s="218">
        <f>(IF(H74&gt;=1,IF(H74&gt;=2,VLOOKUP(I74,'Lookups &amp; OH allocation'!$B$41:$C$50,2,FALSE)/60*(D74)+VLOOKUP(J74,'Lookups &amp; OH allocation'!$B$41:$C$50,2,FALSE)/60*(D74),VLOOKUP(I74,'Lookups &amp; OH allocation'!$B$41:$C$50,2,FALSE)/60*(D74)),0))*(1+(VLOOKUP(K74,'Lookups &amp; OH allocation'!$K$47:$L$52,2,FALSE)))</f>
        <v>177.131067642792</v>
      </c>
      <c r="N74" s="273">
        <f>(IF(H74&gt;=1,IF(H74&gt;=2,VLOOKUP(I74,'Lookups &amp; OH allocation'!$B$41:$C$50,2,FALSE)/60*(F74)+VLOOKUP(J74,'Lookups &amp; OH allocation'!$B$41:$C$50,2,FALSE)/60*(F74),VLOOKUP(I74,'Lookups &amp; OH allocation'!$B$41:$C$50,2,FALSE)/60*(F74)),0))*(1+(VLOOKUP(K74,'Lookups &amp; OH allocation'!$K$47:$L$52,2,FALSE)))</f>
        <v>224.36601901420323</v>
      </c>
      <c r="O74" s="221" t="s">
        <v>234</v>
      </c>
      <c r="P74" s="277">
        <f>VLOOKUP(O74,'Lookups &amp; OH allocation'!$B$62:$C$72,2,FALSE)</f>
        <v>1.1031562500000001</v>
      </c>
      <c r="Q74" s="125" t="s">
        <v>100</v>
      </c>
      <c r="R74" s="122"/>
      <c r="S74" s="277">
        <f>IF(R74&gt;0.01,VLOOKUP(Q74,'Lookups &amp; OH allocation'!$K$41:$L$43,2,FALSE)*((R74)/60),VLOOKUP(Q74,'Lookups &amp; OH allocation'!$K$41:$L$43,2,FALSE)*((F74)/60))</f>
        <v>40.162634306551119</v>
      </c>
      <c r="T74" s="124">
        <v>0</v>
      </c>
      <c r="U74" s="223">
        <f t="shared" si="38"/>
        <v>265.63180957075434</v>
      </c>
      <c r="V74" s="226">
        <f>IF(AJ74=0,"No Volumes",AM74/'Lookups &amp; OH allocation'!$C$53*'Lookups &amp; OH allocation'!$D$53/AJ74)</f>
        <v>44.893343253082008</v>
      </c>
      <c r="W74" s="123" t="s">
        <v>154</v>
      </c>
      <c r="X74" s="281">
        <f>U74*VLOOKUP(W74,'Lookups &amp; OH allocation'!$K$55:$L$59,2,FALSE)</f>
        <v>0</v>
      </c>
      <c r="Y74" s="124"/>
      <c r="Z74" s="223">
        <f t="shared" si="39"/>
        <v>44.893343253082008</v>
      </c>
      <c r="AA74" s="226">
        <f>(G74/60)*'Lookups &amp; OH allocation'!$I$13</f>
        <v>123.53692987188299</v>
      </c>
      <c r="AB74" s="226">
        <f>SUM(Z74,U74,AA74)*'Lookups &amp; OH allocation'!$G$23</f>
        <v>20.774558080576547</v>
      </c>
      <c r="AC74" s="179"/>
      <c r="AD74" s="179"/>
      <c r="AE74" s="223">
        <f t="shared" si="40"/>
        <v>144.31148795245954</v>
      </c>
      <c r="AF74" s="124">
        <f>(U74+Z74+AE74)*'Lookups &amp; OH allocation'!$L$62</f>
        <v>27.472133102888272</v>
      </c>
      <c r="AG74" s="124"/>
      <c r="AH74" s="223">
        <f t="shared" si="41"/>
        <v>27.472133102888272</v>
      </c>
      <c r="AI74" s="225">
        <f t="shared" si="42"/>
        <v>482.30877387918417</v>
      </c>
      <c r="AJ74" s="234">
        <f>IFERROR(VLOOKUP($C74,'Volumes - Report Summary'!$C:$AF,MATCH(AM$2,'Volumes - Report Summary'!$C$6:$AF$6,0),FALSE),0)</f>
        <v>1</v>
      </c>
      <c r="AK74" s="266">
        <f>VLOOKUP(B74,'Back Office Time'!$B$5:$G$24,4,FALSE)</f>
        <v>12</v>
      </c>
      <c r="AL74" s="398">
        <f t="shared" si="43"/>
        <v>44.893343253082008</v>
      </c>
      <c r="AM74" s="522">
        <f t="shared" si="44"/>
        <v>12</v>
      </c>
      <c r="AN74" s="517"/>
      <c r="AO74" s="521"/>
      <c r="AP74" s="521"/>
      <c r="AQ74" s="520"/>
      <c r="AR74" s="29"/>
      <c r="AS74" s="289"/>
    </row>
    <row r="75" spans="1:45">
      <c r="B75" s="110" t="s">
        <v>351</v>
      </c>
      <c r="C75" s="111" t="s">
        <v>374</v>
      </c>
      <c r="D75" s="183">
        <v>75</v>
      </c>
      <c r="E75" s="122">
        <v>20</v>
      </c>
      <c r="F75" s="269">
        <f t="shared" si="36"/>
        <v>95</v>
      </c>
      <c r="G75" s="217">
        <f t="shared" si="37"/>
        <v>190</v>
      </c>
      <c r="H75" s="122">
        <v>2</v>
      </c>
      <c r="I75" s="123" t="s">
        <v>199</v>
      </c>
      <c r="J75" s="123" t="s">
        <v>199</v>
      </c>
      <c r="K75" s="123" t="s">
        <v>154</v>
      </c>
      <c r="L75" s="272">
        <f>(IF(H75&gt;=1,IF(H75&gt;=2,VLOOKUP(I75,'Lookups &amp; OH allocation'!$B$41:$C$50,2,FALSE)/60*(E75)+VLOOKUP(J75,'Lookups &amp; OH allocation'!$B$41:$C$50,2,FALSE)/60*(E75),VLOOKUP(I75,'Lookups &amp; OH allocation'!$B$41:$C$50,2,FALSE)/60*(E75)),0))*(1+(VLOOKUP(K75,'Lookups &amp; OH allocation'!$K$47:$L$52,2,FALSE)))</f>
        <v>47.234951371411206</v>
      </c>
      <c r="M75" s="218">
        <f>(IF(H75&gt;=1,IF(H75&gt;=2,VLOOKUP(I75,'Lookups &amp; OH allocation'!$B$41:$C$50,2,FALSE)/60*(D75)+VLOOKUP(J75,'Lookups &amp; OH allocation'!$B$41:$C$50,2,FALSE)/60*(D75),VLOOKUP(I75,'Lookups &amp; OH allocation'!$B$41:$C$50,2,FALSE)/60*(D75)),0))*(1+(VLOOKUP(K75,'Lookups &amp; OH allocation'!$K$47:$L$52,2,FALSE)))</f>
        <v>177.131067642792</v>
      </c>
      <c r="N75" s="273">
        <f>(IF(H75&gt;=1,IF(H75&gt;=2,VLOOKUP(I75,'Lookups &amp; OH allocation'!$B$41:$C$50,2,FALSE)/60*(F75)+VLOOKUP(J75,'Lookups &amp; OH allocation'!$B$41:$C$50,2,FALSE)/60*(F75),VLOOKUP(I75,'Lookups &amp; OH allocation'!$B$41:$C$50,2,FALSE)/60*(F75)),0))*(1+(VLOOKUP(K75,'Lookups &amp; OH allocation'!$K$47:$L$52,2,FALSE)))</f>
        <v>224.36601901420323</v>
      </c>
      <c r="O75" s="221" t="s">
        <v>236</v>
      </c>
      <c r="P75" s="277">
        <f>VLOOKUP(O75,'Lookups &amp; OH allocation'!$B$62:$C$72,2,FALSE)</f>
        <v>7.6170312499999993</v>
      </c>
      <c r="Q75" s="125" t="s">
        <v>100</v>
      </c>
      <c r="R75" s="122"/>
      <c r="S75" s="277">
        <f>IF(R75&gt;0.01,VLOOKUP(Q75,'Lookups &amp; OH allocation'!$K$41:$L$43,2,FALSE)*((R75)/60),VLOOKUP(Q75,'Lookups &amp; OH allocation'!$K$41:$L$43,2,FALSE)*((F75)/60))</f>
        <v>40.162634306551119</v>
      </c>
      <c r="T75" s="124">
        <v>0</v>
      </c>
      <c r="U75" s="223">
        <f t="shared" si="38"/>
        <v>272.14568457075433</v>
      </c>
      <c r="V75" s="226">
        <f>IF(AJ75=0,"No Volumes",AM75/'Lookups &amp; OH allocation'!$C$53*'Lookups &amp; OH allocation'!$D$53/AJ75)</f>
        <v>44.893343253082008</v>
      </c>
      <c r="W75" s="123" t="s">
        <v>154</v>
      </c>
      <c r="X75" s="281">
        <f>U75*VLOOKUP(W75,'Lookups &amp; OH allocation'!$K$55:$L$59,2,FALSE)</f>
        <v>0</v>
      </c>
      <c r="Y75" s="124"/>
      <c r="Z75" s="223">
        <f t="shared" si="39"/>
        <v>44.893343253082008</v>
      </c>
      <c r="AA75" s="226">
        <f>(G75/60)*'Lookups &amp; OH allocation'!$I$13</f>
        <v>123.53692987188299</v>
      </c>
      <c r="AB75" s="226">
        <f>SUM(Z75,U75,AA75)*'Lookups &amp; OH allocation'!$G$23</f>
        <v>21.086317342469915</v>
      </c>
      <c r="AC75" s="179"/>
      <c r="AD75" s="179"/>
      <c r="AE75" s="223">
        <f t="shared" si="40"/>
        <v>144.62324721435292</v>
      </c>
      <c r="AF75" s="124">
        <f>(U75+Z75+AE75)*'Lookups &amp; OH allocation'!$L$62</f>
        <v>27.88440141230663</v>
      </c>
      <c r="AG75" s="124"/>
      <c r="AH75" s="223">
        <f t="shared" si="41"/>
        <v>27.88440141230663</v>
      </c>
      <c r="AI75" s="225">
        <f t="shared" si="42"/>
        <v>489.54667645049585</v>
      </c>
      <c r="AJ75" s="234">
        <f>IFERROR(VLOOKUP($C75,'Volumes - Report Summary'!$C:$AF,MATCH(AM$2,'Volumes - Report Summary'!$C$6:$AF$6,0),FALSE),0)</f>
        <v>1</v>
      </c>
      <c r="AK75" s="266">
        <f>VLOOKUP(B75,'Back Office Time'!$B$5:$G$24,4,FALSE)</f>
        <v>12</v>
      </c>
      <c r="AL75" s="398">
        <f t="shared" si="43"/>
        <v>44.893343253082008</v>
      </c>
      <c r="AM75" s="522">
        <f t="shared" si="44"/>
        <v>12</v>
      </c>
      <c r="AN75" s="517"/>
      <c r="AO75" s="521"/>
      <c r="AP75" s="521"/>
      <c r="AQ75" s="520"/>
      <c r="AR75" s="29"/>
      <c r="AS75" s="289"/>
    </row>
    <row r="76" spans="1:45">
      <c r="B76" s="110" t="s">
        <v>351</v>
      </c>
      <c r="C76" s="111" t="s">
        <v>375</v>
      </c>
      <c r="D76" s="183">
        <v>95</v>
      </c>
      <c r="E76" s="122">
        <v>20</v>
      </c>
      <c r="F76" s="269">
        <f t="shared" si="36"/>
        <v>115</v>
      </c>
      <c r="G76" s="217">
        <f t="shared" si="37"/>
        <v>230</v>
      </c>
      <c r="H76" s="122">
        <v>2</v>
      </c>
      <c r="I76" s="123" t="s">
        <v>199</v>
      </c>
      <c r="J76" s="123" t="s">
        <v>199</v>
      </c>
      <c r="K76" s="123" t="s">
        <v>154</v>
      </c>
      <c r="L76" s="272">
        <f>(IF(H76&gt;=1,IF(H76&gt;=2,VLOOKUP(I76,'Lookups &amp; OH allocation'!$B$41:$C$50,2,FALSE)/60*(E76)+VLOOKUP(J76,'Lookups &amp; OH allocation'!$B$41:$C$50,2,FALSE)/60*(E76),VLOOKUP(I76,'Lookups &amp; OH allocation'!$B$41:$C$50,2,FALSE)/60*(E76)),0))*(1+(VLOOKUP(K76,'Lookups &amp; OH allocation'!$K$47:$L$52,2,FALSE)))</f>
        <v>47.234951371411206</v>
      </c>
      <c r="M76" s="218">
        <f>(IF(H76&gt;=1,IF(H76&gt;=2,VLOOKUP(I76,'Lookups &amp; OH allocation'!$B$41:$C$50,2,FALSE)/60*(D76)+VLOOKUP(J76,'Lookups &amp; OH allocation'!$B$41:$C$50,2,FALSE)/60*(D76),VLOOKUP(I76,'Lookups &amp; OH allocation'!$B$41:$C$50,2,FALSE)/60*(D76)),0))*(1+(VLOOKUP(K76,'Lookups &amp; OH allocation'!$K$47:$L$52,2,FALSE)))</f>
        <v>224.36601901420323</v>
      </c>
      <c r="N76" s="273">
        <f>(IF(H76&gt;=1,IF(H76&gt;=2,VLOOKUP(I76,'Lookups &amp; OH allocation'!$B$41:$C$50,2,FALSE)/60*(F76)+VLOOKUP(J76,'Lookups &amp; OH allocation'!$B$41:$C$50,2,FALSE)/60*(F76),VLOOKUP(I76,'Lookups &amp; OH allocation'!$B$41:$C$50,2,FALSE)/60*(F76)),0))*(1+(VLOOKUP(K76,'Lookups &amp; OH allocation'!$K$47:$L$52,2,FALSE)))</f>
        <v>271.6009703856144</v>
      </c>
      <c r="O76" s="221" t="s">
        <v>237</v>
      </c>
      <c r="P76" s="277">
        <f>VLOOKUP(O76,'Lookups &amp; OH allocation'!$B$62:$C$72,2,FALSE)</f>
        <v>22.861599999999999</v>
      </c>
      <c r="Q76" s="125" t="s">
        <v>100</v>
      </c>
      <c r="R76" s="122"/>
      <c r="S76" s="277">
        <f>IF(R76&gt;0.01,VLOOKUP(Q76,'Lookups &amp; OH allocation'!$K$41:$L$43,2,FALSE)*((R76)/60),VLOOKUP(Q76,'Lookups &amp; OH allocation'!$K$41:$L$43,2,FALSE)*((F76)/60))</f>
        <v>48.617925739509253</v>
      </c>
      <c r="T76" s="124">
        <v>0</v>
      </c>
      <c r="U76" s="223">
        <f t="shared" si="38"/>
        <v>343.08049612512366</v>
      </c>
      <c r="V76" s="226">
        <f>IF(AJ76=0,"No Volumes",AM76/'Lookups &amp; OH allocation'!$C$53*'Lookups &amp; OH allocation'!$D$53/AJ76)</f>
        <v>44.893343253082008</v>
      </c>
      <c r="W76" s="123" t="s">
        <v>154</v>
      </c>
      <c r="X76" s="281">
        <f>U76*VLOOKUP(W76,'Lookups &amp; OH allocation'!$K$55:$L$59,2,FALSE)</f>
        <v>0</v>
      </c>
      <c r="Y76" s="124"/>
      <c r="Z76" s="223">
        <f t="shared" si="39"/>
        <v>44.893343253082008</v>
      </c>
      <c r="AA76" s="226">
        <f>(G76/60)*'Lookups &amp; OH allocation'!$I$13</f>
        <v>149.54470458175311</v>
      </c>
      <c r="AB76" s="226">
        <f>SUM(Z76,U76,AA76)*'Lookups &amp; OH allocation'!$G$23</f>
        <v>25.726066975334135</v>
      </c>
      <c r="AC76" s="179"/>
      <c r="AD76" s="179"/>
      <c r="AE76" s="223">
        <f t="shared" si="40"/>
        <v>175.27077155708724</v>
      </c>
      <c r="AF76" s="124">
        <f>(U76+Z76+AE76)*'Lookups &amp; OH allocation'!$L$62</f>
        <v>34.019974500491692</v>
      </c>
      <c r="AG76" s="124"/>
      <c r="AH76" s="223">
        <f t="shared" si="41"/>
        <v>34.019974500491692</v>
      </c>
      <c r="AI76" s="225">
        <f t="shared" si="42"/>
        <v>597.26458543578462</v>
      </c>
      <c r="AJ76" s="234">
        <f>IFERROR(VLOOKUP($C76,'Volumes - Report Summary'!$C:$AF,MATCH(AM$2,'Volumes - Report Summary'!$C$6:$AF$6,0),FALSE),0)</f>
        <v>1</v>
      </c>
      <c r="AK76" s="266">
        <f>VLOOKUP(B76,'Back Office Time'!$B$5:$G$24,4,FALSE)</f>
        <v>12</v>
      </c>
      <c r="AL76" s="398">
        <f t="shared" si="43"/>
        <v>44.893343253082008</v>
      </c>
      <c r="AM76" s="522">
        <f t="shared" si="44"/>
        <v>12</v>
      </c>
      <c r="AN76" s="517"/>
      <c r="AO76" s="521"/>
      <c r="AP76" s="521"/>
      <c r="AQ76" s="520"/>
      <c r="AR76" s="29"/>
      <c r="AS76" s="289"/>
    </row>
    <row r="77" spans="1:45">
      <c r="B77" s="110" t="s">
        <v>351</v>
      </c>
      <c r="C77" s="111" t="s">
        <v>365</v>
      </c>
      <c r="D77" s="183">
        <v>180</v>
      </c>
      <c r="E77" s="122">
        <v>60</v>
      </c>
      <c r="F77" s="269">
        <f t="shared" si="36"/>
        <v>240</v>
      </c>
      <c r="G77" s="217">
        <f t="shared" si="37"/>
        <v>480</v>
      </c>
      <c r="H77" s="122">
        <v>2</v>
      </c>
      <c r="I77" s="123" t="s">
        <v>199</v>
      </c>
      <c r="J77" s="123" t="s">
        <v>199</v>
      </c>
      <c r="K77" s="123" t="s">
        <v>154</v>
      </c>
      <c r="L77" s="272">
        <f>(IF(H77&gt;=1,IF(H77&gt;=2,VLOOKUP(I77,'Lookups &amp; OH allocation'!$B$41:$C$50,2,FALSE)/60*(E77)+VLOOKUP(J77,'Lookups &amp; OH allocation'!$B$41:$C$50,2,FALSE)/60*(E77),VLOOKUP(I77,'Lookups &amp; OH allocation'!$B$41:$C$50,2,FALSE)/60*(E77)),0))*(1+(VLOOKUP(K77,'Lookups &amp; OH allocation'!$K$47:$L$52,2,FALSE)))</f>
        <v>141.70485411423363</v>
      </c>
      <c r="M77" s="218">
        <f>(IF(H77&gt;=1,IF(H77&gt;=2,VLOOKUP(I77,'Lookups &amp; OH allocation'!$B$41:$C$50,2,FALSE)/60*(D77)+VLOOKUP(J77,'Lookups &amp; OH allocation'!$B$41:$C$50,2,FALSE)/60*(D77),VLOOKUP(I77,'Lookups &amp; OH allocation'!$B$41:$C$50,2,FALSE)/60*(D77)),0))*(1+(VLOOKUP(K77,'Lookups &amp; OH allocation'!$K$47:$L$52,2,FALSE)))</f>
        <v>425.11456234270082</v>
      </c>
      <c r="N77" s="273">
        <f>(IF(H77&gt;=1,IF(H77&gt;=2,VLOOKUP(I77,'Lookups &amp; OH allocation'!$B$41:$C$50,2,FALSE)/60*(F77)+VLOOKUP(J77,'Lookups &amp; OH allocation'!$B$41:$C$50,2,FALSE)/60*(F77),VLOOKUP(I77,'Lookups &amp; OH allocation'!$B$41:$C$50,2,FALSE)/60*(F77)),0))*(1+(VLOOKUP(K77,'Lookups &amp; OH allocation'!$K$47:$L$52,2,FALSE)))</f>
        <v>566.8194164569345</v>
      </c>
      <c r="O77" s="221" t="s">
        <v>238</v>
      </c>
      <c r="P77" s="277">
        <f>VLOOKUP(O77,'Lookups &amp; OH allocation'!$B$62:$C$72,2,FALSE)</f>
        <v>0</v>
      </c>
      <c r="Q77" s="125" t="s">
        <v>100</v>
      </c>
      <c r="R77" s="122"/>
      <c r="S77" s="277">
        <f>IF(R77&gt;0.01,VLOOKUP(Q77,'Lookups &amp; OH allocation'!$K$41:$L$43,2,FALSE)*((R77)/60),VLOOKUP(Q77,'Lookups &amp; OH allocation'!$K$41:$L$43,2,FALSE)*((F77)/60))</f>
        <v>101.46349719549757</v>
      </c>
      <c r="T77" s="124">
        <v>0</v>
      </c>
      <c r="U77" s="223">
        <f t="shared" si="38"/>
        <v>668.28291365243206</v>
      </c>
      <c r="V77" s="226">
        <f>IF(AJ77=0,"No Volumes",AM77/'Lookups &amp; OH allocation'!$C$53*'Lookups &amp; OH allocation'!$D$53/AJ77)</f>
        <v>44.893343253082008</v>
      </c>
      <c r="W77" s="123" t="s">
        <v>151</v>
      </c>
      <c r="X77" s="281">
        <f>U77*VLOOKUP(W77,'Lookups &amp; OH allocation'!$K$55:$L$59,2,FALSE)</f>
        <v>334.14145682621603</v>
      </c>
      <c r="Y77" s="124"/>
      <c r="Z77" s="223">
        <f t="shared" si="39"/>
        <v>379.03480007929807</v>
      </c>
      <c r="AA77" s="226">
        <f>(G77/60)*'Lookups &amp; OH allocation'!$I$13</f>
        <v>312.09329651844126</v>
      </c>
      <c r="AB77" s="226">
        <f>SUM(Z77,U77,AA77)*'Lookups &amp; OH allocation'!$G$23</f>
        <v>65.062497079743054</v>
      </c>
      <c r="AC77" s="179"/>
      <c r="AD77" s="179"/>
      <c r="AE77" s="223">
        <f t="shared" si="40"/>
        <v>377.15579359818435</v>
      </c>
      <c r="AF77" s="124">
        <f>(U77+Z77+AE77)*'Lookups &amp; OH allocation'!$L$62</f>
        <v>86.03819984272684</v>
      </c>
      <c r="AG77" s="124"/>
      <c r="AH77" s="223">
        <f t="shared" si="41"/>
        <v>86.03819984272684</v>
      </c>
      <c r="AI77" s="225">
        <f t="shared" si="42"/>
        <v>1510.5117071726413</v>
      </c>
      <c r="AJ77" s="234">
        <f>IFERROR(VLOOKUP($C77,'Volumes - Report Summary'!$C:$AF,MATCH(AM$2,'Volumes - Report Summary'!$C$6:$AF$6,0),FALSE),0)</f>
        <v>1</v>
      </c>
      <c r="AK77" s="266">
        <f>VLOOKUP(B77,'Back Office Time'!$B$5:$G$24,4,FALSE)</f>
        <v>12</v>
      </c>
      <c r="AL77" s="398">
        <f t="shared" si="43"/>
        <v>44.893343253082008</v>
      </c>
      <c r="AM77" s="522">
        <f t="shared" si="44"/>
        <v>12</v>
      </c>
      <c r="AN77" s="517"/>
      <c r="AO77" s="521"/>
      <c r="AP77" s="521"/>
      <c r="AQ77" s="520"/>
      <c r="AR77" s="29"/>
      <c r="AS77" s="289"/>
    </row>
    <row r="78" spans="1:45">
      <c r="B78" s="110" t="s">
        <v>351</v>
      </c>
      <c r="C78" s="111" t="s">
        <v>477</v>
      </c>
      <c r="D78" s="183">
        <f>15/2</f>
        <v>7.5</v>
      </c>
      <c r="E78" s="122">
        <v>20</v>
      </c>
      <c r="F78" s="269">
        <f t="shared" si="36"/>
        <v>27.5</v>
      </c>
      <c r="G78" s="217">
        <f t="shared" si="37"/>
        <v>55</v>
      </c>
      <c r="H78" s="122">
        <v>2</v>
      </c>
      <c r="I78" s="123" t="s">
        <v>199</v>
      </c>
      <c r="J78" s="123" t="s">
        <v>199</v>
      </c>
      <c r="K78" s="123" t="s">
        <v>154</v>
      </c>
      <c r="L78" s="272">
        <f>(IF(H78&gt;=1,IF(H78&gt;=2,VLOOKUP(I78,'Lookups &amp; OH allocation'!$B$41:$C$50,2,FALSE)/60*(E78)+VLOOKUP(J78,'Lookups &amp; OH allocation'!$B$41:$C$50,2,FALSE)/60*(E78),VLOOKUP(I78,'Lookups &amp; OH allocation'!$B$41:$C$50,2,FALSE)/60*(E78)),0))*(1+(VLOOKUP(K78,'Lookups &amp; OH allocation'!$K$47:$L$52,2,FALSE)))</f>
        <v>47.234951371411206</v>
      </c>
      <c r="M78" s="218">
        <f>(IF(H78&gt;=1,IF(H78&gt;=2,VLOOKUP(I78,'Lookups &amp; OH allocation'!$B$41:$C$50,2,FALSE)/60*(D78)+VLOOKUP(J78,'Lookups &amp; OH allocation'!$B$41:$C$50,2,FALSE)/60*(D78),VLOOKUP(I78,'Lookups &amp; OH allocation'!$B$41:$C$50,2,FALSE)/60*(D78)),0))*(1+(VLOOKUP(K78,'Lookups &amp; OH allocation'!$K$47:$L$52,2,FALSE)))</f>
        <v>17.713106764279203</v>
      </c>
      <c r="N78" s="273">
        <f>(IF(H78&gt;=1,IF(H78&gt;=2,VLOOKUP(I78,'Lookups &amp; OH allocation'!$B$41:$C$50,2,FALSE)/60*(F78)+VLOOKUP(J78,'Lookups &amp; OH allocation'!$B$41:$C$50,2,FALSE)/60*(F78),VLOOKUP(I78,'Lookups &amp; OH allocation'!$B$41:$C$50,2,FALSE)/60*(F78)),0))*(1+(VLOOKUP(K78,'Lookups &amp; OH allocation'!$K$47:$L$52,2,FALSE)))</f>
        <v>64.948058135690403</v>
      </c>
      <c r="O78" s="221" t="s">
        <v>238</v>
      </c>
      <c r="P78" s="277">
        <f>VLOOKUP(O78,'Lookups &amp; OH allocation'!$B$62:$C$72,2,FALSE)</f>
        <v>0</v>
      </c>
      <c r="Q78" s="125" t="s">
        <v>100</v>
      </c>
      <c r="R78" s="122"/>
      <c r="S78" s="277">
        <f>IF(R78&gt;0.01,VLOOKUP(Q78,'Lookups &amp; OH allocation'!$K$41:$L$43,2,FALSE)*((R78)/60),VLOOKUP(Q78,'Lookups &amp; OH allocation'!$K$41:$L$43,2,FALSE)*((F78)/60))</f>
        <v>11.626025720317429</v>
      </c>
      <c r="T78" s="124">
        <v>0</v>
      </c>
      <c r="U78" s="223">
        <f t="shared" si="38"/>
        <v>76.574083856007832</v>
      </c>
      <c r="V78" s="226">
        <f>IF(AJ78=0,"No Volumes",AM78/'Lookups &amp; OH allocation'!$C$53*'Lookups &amp; OH allocation'!$D$53/AJ78)</f>
        <v>44.893343253082008</v>
      </c>
      <c r="W78" s="123" t="s">
        <v>154</v>
      </c>
      <c r="X78" s="281">
        <f>U78*VLOOKUP(W78,'Lookups &amp; OH allocation'!$K$55:$L$59,2,FALSE)</f>
        <v>0</v>
      </c>
      <c r="Y78" s="124"/>
      <c r="Z78" s="223">
        <f t="shared" si="39"/>
        <v>44.893343253082008</v>
      </c>
      <c r="AA78" s="226">
        <f>(G78/60)*'Lookups &amp; OH allocation'!$I$13</f>
        <v>35.760690226071397</v>
      </c>
      <c r="AB78" s="226">
        <f>SUM(Z78,U78,AA78)*'Lookups &amp; OH allocation'!$G$23</f>
        <v>7.5250633162739131</v>
      </c>
      <c r="AC78" s="179"/>
      <c r="AD78" s="179"/>
      <c r="AE78" s="223">
        <f t="shared" si="40"/>
        <v>43.285753542345311</v>
      </c>
      <c r="AF78" s="124">
        <f>(U78+Z78+AE78)*'Lookups &amp; OH allocation'!$L$62</f>
        <v>9.9510921113466839</v>
      </c>
      <c r="AG78" s="124"/>
      <c r="AH78" s="223">
        <f t="shared" si="41"/>
        <v>9.9510921113466839</v>
      </c>
      <c r="AI78" s="225">
        <f t="shared" si="42"/>
        <v>174.70427276278184</v>
      </c>
      <c r="AJ78" s="234">
        <f>IFERROR(VLOOKUP($C78,'Volumes - Report Summary'!$C:$AF,MATCH(AM$2,'Volumes - Report Summary'!$C$6:$AF$6,0),FALSE),0)</f>
        <v>208</v>
      </c>
      <c r="AK78" s="266">
        <f>VLOOKUP(B78,'Back Office Time'!$B$5:$G$24,4,FALSE)</f>
        <v>12</v>
      </c>
      <c r="AL78" s="398">
        <f t="shared" si="43"/>
        <v>9337.8153966410573</v>
      </c>
      <c r="AM78" s="522">
        <f t="shared" si="44"/>
        <v>2496</v>
      </c>
      <c r="AN78" s="517"/>
      <c r="AO78" s="521"/>
      <c r="AP78" s="521"/>
      <c r="AQ78" s="520"/>
      <c r="AR78" s="29"/>
      <c r="AS78" s="289"/>
    </row>
    <row r="79" spans="1:45">
      <c r="B79" s="112"/>
      <c r="C79" s="112"/>
      <c r="D79" s="184"/>
      <c r="E79" s="113"/>
      <c r="F79" s="116"/>
      <c r="G79" s="271"/>
      <c r="H79" s="113"/>
      <c r="I79" s="114"/>
      <c r="J79" s="114"/>
      <c r="K79" s="114"/>
      <c r="L79" s="274"/>
      <c r="M79" s="178"/>
      <c r="N79" s="275"/>
      <c r="O79" s="203"/>
      <c r="P79" s="276"/>
      <c r="Q79" s="116"/>
      <c r="R79" s="113"/>
      <c r="S79" s="276"/>
      <c r="T79" s="115"/>
      <c r="U79" s="185"/>
      <c r="V79" s="220"/>
      <c r="W79" s="114"/>
      <c r="X79" s="114"/>
      <c r="Y79" s="115"/>
      <c r="Z79" s="227"/>
      <c r="AA79" s="226"/>
      <c r="AB79" s="226"/>
      <c r="AC79" s="118"/>
      <c r="AD79" s="219"/>
      <c r="AE79" s="185"/>
      <c r="AF79" s="115"/>
      <c r="AG79" s="115"/>
      <c r="AH79" s="185"/>
      <c r="AI79" s="186"/>
      <c r="AJ79" s="232"/>
      <c r="AK79" s="266"/>
      <c r="AL79" s="399"/>
      <c r="AM79" s="522"/>
      <c r="AN79" s="523"/>
      <c r="AO79" s="506"/>
      <c r="AP79" s="506"/>
      <c r="AQ79" s="29"/>
      <c r="AR79" s="291"/>
      <c r="AS79" s="291"/>
    </row>
    <row r="81" spans="10:11">
      <c r="J81"/>
      <c r="K81"/>
    </row>
    <row r="82" spans="10:11">
      <c r="J82"/>
      <c r="K82"/>
    </row>
    <row r="83" spans="10:11">
      <c r="J83"/>
      <c r="K83"/>
    </row>
    <row r="84" spans="10:11">
      <c r="J84"/>
      <c r="K84"/>
    </row>
    <row r="85" spans="10:11">
      <c r="J85"/>
      <c r="K85"/>
    </row>
    <row r="86" spans="10:11">
      <c r="J86"/>
      <c r="K86"/>
    </row>
    <row r="87" spans="10:11">
      <c r="J87"/>
      <c r="K87"/>
    </row>
    <row r="88" spans="10:11">
      <c r="J88"/>
      <c r="K88"/>
    </row>
    <row r="89" spans="10:11">
      <c r="J89"/>
      <c r="K89"/>
    </row>
    <row r="90" spans="10:11">
      <c r="J90"/>
      <c r="K90"/>
    </row>
    <row r="91" spans="10:11">
      <c r="J91"/>
      <c r="K91"/>
    </row>
    <row r="92" spans="10:11">
      <c r="J92"/>
      <c r="K92"/>
    </row>
    <row r="93" spans="10:11">
      <c r="J93"/>
      <c r="K93"/>
    </row>
    <row r="94" spans="10:11">
      <c r="J94"/>
      <c r="K94"/>
    </row>
    <row r="95" spans="10:11">
      <c r="J95"/>
      <c r="K95"/>
    </row>
    <row r="96" spans="10:11">
      <c r="J96"/>
      <c r="K96"/>
    </row>
    <row r="97" spans="10:11">
      <c r="J97"/>
      <c r="K97"/>
    </row>
    <row r="98" spans="10:11">
      <c r="J98"/>
      <c r="K98"/>
    </row>
    <row r="99" spans="10:11">
      <c r="J99"/>
      <c r="K99"/>
    </row>
    <row r="100" spans="10:11">
      <c r="J100"/>
      <c r="K100"/>
    </row>
    <row r="101" spans="10:11">
      <c r="J101"/>
      <c r="K101"/>
    </row>
    <row r="102" spans="10:11">
      <c r="J102"/>
      <c r="K102"/>
    </row>
    <row r="103" spans="10:11">
      <c r="J103"/>
      <c r="K103"/>
    </row>
    <row r="104" spans="10:11">
      <c r="J104"/>
      <c r="K104"/>
    </row>
    <row r="195" spans="3:3">
      <c r="C195" s="280"/>
    </row>
    <row r="196" spans="3:3">
      <c r="C196" s="280"/>
    </row>
    <row r="197" spans="3:3">
      <c r="C197" s="280"/>
    </row>
  </sheetData>
  <autoFilter ref="A3:AS104"/>
  <mergeCells count="5">
    <mergeCell ref="D2:U2"/>
    <mergeCell ref="AF2:AG2"/>
    <mergeCell ref="V2:Y2"/>
    <mergeCell ref="AA2:AE2"/>
    <mergeCell ref="AN2:AQ2"/>
  </mergeCells>
  <conditionalFormatting sqref="J25:J29 J57:J60 J31:J33 J16:J23 J40:J46 J35:J38 J5:J13 J62:J65 J48:J55 J67:J78">
    <cfRule type="expression" dxfId="35" priority="459">
      <formula>H5&lt;1.1</formula>
    </cfRule>
    <cfRule type="expression" dxfId="34" priority="468">
      <formula>H5&lt;1.1</formula>
    </cfRule>
  </conditionalFormatting>
  <conditionalFormatting sqref="C5:C9">
    <cfRule type="duplicateValues" dxfId="33" priority="449"/>
  </conditionalFormatting>
  <conditionalFormatting sqref="C10">
    <cfRule type="duplicateValues" dxfId="32" priority="212"/>
  </conditionalFormatting>
  <conditionalFormatting sqref="C11">
    <cfRule type="duplicateValues" dxfId="31" priority="211"/>
  </conditionalFormatting>
  <conditionalFormatting sqref="C12">
    <cfRule type="duplicateValues" dxfId="30" priority="209"/>
  </conditionalFormatting>
  <conditionalFormatting sqref="C13">
    <cfRule type="duplicateValues" dxfId="29" priority="208"/>
  </conditionalFormatting>
  <conditionalFormatting sqref="AR9">
    <cfRule type="duplicateValues" dxfId="28" priority="11"/>
  </conditionalFormatting>
  <conditionalFormatting sqref="AR10">
    <cfRule type="duplicateValues" dxfId="27" priority="10"/>
  </conditionalFormatting>
  <conditionalFormatting sqref="J14">
    <cfRule type="expression" dxfId="26" priority="8">
      <formula>H14&lt;1.1</formula>
    </cfRule>
    <cfRule type="expression" dxfId="25" priority="9">
      <formula>H14&lt;1.1</formula>
    </cfRule>
  </conditionalFormatting>
  <conditionalFormatting sqref="C14">
    <cfRule type="duplicateValues" dxfId="24" priority="3"/>
  </conditionalFormatting>
  <conditionalFormatting sqref="I14">
    <cfRule type="expression" dxfId="23" priority="1">
      <formula>G14&lt;1.1</formula>
    </cfRule>
    <cfRule type="expression" dxfId="22" priority="2">
      <formula>G14&lt;1.1</formula>
    </cfRule>
  </conditionalFormatting>
  <dataValidations xWindow="729" yWindow="676" count="10">
    <dataValidation allowBlank="1" showInputMessage="1" showErrorMessage="1" prompt="Number of minutes on average to complete the task for each employee" sqref="D81:D82 D44:D45 D5:D42 D84:D96 D48:D79"/>
    <dataValidation allowBlank="1" showInputMessage="1" showErrorMessage="1" prompt="Average travel time" sqref="S56:T56 N56:P56 E81:G82 X56:AJ56 AN56:AS56 AL56 X66:AJ66 F43:G43 F46:G46 E5:G42 F56:H56 F48:G55 S66:T66 N66:P66 AL66 AN66:AS66 E57:G65 E44:G45 V66 V56 E84:G96 R91:R95 R84:R88 E66:H66 E48:E56 E67:G79"/>
    <dataValidation allowBlank="1" showInputMessage="1" showErrorMessage="1" prompt="Number of crew required to complete the job" sqref="H5:H42 H81:K82 H44:H45 H67:H79 H57:H65 H84:K96 H48:H55"/>
    <dataValidation allowBlank="1" showInputMessage="1" showErrorMessage="1" prompt="Auto calculation based on selections in the cells to the left" sqref="S84:S96 S81:S82 N81:O82 S5:S46 O79 S48:S55 O39 S57:S65 O61 N84:O96 N5:N46 O15 O24 O30 O34 N57:N65 N48:N55 N67:N79 S67:S79"/>
    <dataValidation allowBlank="1" showInputMessage="1" showErrorMessage="1" prompt="Enter costs ($) if materials are required" sqref="P39 P24 P15 P34 P30"/>
    <dataValidation allowBlank="1" showInputMessage="1" showErrorMessage="1" prompt="Enter ($) if there are other costs required" sqref="T5:T46 T81:T82 T48:T55 T57:T65 T91:T96 T84:T89 T67:T79"/>
    <dataValidation type="list" allowBlank="1" showInputMessage="1" showErrorMessage="1" prompt="use the drop down list to select the Gross up percentage" sqref="L5:M45">
      <formula1>Gross_up_list</formula1>
    </dataValidation>
    <dataValidation allowBlank="1" showInputMessage="1" showErrorMessage="1" prompt="Select the vehicle used from the drop down list" sqref="R89:R90 R81:R82 R96"/>
    <dataValidation type="list" allowBlank="1" showInputMessage="1" showErrorMessage="1" prompt="Auto calculation based on selections in the cells to the left" sqref="O16:O23 O67:O78 O48:O55 O62:O65 O57:O60 O40:O46 O35:O38 O31:O33 O25:O29">
      <formula1>$B$76:$B$85</formula1>
    </dataValidation>
    <dataValidation type="list" allowBlank="1" showInputMessage="1" showErrorMessage="1" sqref="W5:W96">
      <formula1>$K$87:$K$91</formula1>
    </dataValidation>
  </dataValidations>
  <pageMargins left="0.7" right="0.7" top="0.75" bottom="0.75" header="0.3" footer="0.3"/>
  <pageSetup paperSize="9" scale="10" fitToHeight="0" orientation="portrait" r:id="rId1"/>
  <legacyDrawing r:id="rId2"/>
  <extLst>
    <ext xmlns:x14="http://schemas.microsoft.com/office/spreadsheetml/2009/9/main" uri="{CCE6A557-97BC-4b89-ADB6-D9C93CAAB3DF}">
      <x14:dataValidations xmlns:xm="http://schemas.microsoft.com/office/excel/2006/main" xWindow="729" yWindow="676" count="4">
        <x14:dataValidation type="list" allowBlank="1" showInputMessage="1" showErrorMessage="1" prompt="Auto calculation based on selections in the cells to the left">
          <x14:formula1>
            <xm:f>'Lookups &amp; OH allocation'!$B$62:$B$72</xm:f>
          </x14:formula1>
          <xm:sqref>O5:O14</xm:sqref>
        </x14:dataValidation>
        <x14:dataValidation type="list" allowBlank="1" showInputMessage="1" showErrorMessage="1">
          <x14:formula1>
            <xm:f>'Lookups &amp; OH allocation'!$K$42:$K$43</xm:f>
          </x14:formula1>
          <xm:sqref>Q5:Q96</xm:sqref>
        </x14:dataValidation>
        <x14:dataValidation type="list" allowBlank="1" showInputMessage="1" showErrorMessage="1">
          <x14:formula1>
            <xm:f>'Lookups &amp; OH allocation'!$K$55:$K$59</xm:f>
          </x14:formula1>
          <xm:sqref>K5:K80</xm:sqref>
        </x14:dataValidation>
        <x14:dataValidation type="list" allowBlank="1" showInputMessage="1" showErrorMessage="1">
          <x14:formula1>
            <xm:f>'Lookups &amp; OH allocation'!$B$41:$B$50</xm:f>
          </x14:formula1>
          <xm:sqref>I5:J80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70C0"/>
    <pageSetUpPr fitToPage="1"/>
  </sheetPr>
  <dimension ref="A1:BV121"/>
  <sheetViews>
    <sheetView zoomScale="85" zoomScaleNormal="85" workbookViewId="0">
      <selection activeCell="C6" sqref="C6"/>
    </sheetView>
  </sheetViews>
  <sheetFormatPr defaultRowHeight="15"/>
  <cols>
    <col min="1" max="1" width="4.85546875" customWidth="1"/>
    <col min="2" max="2" width="31.28515625" customWidth="1"/>
    <col min="3" max="3" width="102.5703125" customWidth="1"/>
    <col min="4" max="4" width="9.42578125" customWidth="1"/>
    <col min="5" max="7" width="11" customWidth="1"/>
    <col min="8" max="8" width="9" customWidth="1"/>
    <col min="9" max="9" width="13.7109375" customWidth="1"/>
    <col min="10" max="10" width="13.7109375" style="27" customWidth="1"/>
    <col min="11" max="11" width="21.42578125" style="27" customWidth="1"/>
    <col min="12" max="13" width="10.5703125" style="27" customWidth="1"/>
    <col min="14" max="14" width="13.85546875" customWidth="1"/>
    <col min="15" max="15" width="32.140625" customWidth="1"/>
    <col min="16" max="16" width="12" customWidth="1"/>
    <col min="17" max="18" width="12.5703125" customWidth="1"/>
    <col min="19" max="19" width="10.28515625" customWidth="1"/>
    <col min="20" max="21" width="13.7109375" customWidth="1"/>
    <col min="22" max="22" width="13" customWidth="1"/>
    <col min="23" max="23" width="20.85546875" customWidth="1"/>
    <col min="24" max="25" width="15.7109375" customWidth="1"/>
    <col min="26" max="26" width="12.85546875" customWidth="1"/>
    <col min="27" max="31" width="14" customWidth="1"/>
    <col min="32" max="33" width="15.140625" customWidth="1"/>
    <col min="34" max="35" width="23.140625" customWidth="1"/>
    <col min="36" max="39" width="13" customWidth="1"/>
    <col min="40" max="40" width="11.5703125" customWidth="1"/>
    <col min="41" max="41" width="9.5703125" style="74" customWidth="1"/>
    <col min="42" max="42" width="41.7109375" customWidth="1"/>
    <col min="45" max="45" width="14.28515625" bestFit="1" customWidth="1"/>
  </cols>
  <sheetData>
    <row r="1" spans="1:74" ht="15.75" thickBot="1">
      <c r="S1" s="71"/>
      <c r="V1" s="75"/>
      <c r="AD1" s="27"/>
      <c r="AF1" s="71"/>
    </row>
    <row r="2" spans="1:74" ht="27" customHeight="1">
      <c r="B2" t="s">
        <v>243</v>
      </c>
      <c r="D2" s="606" t="s">
        <v>245</v>
      </c>
      <c r="E2" s="607"/>
      <c r="F2" s="607"/>
      <c r="G2" s="607"/>
      <c r="H2" s="607"/>
      <c r="I2" s="607"/>
      <c r="J2" s="607"/>
      <c r="K2" s="607"/>
      <c r="L2" s="607"/>
      <c r="M2" s="607"/>
      <c r="N2" s="607"/>
      <c r="O2" s="607"/>
      <c r="P2" s="607"/>
      <c r="Q2" s="607"/>
      <c r="R2" s="607"/>
      <c r="S2" s="607"/>
      <c r="T2" s="607"/>
      <c r="U2" s="608"/>
      <c r="V2" s="606" t="s">
        <v>249</v>
      </c>
      <c r="W2" s="607"/>
      <c r="X2" s="607"/>
      <c r="Y2" s="608"/>
      <c r="Z2" s="187" t="s">
        <v>248</v>
      </c>
      <c r="AA2" s="606" t="s">
        <v>253</v>
      </c>
      <c r="AB2" s="607"/>
      <c r="AC2" s="607"/>
      <c r="AD2" s="607"/>
      <c r="AE2" s="608"/>
      <c r="AF2" s="609" t="s">
        <v>98</v>
      </c>
      <c r="AG2" s="610"/>
      <c r="AH2" s="187" t="s">
        <v>248</v>
      </c>
      <c r="AI2" s="527" t="s">
        <v>250</v>
      </c>
      <c r="AJ2" s="29"/>
      <c r="AK2" s="29"/>
      <c r="AL2" s="29"/>
      <c r="AM2" s="531"/>
    </row>
    <row r="3" spans="1:74" s="200" customFormat="1" ht="60">
      <c r="B3" s="199" t="s">
        <v>1</v>
      </c>
      <c r="C3" s="199" t="s">
        <v>0</v>
      </c>
      <c r="D3" s="189" t="s">
        <v>85</v>
      </c>
      <c r="E3" s="190" t="s">
        <v>91</v>
      </c>
      <c r="F3" s="191" t="s">
        <v>192</v>
      </c>
      <c r="G3" s="191" t="s">
        <v>165</v>
      </c>
      <c r="H3" s="190" t="s">
        <v>92</v>
      </c>
      <c r="I3" s="190" t="s">
        <v>102</v>
      </c>
      <c r="J3" s="190" t="s">
        <v>103</v>
      </c>
      <c r="K3" s="190" t="s">
        <v>150</v>
      </c>
      <c r="L3" s="192" t="s">
        <v>208</v>
      </c>
      <c r="M3" s="192" t="s">
        <v>209</v>
      </c>
      <c r="N3" s="192" t="s">
        <v>97</v>
      </c>
      <c r="O3" s="190" t="s">
        <v>239</v>
      </c>
      <c r="P3" s="190" t="s">
        <v>244</v>
      </c>
      <c r="Q3" s="190" t="s">
        <v>99</v>
      </c>
      <c r="R3" s="208" t="s">
        <v>265</v>
      </c>
      <c r="S3" s="193" t="s">
        <v>86</v>
      </c>
      <c r="T3" s="190" t="s">
        <v>312</v>
      </c>
      <c r="U3" s="222" t="s">
        <v>246</v>
      </c>
      <c r="V3" s="196" t="s">
        <v>251</v>
      </c>
      <c r="W3" s="190" t="s">
        <v>200</v>
      </c>
      <c r="X3" s="190" t="s">
        <v>247</v>
      </c>
      <c r="Y3" s="190" t="s">
        <v>210</v>
      </c>
      <c r="Z3" s="222" t="s">
        <v>309</v>
      </c>
      <c r="AA3" s="194" t="str">
        <f>'Lookups &amp; OH allocation'!G5</f>
        <v>WSD overheads Hourly rate (indirect cost)</v>
      </c>
      <c r="AB3" s="195" t="str">
        <f>'Lookups &amp; OH allocation'!G16</f>
        <v>Shared Services overheads % expenditure</v>
      </c>
      <c r="AC3" s="195" t="s">
        <v>98</v>
      </c>
      <c r="AD3" s="198" t="s">
        <v>303</v>
      </c>
      <c r="AE3" s="222" t="s">
        <v>310</v>
      </c>
      <c r="AF3" s="197" t="s">
        <v>304</v>
      </c>
      <c r="AG3" s="198" t="s">
        <v>98</v>
      </c>
      <c r="AH3" s="222" t="s">
        <v>207</v>
      </c>
      <c r="AI3" s="528" t="s">
        <v>313</v>
      </c>
      <c r="AJ3" s="532"/>
      <c r="AK3" s="532"/>
      <c r="AL3" s="532"/>
      <c r="AM3" s="532"/>
      <c r="AN3" s="516"/>
      <c r="AO3" s="516"/>
      <c r="AP3" s="519"/>
    </row>
    <row r="4" spans="1:74">
      <c r="A4" t="s">
        <v>145</v>
      </c>
      <c r="B4" s="120" t="s">
        <v>306</v>
      </c>
      <c r="C4" s="112"/>
      <c r="D4" s="184"/>
      <c r="E4" s="113"/>
      <c r="F4" s="116"/>
      <c r="G4" s="271"/>
      <c r="H4" s="113"/>
      <c r="I4" s="114"/>
      <c r="J4" s="114"/>
      <c r="K4" s="114"/>
      <c r="L4" s="274"/>
      <c r="M4" s="178"/>
      <c r="N4" s="275"/>
      <c r="O4" s="203"/>
      <c r="P4" s="276"/>
      <c r="Q4" s="116"/>
      <c r="R4" s="113"/>
      <c r="S4" s="276"/>
      <c r="T4" s="115"/>
      <c r="U4" s="185"/>
      <c r="V4" s="220"/>
      <c r="W4" s="114"/>
      <c r="X4" s="114"/>
      <c r="Y4" s="115"/>
      <c r="Z4" s="227"/>
      <c r="AA4" s="226"/>
      <c r="AB4" s="226"/>
      <c r="AC4" s="118"/>
      <c r="AD4" s="219"/>
      <c r="AE4" s="185"/>
      <c r="AF4" s="115"/>
      <c r="AG4" s="115"/>
      <c r="AH4" s="185"/>
      <c r="AI4" s="529"/>
      <c r="AJ4" s="524"/>
      <c r="AK4" s="310"/>
      <c r="AL4" s="524"/>
      <c r="AM4" s="525"/>
      <c r="AN4" s="523"/>
      <c r="AO4" s="506"/>
      <c r="AP4" s="291"/>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row>
    <row r="5" spans="1:74">
      <c r="A5" t="s">
        <v>255</v>
      </c>
      <c r="B5" s="110" t="s">
        <v>266</v>
      </c>
      <c r="C5" s="111" t="s">
        <v>256</v>
      </c>
      <c r="D5" s="183">
        <v>0</v>
      </c>
      <c r="E5" s="122"/>
      <c r="F5" s="269">
        <f>SUM(D5:E5)</f>
        <v>0</v>
      </c>
      <c r="G5" s="217">
        <f>SUM(D5:E5)*H5</f>
        <v>0</v>
      </c>
      <c r="H5" s="122">
        <v>1</v>
      </c>
      <c r="I5" s="111" t="s">
        <v>199</v>
      </c>
      <c r="J5" s="111"/>
      <c r="K5" s="123" t="s">
        <v>154</v>
      </c>
      <c r="L5" s="272">
        <f>(IF(H5&gt;=1,IF(H5&gt;=2,VLOOKUP(I5,'Lookups &amp; OH allocation'!$B$41:$C$50,2,FALSE)/60*(E5)+VLOOKUP(J5,'Lookups &amp; OH allocation'!$B$41:$C$50,2,FALSE)/60*(E5),VLOOKUP(I5,'Lookups &amp; OH allocation'!$B$41:$C$50,2,FALSE)/60*(E5)),0))*(1+(VLOOKUP(K5,'Lookups &amp; OH allocation'!$K$47:$L$52,2,FALSE)))</f>
        <v>0</v>
      </c>
      <c r="M5" s="218">
        <f>(IF(H5&gt;=1,IF(H5&gt;=2,VLOOKUP(I5,'Lookups &amp; OH allocation'!$B$41:$C$50,2,FALSE)/60*(D5)+VLOOKUP(J5,'Lookups &amp; OH allocation'!$B$41:$C$50,2,FALSE)/60*(D5),VLOOKUP(I5,'Lookups &amp; OH allocation'!$B$41:$C$50,2,FALSE)/60*(D5)),0))*(1+(VLOOKUP(K5,'Lookups &amp; OH allocation'!$K$47:$L$52,2,FALSE)))</f>
        <v>0</v>
      </c>
      <c r="N5" s="273">
        <f>(IF(H5&gt;=1,IF(H5&gt;=2,VLOOKUP(I5,'Lookups &amp; OH allocation'!$B$41:$C$50,2,FALSE)/60*(F5)+VLOOKUP(J5,'Lookups &amp; OH allocation'!$B$41:$C$50,2,FALSE)/60*(F5),VLOOKUP(I5,'Lookups &amp; OH allocation'!$B$41:$C$50,2,FALSE)/60*(F5)),0))*(1+(VLOOKUP(K5,'Lookups &amp; OH allocation'!$K$47:$L$52,2,FALSE)))</f>
        <v>0</v>
      </c>
      <c r="O5" s="221" t="s">
        <v>238</v>
      </c>
      <c r="P5" s="277">
        <f>VLOOKUP(O5,'Lookups &amp; OH allocation'!$B$62:$C$72,2,FALSE)</f>
        <v>0</v>
      </c>
      <c r="Q5" s="125"/>
      <c r="R5" s="122"/>
      <c r="S5" s="277">
        <f>IFERROR(IF(R5&gt;0.01,VLOOKUP(Q5,'Lookups &amp; OH allocation'!$K$41:$L$43,2,FALSE)*((R5)/60),VLOOKUP(Q5,'Lookups &amp; OH allocation'!$K$41:$L$43,2,FALSE)*((F5)/60)),0)</f>
        <v>0</v>
      </c>
      <c r="T5" s="124">
        <v>0</v>
      </c>
      <c r="U5" s="223">
        <f>SUM(N5,P5,S5,T5)</f>
        <v>0</v>
      </c>
      <c r="V5" s="226"/>
      <c r="W5" s="123" t="s">
        <v>154</v>
      </c>
      <c r="X5" s="281">
        <f>U5*VLOOKUP(W5,'Lookups &amp; OH allocation'!$K$55:$L$59,2,FALSE)</f>
        <v>0</v>
      </c>
      <c r="Y5" s="124">
        <v>200</v>
      </c>
      <c r="Z5" s="223">
        <f>SUM(V5,X5,Y5)</f>
        <v>200</v>
      </c>
      <c r="AA5" s="473"/>
      <c r="AB5" s="474"/>
      <c r="AC5" s="179"/>
      <c r="AD5" s="179"/>
      <c r="AE5" s="223">
        <f>SUM(AA5:AD5)</f>
        <v>0</v>
      </c>
      <c r="AF5" s="124"/>
      <c r="AG5" s="124"/>
      <c r="AH5" s="223">
        <f>SUM(AF5,AG5)</f>
        <v>0</v>
      </c>
      <c r="AI5" s="530">
        <f>U5+Z5+AE5+AH5</f>
        <v>200</v>
      </c>
      <c r="AJ5" s="533"/>
      <c r="AK5" s="310"/>
      <c r="AL5" s="526"/>
      <c r="AM5" s="525"/>
      <c r="AN5" s="517"/>
      <c r="AO5" s="521"/>
      <c r="AP5" s="517"/>
    </row>
    <row r="6" spans="1:74">
      <c r="A6" t="s">
        <v>257</v>
      </c>
      <c r="B6" s="110" t="s">
        <v>266</v>
      </c>
      <c r="C6" s="111" t="s">
        <v>480</v>
      </c>
      <c r="D6" s="183">
        <f>(16*60)</f>
        <v>960</v>
      </c>
      <c r="E6" s="122"/>
      <c r="F6" s="269">
        <f>SUM(D6:E6)</f>
        <v>960</v>
      </c>
      <c r="G6" s="217">
        <f>SUM(D6:E6)*H6</f>
        <v>960</v>
      </c>
      <c r="H6" s="122">
        <v>1</v>
      </c>
      <c r="I6" s="111" t="s">
        <v>398</v>
      </c>
      <c r="J6" s="111"/>
      <c r="K6" s="123" t="s">
        <v>154</v>
      </c>
      <c r="L6" s="272">
        <f>(IF(H6&gt;=1,IF(H6&gt;=2,VLOOKUP(I6,'Lookups &amp; OH allocation'!$B$41:$C$50,2,FALSE)/60*(E6)+VLOOKUP(J6,'Lookups &amp; OH allocation'!$B$41:$C$50,2,FALSE)/60*(E6),VLOOKUP(I6,'Lookups &amp; OH allocation'!$B$41:$C$50,2,FALSE)/60*(E6)),0))*(1+(VLOOKUP(K6,'Lookups &amp; OH allocation'!$K$47:$L$52,2,FALSE)))</f>
        <v>0</v>
      </c>
      <c r="M6" s="218">
        <f>(IF(H6&gt;=1,IF(H6&gt;=2,VLOOKUP(I6,'Lookups &amp; OH allocation'!$B$41:$C$50,2,FALSE)/60*(D6)+VLOOKUP(J6,'Lookups &amp; OH allocation'!$B$41:$C$50,2,FALSE)/60*(D6),VLOOKUP(I6,'Lookups &amp; OH allocation'!$B$41:$C$50,2,FALSE)/60*(D6)),0))*(1+(VLOOKUP(K6,'Lookups &amp; OH allocation'!$K$47:$L$52,2,FALSE)))</f>
        <v>1176.1600000000001</v>
      </c>
      <c r="N6" s="273">
        <f>(IF(H6&gt;=1,IF(H6&gt;=2,VLOOKUP(I6,'Lookups &amp; OH allocation'!$B$41:$C$50,2,FALSE)/60*(F6)+VLOOKUP(J6,'Lookups &amp; OH allocation'!$B$41:$C$50,2,FALSE)/60*(F6),VLOOKUP(I6,'Lookups &amp; OH allocation'!$B$41:$C$50,2,FALSE)/60*(F6)),0))*(1+(VLOOKUP(K6,'Lookups &amp; OH allocation'!$K$47:$L$52,2,FALSE)))</f>
        <v>1176.1600000000001</v>
      </c>
      <c r="O6" s="221" t="s">
        <v>238</v>
      </c>
      <c r="P6" s="277">
        <f>VLOOKUP(O6,'Lookups &amp; OH allocation'!$B$62:$C$72,2,FALSE)</f>
        <v>0</v>
      </c>
      <c r="Q6" s="125"/>
      <c r="R6" s="122"/>
      <c r="S6" s="277">
        <f>IFERROR(IF(R6&gt;0.01,VLOOKUP(Q6,'Lookups &amp; OH allocation'!$K$41:$L$43,2,FALSE)*((R6)/60),VLOOKUP(Q6,'Lookups &amp; OH allocation'!$K$41:$L$43,2,FALSE)*((F6)/60)),0)</f>
        <v>0</v>
      </c>
      <c r="T6" s="124">
        <v>0</v>
      </c>
      <c r="U6" s="223">
        <f>SUM(N6,P6,S6,T6)</f>
        <v>1176.1600000000001</v>
      </c>
      <c r="V6" s="226"/>
      <c r="W6" s="123" t="s">
        <v>154</v>
      </c>
      <c r="X6" s="281">
        <f>U6*VLOOKUP(W6,'Lookups &amp; OH allocation'!$K$55:$L$59,2,FALSE)</f>
        <v>0</v>
      </c>
      <c r="Y6" s="124"/>
      <c r="Z6" s="223">
        <f>SUM(V6,X6,Y6)</f>
        <v>0</v>
      </c>
      <c r="AA6" s="226">
        <f>(G6/60)*'Lookups &amp; OH allocation'!$I$13</f>
        <v>624.18659303688253</v>
      </c>
      <c r="AB6" s="226">
        <f>SUM(Z6,U6,AA6)*'Lookups &amp; OH allocation'!$G$23</f>
        <v>86.166026366397631</v>
      </c>
      <c r="AC6" s="179"/>
      <c r="AD6" s="179"/>
      <c r="AE6" s="223">
        <f>SUM(AA6:AD6)</f>
        <v>710.35261940328019</v>
      </c>
      <c r="AF6" s="124"/>
      <c r="AG6" s="124"/>
      <c r="AH6" s="223">
        <f>SUM(AF6,AG6)</f>
        <v>0</v>
      </c>
      <c r="AI6" s="530">
        <f>U6+Z6+AE6+AH6</f>
        <v>1886.5126194032803</v>
      </c>
      <c r="AJ6" s="533"/>
      <c r="AK6" s="310"/>
      <c r="AL6" s="526"/>
      <c r="AM6" s="525"/>
      <c r="AN6" s="517"/>
      <c r="AO6" s="521"/>
      <c r="AP6" s="517"/>
    </row>
    <row r="7" spans="1:74">
      <c r="A7" t="s">
        <v>145</v>
      </c>
      <c r="B7" s="120" t="s">
        <v>267</v>
      </c>
      <c r="C7" s="112"/>
      <c r="D7" s="184"/>
      <c r="E7" s="113"/>
      <c r="F7" s="116"/>
      <c r="G7" s="271"/>
      <c r="H7" s="113"/>
      <c r="I7" s="114"/>
      <c r="J7" s="114"/>
      <c r="K7" s="114"/>
      <c r="L7" s="274"/>
      <c r="M7" s="178"/>
      <c r="N7" s="275"/>
      <c r="O7" s="203"/>
      <c r="P7" s="276"/>
      <c r="Q7" s="116"/>
      <c r="R7" s="113"/>
      <c r="S7" s="276"/>
      <c r="T7" s="115"/>
      <c r="U7" s="185"/>
      <c r="V7" s="220"/>
      <c r="W7" s="114"/>
      <c r="X7" s="114"/>
      <c r="Y7" s="115"/>
      <c r="Z7" s="227"/>
      <c r="AA7" s="226"/>
      <c r="AB7" s="226"/>
      <c r="AC7" s="118"/>
      <c r="AD7" s="219"/>
      <c r="AE7" s="185"/>
      <c r="AF7" s="115"/>
      <c r="AG7" s="115"/>
      <c r="AH7" s="185"/>
      <c r="AI7" s="529"/>
      <c r="AJ7" s="524"/>
      <c r="AK7" s="310"/>
      <c r="AL7" s="524"/>
      <c r="AM7" s="525"/>
      <c r="AN7" s="523"/>
      <c r="AO7" s="506"/>
      <c r="AP7" s="291"/>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row>
    <row r="8" spans="1:74">
      <c r="A8" t="s">
        <v>259</v>
      </c>
      <c r="B8" s="110" t="s">
        <v>266</v>
      </c>
      <c r="C8" s="111" t="s">
        <v>322</v>
      </c>
      <c r="D8" s="183">
        <f>(12*60)</f>
        <v>720</v>
      </c>
      <c r="E8" s="122"/>
      <c r="F8" s="269">
        <f t="shared" ref="F8:F13" si="0">SUM(D8:E8)</f>
        <v>720</v>
      </c>
      <c r="G8" s="217">
        <f t="shared" ref="G8:G13" si="1">SUM(D8:E8)*H8</f>
        <v>720</v>
      </c>
      <c r="H8" s="122">
        <v>1</v>
      </c>
      <c r="I8" s="111" t="s">
        <v>400</v>
      </c>
      <c r="J8" s="111"/>
      <c r="K8" s="123" t="s">
        <v>154</v>
      </c>
      <c r="L8" s="272">
        <f>(IF(H8&gt;=1,IF(H8&gt;=2,VLOOKUP(I8,'Lookups &amp; OH allocation'!$B$41:$C$50,2,FALSE)/60*(E8)+VLOOKUP(J8,'Lookups &amp; OH allocation'!$B$41:$C$50,2,FALSE)/60*(E8),VLOOKUP(I8,'Lookups &amp; OH allocation'!$B$41:$C$50,2,FALSE)/60*(E8)),0))*(1+(VLOOKUP(K8,'Lookups &amp; OH allocation'!$K$47:$L$52,2,FALSE)))</f>
        <v>0</v>
      </c>
      <c r="M8" s="218">
        <f>(IF(H8&gt;=1,IF(H8&gt;=2,VLOOKUP(I8,'Lookups &amp; OH allocation'!$B$41:$C$50,2,FALSE)/60*(D8)+VLOOKUP(J8,'Lookups &amp; OH allocation'!$B$41:$C$50,2,FALSE)/60*(D8),VLOOKUP(I8,'Lookups &amp; OH allocation'!$B$41:$C$50,2,FALSE)/60*(D8)),0))*(1+(VLOOKUP(K8,'Lookups &amp; OH allocation'!$K$47:$L$52,2,FALSE)))</f>
        <v>796.19999999999993</v>
      </c>
      <c r="N8" s="273">
        <f>(IF(H8&gt;=1,IF(H8&gt;=2,VLOOKUP(I8,'Lookups &amp; OH allocation'!$B$41:$C$50,2,FALSE)/60*(F8)+VLOOKUP(J8,'Lookups &amp; OH allocation'!$B$41:$C$50,2,FALSE)/60*(F8),VLOOKUP(I8,'Lookups &amp; OH allocation'!$B$41:$C$50,2,FALSE)/60*(F8)),0))*(1+(VLOOKUP(K8,'Lookups &amp; OH allocation'!$K$47:$L$52,2,FALSE)))</f>
        <v>796.19999999999993</v>
      </c>
      <c r="O8" s="221" t="s">
        <v>238</v>
      </c>
      <c r="P8" s="277">
        <f>VLOOKUP(O8,'Lookups &amp; OH allocation'!$B$62:$C$72,2,FALSE)</f>
        <v>0</v>
      </c>
      <c r="Q8" s="125" t="s">
        <v>101</v>
      </c>
      <c r="R8" s="122">
        <f>8*60</f>
        <v>480</v>
      </c>
      <c r="S8" s="277">
        <f>IFERROR(IF(R8&gt;0.01,VLOOKUP(Q8,'Lookups &amp; OH allocation'!$K$41:$L$43,2,FALSE)*((R8)/60),VLOOKUP(Q8,'Lookups &amp; OH allocation'!$K$41:$L$43,2,FALSE)*((F8)/60)),0)</f>
        <v>54.930840151316261</v>
      </c>
      <c r="T8" s="124">
        <v>0</v>
      </c>
      <c r="U8" s="223">
        <f t="shared" ref="U8:U13" si="2">SUM(N8,P8,S8,T8)</f>
        <v>851.13084015131619</v>
      </c>
      <c r="V8" s="226"/>
      <c r="W8" s="123" t="s">
        <v>154</v>
      </c>
      <c r="X8" s="281">
        <f>U8*VLOOKUP(W8,'Lookups &amp; OH allocation'!$K$55:$L$59,2,FALSE)</f>
        <v>0</v>
      </c>
      <c r="Y8" s="124"/>
      <c r="Z8" s="223">
        <f t="shared" ref="Z8:Z13" si="3">SUM(V8,X8,Y8)</f>
        <v>0</v>
      </c>
      <c r="AA8" s="226">
        <f>(G8/60)*'Lookups &amp; OH allocation'!$I$13</f>
        <v>468.13994477766187</v>
      </c>
      <c r="AB8" s="226">
        <f>SUM(Z8,U8,AA8)*'Lookups &amp; OH allocation'!$G$23</f>
        <v>63.14135382501852</v>
      </c>
      <c r="AC8" s="179"/>
      <c r="AD8" s="179"/>
      <c r="AE8" s="223">
        <f t="shared" ref="AE8:AE13" si="4">SUM(AA8:AD8)</f>
        <v>531.28129860268041</v>
      </c>
      <c r="AF8" s="124"/>
      <c r="AG8" s="124"/>
      <c r="AH8" s="223">
        <f t="shared" ref="AH8:AH13" si="5">SUM(AF8,AG8)</f>
        <v>0</v>
      </c>
      <c r="AI8" s="530">
        <f t="shared" ref="AI8:AI13" si="6">U8+Z8+AE8+AH8</f>
        <v>1382.4121387539967</v>
      </c>
      <c r="AJ8" s="533"/>
      <c r="AK8" s="310"/>
      <c r="AL8" s="526"/>
      <c r="AM8" s="525"/>
      <c r="AN8" s="517"/>
      <c r="AO8" s="521"/>
      <c r="AP8" s="517"/>
    </row>
    <row r="9" spans="1:74">
      <c r="A9" t="s">
        <v>260</v>
      </c>
      <c r="B9" s="110" t="s">
        <v>266</v>
      </c>
      <c r="C9" s="111" t="s">
        <v>323</v>
      </c>
      <c r="D9" s="183">
        <f>(16*60)</f>
        <v>960</v>
      </c>
      <c r="E9" s="122"/>
      <c r="F9" s="269">
        <f t="shared" si="0"/>
        <v>960</v>
      </c>
      <c r="G9" s="217">
        <f t="shared" si="1"/>
        <v>960</v>
      </c>
      <c r="H9" s="122">
        <v>1</v>
      </c>
      <c r="I9" s="111" t="s">
        <v>399</v>
      </c>
      <c r="J9" s="111"/>
      <c r="K9" s="123" t="s">
        <v>154</v>
      </c>
      <c r="L9" s="272">
        <f>(IF(H9&gt;=1,IF(H9&gt;=2,VLOOKUP(I9,'Lookups &amp; OH allocation'!$B$41:$C$50,2,FALSE)/60*(E9)+VLOOKUP(J9,'Lookups &amp; OH allocation'!$B$41:$C$50,2,FALSE)/60*(E9),VLOOKUP(I9,'Lookups &amp; OH allocation'!$B$41:$C$50,2,FALSE)/60*(E9)),0))*(1+(VLOOKUP(K9,'Lookups &amp; OH allocation'!$K$47:$L$52,2,FALSE)))</f>
        <v>0</v>
      </c>
      <c r="M9" s="218">
        <f>(IF(H9&gt;=1,IF(H9&gt;=2,VLOOKUP(I9,'Lookups &amp; OH allocation'!$B$41:$C$50,2,FALSE)/60*(D9)+VLOOKUP(J9,'Lookups &amp; OH allocation'!$B$41:$C$50,2,FALSE)/60*(D9),VLOOKUP(I9,'Lookups &amp; OH allocation'!$B$41:$C$50,2,FALSE)/60*(D9)),0))*(1+(VLOOKUP(K9,'Lookups &amp; OH allocation'!$K$47:$L$52,2,FALSE)))</f>
        <v>1081.44</v>
      </c>
      <c r="N9" s="273">
        <f>(IF(H9&gt;=1,IF(H9&gt;=2,VLOOKUP(I9,'Lookups &amp; OH allocation'!$B$41:$C$50,2,FALSE)/60*(F9)+VLOOKUP(J9,'Lookups &amp; OH allocation'!$B$41:$C$50,2,FALSE)/60*(F9),VLOOKUP(I9,'Lookups &amp; OH allocation'!$B$41:$C$50,2,FALSE)/60*(F9)),0))*(1+(VLOOKUP(K9,'Lookups &amp; OH allocation'!$K$47:$L$52,2,FALSE)))</f>
        <v>1081.44</v>
      </c>
      <c r="O9" s="221" t="s">
        <v>238</v>
      </c>
      <c r="P9" s="277">
        <f>VLOOKUP(O9,'Lookups &amp; OH allocation'!$B$62:$C$72,2,FALSE)</f>
        <v>0</v>
      </c>
      <c r="Q9" s="125" t="s">
        <v>101</v>
      </c>
      <c r="R9" s="122">
        <f>8*60</f>
        <v>480</v>
      </c>
      <c r="S9" s="277">
        <f>IFERROR(IF(R9&gt;0.01,VLOOKUP(Q9,'Lookups &amp; OH allocation'!$K$41:$L$43,2,FALSE)*((R9)/60),VLOOKUP(Q9,'Lookups &amp; OH allocation'!$K$41:$L$43,2,FALSE)*((F9)/60)),0)</f>
        <v>54.930840151316261</v>
      </c>
      <c r="T9" s="124">
        <v>0</v>
      </c>
      <c r="U9" s="223">
        <f t="shared" si="2"/>
        <v>1136.3708401513163</v>
      </c>
      <c r="V9" s="226"/>
      <c r="W9" s="123" t="s">
        <v>154</v>
      </c>
      <c r="X9" s="281">
        <f>U9*VLOOKUP(W9,'Lookups &amp; OH allocation'!$K$55:$L$59,2,FALSE)</f>
        <v>0</v>
      </c>
      <c r="Y9" s="124"/>
      <c r="Z9" s="223">
        <f t="shared" si="3"/>
        <v>0</v>
      </c>
      <c r="AA9" s="226">
        <f>(G9/60)*'Lookups &amp; OH allocation'!$I$13</f>
        <v>624.18659303688253</v>
      </c>
      <c r="AB9" s="226">
        <f>SUM(Z9,U9,AA9)*'Lookups &amp; OH allocation'!$G$23</f>
        <v>84.261685385678348</v>
      </c>
      <c r="AC9" s="179"/>
      <c r="AD9" s="179"/>
      <c r="AE9" s="223">
        <f t="shared" si="4"/>
        <v>708.44827842256086</v>
      </c>
      <c r="AF9" s="124"/>
      <c r="AG9" s="124"/>
      <c r="AH9" s="223">
        <f t="shared" si="5"/>
        <v>0</v>
      </c>
      <c r="AI9" s="530">
        <f t="shared" si="6"/>
        <v>1844.8191185738772</v>
      </c>
      <c r="AJ9" s="533"/>
      <c r="AK9" s="310"/>
      <c r="AL9" s="526"/>
      <c r="AM9" s="525"/>
      <c r="AN9" s="517"/>
      <c r="AO9" s="521"/>
      <c r="AP9" s="517"/>
    </row>
    <row r="10" spans="1:74">
      <c r="A10" t="s">
        <v>261</v>
      </c>
      <c r="B10" s="110" t="s">
        <v>266</v>
      </c>
      <c r="C10" s="111" t="s">
        <v>324</v>
      </c>
      <c r="D10" s="183">
        <f>(24*60)</f>
        <v>1440</v>
      </c>
      <c r="E10" s="122"/>
      <c r="F10" s="269">
        <f t="shared" si="0"/>
        <v>1440</v>
      </c>
      <c r="G10" s="217">
        <f t="shared" si="1"/>
        <v>1440</v>
      </c>
      <c r="H10" s="122">
        <v>1</v>
      </c>
      <c r="I10" s="111" t="s">
        <v>398</v>
      </c>
      <c r="J10" s="111"/>
      <c r="K10" s="123" t="s">
        <v>154</v>
      </c>
      <c r="L10" s="272">
        <f>(IF(H10&gt;=1,IF(H10&gt;=2,VLOOKUP(I10,'Lookups &amp; OH allocation'!$B$41:$C$50,2,FALSE)/60*(E10)+VLOOKUP(J10,'Lookups &amp; OH allocation'!$B$41:$C$50,2,FALSE)/60*(E10),VLOOKUP(I10,'Lookups &amp; OH allocation'!$B$41:$C$50,2,FALSE)/60*(E10)),0))*(1+(VLOOKUP(K10,'Lookups &amp; OH allocation'!$K$47:$L$52,2,FALSE)))</f>
        <v>0</v>
      </c>
      <c r="M10" s="218">
        <f>(IF(H10&gt;=1,IF(H10&gt;=2,VLOOKUP(I10,'Lookups &amp; OH allocation'!$B$41:$C$50,2,FALSE)/60*(D10)+VLOOKUP(J10,'Lookups &amp; OH allocation'!$B$41:$C$50,2,FALSE)/60*(D10),VLOOKUP(I10,'Lookups &amp; OH allocation'!$B$41:$C$50,2,FALSE)/60*(D10)),0))*(1+(VLOOKUP(K10,'Lookups &amp; OH allocation'!$K$47:$L$52,2,FALSE)))</f>
        <v>1764.24</v>
      </c>
      <c r="N10" s="273">
        <f>(IF(H10&gt;=1,IF(H10&gt;=2,VLOOKUP(I10,'Lookups &amp; OH allocation'!$B$41:$C$50,2,FALSE)/60*(F10)+VLOOKUP(J10,'Lookups &amp; OH allocation'!$B$41:$C$50,2,FALSE)/60*(F10),VLOOKUP(I10,'Lookups &amp; OH allocation'!$B$41:$C$50,2,FALSE)/60*(F10)),0))*(1+(VLOOKUP(K10,'Lookups &amp; OH allocation'!$K$47:$L$52,2,FALSE)))</f>
        <v>1764.24</v>
      </c>
      <c r="O10" s="221" t="s">
        <v>238</v>
      </c>
      <c r="P10" s="277">
        <f>VLOOKUP(O10,'Lookups &amp; OH allocation'!$B$62:$C$72,2,FALSE)</f>
        <v>0</v>
      </c>
      <c r="Q10" s="125" t="s">
        <v>101</v>
      </c>
      <c r="R10" s="122">
        <f>16*60</f>
        <v>960</v>
      </c>
      <c r="S10" s="277">
        <f>IFERROR(IF(R10&gt;0.01,VLOOKUP(Q10,'Lookups &amp; OH allocation'!$K$41:$L$43,2,FALSE)*((R10)/60),VLOOKUP(Q10,'Lookups &amp; OH allocation'!$K$41:$L$43,2,FALSE)*((F10)/60)),0)</f>
        <v>109.86168030263252</v>
      </c>
      <c r="T10" s="124">
        <v>0</v>
      </c>
      <c r="U10" s="223">
        <f t="shared" si="2"/>
        <v>1874.1016803026325</v>
      </c>
      <c r="V10" s="226"/>
      <c r="W10" s="123" t="s">
        <v>154</v>
      </c>
      <c r="X10" s="281">
        <f>U10*VLOOKUP(W10,'Lookups &amp; OH allocation'!$K$55:$L$59,2,FALSE)</f>
        <v>0</v>
      </c>
      <c r="Y10" s="124"/>
      <c r="Z10" s="223">
        <f t="shared" si="3"/>
        <v>0</v>
      </c>
      <c r="AA10" s="226">
        <f>(G10/60)*'Lookups &amp; OH allocation'!$I$13</f>
        <v>936.27988955532373</v>
      </c>
      <c r="AB10" s="226">
        <f>SUM(Z10,U10,AA10)*'Lookups &amp; OH allocation'!$G$23</f>
        <v>134.50710734511202</v>
      </c>
      <c r="AC10" s="179"/>
      <c r="AD10" s="179"/>
      <c r="AE10" s="223">
        <f t="shared" si="4"/>
        <v>1070.7869969004357</v>
      </c>
      <c r="AF10" s="124"/>
      <c r="AG10" s="124"/>
      <c r="AH10" s="223">
        <f t="shared" si="5"/>
        <v>0</v>
      </c>
      <c r="AI10" s="530">
        <f t="shared" si="6"/>
        <v>2944.8886772030683</v>
      </c>
      <c r="AJ10" s="533"/>
      <c r="AK10" s="310"/>
      <c r="AL10" s="526"/>
      <c r="AM10" s="525"/>
      <c r="AN10" s="517"/>
      <c r="AO10" s="521"/>
      <c r="AP10" s="517"/>
    </row>
    <row r="11" spans="1:74">
      <c r="A11" t="s">
        <v>262</v>
      </c>
      <c r="B11" s="110" t="s">
        <v>266</v>
      </c>
      <c r="C11" s="111" t="s">
        <v>326</v>
      </c>
      <c r="D11" s="183">
        <f>(40*60)</f>
        <v>2400</v>
      </c>
      <c r="E11" s="122"/>
      <c r="F11" s="269">
        <f t="shared" si="0"/>
        <v>2400</v>
      </c>
      <c r="G11" s="217">
        <f t="shared" si="1"/>
        <v>2400</v>
      </c>
      <c r="H11" s="122">
        <v>1</v>
      </c>
      <c r="I11" s="111" t="s">
        <v>402</v>
      </c>
      <c r="J11" s="111"/>
      <c r="K11" s="123" t="s">
        <v>154</v>
      </c>
      <c r="L11" s="272">
        <f>(IF(H11&gt;=1,IF(H11&gt;=2,VLOOKUP(I11,'Lookups &amp; OH allocation'!$B$41:$C$50,2,FALSE)/60*(E11)+VLOOKUP(J11,'Lookups &amp; OH allocation'!$B$41:$C$50,2,FALSE)/60*(E11),VLOOKUP(I11,'Lookups &amp; OH allocation'!$B$41:$C$50,2,FALSE)/60*(E11)),0))*(1+(VLOOKUP(K11,'Lookups &amp; OH allocation'!$K$47:$L$52,2,FALSE)))</f>
        <v>0</v>
      </c>
      <c r="M11" s="218">
        <f>(IF(H11&gt;=1,IF(H11&gt;=2,VLOOKUP(I11,'Lookups &amp; OH allocation'!$B$41:$C$50,2,FALSE)/60*(D11)+VLOOKUP(J11,'Lookups &amp; OH allocation'!$B$41:$C$50,2,FALSE)/60*(D11),VLOOKUP(I11,'Lookups &amp; OH allocation'!$B$41:$C$50,2,FALSE)/60*(D11)),0))*(1+(VLOOKUP(K11,'Lookups &amp; OH allocation'!$K$47:$L$52,2,FALSE)))</f>
        <v>2703.6000000000004</v>
      </c>
      <c r="N11" s="273">
        <f>(IF(H11&gt;=1,IF(H11&gt;=2,VLOOKUP(I11,'Lookups &amp; OH allocation'!$B$41:$C$50,2,FALSE)/60*(F11)+VLOOKUP(J11,'Lookups &amp; OH allocation'!$B$41:$C$50,2,FALSE)/60*(F11),VLOOKUP(I11,'Lookups &amp; OH allocation'!$B$41:$C$50,2,FALSE)/60*(F11)),0))*(1+(VLOOKUP(K11,'Lookups &amp; OH allocation'!$K$47:$L$52,2,FALSE)))</f>
        <v>2703.6000000000004</v>
      </c>
      <c r="O11" s="221" t="s">
        <v>238</v>
      </c>
      <c r="P11" s="277">
        <f>VLOOKUP(O11,'Lookups &amp; OH allocation'!$B$62:$C$72,2,FALSE)</f>
        <v>0</v>
      </c>
      <c r="Q11" s="125" t="s">
        <v>101</v>
      </c>
      <c r="R11" s="122">
        <f>40*60</f>
        <v>2400</v>
      </c>
      <c r="S11" s="277">
        <f>IFERROR(IF(R11&gt;0.01,VLOOKUP(Q11,'Lookups &amp; OH allocation'!$K$41:$L$43,2,FALSE)*((R11)/60),VLOOKUP(Q11,'Lookups &amp; OH allocation'!$K$41:$L$43,2,FALSE)*((F11)/60)),0)</f>
        <v>274.6542007565813</v>
      </c>
      <c r="T11" s="124">
        <v>0</v>
      </c>
      <c r="U11" s="223">
        <f t="shared" si="2"/>
        <v>2978.2542007565817</v>
      </c>
      <c r="V11" s="226"/>
      <c r="W11" s="123" t="s">
        <v>154</v>
      </c>
      <c r="X11" s="281">
        <f>U11*VLOOKUP(W11,'Lookups &amp; OH allocation'!$K$55:$L$59,2,FALSE)</f>
        <v>0</v>
      </c>
      <c r="Y11" s="124"/>
      <c r="Z11" s="223">
        <f t="shared" si="3"/>
        <v>0</v>
      </c>
      <c r="AA11" s="226">
        <f>(G11/60)*'Lookups &amp; OH allocation'!$I$13</f>
        <v>1560.4664825922064</v>
      </c>
      <c r="AB11" s="226">
        <f>SUM(Z11,U11,AA11)*'Lookups &amp; OH allocation'!$G$23</f>
        <v>217.22679820859031</v>
      </c>
      <c r="AC11" s="179"/>
      <c r="AD11" s="179"/>
      <c r="AE11" s="223">
        <f t="shared" si="4"/>
        <v>1777.6932808007966</v>
      </c>
      <c r="AF11" s="124"/>
      <c r="AG11" s="124"/>
      <c r="AH11" s="223">
        <f t="shared" si="5"/>
        <v>0</v>
      </c>
      <c r="AI11" s="530">
        <f t="shared" si="6"/>
        <v>4755.9474815573785</v>
      </c>
      <c r="AJ11" s="533"/>
      <c r="AK11" s="310"/>
      <c r="AL11" s="526"/>
      <c r="AM11" s="525"/>
      <c r="AN11" s="517"/>
      <c r="AO11" s="521"/>
      <c r="AP11" s="517"/>
    </row>
    <row r="12" spans="1:74">
      <c r="A12" t="s">
        <v>263</v>
      </c>
      <c r="B12" s="110" t="s">
        <v>266</v>
      </c>
      <c r="C12" s="111" t="s">
        <v>327</v>
      </c>
      <c r="D12" s="183">
        <f>(50*60)</f>
        <v>3000</v>
      </c>
      <c r="E12" s="122"/>
      <c r="F12" s="269">
        <f t="shared" si="0"/>
        <v>3000</v>
      </c>
      <c r="G12" s="217">
        <f t="shared" si="1"/>
        <v>3000</v>
      </c>
      <c r="H12" s="122">
        <v>1</v>
      </c>
      <c r="I12" s="111" t="s">
        <v>402</v>
      </c>
      <c r="J12" s="111"/>
      <c r="K12" s="123" t="s">
        <v>154</v>
      </c>
      <c r="L12" s="272">
        <f>(IF(H12&gt;=1,IF(H12&gt;=2,VLOOKUP(I12,'Lookups &amp; OH allocation'!$B$41:$C$50,2,FALSE)/60*(E12)+VLOOKUP(J12,'Lookups &amp; OH allocation'!$B$41:$C$50,2,FALSE)/60*(E12),VLOOKUP(I12,'Lookups &amp; OH allocation'!$B$41:$C$50,2,FALSE)/60*(E12)),0))*(1+(VLOOKUP(K12,'Lookups &amp; OH allocation'!$K$47:$L$52,2,FALSE)))</f>
        <v>0</v>
      </c>
      <c r="M12" s="218">
        <f>(IF(H12&gt;=1,IF(H12&gt;=2,VLOOKUP(I12,'Lookups &amp; OH allocation'!$B$41:$C$50,2,FALSE)/60*(D12)+VLOOKUP(J12,'Lookups &amp; OH allocation'!$B$41:$C$50,2,FALSE)/60*(D12),VLOOKUP(I12,'Lookups &amp; OH allocation'!$B$41:$C$50,2,FALSE)/60*(D12)),0))*(1+(VLOOKUP(K12,'Lookups &amp; OH allocation'!$K$47:$L$52,2,FALSE)))</f>
        <v>3379.5</v>
      </c>
      <c r="N12" s="273">
        <f>(IF(H12&gt;=1,IF(H12&gt;=2,VLOOKUP(I12,'Lookups &amp; OH allocation'!$B$41:$C$50,2,FALSE)/60*(F12)+VLOOKUP(J12,'Lookups &amp; OH allocation'!$B$41:$C$50,2,FALSE)/60*(F12),VLOOKUP(I12,'Lookups &amp; OH allocation'!$B$41:$C$50,2,FALSE)/60*(F12)),0))*(1+(VLOOKUP(K12,'Lookups &amp; OH allocation'!$K$47:$L$52,2,FALSE)))</f>
        <v>3379.5</v>
      </c>
      <c r="O12" s="221" t="s">
        <v>238</v>
      </c>
      <c r="P12" s="277">
        <f>VLOOKUP(O12,'Lookups &amp; OH allocation'!$B$62:$C$72,2,FALSE)</f>
        <v>0</v>
      </c>
      <c r="Q12" s="125" t="s">
        <v>101</v>
      </c>
      <c r="R12" s="122">
        <f>50*60</f>
        <v>3000</v>
      </c>
      <c r="S12" s="277">
        <f>IFERROR(IF(R12&gt;0.01,VLOOKUP(Q12,'Lookups &amp; OH allocation'!$K$41:$L$43,2,FALSE)*((R12)/60),VLOOKUP(Q12,'Lookups &amp; OH allocation'!$K$41:$L$43,2,FALSE)*((F12)/60)),0)</f>
        <v>343.31775094572663</v>
      </c>
      <c r="T12" s="124">
        <v>0</v>
      </c>
      <c r="U12" s="223">
        <f t="shared" si="2"/>
        <v>3722.8177509457264</v>
      </c>
      <c r="V12" s="226"/>
      <c r="W12" s="123" t="s">
        <v>154</v>
      </c>
      <c r="X12" s="281">
        <f>U12*VLOOKUP(W12,'Lookups &amp; OH allocation'!$K$55:$L$59,2,FALSE)</f>
        <v>0</v>
      </c>
      <c r="Y12" s="124"/>
      <c r="Z12" s="223">
        <f t="shared" si="3"/>
        <v>0</v>
      </c>
      <c r="AA12" s="226">
        <f>(G12/60)*'Lookups &amp; OH allocation'!$I$13</f>
        <v>1950.583103240258</v>
      </c>
      <c r="AB12" s="226">
        <f>SUM(Z12,U12,AA12)*'Lookups &amp; OH allocation'!$G$23</f>
        <v>271.53349776073782</v>
      </c>
      <c r="AC12" s="179"/>
      <c r="AD12" s="179"/>
      <c r="AE12" s="223">
        <f t="shared" si="4"/>
        <v>2222.1166010009956</v>
      </c>
      <c r="AF12" s="124"/>
      <c r="AG12" s="124"/>
      <c r="AH12" s="223">
        <f t="shared" si="5"/>
        <v>0</v>
      </c>
      <c r="AI12" s="530">
        <f t="shared" si="6"/>
        <v>5944.934351946722</v>
      </c>
      <c r="AJ12" s="533"/>
      <c r="AK12" s="310"/>
      <c r="AL12" s="526"/>
      <c r="AM12" s="525"/>
      <c r="AN12" s="517"/>
      <c r="AO12" s="521"/>
      <c r="AP12" s="517"/>
    </row>
    <row r="13" spans="1:74">
      <c r="A13" t="s">
        <v>264</v>
      </c>
      <c r="B13" s="110" t="s">
        <v>266</v>
      </c>
      <c r="C13" s="111" t="s">
        <v>328</v>
      </c>
      <c r="D13" s="183">
        <f>(60*60)</f>
        <v>3600</v>
      </c>
      <c r="E13" s="122"/>
      <c r="F13" s="269">
        <f t="shared" si="0"/>
        <v>3600</v>
      </c>
      <c r="G13" s="217">
        <f t="shared" si="1"/>
        <v>3600</v>
      </c>
      <c r="H13" s="122">
        <v>1</v>
      </c>
      <c r="I13" s="111" t="s">
        <v>403</v>
      </c>
      <c r="J13" s="111"/>
      <c r="K13" s="123" t="s">
        <v>154</v>
      </c>
      <c r="L13" s="272">
        <f>(IF(H13&gt;=1,IF(H13&gt;=2,VLOOKUP(I13,'Lookups &amp; OH allocation'!$B$41:$C$50,2,FALSE)/60*(E13)+VLOOKUP(J13,'Lookups &amp; OH allocation'!$B$41:$C$50,2,FALSE)/60*(E13),VLOOKUP(I13,'Lookups &amp; OH allocation'!$B$41:$C$50,2,FALSE)/60*(E13)),0))*(1+(VLOOKUP(K13,'Lookups &amp; OH allocation'!$K$47:$L$52,2,FALSE)))</f>
        <v>0</v>
      </c>
      <c r="M13" s="218">
        <f>(IF(H13&gt;=1,IF(H13&gt;=2,VLOOKUP(I13,'Lookups &amp; OH allocation'!$B$41:$C$50,2,FALSE)/60*(D13)+VLOOKUP(J13,'Lookups &amp; OH allocation'!$B$41:$C$50,2,FALSE)/60*(D13),VLOOKUP(I13,'Lookups &amp; OH allocation'!$B$41:$C$50,2,FALSE)/60*(D13)),0))*(1+(VLOOKUP(K13,'Lookups &amp; OH allocation'!$K$47:$L$52,2,FALSE)))</f>
        <v>4290</v>
      </c>
      <c r="N13" s="273">
        <f>(IF(H13&gt;=1,IF(H13&gt;=2,VLOOKUP(I13,'Lookups &amp; OH allocation'!$B$41:$C$50,2,FALSE)/60*(F13)+VLOOKUP(J13,'Lookups &amp; OH allocation'!$B$41:$C$50,2,FALSE)/60*(F13),VLOOKUP(I13,'Lookups &amp; OH allocation'!$B$41:$C$50,2,FALSE)/60*(F13)),0))*(1+(VLOOKUP(K13,'Lookups &amp; OH allocation'!$K$47:$L$52,2,FALSE)))</f>
        <v>4290</v>
      </c>
      <c r="O13" s="221" t="s">
        <v>238</v>
      </c>
      <c r="P13" s="277">
        <f>VLOOKUP(O13,'Lookups &amp; OH allocation'!$B$62:$C$72,2,FALSE)</f>
        <v>0</v>
      </c>
      <c r="Q13" s="125" t="s">
        <v>101</v>
      </c>
      <c r="R13" s="122">
        <f>60*60</f>
        <v>3600</v>
      </c>
      <c r="S13" s="277">
        <f>IFERROR(IF(R13&gt;0.01,VLOOKUP(Q13,'Lookups &amp; OH allocation'!$K$41:$L$43,2,FALSE)*((R13)/60),VLOOKUP(Q13,'Lookups &amp; OH allocation'!$K$41:$L$43,2,FALSE)*((F13)/60)),0)</f>
        <v>411.98130113487196</v>
      </c>
      <c r="T13" s="124">
        <v>0</v>
      </c>
      <c r="U13" s="223">
        <f t="shared" si="2"/>
        <v>4701.9813011348724</v>
      </c>
      <c r="V13" s="226"/>
      <c r="W13" s="123" t="s">
        <v>154</v>
      </c>
      <c r="X13" s="281">
        <f>U13*VLOOKUP(W13,'Lookups &amp; OH allocation'!$K$55:$L$59,2,FALSE)</f>
        <v>0</v>
      </c>
      <c r="Y13" s="124"/>
      <c r="Z13" s="223">
        <f t="shared" si="3"/>
        <v>0</v>
      </c>
      <c r="AA13" s="226">
        <f>(G13/60)*'Lookups &amp; OH allocation'!$I$13</f>
        <v>2340.6997238883096</v>
      </c>
      <c r="AB13" s="226">
        <f>SUM(Z13,U13,AA13)*'Lookups &amp; OH allocation'!$G$23</f>
        <v>337.06834075134321</v>
      </c>
      <c r="AC13" s="179"/>
      <c r="AD13" s="179"/>
      <c r="AE13" s="223">
        <f t="shared" si="4"/>
        <v>2677.7680646396529</v>
      </c>
      <c r="AF13" s="124"/>
      <c r="AG13" s="124"/>
      <c r="AH13" s="223">
        <f t="shared" si="5"/>
        <v>0</v>
      </c>
      <c r="AI13" s="530">
        <f t="shared" si="6"/>
        <v>7379.7493657745254</v>
      </c>
      <c r="AJ13" s="533"/>
      <c r="AK13" s="310"/>
      <c r="AL13" s="526"/>
      <c r="AM13" s="525"/>
      <c r="AN13" s="517"/>
      <c r="AO13" s="521"/>
      <c r="AP13" s="517"/>
    </row>
    <row r="14" spans="1:74">
      <c r="A14" t="s">
        <v>145</v>
      </c>
      <c r="B14" s="120" t="s">
        <v>268</v>
      </c>
      <c r="C14" s="112"/>
      <c r="D14" s="184"/>
      <c r="E14" s="113"/>
      <c r="F14" s="116"/>
      <c r="G14" s="271"/>
      <c r="H14" s="113"/>
      <c r="I14" s="114"/>
      <c r="J14" s="114"/>
      <c r="K14" s="114"/>
      <c r="L14" s="274"/>
      <c r="M14" s="178"/>
      <c r="N14" s="275"/>
      <c r="O14" s="203"/>
      <c r="P14" s="276"/>
      <c r="Q14" s="116"/>
      <c r="R14" s="113"/>
      <c r="S14" s="276"/>
      <c r="T14" s="115"/>
      <c r="U14" s="185"/>
      <c r="V14" s="220"/>
      <c r="W14" s="114"/>
      <c r="X14" s="114"/>
      <c r="Y14" s="115"/>
      <c r="Z14" s="227"/>
      <c r="AA14" s="226"/>
      <c r="AB14" s="226"/>
      <c r="AC14" s="118"/>
      <c r="AD14" s="219"/>
      <c r="AE14" s="185"/>
      <c r="AF14" s="115"/>
      <c r="AG14" s="115"/>
      <c r="AH14" s="185"/>
      <c r="AI14" s="529"/>
      <c r="AJ14" s="524"/>
      <c r="AK14" s="310"/>
      <c r="AL14" s="524"/>
      <c r="AM14" s="525"/>
      <c r="AN14" s="523"/>
      <c r="AO14" s="506"/>
      <c r="AP14" s="291"/>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row>
    <row r="15" spans="1:74">
      <c r="A15" t="s">
        <v>259</v>
      </c>
      <c r="B15" s="110" t="s">
        <v>266</v>
      </c>
      <c r="C15" s="111" t="s">
        <v>330</v>
      </c>
      <c r="D15" s="183">
        <f>(4*60)</f>
        <v>240</v>
      </c>
      <c r="E15" s="122"/>
      <c r="F15" s="269">
        <f t="shared" ref="F15:F20" si="7">SUM(D15:E15)</f>
        <v>240</v>
      </c>
      <c r="G15" s="217">
        <f t="shared" ref="G15:G20" si="8">SUM(D15:E15)*H15</f>
        <v>240</v>
      </c>
      <c r="H15" s="122">
        <v>1</v>
      </c>
      <c r="I15" s="111" t="s">
        <v>400</v>
      </c>
      <c r="J15" s="111"/>
      <c r="K15" s="123" t="s">
        <v>154</v>
      </c>
      <c r="L15" s="272">
        <f>(IF(H15&gt;=1,IF(H15&gt;=2,VLOOKUP(I15,'Lookups &amp; OH allocation'!$B$41:$C$50,2,FALSE)/60*(E15)+VLOOKUP(J15,'Lookups &amp; OH allocation'!$B$41:$C$50,2,FALSE)/60*(E15),VLOOKUP(I15,'Lookups &amp; OH allocation'!$B$41:$C$50,2,FALSE)/60*(E15)),0))*(1+(VLOOKUP(K15,'Lookups &amp; OH allocation'!$K$47:$L$52,2,FALSE)))</f>
        <v>0</v>
      </c>
      <c r="M15" s="218">
        <f>(IF(H15&gt;=1,IF(H15&gt;=2,VLOOKUP(I15,'Lookups &amp; OH allocation'!$B$41:$C$50,2,FALSE)/60*(D15)+VLOOKUP(J15,'Lookups &amp; OH allocation'!$B$41:$C$50,2,FALSE)/60*(D15),VLOOKUP(I15,'Lookups &amp; OH allocation'!$B$41:$C$50,2,FALSE)/60*(D15)),0))*(1+(VLOOKUP(K15,'Lookups &amp; OH allocation'!$K$47:$L$52,2,FALSE)))</f>
        <v>265.39999999999998</v>
      </c>
      <c r="N15" s="273">
        <f>(IF(H15&gt;=1,IF(H15&gt;=2,VLOOKUP(I15,'Lookups &amp; OH allocation'!$B$41:$C$50,2,FALSE)/60*(F15)+VLOOKUP(J15,'Lookups &amp; OH allocation'!$B$41:$C$50,2,FALSE)/60*(F15),VLOOKUP(I15,'Lookups &amp; OH allocation'!$B$41:$C$50,2,FALSE)/60*(F15)),0))*(1+(VLOOKUP(K15,'Lookups &amp; OH allocation'!$K$47:$L$52,2,FALSE)))</f>
        <v>265.39999999999998</v>
      </c>
      <c r="O15" s="221" t="s">
        <v>238</v>
      </c>
      <c r="P15" s="277">
        <f>VLOOKUP(O15,'Lookups &amp; OH allocation'!$B$62:$C$72,2,FALSE)</f>
        <v>0</v>
      </c>
      <c r="Q15" s="125"/>
      <c r="R15" s="122"/>
      <c r="S15" s="277">
        <f>IFERROR(IF(R15&gt;0.01,VLOOKUP(Q15,'Lookups &amp; OH allocation'!$K$41:$L$43,2,FALSE)*((R15)/60),VLOOKUP(Q15,'Lookups &amp; OH allocation'!$K$41:$L$43,2,FALSE)*((F15)/60)),0)</f>
        <v>0</v>
      </c>
      <c r="T15" s="124">
        <v>0</v>
      </c>
      <c r="U15" s="223">
        <f t="shared" ref="U15:U20" si="9">SUM(N15,P15,S15,T15)</f>
        <v>265.39999999999998</v>
      </c>
      <c r="V15" s="226"/>
      <c r="W15" s="123" t="s">
        <v>154</v>
      </c>
      <c r="X15" s="281">
        <f>U15*VLOOKUP(W15,'Lookups &amp; OH allocation'!$K$55:$L$59,2,FALSE)</f>
        <v>0</v>
      </c>
      <c r="Y15" s="124"/>
      <c r="Z15" s="223">
        <f t="shared" ref="Z15:Z20" si="10">SUM(V15,X15,Y15)</f>
        <v>0</v>
      </c>
      <c r="AA15" s="226">
        <f>(G15/60)*'Lookups &amp; OH allocation'!$I$13</f>
        <v>156.04664825922063</v>
      </c>
      <c r="AB15" s="226">
        <f>SUM(Z15,U15,AA15)*'Lookups &amp; OH allocation'!$G$23</f>
        <v>20.170773309086915</v>
      </c>
      <c r="AC15" s="179"/>
      <c r="AD15" s="179"/>
      <c r="AE15" s="223">
        <f t="shared" ref="AE15:AE20" si="11">SUM(AA15:AD15)</f>
        <v>176.21742156830754</v>
      </c>
      <c r="AF15" s="124"/>
      <c r="AG15" s="124"/>
      <c r="AH15" s="223">
        <f t="shared" ref="AH15:AH20" si="12">SUM(AF15,AG15)</f>
        <v>0</v>
      </c>
      <c r="AI15" s="530">
        <f t="shared" ref="AI15:AI20" si="13">U15+Z15+AE15+AH15</f>
        <v>441.61742156830752</v>
      </c>
      <c r="AJ15" s="533"/>
      <c r="AK15" s="310"/>
      <c r="AL15" s="526"/>
      <c r="AM15" s="525"/>
      <c r="AN15" s="517"/>
      <c r="AO15" s="521"/>
      <c r="AP15" s="517"/>
    </row>
    <row r="16" spans="1:74">
      <c r="A16" t="s">
        <v>260</v>
      </c>
      <c r="B16" s="110" t="s">
        <v>266</v>
      </c>
      <c r="C16" s="111" t="s">
        <v>331</v>
      </c>
      <c r="D16" s="183">
        <f>(6*60)</f>
        <v>360</v>
      </c>
      <c r="E16" s="122"/>
      <c r="F16" s="269">
        <f t="shared" si="7"/>
        <v>360</v>
      </c>
      <c r="G16" s="217">
        <f t="shared" si="8"/>
        <v>360</v>
      </c>
      <c r="H16" s="122">
        <v>1</v>
      </c>
      <c r="I16" s="111" t="s">
        <v>399</v>
      </c>
      <c r="J16" s="111"/>
      <c r="K16" s="123" t="s">
        <v>154</v>
      </c>
      <c r="L16" s="272">
        <f>(IF(H16&gt;=1,IF(H16&gt;=2,VLOOKUP(I16,'Lookups &amp; OH allocation'!$B$41:$C$50,2,FALSE)/60*(E16)+VLOOKUP(J16,'Lookups &amp; OH allocation'!$B$41:$C$50,2,FALSE)/60*(E16),VLOOKUP(I16,'Lookups &amp; OH allocation'!$B$41:$C$50,2,FALSE)/60*(E16)),0))*(1+(VLOOKUP(K16,'Lookups &amp; OH allocation'!$K$47:$L$52,2,FALSE)))</f>
        <v>0</v>
      </c>
      <c r="M16" s="218">
        <f>(IF(H16&gt;=1,IF(H16&gt;=2,VLOOKUP(I16,'Lookups &amp; OH allocation'!$B$41:$C$50,2,FALSE)/60*(D16)+VLOOKUP(J16,'Lookups &amp; OH allocation'!$B$41:$C$50,2,FALSE)/60*(D16),VLOOKUP(I16,'Lookups &amp; OH allocation'!$B$41:$C$50,2,FALSE)/60*(D16)),0))*(1+(VLOOKUP(K16,'Lookups &amp; OH allocation'!$K$47:$L$52,2,FALSE)))</f>
        <v>405.54</v>
      </c>
      <c r="N16" s="273">
        <f>(IF(H16&gt;=1,IF(H16&gt;=2,VLOOKUP(I16,'Lookups &amp; OH allocation'!$B$41:$C$50,2,FALSE)/60*(F16)+VLOOKUP(J16,'Lookups &amp; OH allocation'!$B$41:$C$50,2,FALSE)/60*(F16),VLOOKUP(I16,'Lookups &amp; OH allocation'!$B$41:$C$50,2,FALSE)/60*(F16)),0))*(1+(VLOOKUP(K16,'Lookups &amp; OH allocation'!$K$47:$L$52,2,FALSE)))</f>
        <v>405.54</v>
      </c>
      <c r="O16" s="221" t="s">
        <v>238</v>
      </c>
      <c r="P16" s="277">
        <f>VLOOKUP(O16,'Lookups &amp; OH allocation'!$B$62:$C$72,2,FALSE)</f>
        <v>0</v>
      </c>
      <c r="Q16" s="125"/>
      <c r="R16" s="122"/>
      <c r="S16" s="277">
        <f>IFERROR(IF(R16&gt;0.01,VLOOKUP(Q16,'Lookups &amp; OH allocation'!$K$41:$L$43,2,FALSE)*((R16)/60),VLOOKUP(Q16,'Lookups &amp; OH allocation'!$K$41:$L$43,2,FALSE)*((F16)/60)),0)</f>
        <v>0</v>
      </c>
      <c r="T16" s="124">
        <v>0</v>
      </c>
      <c r="U16" s="223">
        <f t="shared" si="9"/>
        <v>405.54</v>
      </c>
      <c r="V16" s="226"/>
      <c r="W16" s="123" t="s">
        <v>154</v>
      </c>
      <c r="X16" s="281">
        <f>U16*VLOOKUP(W16,'Lookups &amp; OH allocation'!$K$55:$L$59,2,FALSE)</f>
        <v>0</v>
      </c>
      <c r="Y16" s="124"/>
      <c r="Z16" s="223">
        <f t="shared" si="10"/>
        <v>0</v>
      </c>
      <c r="AA16" s="226">
        <f>(G16/60)*'Lookups &amp; OH allocation'!$I$13</f>
        <v>234.06997238883093</v>
      </c>
      <c r="AB16" s="226">
        <f>SUM(Z16,U16,AA16)*'Lookups &amp; OH allocation'!$G$23</f>
        <v>30.612244307970212</v>
      </c>
      <c r="AC16" s="179"/>
      <c r="AD16" s="179"/>
      <c r="AE16" s="223">
        <f t="shared" si="11"/>
        <v>264.68221669680116</v>
      </c>
      <c r="AF16" s="124"/>
      <c r="AG16" s="124"/>
      <c r="AH16" s="223">
        <f t="shared" si="12"/>
        <v>0</v>
      </c>
      <c r="AI16" s="530">
        <f t="shared" si="13"/>
        <v>670.22221669680118</v>
      </c>
      <c r="AJ16" s="533"/>
      <c r="AK16" s="310"/>
      <c r="AL16" s="526"/>
      <c r="AM16" s="525"/>
      <c r="AN16" s="517"/>
      <c r="AO16" s="521"/>
      <c r="AP16" s="517"/>
    </row>
    <row r="17" spans="1:74">
      <c r="A17" t="s">
        <v>261</v>
      </c>
      <c r="B17" s="110" t="s">
        <v>266</v>
      </c>
      <c r="C17" s="111" t="s">
        <v>332</v>
      </c>
      <c r="D17" s="183">
        <f>(8*60)</f>
        <v>480</v>
      </c>
      <c r="E17" s="122"/>
      <c r="F17" s="269">
        <f t="shared" si="7"/>
        <v>480</v>
      </c>
      <c r="G17" s="217">
        <f t="shared" si="8"/>
        <v>480</v>
      </c>
      <c r="H17" s="122">
        <v>1</v>
      </c>
      <c r="I17" s="111" t="s">
        <v>398</v>
      </c>
      <c r="J17" s="111"/>
      <c r="K17" s="123" t="s">
        <v>154</v>
      </c>
      <c r="L17" s="272">
        <f>(IF(H17&gt;=1,IF(H17&gt;=2,VLOOKUP(I17,'Lookups &amp; OH allocation'!$B$41:$C$50,2,FALSE)/60*(E17)+VLOOKUP(J17,'Lookups &amp; OH allocation'!$B$41:$C$50,2,FALSE)/60*(E17),VLOOKUP(I17,'Lookups &amp; OH allocation'!$B$41:$C$50,2,FALSE)/60*(E17)),0))*(1+(VLOOKUP(K17,'Lookups &amp; OH allocation'!$K$47:$L$52,2,FALSE)))</f>
        <v>0</v>
      </c>
      <c r="M17" s="218">
        <f>(IF(H17&gt;=1,IF(H17&gt;=2,VLOOKUP(I17,'Lookups &amp; OH allocation'!$B$41:$C$50,2,FALSE)/60*(D17)+VLOOKUP(J17,'Lookups &amp; OH allocation'!$B$41:$C$50,2,FALSE)/60*(D17),VLOOKUP(I17,'Lookups &amp; OH allocation'!$B$41:$C$50,2,FALSE)/60*(D17)),0))*(1+(VLOOKUP(K17,'Lookups &amp; OH allocation'!$K$47:$L$52,2,FALSE)))</f>
        <v>588.08000000000004</v>
      </c>
      <c r="N17" s="273">
        <f>(IF(H17&gt;=1,IF(H17&gt;=2,VLOOKUP(I17,'Lookups &amp; OH allocation'!$B$41:$C$50,2,FALSE)/60*(F17)+VLOOKUP(J17,'Lookups &amp; OH allocation'!$B$41:$C$50,2,FALSE)/60*(F17),VLOOKUP(I17,'Lookups &amp; OH allocation'!$B$41:$C$50,2,FALSE)/60*(F17)),0))*(1+(VLOOKUP(K17,'Lookups &amp; OH allocation'!$K$47:$L$52,2,FALSE)))</f>
        <v>588.08000000000004</v>
      </c>
      <c r="O17" s="221" t="s">
        <v>238</v>
      </c>
      <c r="P17" s="277">
        <f>VLOOKUP(O17,'Lookups &amp; OH allocation'!$B$62:$C$72,2,FALSE)</f>
        <v>0</v>
      </c>
      <c r="Q17" s="125"/>
      <c r="R17" s="122"/>
      <c r="S17" s="277">
        <f>IFERROR(IF(R17&gt;0.01,VLOOKUP(Q17,'Lookups &amp; OH allocation'!$K$41:$L$43,2,FALSE)*((R17)/60),VLOOKUP(Q17,'Lookups &amp; OH allocation'!$K$41:$L$43,2,FALSE)*((F17)/60)),0)</f>
        <v>0</v>
      </c>
      <c r="T17" s="124">
        <v>0</v>
      </c>
      <c r="U17" s="223">
        <f t="shared" si="9"/>
        <v>588.08000000000004</v>
      </c>
      <c r="V17" s="226"/>
      <c r="W17" s="123" t="s">
        <v>154</v>
      </c>
      <c r="X17" s="281">
        <f>U17*VLOOKUP(W17,'Lookups &amp; OH allocation'!$K$55:$L$59,2,FALSE)</f>
        <v>0</v>
      </c>
      <c r="Y17" s="124"/>
      <c r="Z17" s="223">
        <f t="shared" si="10"/>
        <v>0</v>
      </c>
      <c r="AA17" s="226">
        <f>(G17/60)*'Lookups &amp; OH allocation'!$I$13</f>
        <v>312.09329651844126</v>
      </c>
      <c r="AB17" s="226">
        <f>SUM(Z17,U17,AA17)*'Lookups &amp; OH allocation'!$G$23</f>
        <v>43.083013183198815</v>
      </c>
      <c r="AC17" s="179"/>
      <c r="AD17" s="179"/>
      <c r="AE17" s="223">
        <f t="shared" si="11"/>
        <v>355.17630970164009</v>
      </c>
      <c r="AF17" s="124"/>
      <c r="AG17" s="124"/>
      <c r="AH17" s="223">
        <f t="shared" si="12"/>
        <v>0</v>
      </c>
      <c r="AI17" s="530">
        <f t="shared" si="13"/>
        <v>943.25630970164013</v>
      </c>
      <c r="AJ17" s="533"/>
      <c r="AK17" s="310"/>
      <c r="AL17" s="526"/>
      <c r="AM17" s="525"/>
      <c r="AN17" s="517"/>
      <c r="AO17" s="521"/>
      <c r="AP17" s="517"/>
    </row>
    <row r="18" spans="1:74">
      <c r="A18" t="s">
        <v>262</v>
      </c>
      <c r="B18" s="110" t="s">
        <v>266</v>
      </c>
      <c r="C18" s="111" t="s">
        <v>334</v>
      </c>
      <c r="D18" s="183">
        <f>(8*60)</f>
        <v>480</v>
      </c>
      <c r="E18" s="122"/>
      <c r="F18" s="269">
        <f t="shared" si="7"/>
        <v>480</v>
      </c>
      <c r="G18" s="217">
        <f t="shared" si="8"/>
        <v>480</v>
      </c>
      <c r="H18" s="122">
        <v>1</v>
      </c>
      <c r="I18" s="111" t="s">
        <v>402</v>
      </c>
      <c r="J18" s="111"/>
      <c r="K18" s="123" t="s">
        <v>154</v>
      </c>
      <c r="L18" s="272">
        <f>(IF(H18&gt;=1,IF(H18&gt;=2,VLOOKUP(I18,'Lookups &amp; OH allocation'!$B$41:$C$50,2,FALSE)/60*(E18)+VLOOKUP(J18,'Lookups &amp; OH allocation'!$B$41:$C$50,2,FALSE)/60*(E18),VLOOKUP(I18,'Lookups &amp; OH allocation'!$B$41:$C$50,2,FALSE)/60*(E18)),0))*(1+(VLOOKUP(K18,'Lookups &amp; OH allocation'!$K$47:$L$52,2,FALSE)))</f>
        <v>0</v>
      </c>
      <c r="M18" s="218">
        <f>(IF(H18&gt;=1,IF(H18&gt;=2,VLOOKUP(I18,'Lookups &amp; OH allocation'!$B$41:$C$50,2,FALSE)/60*(D18)+VLOOKUP(J18,'Lookups &amp; OH allocation'!$B$41:$C$50,2,FALSE)/60*(D18),VLOOKUP(I18,'Lookups &amp; OH allocation'!$B$41:$C$50,2,FALSE)/60*(D18)),0))*(1+(VLOOKUP(K18,'Lookups &amp; OH allocation'!$K$47:$L$52,2,FALSE)))</f>
        <v>540.72</v>
      </c>
      <c r="N18" s="273">
        <f>(IF(H18&gt;=1,IF(H18&gt;=2,VLOOKUP(I18,'Lookups &amp; OH allocation'!$B$41:$C$50,2,FALSE)/60*(F18)+VLOOKUP(J18,'Lookups &amp; OH allocation'!$B$41:$C$50,2,FALSE)/60*(F18),VLOOKUP(I18,'Lookups &amp; OH allocation'!$B$41:$C$50,2,FALSE)/60*(F18)),0))*(1+(VLOOKUP(K18,'Lookups &amp; OH allocation'!$K$47:$L$52,2,FALSE)))</f>
        <v>540.72</v>
      </c>
      <c r="O18" s="221" t="s">
        <v>238</v>
      </c>
      <c r="P18" s="277">
        <f>VLOOKUP(O18,'Lookups &amp; OH allocation'!$B$62:$C$72,2,FALSE)</f>
        <v>0</v>
      </c>
      <c r="Q18" s="125" t="s">
        <v>101</v>
      </c>
      <c r="R18" s="122">
        <f>8*60</f>
        <v>480</v>
      </c>
      <c r="S18" s="277">
        <f>IFERROR(IF(R18&gt;0.01,VLOOKUP(Q18,'Lookups &amp; OH allocation'!$K$41:$L$43,2,FALSE)*((R18)/60),VLOOKUP(Q18,'Lookups &amp; OH allocation'!$K$41:$L$43,2,FALSE)*((F18)/60)),0)</f>
        <v>54.930840151316261</v>
      </c>
      <c r="T18" s="124">
        <v>0</v>
      </c>
      <c r="U18" s="223">
        <f t="shared" si="9"/>
        <v>595.65084015131629</v>
      </c>
      <c r="V18" s="226"/>
      <c r="W18" s="123" t="s">
        <v>154</v>
      </c>
      <c r="X18" s="281">
        <f>U18*VLOOKUP(W18,'Lookups &amp; OH allocation'!$K$55:$L$59,2,FALSE)</f>
        <v>0</v>
      </c>
      <c r="Y18" s="124"/>
      <c r="Z18" s="223">
        <f t="shared" si="10"/>
        <v>0</v>
      </c>
      <c r="AA18" s="226">
        <f>(G18/60)*'Lookups &amp; OH allocation'!$I$13</f>
        <v>312.09329651844126</v>
      </c>
      <c r="AB18" s="226">
        <f>SUM(Z18,U18,AA18)*'Lookups &amp; OH allocation'!$G$23</f>
        <v>43.445359641718063</v>
      </c>
      <c r="AC18" s="179"/>
      <c r="AD18" s="179"/>
      <c r="AE18" s="223">
        <f t="shared" si="11"/>
        <v>355.53865616015935</v>
      </c>
      <c r="AF18" s="124"/>
      <c r="AG18" s="124"/>
      <c r="AH18" s="223">
        <f t="shared" si="12"/>
        <v>0</v>
      </c>
      <c r="AI18" s="530">
        <f t="shared" si="13"/>
        <v>951.18949631147564</v>
      </c>
      <c r="AJ18" s="533"/>
      <c r="AK18" s="310"/>
      <c r="AL18" s="526"/>
      <c r="AM18" s="525"/>
      <c r="AN18" s="517"/>
      <c r="AO18" s="521"/>
      <c r="AP18" s="517"/>
    </row>
    <row r="19" spans="1:74">
      <c r="A19" t="s">
        <v>263</v>
      </c>
      <c r="B19" s="110" t="s">
        <v>266</v>
      </c>
      <c r="C19" s="111" t="s">
        <v>335</v>
      </c>
      <c r="D19" s="183">
        <f>(16*60)</f>
        <v>960</v>
      </c>
      <c r="E19" s="122"/>
      <c r="F19" s="269">
        <f t="shared" si="7"/>
        <v>960</v>
      </c>
      <c r="G19" s="217">
        <f t="shared" si="8"/>
        <v>960</v>
      </c>
      <c r="H19" s="122">
        <v>1</v>
      </c>
      <c r="I19" s="111" t="s">
        <v>402</v>
      </c>
      <c r="J19" s="111"/>
      <c r="K19" s="123" t="s">
        <v>154</v>
      </c>
      <c r="L19" s="272">
        <f>(IF(H19&gt;=1,IF(H19&gt;=2,VLOOKUP(I19,'Lookups &amp; OH allocation'!$B$41:$C$50,2,FALSE)/60*(E19)+VLOOKUP(J19,'Lookups &amp; OH allocation'!$B$41:$C$50,2,FALSE)/60*(E19),VLOOKUP(I19,'Lookups &amp; OH allocation'!$B$41:$C$50,2,FALSE)/60*(E19)),0))*(1+(VLOOKUP(K19,'Lookups &amp; OH allocation'!$K$47:$L$52,2,FALSE)))</f>
        <v>0</v>
      </c>
      <c r="M19" s="218">
        <f>(IF(H19&gt;=1,IF(H19&gt;=2,VLOOKUP(I19,'Lookups &amp; OH allocation'!$B$41:$C$50,2,FALSE)/60*(D19)+VLOOKUP(J19,'Lookups &amp; OH allocation'!$B$41:$C$50,2,FALSE)/60*(D19),VLOOKUP(I19,'Lookups &amp; OH allocation'!$B$41:$C$50,2,FALSE)/60*(D19)),0))*(1+(VLOOKUP(K19,'Lookups &amp; OH allocation'!$K$47:$L$52,2,FALSE)))</f>
        <v>1081.44</v>
      </c>
      <c r="N19" s="273">
        <f>(IF(H19&gt;=1,IF(H19&gt;=2,VLOOKUP(I19,'Lookups &amp; OH allocation'!$B$41:$C$50,2,FALSE)/60*(F19)+VLOOKUP(J19,'Lookups &amp; OH allocation'!$B$41:$C$50,2,FALSE)/60*(F19),VLOOKUP(I19,'Lookups &amp; OH allocation'!$B$41:$C$50,2,FALSE)/60*(F19)),0))*(1+(VLOOKUP(K19,'Lookups &amp; OH allocation'!$K$47:$L$52,2,FALSE)))</f>
        <v>1081.44</v>
      </c>
      <c r="O19" s="221" t="s">
        <v>238</v>
      </c>
      <c r="P19" s="277">
        <f>VLOOKUP(O19,'Lookups &amp; OH allocation'!$B$62:$C$72,2,FALSE)</f>
        <v>0</v>
      </c>
      <c r="Q19" s="125" t="s">
        <v>101</v>
      </c>
      <c r="R19" s="122">
        <f>16*60</f>
        <v>960</v>
      </c>
      <c r="S19" s="277">
        <f>IFERROR(IF(R19&gt;0.01,VLOOKUP(Q19,'Lookups &amp; OH allocation'!$K$41:$L$43,2,FALSE)*((R19)/60),VLOOKUP(Q19,'Lookups &amp; OH allocation'!$K$41:$L$43,2,FALSE)*((F19)/60)),0)</f>
        <v>109.86168030263252</v>
      </c>
      <c r="T19" s="124">
        <v>0</v>
      </c>
      <c r="U19" s="223">
        <f t="shared" si="9"/>
        <v>1191.3016803026326</v>
      </c>
      <c r="V19" s="226"/>
      <c r="W19" s="123" t="s">
        <v>154</v>
      </c>
      <c r="X19" s="281">
        <f>U19*VLOOKUP(W19,'Lookups &amp; OH allocation'!$K$55:$L$59,2,FALSE)</f>
        <v>0</v>
      </c>
      <c r="Y19" s="124"/>
      <c r="Z19" s="223">
        <f t="shared" si="10"/>
        <v>0</v>
      </c>
      <c r="AA19" s="226">
        <f>(G19/60)*'Lookups &amp; OH allocation'!$I$13</f>
        <v>624.18659303688253</v>
      </c>
      <c r="AB19" s="226">
        <f>SUM(Z19,U19,AA19)*'Lookups &amp; OH allocation'!$G$23</f>
        <v>86.890719283436127</v>
      </c>
      <c r="AC19" s="179"/>
      <c r="AD19" s="179"/>
      <c r="AE19" s="223">
        <f t="shared" si="11"/>
        <v>711.0773123203187</v>
      </c>
      <c r="AF19" s="124"/>
      <c r="AG19" s="124"/>
      <c r="AH19" s="223">
        <f t="shared" si="12"/>
        <v>0</v>
      </c>
      <c r="AI19" s="530">
        <f t="shared" si="13"/>
        <v>1902.3789926229513</v>
      </c>
      <c r="AJ19" s="533"/>
      <c r="AK19" s="310"/>
      <c r="AL19" s="526"/>
      <c r="AM19" s="525"/>
      <c r="AN19" s="517"/>
      <c r="AO19" s="521"/>
      <c r="AP19" s="517"/>
    </row>
    <row r="20" spans="1:74">
      <c r="A20" t="s">
        <v>264</v>
      </c>
      <c r="B20" s="110" t="s">
        <v>266</v>
      </c>
      <c r="C20" s="111" t="s">
        <v>336</v>
      </c>
      <c r="D20" s="183">
        <f>(24*60)</f>
        <v>1440</v>
      </c>
      <c r="E20" s="122"/>
      <c r="F20" s="269">
        <f t="shared" si="7"/>
        <v>1440</v>
      </c>
      <c r="G20" s="217">
        <f t="shared" si="8"/>
        <v>1440</v>
      </c>
      <c r="H20" s="122">
        <v>1</v>
      </c>
      <c r="I20" s="111" t="s">
        <v>403</v>
      </c>
      <c r="J20" s="111"/>
      <c r="K20" s="123" t="s">
        <v>154</v>
      </c>
      <c r="L20" s="272">
        <f>(IF(H20&gt;=1,IF(H20&gt;=2,VLOOKUP(I20,'Lookups &amp; OH allocation'!$B$41:$C$50,2,FALSE)/60*(E20)+VLOOKUP(J20,'Lookups &amp; OH allocation'!$B$41:$C$50,2,FALSE)/60*(E20),VLOOKUP(I20,'Lookups &amp; OH allocation'!$B$41:$C$50,2,FALSE)/60*(E20)),0))*(1+(VLOOKUP(K20,'Lookups &amp; OH allocation'!$K$47:$L$52,2,FALSE)))</f>
        <v>0</v>
      </c>
      <c r="M20" s="218">
        <f>(IF(H20&gt;=1,IF(H20&gt;=2,VLOOKUP(I20,'Lookups &amp; OH allocation'!$B$41:$C$50,2,FALSE)/60*(D20)+VLOOKUP(J20,'Lookups &amp; OH allocation'!$B$41:$C$50,2,FALSE)/60*(D20),VLOOKUP(I20,'Lookups &amp; OH allocation'!$B$41:$C$50,2,FALSE)/60*(D20)),0))*(1+(VLOOKUP(K20,'Lookups &amp; OH allocation'!$K$47:$L$52,2,FALSE)))</f>
        <v>1716</v>
      </c>
      <c r="N20" s="273">
        <f>(IF(H20&gt;=1,IF(H20&gt;=2,VLOOKUP(I20,'Lookups &amp; OH allocation'!$B$41:$C$50,2,FALSE)/60*(F20)+VLOOKUP(J20,'Lookups &amp; OH allocation'!$B$41:$C$50,2,FALSE)/60*(F20),VLOOKUP(I20,'Lookups &amp; OH allocation'!$B$41:$C$50,2,FALSE)/60*(F20)),0))*(1+(VLOOKUP(K20,'Lookups &amp; OH allocation'!$K$47:$L$52,2,FALSE)))</f>
        <v>1716</v>
      </c>
      <c r="O20" s="221" t="s">
        <v>238</v>
      </c>
      <c r="P20" s="277">
        <f>VLOOKUP(O20,'Lookups &amp; OH allocation'!$B$62:$C$72,2,FALSE)</f>
        <v>0</v>
      </c>
      <c r="Q20" s="125" t="s">
        <v>101</v>
      </c>
      <c r="R20" s="122">
        <f>24*60</f>
        <v>1440</v>
      </c>
      <c r="S20" s="277">
        <f>IFERROR(IF(R20&gt;0.01,VLOOKUP(Q20,'Lookups &amp; OH allocation'!$K$41:$L$43,2,FALSE)*((R20)/60),VLOOKUP(Q20,'Lookups &amp; OH allocation'!$K$41:$L$43,2,FALSE)*((F20)/60)),0)</f>
        <v>164.79252045394878</v>
      </c>
      <c r="T20" s="124">
        <v>0</v>
      </c>
      <c r="U20" s="223">
        <f t="shared" si="9"/>
        <v>1880.7925204539488</v>
      </c>
      <c r="V20" s="226"/>
      <c r="W20" s="123" t="s">
        <v>154</v>
      </c>
      <c r="X20" s="281">
        <f>U20*VLOOKUP(W20,'Lookups &amp; OH allocation'!$K$55:$L$59,2,FALSE)</f>
        <v>0</v>
      </c>
      <c r="Y20" s="124"/>
      <c r="Z20" s="223">
        <f t="shared" si="10"/>
        <v>0</v>
      </c>
      <c r="AA20" s="226">
        <f>(G20/60)*'Lookups &amp; OH allocation'!$I$13</f>
        <v>936.27988955532373</v>
      </c>
      <c r="AB20" s="226">
        <f>SUM(Z20,U20,AA20)*'Lookups &amp; OH allocation'!$G$23</f>
        <v>134.82733630053727</v>
      </c>
      <c r="AC20" s="179"/>
      <c r="AD20" s="179"/>
      <c r="AE20" s="223">
        <f t="shared" si="11"/>
        <v>1071.1072258558611</v>
      </c>
      <c r="AF20" s="124"/>
      <c r="AG20" s="124"/>
      <c r="AH20" s="223">
        <f t="shared" si="12"/>
        <v>0</v>
      </c>
      <c r="AI20" s="530">
        <f t="shared" si="13"/>
        <v>2951.8997463098099</v>
      </c>
      <c r="AJ20" s="533"/>
      <c r="AK20" s="310"/>
      <c r="AL20" s="526"/>
      <c r="AM20" s="525"/>
      <c r="AN20" s="517"/>
      <c r="AO20" s="521"/>
      <c r="AP20" s="517"/>
    </row>
    <row r="21" spans="1:74">
      <c r="B21" s="120" t="s">
        <v>394</v>
      </c>
      <c r="C21" s="112"/>
      <c r="D21" s="184"/>
      <c r="E21" s="113"/>
      <c r="F21" s="116"/>
      <c r="G21" s="271"/>
      <c r="H21" s="113"/>
      <c r="I21" s="114"/>
      <c r="J21" s="114"/>
      <c r="K21" s="114"/>
      <c r="L21" s="274"/>
      <c r="M21" s="178"/>
      <c r="N21" s="275"/>
      <c r="O21" s="203"/>
      <c r="P21" s="276"/>
      <c r="Q21" s="116"/>
      <c r="R21" s="113"/>
      <c r="S21" s="276"/>
      <c r="T21" s="115"/>
      <c r="U21" s="185"/>
      <c r="V21" s="220"/>
      <c r="W21" s="114"/>
      <c r="X21" s="114"/>
      <c r="Y21" s="115"/>
      <c r="Z21" s="227"/>
      <c r="AA21" s="226"/>
      <c r="AB21" s="226"/>
      <c r="AC21" s="118"/>
      <c r="AD21" s="219"/>
      <c r="AE21" s="185"/>
      <c r="AF21" s="115"/>
      <c r="AG21" s="115"/>
      <c r="AH21" s="185"/>
      <c r="AI21" s="529"/>
      <c r="AJ21" s="524"/>
      <c r="AK21" s="310"/>
      <c r="AL21" s="524"/>
      <c r="AM21" s="525"/>
      <c r="AN21" s="523"/>
      <c r="AO21" s="506"/>
      <c r="AP21" s="291"/>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row>
    <row r="22" spans="1:74">
      <c r="B22" s="110" t="s">
        <v>394</v>
      </c>
      <c r="C22" s="110" t="s">
        <v>387</v>
      </c>
      <c r="D22" s="183">
        <f>1*60</f>
        <v>60</v>
      </c>
      <c r="E22" s="122"/>
      <c r="F22" s="269">
        <f t="shared" ref="F22:F28" si="14">SUM(D22:E22)</f>
        <v>60</v>
      </c>
      <c r="G22" s="217">
        <f t="shared" ref="G22:G28" si="15">SUM(D22:E22)*H22</f>
        <v>60</v>
      </c>
      <c r="H22" s="122">
        <v>1</v>
      </c>
      <c r="I22" s="111" t="s">
        <v>398</v>
      </c>
      <c r="J22" s="111"/>
      <c r="K22" s="123" t="s">
        <v>154</v>
      </c>
      <c r="L22" s="272">
        <f>(IF(H22&gt;=1,IF(H22&gt;=2,VLOOKUP(I22,'Lookups &amp; OH allocation'!$B$41:$C$50,2,FALSE)/60*(E22)+VLOOKUP(J22,'Lookups &amp; OH allocation'!$B$41:$C$50,2,FALSE)/60*(E22),VLOOKUP(I22,'Lookups &amp; OH allocation'!$B$41:$C$50,2,FALSE)/60*(E22)),0))*(1+(VLOOKUP(K22,'Lookups &amp; OH allocation'!$K$47:$L$52,2,FALSE)))</f>
        <v>0</v>
      </c>
      <c r="M22" s="218">
        <f>(IF(H22&gt;=1,IF(H22&gt;=2,VLOOKUP(I22,'Lookups &amp; OH allocation'!$B$41:$C$50,2,FALSE)/60*(D22)+VLOOKUP(J22,'Lookups &amp; OH allocation'!$B$41:$C$50,2,FALSE)/60*(D22),VLOOKUP(I22,'Lookups &amp; OH allocation'!$B$41:$C$50,2,FALSE)/60*(D22)),0))*(1+(VLOOKUP(K22,'Lookups &amp; OH allocation'!$K$47:$L$52,2,FALSE)))</f>
        <v>73.510000000000005</v>
      </c>
      <c r="N22" s="273">
        <f>(IF(H22&gt;=1,IF(H22&gt;=2,VLOOKUP(I22,'Lookups &amp; OH allocation'!$B$41:$C$50,2,FALSE)/60*(F22)+VLOOKUP(J22,'Lookups &amp; OH allocation'!$B$41:$C$50,2,FALSE)/60*(F22),VLOOKUP(I22,'Lookups &amp; OH allocation'!$B$41:$C$50,2,FALSE)/60*(F22)),0))*(1+(VLOOKUP(K22,'Lookups &amp; OH allocation'!$K$47:$L$52,2,FALSE)))</f>
        <v>73.510000000000005</v>
      </c>
      <c r="O22" s="221" t="s">
        <v>238</v>
      </c>
      <c r="P22" s="277">
        <f>VLOOKUP(O22,'Lookups &amp; OH allocation'!$B$62:$C$72,2,FALSE)</f>
        <v>0</v>
      </c>
      <c r="Q22" s="125" t="s">
        <v>101</v>
      </c>
      <c r="R22" s="122"/>
      <c r="S22" s="277">
        <f>IFERROR(IF(R22&gt;0.01,VLOOKUP(Q22,'Lookups &amp; OH allocation'!$K$41:$L$43,2,FALSE)*((R22)/60),VLOOKUP(Q22,'Lookups &amp; OH allocation'!$K$41:$L$43,2,FALSE)*((F22)/60)),0)</f>
        <v>6.8663550189145326</v>
      </c>
      <c r="T22" s="124">
        <v>0</v>
      </c>
      <c r="U22" s="223">
        <f t="shared" ref="U22:U28" si="16">SUM(N22,P22,S22,T22)</f>
        <v>80.376355018914538</v>
      </c>
      <c r="V22" s="226"/>
      <c r="W22" s="123" t="s">
        <v>154</v>
      </c>
      <c r="X22" s="281">
        <f>U22*VLOOKUP(W22,'Lookups &amp; OH allocation'!$K$55:$L$59,2,FALSE)</f>
        <v>0</v>
      </c>
      <c r="Y22" s="124"/>
      <c r="Z22" s="223">
        <f t="shared" ref="Z22:Z28" si="17">SUM(V22,X22,Y22)</f>
        <v>0</v>
      </c>
      <c r="AA22" s="226">
        <f>(G22/60)*'Lookups &amp; OH allocation'!$I$13</f>
        <v>39.011662064805158</v>
      </c>
      <c r="AB22" s="226">
        <f>SUM(Z22,U22,AA22)*'Lookups &amp; OH allocation'!$G$23</f>
        <v>5.7140058851195734</v>
      </c>
      <c r="AC22" s="179"/>
      <c r="AD22" s="179"/>
      <c r="AE22" s="223">
        <f t="shared" ref="AE22:AE28" si="18">SUM(AA22:AD22)</f>
        <v>44.725667949924734</v>
      </c>
      <c r="AF22" s="124"/>
      <c r="AG22" s="124"/>
      <c r="AH22" s="223">
        <f t="shared" ref="AH22:AH28" si="19">SUM(AF22,AG22)</f>
        <v>0</v>
      </c>
      <c r="AI22" s="530">
        <f t="shared" ref="AI22:AI28" si="20">U22+Z22+AE22+AH22</f>
        <v>125.10202296883926</v>
      </c>
      <c r="AJ22" s="533"/>
      <c r="AK22" s="310"/>
      <c r="AL22" s="526"/>
      <c r="AM22" s="525"/>
      <c r="AN22" s="517"/>
      <c r="AO22" s="521"/>
      <c r="AP22" s="517"/>
    </row>
    <row r="23" spans="1:74">
      <c r="B23" s="110" t="s">
        <v>394</v>
      </c>
      <c r="C23" s="110" t="s">
        <v>388</v>
      </c>
      <c r="D23" s="183">
        <f>1*60</f>
        <v>60</v>
      </c>
      <c r="E23" s="122"/>
      <c r="F23" s="269">
        <f t="shared" si="14"/>
        <v>60</v>
      </c>
      <c r="G23" s="217">
        <f t="shared" si="15"/>
        <v>60</v>
      </c>
      <c r="H23" s="122">
        <v>1</v>
      </c>
      <c r="I23" s="111" t="s">
        <v>403</v>
      </c>
      <c r="J23" s="111"/>
      <c r="K23" s="123" t="s">
        <v>154</v>
      </c>
      <c r="L23" s="272">
        <f>(IF(H23&gt;=1,IF(H23&gt;=2,VLOOKUP(I23,'Lookups &amp; OH allocation'!$B$41:$C$50,2,FALSE)/60*(E23)+VLOOKUP(J23,'Lookups &amp; OH allocation'!$B$41:$C$50,2,FALSE)/60*(E23),VLOOKUP(I23,'Lookups &amp; OH allocation'!$B$41:$C$50,2,FALSE)/60*(E23)),0))*(1+(VLOOKUP(K23,'Lookups &amp; OH allocation'!$K$47:$L$52,2,FALSE)))</f>
        <v>0</v>
      </c>
      <c r="M23" s="218">
        <f>(IF(H23&gt;=1,IF(H23&gt;=2,VLOOKUP(I23,'Lookups &amp; OH allocation'!$B$41:$C$50,2,FALSE)/60*(D23)+VLOOKUP(J23,'Lookups &amp; OH allocation'!$B$41:$C$50,2,FALSE)/60*(D23),VLOOKUP(I23,'Lookups &amp; OH allocation'!$B$41:$C$50,2,FALSE)/60*(D23)),0))*(1+(VLOOKUP(K23,'Lookups &amp; OH allocation'!$K$47:$L$52,2,FALSE)))</f>
        <v>71.5</v>
      </c>
      <c r="N23" s="273">
        <f>(IF(H23&gt;=1,IF(H23&gt;=2,VLOOKUP(I23,'Lookups &amp; OH allocation'!$B$41:$C$50,2,FALSE)/60*(F23)+VLOOKUP(J23,'Lookups &amp; OH allocation'!$B$41:$C$50,2,FALSE)/60*(F23),VLOOKUP(I23,'Lookups &amp; OH allocation'!$B$41:$C$50,2,FALSE)/60*(F23)),0))*(1+(VLOOKUP(K23,'Lookups &amp; OH allocation'!$K$47:$L$52,2,FALSE)))</f>
        <v>71.5</v>
      </c>
      <c r="O23" s="221" t="s">
        <v>238</v>
      </c>
      <c r="P23" s="277">
        <f>VLOOKUP(O23,'Lookups &amp; OH allocation'!$B$62:$C$72,2,FALSE)</f>
        <v>0</v>
      </c>
      <c r="Q23" s="125" t="s">
        <v>101</v>
      </c>
      <c r="R23" s="122"/>
      <c r="S23" s="277">
        <f>IFERROR(IF(R23&gt;0.01,VLOOKUP(Q23,'Lookups &amp; OH allocation'!$K$41:$L$43,2,FALSE)*((R23)/60),VLOOKUP(Q23,'Lookups &amp; OH allocation'!$K$41:$L$43,2,FALSE)*((F23)/60)),0)</f>
        <v>6.8663550189145326</v>
      </c>
      <c r="T23" s="124">
        <v>0</v>
      </c>
      <c r="U23" s="223">
        <f t="shared" si="16"/>
        <v>78.366355018914533</v>
      </c>
      <c r="V23" s="226"/>
      <c r="W23" s="123" t="s">
        <v>154</v>
      </c>
      <c r="X23" s="281">
        <f>U23*VLOOKUP(W23,'Lookups &amp; OH allocation'!$K$55:$L$59,2,FALSE)</f>
        <v>0</v>
      </c>
      <c r="Y23" s="124"/>
      <c r="Z23" s="223">
        <f t="shared" si="17"/>
        <v>0</v>
      </c>
      <c r="AA23" s="226">
        <f>(G23/60)*'Lookups &amp; OH allocation'!$I$13</f>
        <v>39.011662064805158</v>
      </c>
      <c r="AB23" s="226">
        <f>SUM(Z23,U23,AA23)*'Lookups &amp; OH allocation'!$G$23</f>
        <v>5.617805679189054</v>
      </c>
      <c r="AC23" s="179"/>
      <c r="AD23" s="179"/>
      <c r="AE23" s="223">
        <f t="shared" si="18"/>
        <v>44.629467743994212</v>
      </c>
      <c r="AF23" s="124"/>
      <c r="AG23" s="124"/>
      <c r="AH23" s="223">
        <f t="shared" si="19"/>
        <v>0</v>
      </c>
      <c r="AI23" s="530">
        <f t="shared" si="20"/>
        <v>122.99582276290874</v>
      </c>
      <c r="AJ23" s="533"/>
      <c r="AK23" s="310"/>
      <c r="AL23" s="526"/>
      <c r="AM23" s="525"/>
      <c r="AN23" s="517"/>
      <c r="AO23" s="521"/>
      <c r="AP23" s="517"/>
    </row>
    <row r="24" spans="1:74">
      <c r="B24" s="110" t="s">
        <v>394</v>
      </c>
      <c r="C24" s="110" t="s">
        <v>389</v>
      </c>
      <c r="D24" s="183">
        <f>4*60</f>
        <v>240</v>
      </c>
      <c r="E24" s="122"/>
      <c r="F24" s="269">
        <f t="shared" si="14"/>
        <v>240</v>
      </c>
      <c r="G24" s="217">
        <f t="shared" si="15"/>
        <v>240</v>
      </c>
      <c r="H24" s="122">
        <v>1</v>
      </c>
      <c r="I24" s="111" t="s">
        <v>403</v>
      </c>
      <c r="J24" s="111"/>
      <c r="K24" s="123" t="s">
        <v>154</v>
      </c>
      <c r="L24" s="272">
        <f>(IF(H24&gt;=1,IF(H24&gt;=2,VLOOKUP(I24,'Lookups &amp; OH allocation'!$B$41:$C$50,2,FALSE)/60*(E24)+VLOOKUP(J24,'Lookups &amp; OH allocation'!$B$41:$C$50,2,FALSE)/60*(E24),VLOOKUP(I24,'Lookups &amp; OH allocation'!$B$41:$C$50,2,FALSE)/60*(E24)),0))*(1+(VLOOKUP(K24,'Lookups &amp; OH allocation'!$K$47:$L$52,2,FALSE)))</f>
        <v>0</v>
      </c>
      <c r="M24" s="218">
        <f>(IF(H24&gt;=1,IF(H24&gt;=2,VLOOKUP(I24,'Lookups &amp; OH allocation'!$B$41:$C$50,2,FALSE)/60*(D24)+VLOOKUP(J24,'Lookups &amp; OH allocation'!$B$41:$C$50,2,FALSE)/60*(D24),VLOOKUP(I24,'Lookups &amp; OH allocation'!$B$41:$C$50,2,FALSE)/60*(D24)),0))*(1+(VLOOKUP(K24,'Lookups &amp; OH allocation'!$K$47:$L$52,2,FALSE)))</f>
        <v>286</v>
      </c>
      <c r="N24" s="273">
        <f>(IF(H24&gt;=1,IF(H24&gt;=2,VLOOKUP(I24,'Lookups &amp; OH allocation'!$B$41:$C$50,2,FALSE)/60*(F24)+VLOOKUP(J24,'Lookups &amp; OH allocation'!$B$41:$C$50,2,FALSE)/60*(F24),VLOOKUP(I24,'Lookups &amp; OH allocation'!$B$41:$C$50,2,FALSE)/60*(F24)),0))*(1+(VLOOKUP(K24,'Lookups &amp; OH allocation'!$K$47:$L$52,2,FALSE)))</f>
        <v>286</v>
      </c>
      <c r="O24" s="221" t="s">
        <v>238</v>
      </c>
      <c r="P24" s="277">
        <f>VLOOKUP(O24,'Lookups &amp; OH allocation'!$B$62:$C$72,2,FALSE)</f>
        <v>0</v>
      </c>
      <c r="Q24" s="125"/>
      <c r="R24" s="122"/>
      <c r="S24" s="277">
        <f>IFERROR(IF(R24&gt;0.01,VLOOKUP(Q24,'Lookups &amp; OH allocation'!$K$41:$L$43,2,FALSE)*((R24)/60),VLOOKUP(Q24,'Lookups &amp; OH allocation'!$K$41:$L$43,2,FALSE)*((F24)/60)),0)</f>
        <v>0</v>
      </c>
      <c r="T24" s="124">
        <v>0</v>
      </c>
      <c r="U24" s="223">
        <f t="shared" si="16"/>
        <v>286</v>
      </c>
      <c r="V24" s="226"/>
      <c r="W24" s="123" t="s">
        <v>154</v>
      </c>
      <c r="X24" s="281">
        <f>U24*VLOOKUP(W24,'Lookups &amp; OH allocation'!$K$55:$L$59,2,FALSE)</f>
        <v>0</v>
      </c>
      <c r="Y24" s="124"/>
      <c r="Z24" s="223">
        <f t="shared" si="17"/>
        <v>0</v>
      </c>
      <c r="AA24" s="226">
        <f>(G24/60)*'Lookups &amp; OH allocation'!$I$13</f>
        <v>156.04664825922063</v>
      </c>
      <c r="AB24" s="226">
        <f>SUM(Z24,U24,AA24)*'Lookups &amp; OH allocation'!$G$23</f>
        <v>21.156705767877327</v>
      </c>
      <c r="AC24" s="179"/>
      <c r="AD24" s="179"/>
      <c r="AE24" s="223">
        <f t="shared" si="18"/>
        <v>177.20335402709796</v>
      </c>
      <c r="AF24" s="124"/>
      <c r="AG24" s="124"/>
      <c r="AH24" s="223">
        <f t="shared" si="19"/>
        <v>0</v>
      </c>
      <c r="AI24" s="530">
        <f t="shared" si="20"/>
        <v>463.20335402709793</v>
      </c>
      <c r="AJ24" s="533"/>
      <c r="AK24" s="310"/>
      <c r="AL24" s="526"/>
      <c r="AM24" s="525"/>
      <c r="AN24" s="517"/>
      <c r="AO24" s="521"/>
      <c r="AP24" s="517"/>
    </row>
    <row r="25" spans="1:74">
      <c r="B25" s="110" t="s">
        <v>394</v>
      </c>
      <c r="C25" s="110" t="s">
        <v>390</v>
      </c>
      <c r="D25" s="183">
        <f>16*60</f>
        <v>960</v>
      </c>
      <c r="E25" s="122"/>
      <c r="F25" s="269">
        <f t="shared" si="14"/>
        <v>960</v>
      </c>
      <c r="G25" s="217">
        <f t="shared" si="15"/>
        <v>960</v>
      </c>
      <c r="H25" s="122">
        <v>1</v>
      </c>
      <c r="I25" s="111" t="s">
        <v>398</v>
      </c>
      <c r="J25" s="111"/>
      <c r="K25" s="123" t="s">
        <v>154</v>
      </c>
      <c r="L25" s="272">
        <f>(IF(H25&gt;=1,IF(H25&gt;=2,VLOOKUP(I25,'Lookups &amp; OH allocation'!$B$41:$C$50,2,FALSE)/60*(E25)+VLOOKUP(J25,'Lookups &amp; OH allocation'!$B$41:$C$50,2,FALSE)/60*(E25),VLOOKUP(I25,'Lookups &amp; OH allocation'!$B$41:$C$50,2,FALSE)/60*(E25)),0))*(1+(VLOOKUP(K25,'Lookups &amp; OH allocation'!$K$47:$L$52,2,FALSE)))</f>
        <v>0</v>
      </c>
      <c r="M25" s="218">
        <f>(IF(H25&gt;=1,IF(H25&gt;=2,VLOOKUP(I25,'Lookups &amp; OH allocation'!$B$41:$C$50,2,FALSE)/60*(D25)+VLOOKUP(J25,'Lookups &amp; OH allocation'!$B$41:$C$50,2,FALSE)/60*(D25),VLOOKUP(I25,'Lookups &amp; OH allocation'!$B$41:$C$50,2,FALSE)/60*(D25)),0))*(1+(VLOOKUP(K25,'Lookups &amp; OH allocation'!$K$47:$L$52,2,FALSE)))</f>
        <v>1176.1600000000001</v>
      </c>
      <c r="N25" s="273">
        <f>(IF(H25&gt;=1,IF(H25&gt;=2,VLOOKUP(I25,'Lookups &amp; OH allocation'!$B$41:$C$50,2,FALSE)/60*(F25)+VLOOKUP(J25,'Lookups &amp; OH allocation'!$B$41:$C$50,2,FALSE)/60*(F25),VLOOKUP(I25,'Lookups &amp; OH allocation'!$B$41:$C$50,2,FALSE)/60*(F25)),0))*(1+(VLOOKUP(K25,'Lookups &amp; OH allocation'!$K$47:$L$52,2,FALSE)))</f>
        <v>1176.1600000000001</v>
      </c>
      <c r="O25" s="221" t="s">
        <v>238</v>
      </c>
      <c r="P25" s="277">
        <f>VLOOKUP(O25,'Lookups &amp; OH allocation'!$B$62:$C$72,2,FALSE)</f>
        <v>0</v>
      </c>
      <c r="Q25" s="125"/>
      <c r="R25" s="122"/>
      <c r="S25" s="277">
        <f>IFERROR(IF(R25&gt;0.01,VLOOKUP(Q25,'Lookups &amp; OH allocation'!$K$41:$L$43,2,FALSE)*((R25)/60),VLOOKUP(Q25,'Lookups &amp; OH allocation'!$K$41:$L$43,2,FALSE)*((F25)/60)),0)</f>
        <v>0</v>
      </c>
      <c r="T25" s="124">
        <v>0</v>
      </c>
      <c r="U25" s="223">
        <f t="shared" si="16"/>
        <v>1176.1600000000001</v>
      </c>
      <c r="V25" s="226"/>
      <c r="W25" s="123" t="s">
        <v>154</v>
      </c>
      <c r="X25" s="281">
        <f>U25*VLOOKUP(W25,'Lookups &amp; OH allocation'!$K$55:$L$59,2,FALSE)</f>
        <v>0</v>
      </c>
      <c r="Y25" s="124"/>
      <c r="Z25" s="223">
        <f t="shared" si="17"/>
        <v>0</v>
      </c>
      <c r="AA25" s="226">
        <f>(G25/60)*'Lookups &amp; OH allocation'!$I$13</f>
        <v>624.18659303688253</v>
      </c>
      <c r="AB25" s="226">
        <f>SUM(Z25,U25,AA25)*'Lookups &amp; OH allocation'!$G$23</f>
        <v>86.166026366397631</v>
      </c>
      <c r="AC25" s="179"/>
      <c r="AD25" s="179"/>
      <c r="AE25" s="223">
        <f t="shared" si="18"/>
        <v>710.35261940328019</v>
      </c>
      <c r="AF25" s="124"/>
      <c r="AG25" s="124"/>
      <c r="AH25" s="223">
        <f t="shared" si="19"/>
        <v>0</v>
      </c>
      <c r="AI25" s="530">
        <f t="shared" si="20"/>
        <v>1886.5126194032803</v>
      </c>
      <c r="AJ25" s="533"/>
      <c r="AK25" s="310"/>
      <c r="AL25" s="526"/>
      <c r="AM25" s="525"/>
      <c r="AN25" s="517"/>
      <c r="AO25" s="521"/>
      <c r="AP25" s="517"/>
    </row>
    <row r="26" spans="1:74">
      <c r="B26" s="110" t="s">
        <v>394</v>
      </c>
      <c r="C26" s="110" t="s">
        <v>391</v>
      </c>
      <c r="D26" s="183">
        <f>4*60</f>
        <v>240</v>
      </c>
      <c r="E26" s="122"/>
      <c r="F26" s="269">
        <f t="shared" si="14"/>
        <v>240</v>
      </c>
      <c r="G26" s="217">
        <f t="shared" si="15"/>
        <v>240</v>
      </c>
      <c r="H26" s="122">
        <v>1</v>
      </c>
      <c r="I26" s="111" t="s">
        <v>398</v>
      </c>
      <c r="J26" s="111"/>
      <c r="K26" s="123" t="s">
        <v>154</v>
      </c>
      <c r="L26" s="272">
        <f>(IF(H26&gt;=1,IF(H26&gt;=2,VLOOKUP(I26,'Lookups &amp; OH allocation'!$B$41:$C$50,2,FALSE)/60*(E26)+VLOOKUP(J26,'Lookups &amp; OH allocation'!$B$41:$C$50,2,FALSE)/60*(E26),VLOOKUP(I26,'Lookups &amp; OH allocation'!$B$41:$C$50,2,FALSE)/60*(E26)),0))*(1+(VLOOKUP(K26,'Lookups &amp; OH allocation'!$K$47:$L$52,2,FALSE)))</f>
        <v>0</v>
      </c>
      <c r="M26" s="218">
        <f>(IF(H26&gt;=1,IF(H26&gt;=2,VLOOKUP(I26,'Lookups &amp; OH allocation'!$B$41:$C$50,2,FALSE)/60*(D26)+VLOOKUP(J26,'Lookups &amp; OH allocation'!$B$41:$C$50,2,FALSE)/60*(D26),VLOOKUP(I26,'Lookups &amp; OH allocation'!$B$41:$C$50,2,FALSE)/60*(D26)),0))*(1+(VLOOKUP(K26,'Lookups &amp; OH allocation'!$K$47:$L$52,2,FALSE)))</f>
        <v>294.04000000000002</v>
      </c>
      <c r="N26" s="273">
        <f>(IF(H26&gt;=1,IF(H26&gt;=2,VLOOKUP(I26,'Lookups &amp; OH allocation'!$B$41:$C$50,2,FALSE)/60*(F26)+VLOOKUP(J26,'Lookups &amp; OH allocation'!$B$41:$C$50,2,FALSE)/60*(F26),VLOOKUP(I26,'Lookups &amp; OH allocation'!$B$41:$C$50,2,FALSE)/60*(F26)),0))*(1+(VLOOKUP(K26,'Lookups &amp; OH allocation'!$K$47:$L$52,2,FALSE)))</f>
        <v>294.04000000000002</v>
      </c>
      <c r="O26" s="221" t="s">
        <v>238</v>
      </c>
      <c r="P26" s="277">
        <f>VLOOKUP(O26,'Lookups &amp; OH allocation'!$B$62:$C$72,2,FALSE)</f>
        <v>0</v>
      </c>
      <c r="Q26" s="125"/>
      <c r="R26" s="122"/>
      <c r="S26" s="277">
        <f>IFERROR(IF(R26&gt;0.01,VLOOKUP(Q26,'Lookups &amp; OH allocation'!$K$41:$L$43,2,FALSE)*((R26)/60),VLOOKUP(Q26,'Lookups &amp; OH allocation'!$K$41:$L$43,2,FALSE)*((F26)/60)),0)</f>
        <v>0</v>
      </c>
      <c r="T26" s="124">
        <v>0</v>
      </c>
      <c r="U26" s="223">
        <f t="shared" si="16"/>
        <v>294.04000000000002</v>
      </c>
      <c r="V26" s="226"/>
      <c r="W26" s="123" t="s">
        <v>154</v>
      </c>
      <c r="X26" s="281">
        <f>U26*VLOOKUP(W26,'Lookups &amp; OH allocation'!$K$55:$L$59,2,FALSE)</f>
        <v>0</v>
      </c>
      <c r="Y26" s="124"/>
      <c r="Z26" s="223">
        <f t="shared" si="17"/>
        <v>0</v>
      </c>
      <c r="AA26" s="226">
        <f>(G26/60)*'Lookups &amp; OH allocation'!$I$13</f>
        <v>156.04664825922063</v>
      </c>
      <c r="AB26" s="226">
        <f>SUM(Z26,U26,AA26)*'Lookups &amp; OH allocation'!$G$23</f>
        <v>21.541506591599408</v>
      </c>
      <c r="AC26" s="179"/>
      <c r="AD26" s="179"/>
      <c r="AE26" s="223">
        <f t="shared" si="18"/>
        <v>177.58815485082005</v>
      </c>
      <c r="AF26" s="124"/>
      <c r="AG26" s="124"/>
      <c r="AH26" s="223">
        <f t="shared" si="19"/>
        <v>0</v>
      </c>
      <c r="AI26" s="530">
        <f t="shared" si="20"/>
        <v>471.62815485082007</v>
      </c>
      <c r="AJ26" s="533"/>
      <c r="AK26" s="310"/>
      <c r="AL26" s="526"/>
      <c r="AM26" s="525"/>
      <c r="AN26" s="517"/>
      <c r="AO26" s="521"/>
      <c r="AP26" s="517"/>
    </row>
    <row r="27" spans="1:74">
      <c r="B27" s="110" t="s">
        <v>394</v>
      </c>
      <c r="C27" s="110" t="s">
        <v>392</v>
      </c>
      <c r="D27" s="183">
        <f>16*60</f>
        <v>960</v>
      </c>
      <c r="E27" s="122"/>
      <c r="F27" s="269">
        <f t="shared" si="14"/>
        <v>960</v>
      </c>
      <c r="G27" s="217">
        <f t="shared" si="15"/>
        <v>960</v>
      </c>
      <c r="H27" s="122">
        <v>1</v>
      </c>
      <c r="I27" s="111" t="s">
        <v>403</v>
      </c>
      <c r="J27" s="111"/>
      <c r="K27" s="123" t="s">
        <v>154</v>
      </c>
      <c r="L27" s="272">
        <f>(IF(H27&gt;=1,IF(H27&gt;=2,VLOOKUP(I27,'Lookups &amp; OH allocation'!$B$41:$C$50,2,FALSE)/60*(E27)+VLOOKUP(J27,'Lookups &amp; OH allocation'!$B$41:$C$50,2,FALSE)/60*(E27),VLOOKUP(I27,'Lookups &amp; OH allocation'!$B$41:$C$50,2,FALSE)/60*(E27)),0))*(1+(VLOOKUP(K27,'Lookups &amp; OH allocation'!$K$47:$L$52,2,FALSE)))</f>
        <v>0</v>
      </c>
      <c r="M27" s="218">
        <f>(IF(H27&gt;=1,IF(H27&gt;=2,VLOOKUP(I27,'Lookups &amp; OH allocation'!$B$41:$C$50,2,FALSE)/60*(D27)+VLOOKUP(J27,'Lookups &amp; OH allocation'!$B$41:$C$50,2,FALSE)/60*(D27),VLOOKUP(I27,'Lookups &amp; OH allocation'!$B$41:$C$50,2,FALSE)/60*(D27)),0))*(1+(VLOOKUP(K27,'Lookups &amp; OH allocation'!$K$47:$L$52,2,FALSE)))</f>
        <v>1144</v>
      </c>
      <c r="N27" s="273">
        <f>(IF(H27&gt;=1,IF(H27&gt;=2,VLOOKUP(I27,'Lookups &amp; OH allocation'!$B$41:$C$50,2,FALSE)/60*(F27)+VLOOKUP(J27,'Lookups &amp; OH allocation'!$B$41:$C$50,2,FALSE)/60*(F27),VLOOKUP(I27,'Lookups &amp; OH allocation'!$B$41:$C$50,2,FALSE)/60*(F27)),0))*(1+(VLOOKUP(K27,'Lookups &amp; OH allocation'!$K$47:$L$52,2,FALSE)))</f>
        <v>1144</v>
      </c>
      <c r="O27" s="221" t="s">
        <v>238</v>
      </c>
      <c r="P27" s="277">
        <f>VLOOKUP(O27,'Lookups &amp; OH allocation'!$B$62:$C$72,2,FALSE)</f>
        <v>0</v>
      </c>
      <c r="Q27" s="125"/>
      <c r="R27" s="122"/>
      <c r="S27" s="277">
        <f>IFERROR(IF(R27&gt;0.01,VLOOKUP(Q27,'Lookups &amp; OH allocation'!$K$41:$L$43,2,FALSE)*((R27)/60),VLOOKUP(Q27,'Lookups &amp; OH allocation'!$K$41:$L$43,2,FALSE)*((F27)/60)),0)</f>
        <v>0</v>
      </c>
      <c r="T27" s="124">
        <v>0</v>
      </c>
      <c r="U27" s="223">
        <f t="shared" si="16"/>
        <v>1144</v>
      </c>
      <c r="V27" s="226"/>
      <c r="W27" s="123" t="s">
        <v>154</v>
      </c>
      <c r="X27" s="281">
        <f>U27*VLOOKUP(W27,'Lookups &amp; OH allocation'!$K$55:$L$59,2,FALSE)</f>
        <v>0</v>
      </c>
      <c r="Y27" s="124"/>
      <c r="Z27" s="223">
        <f t="shared" si="17"/>
        <v>0</v>
      </c>
      <c r="AA27" s="226">
        <f>(G27/60)*'Lookups &amp; OH allocation'!$I$13</f>
        <v>624.18659303688253</v>
      </c>
      <c r="AB27" s="226">
        <f>SUM(Z27,U27,AA27)*'Lookups &amp; OH allocation'!$G$23</f>
        <v>84.626823071509307</v>
      </c>
      <c r="AC27" s="179"/>
      <c r="AD27" s="179"/>
      <c r="AE27" s="223">
        <f t="shared" si="18"/>
        <v>708.81341610839183</v>
      </c>
      <c r="AF27" s="124"/>
      <c r="AG27" s="124"/>
      <c r="AH27" s="223">
        <f t="shared" si="19"/>
        <v>0</v>
      </c>
      <c r="AI27" s="530">
        <f t="shared" si="20"/>
        <v>1852.8134161083917</v>
      </c>
      <c r="AJ27" s="533"/>
      <c r="AK27" s="310"/>
      <c r="AL27" s="526"/>
      <c r="AM27" s="525"/>
      <c r="AN27" s="517"/>
      <c r="AO27" s="521"/>
      <c r="AP27" s="517"/>
    </row>
    <row r="28" spans="1:74">
      <c r="B28" s="110" t="s">
        <v>394</v>
      </c>
      <c r="C28" s="110" t="s">
        <v>393</v>
      </c>
      <c r="D28" s="183">
        <f>4*60</f>
        <v>240</v>
      </c>
      <c r="E28" s="122"/>
      <c r="F28" s="269">
        <f t="shared" si="14"/>
        <v>240</v>
      </c>
      <c r="G28" s="217">
        <f t="shared" si="15"/>
        <v>240</v>
      </c>
      <c r="H28" s="122">
        <v>1</v>
      </c>
      <c r="I28" s="111" t="s">
        <v>403</v>
      </c>
      <c r="J28" s="111"/>
      <c r="K28" s="123" t="s">
        <v>154</v>
      </c>
      <c r="L28" s="272">
        <f>(IF(H28&gt;=1,IF(H28&gt;=2,VLOOKUP(I28,'Lookups &amp; OH allocation'!$B$41:$C$50,2,FALSE)/60*(E28)+VLOOKUP(J28,'Lookups &amp; OH allocation'!$B$41:$C$50,2,FALSE)/60*(E28),VLOOKUP(I28,'Lookups &amp; OH allocation'!$B$41:$C$50,2,FALSE)/60*(E28)),0))*(1+(VLOOKUP(K28,'Lookups &amp; OH allocation'!$K$47:$L$52,2,FALSE)))</f>
        <v>0</v>
      </c>
      <c r="M28" s="218">
        <f>(IF(H28&gt;=1,IF(H28&gt;=2,VLOOKUP(I28,'Lookups &amp; OH allocation'!$B$41:$C$50,2,FALSE)/60*(D28)+VLOOKUP(J28,'Lookups &amp; OH allocation'!$B$41:$C$50,2,FALSE)/60*(D28),VLOOKUP(I28,'Lookups &amp; OH allocation'!$B$41:$C$50,2,FALSE)/60*(D28)),0))*(1+(VLOOKUP(K28,'Lookups &amp; OH allocation'!$K$47:$L$52,2,FALSE)))</f>
        <v>286</v>
      </c>
      <c r="N28" s="273">
        <f>(IF(H28&gt;=1,IF(H28&gt;=2,VLOOKUP(I28,'Lookups &amp; OH allocation'!$B$41:$C$50,2,FALSE)/60*(F28)+VLOOKUP(J28,'Lookups &amp; OH allocation'!$B$41:$C$50,2,FALSE)/60*(F28),VLOOKUP(I28,'Lookups &amp; OH allocation'!$B$41:$C$50,2,FALSE)/60*(F28)),0))*(1+(VLOOKUP(K28,'Lookups &amp; OH allocation'!$K$47:$L$52,2,FALSE)))</f>
        <v>286</v>
      </c>
      <c r="O28" s="221" t="s">
        <v>238</v>
      </c>
      <c r="P28" s="277">
        <f>VLOOKUP(O28,'Lookups &amp; OH allocation'!$B$62:$C$72,2,FALSE)</f>
        <v>0</v>
      </c>
      <c r="Q28" s="125"/>
      <c r="R28" s="122"/>
      <c r="S28" s="277">
        <f>IFERROR(IF(R28&gt;0.01,VLOOKUP(Q28,'Lookups &amp; OH allocation'!$K$41:$L$43,2,FALSE)*((R28)/60),VLOOKUP(Q28,'Lookups &amp; OH allocation'!$K$41:$L$43,2,FALSE)*((F28)/60)),0)</f>
        <v>0</v>
      </c>
      <c r="T28" s="124">
        <v>0</v>
      </c>
      <c r="U28" s="223">
        <f t="shared" si="16"/>
        <v>286</v>
      </c>
      <c r="V28" s="226"/>
      <c r="W28" s="123" t="s">
        <v>154</v>
      </c>
      <c r="X28" s="281">
        <f>U28*VLOOKUP(W28,'Lookups &amp; OH allocation'!$K$55:$L$59,2,FALSE)</f>
        <v>0</v>
      </c>
      <c r="Y28" s="124"/>
      <c r="Z28" s="223">
        <f t="shared" si="17"/>
        <v>0</v>
      </c>
      <c r="AA28" s="226">
        <f>(G28/60)*'Lookups &amp; OH allocation'!$I$13</f>
        <v>156.04664825922063</v>
      </c>
      <c r="AB28" s="226">
        <f>SUM(Z28,U28,AA28)*'Lookups &amp; OH allocation'!$G$23</f>
        <v>21.156705767877327</v>
      </c>
      <c r="AC28" s="179"/>
      <c r="AD28" s="179"/>
      <c r="AE28" s="223">
        <f t="shared" si="18"/>
        <v>177.20335402709796</v>
      </c>
      <c r="AF28" s="124"/>
      <c r="AG28" s="124"/>
      <c r="AH28" s="223">
        <f t="shared" si="19"/>
        <v>0</v>
      </c>
      <c r="AI28" s="530">
        <f t="shared" si="20"/>
        <v>463.20335402709793</v>
      </c>
      <c r="AJ28" s="533"/>
      <c r="AK28" s="310"/>
      <c r="AL28" s="526"/>
      <c r="AM28" s="525"/>
      <c r="AN28" s="517"/>
      <c r="AO28" s="521"/>
      <c r="AP28" s="517"/>
    </row>
    <row r="95" spans="3:5" ht="15.75" thickBot="1"/>
    <row r="96" spans="3:5" ht="15.75" thickBot="1">
      <c r="C96" s="279" t="s">
        <v>352</v>
      </c>
      <c r="E96" s="284" t="s">
        <v>377</v>
      </c>
    </row>
    <row r="97" spans="3:5">
      <c r="C97" s="286" t="s">
        <v>353</v>
      </c>
    </row>
    <row r="98" spans="3:5">
      <c r="C98" s="286" t="s">
        <v>354</v>
      </c>
    </row>
    <row r="99" spans="3:5" ht="15.75" thickBot="1">
      <c r="C99" s="287" t="s">
        <v>355</v>
      </c>
    </row>
    <row r="100" spans="3:5" ht="15.75" thickBot="1">
      <c r="C100" s="288" t="s">
        <v>356</v>
      </c>
      <c r="E100" s="283" t="s">
        <v>378</v>
      </c>
    </row>
    <row r="101" spans="3:5">
      <c r="C101" s="286" t="s">
        <v>353</v>
      </c>
    </row>
    <row r="102" spans="3:5">
      <c r="C102" s="286" t="s">
        <v>354</v>
      </c>
    </row>
    <row r="103" spans="3:5" ht="15.75" thickBot="1">
      <c r="C103" s="287" t="s">
        <v>355</v>
      </c>
    </row>
    <row r="104" spans="3:5" ht="15.75" thickBot="1">
      <c r="C104" s="283" t="s">
        <v>357</v>
      </c>
      <c r="E104" s="283" t="s">
        <v>379</v>
      </c>
    </row>
    <row r="105" spans="3:5" ht="15.75" thickBot="1">
      <c r="C105" s="283" t="s">
        <v>358</v>
      </c>
      <c r="E105" s="283" t="s">
        <v>380</v>
      </c>
    </row>
    <row r="106" spans="3:5" ht="15.75" thickBot="1">
      <c r="C106" s="283" t="s">
        <v>359</v>
      </c>
      <c r="E106" s="284" t="s">
        <v>381</v>
      </c>
    </row>
    <row r="107" spans="3:5" ht="15.75" thickBot="1">
      <c r="C107" s="284" t="s">
        <v>360</v>
      </c>
      <c r="E107" s="283" t="s">
        <v>382</v>
      </c>
    </row>
    <row r="108" spans="3:5" ht="15.75" thickBot="1">
      <c r="C108" s="283" t="s">
        <v>361</v>
      </c>
    </row>
    <row r="109" spans="3:5" ht="15.75" thickBot="1">
      <c r="C109" s="284" t="s">
        <v>362</v>
      </c>
    </row>
    <row r="110" spans="3:5" ht="15.75" thickBot="1">
      <c r="C110" s="283" t="s">
        <v>363</v>
      </c>
    </row>
    <row r="111" spans="3:5" ht="15.75" thickBot="1">
      <c r="C111" s="283" t="s">
        <v>364</v>
      </c>
    </row>
    <row r="112" spans="3:5" ht="15.75" thickBot="1">
      <c r="C112" s="283" t="s">
        <v>365</v>
      </c>
      <c r="E112" s="283" t="s">
        <v>349</v>
      </c>
    </row>
    <row r="113" spans="3:5" ht="15.75" thickBot="1">
      <c r="C113" s="283" t="s">
        <v>366</v>
      </c>
      <c r="E113" s="283" t="s">
        <v>366</v>
      </c>
    </row>
    <row r="114" spans="3:5" ht="15.75" thickBot="1">
      <c r="C114" s="283" t="s">
        <v>367</v>
      </c>
      <c r="E114" s="285" t="s">
        <v>367</v>
      </c>
    </row>
    <row r="119" spans="3:5">
      <c r="C119" s="280"/>
    </row>
    <row r="120" spans="3:5">
      <c r="C120" s="280"/>
    </row>
    <row r="121" spans="3:5">
      <c r="C121" s="280"/>
    </row>
  </sheetData>
  <autoFilter ref="A3:AI28"/>
  <mergeCells count="4">
    <mergeCell ref="D2:U2"/>
    <mergeCell ref="V2:Y2"/>
    <mergeCell ref="AA2:AE2"/>
    <mergeCell ref="AF2:AG2"/>
  </mergeCells>
  <conditionalFormatting sqref="J5:J6">
    <cfRule type="expression" dxfId="21" priority="7">
      <formula>H5&lt;1.1</formula>
    </cfRule>
    <cfRule type="expression" dxfId="20" priority="8">
      <formula>H5&lt;1.1</formula>
    </cfRule>
  </conditionalFormatting>
  <conditionalFormatting sqref="J8:J13">
    <cfRule type="expression" dxfId="19" priority="5">
      <formula>H8&lt;1.1</formula>
    </cfRule>
    <cfRule type="expression" dxfId="18" priority="6">
      <formula>H8&lt;1.1</formula>
    </cfRule>
  </conditionalFormatting>
  <conditionalFormatting sqref="J15:J20">
    <cfRule type="expression" dxfId="17" priority="3">
      <formula>H15&lt;1.1</formula>
    </cfRule>
    <cfRule type="expression" dxfId="16" priority="4">
      <formula>H15&lt;1.1</formula>
    </cfRule>
  </conditionalFormatting>
  <conditionalFormatting sqref="J22:J28">
    <cfRule type="expression" dxfId="15" priority="1">
      <formula>H22&lt;1.1</formula>
    </cfRule>
    <cfRule type="expression" dxfId="14" priority="2">
      <formula>H22&lt;1.1</formula>
    </cfRule>
  </conditionalFormatting>
  <dataValidations count="12">
    <dataValidation type="list" allowBlank="1" showInputMessage="1" showErrorMessage="1" prompt="use the drop down list to select the employee required" sqref="I14:J14">
      <formula1>#REF!</formula1>
    </dataValidation>
    <dataValidation allowBlank="1" showInputMessage="1" showErrorMessage="1" prompt="Select the vehicle used from the drop down list" sqref="R13:R14 R20"/>
    <dataValidation allowBlank="1" showInputMessage="1" showErrorMessage="1" prompt="Enter ($) if there are other costs required" sqref="T5:T6 T15:T20 T8:T13 T22:T28"/>
    <dataValidation allowBlank="1" showInputMessage="1" showErrorMessage="1" prompt="Auto calculation based on selections in the cells to the left" sqref="S5:S6 N5:O6 N8:O20 S8:S20 N22:O28 S22:S28"/>
    <dataValidation allowBlank="1" showInputMessage="1" showErrorMessage="1" prompt="Number of crew required to complete the job" sqref="H5:H6 H8:H20 H22:H28"/>
    <dataValidation allowBlank="1" showInputMessage="1" showErrorMessage="1" prompt="Average travel time" sqref="E5:G6 E8:G20 F22:G28 R8:R12 R18:R19"/>
    <dataValidation allowBlank="1" showInputMessage="1" showErrorMessage="1" prompt="Number of minutes on average to complete the task for each employee" sqref="D5:D6 D8:D20"/>
    <dataValidation type="list" allowBlank="1" showInputMessage="1" showErrorMessage="1" sqref="W4:W20 W22:W28">
      <formula1>$K$89:$K$93</formula1>
    </dataValidation>
    <dataValidation type="list" allowBlank="1" showInputMessage="1" showErrorMessage="1" sqref="J8:J13 J22:J28 J15:J20">
      <formula1>$B$75:$B$84</formula1>
    </dataValidation>
    <dataValidation type="list" allowBlank="1" showInputMessage="1" showErrorMessage="1" sqref="K22:K28">
      <formula1>$K$81:$K$85</formula1>
    </dataValidation>
    <dataValidation type="list" allowBlank="1" showInputMessage="1" showErrorMessage="1" sqref="Q22:Q28">
      <formula1>$K$68:$K$69</formula1>
    </dataValidation>
    <dataValidation type="list" allowBlank="1" showInputMessage="1" showErrorMessage="1" sqref="I8:I13 I22:I28 I15:I20">
      <formula1>$B$67:$B$76</formula1>
    </dataValidation>
  </dataValidations>
  <pageMargins left="0.7" right="0.7" top="0.75" bottom="0.75" header="0.3" footer="0.3"/>
  <pageSetup paperSize="9" scale="10" fitToHeight="0"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'Lookups &amp; OH allocation'!$K$55:$K$59</xm:f>
          </x14:formula1>
          <xm:sqref>K4:K20</xm:sqref>
        </x14:dataValidation>
        <x14:dataValidation type="list" allowBlank="1" showInputMessage="1" showErrorMessage="1">
          <x14:formula1>
            <xm:f>'Lookups &amp; OH allocation'!$K$42:$K$43</xm:f>
          </x14:formula1>
          <xm:sqref>Q4:Q20</xm:sqref>
        </x14:dataValidation>
        <x14:dataValidation type="list" allowBlank="1" showInputMessage="1" showErrorMessage="1">
          <x14:formula1>
            <xm:f>'Lookups &amp; OH allocation'!$B$41:$B$50</xm:f>
          </x14:formula1>
          <xm:sqref>I5:J6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AV183"/>
  <sheetViews>
    <sheetView zoomScale="70" zoomScaleNormal="70" workbookViewId="0">
      <pane xSplit="3" ySplit="6" topLeftCell="D27" activePane="bottomRight" state="frozen"/>
      <selection activeCell="P37" sqref="P37"/>
      <selection pane="topRight" activeCell="P37" sqref="P37"/>
      <selection pane="bottomLeft" activeCell="P37" sqref="P37"/>
      <selection pane="bottomRight" activeCell="C50" sqref="C50"/>
    </sheetView>
  </sheetViews>
  <sheetFormatPr defaultRowHeight="12.75" outlineLevelCol="1"/>
  <cols>
    <col min="1" max="1" width="22" style="10" bestFit="1" customWidth="1"/>
    <col min="2" max="2" width="15.7109375" style="6" bestFit="1" customWidth="1"/>
    <col min="3" max="3" width="69.85546875" style="7" bestFit="1" customWidth="1"/>
    <col min="4" max="4" width="10" style="7" customWidth="1"/>
    <col min="5" max="5" width="10" style="7" hidden="1" customWidth="1" outlineLevel="1"/>
    <col min="6" max="9" width="9.42578125" style="7" hidden="1" customWidth="1" outlineLevel="1"/>
    <col min="10" max="10" width="12.85546875" style="7" hidden="1" customWidth="1" outlineLevel="1"/>
    <col min="11" max="11" width="15.140625" style="7" hidden="1" customWidth="1" outlineLevel="1"/>
    <col min="12" max="13" width="11.28515625" style="7" hidden="1" customWidth="1" outlineLevel="1"/>
    <col min="14" max="14" width="10" style="7" hidden="1" customWidth="1" outlineLevel="1"/>
    <col min="15" max="15" width="18" style="7" hidden="1" customWidth="1" outlineLevel="1"/>
    <col min="16" max="16" width="17" style="7" hidden="1" customWidth="1" outlineLevel="1"/>
    <col min="17" max="17" width="21.42578125" style="7" hidden="1" customWidth="1" outlineLevel="1"/>
    <col min="18" max="18" width="10" style="7" hidden="1" customWidth="1" outlineLevel="1"/>
    <col min="19" max="19" width="35.5703125" style="7" hidden="1" customWidth="1" outlineLevel="1"/>
    <col min="20" max="20" width="9.42578125" style="7" hidden="1" customWidth="1" outlineLevel="1"/>
    <col min="21" max="21" width="9.42578125" style="7" bestFit="1" customWidth="1" collapsed="1"/>
    <col min="22" max="22" width="9.42578125" style="7" customWidth="1"/>
    <col min="23" max="23" width="9.42578125" style="7" hidden="1" customWidth="1" outlineLevel="1"/>
    <col min="24" max="24" width="9" style="7" hidden="1" customWidth="1" outlineLevel="1"/>
    <col min="25" max="32" width="9.42578125" style="7" hidden="1" customWidth="1" outlineLevel="1"/>
    <col min="33" max="33" width="13.85546875" style="7" customWidth="1" collapsed="1"/>
    <col min="34" max="34" width="13" style="7" customWidth="1"/>
    <col min="35" max="35" width="20.85546875" style="7" customWidth="1"/>
    <col min="36" max="36" width="13.85546875" style="7" customWidth="1"/>
    <col min="37" max="37" width="9.140625" style="7"/>
    <col min="38" max="38" width="11.5703125" style="7" bestFit="1" customWidth="1"/>
    <col min="39" max="39" width="17.85546875" style="7" bestFit="1" customWidth="1"/>
    <col min="40" max="40" width="13.85546875" style="7" customWidth="1"/>
    <col min="41" max="16384" width="9.140625" style="7"/>
  </cols>
  <sheetData>
    <row r="1" spans="1:48" ht="15" thickBot="1">
      <c r="A1" s="5" t="s">
        <v>9</v>
      </c>
      <c r="AL1" s="6" t="s">
        <v>426</v>
      </c>
    </row>
    <row r="2" spans="1:48" ht="18">
      <c r="A2" s="8" t="s">
        <v>10</v>
      </c>
      <c r="C2" s="421" t="s">
        <v>425</v>
      </c>
      <c r="T2" s="9"/>
      <c r="U2" s="9"/>
      <c r="X2" s="577"/>
      <c r="Y2" s="577"/>
      <c r="Z2" s="577"/>
      <c r="AA2" s="264"/>
      <c r="AL2" s="415" t="s">
        <v>427</v>
      </c>
      <c r="AM2" s="415"/>
    </row>
    <row r="3" spans="1:48">
      <c r="A3" s="10" t="s">
        <v>11</v>
      </c>
      <c r="B3" s="6" t="s">
        <v>12</v>
      </c>
      <c r="X3" s="264"/>
      <c r="Y3" s="264"/>
      <c r="Z3" s="264"/>
      <c r="AA3" s="264"/>
      <c r="AL3" s="419" t="s">
        <v>428</v>
      </c>
      <c r="AM3" s="419"/>
    </row>
    <row r="4" spans="1:48" ht="15.75" thickBot="1">
      <c r="A4" s="214">
        <v>42248.488009259258</v>
      </c>
      <c r="B4" s="11"/>
      <c r="E4" s="540"/>
      <c r="F4" s="540"/>
      <c r="G4" s="562"/>
      <c r="H4" s="540"/>
      <c r="I4" s="544"/>
      <c r="J4" s="544"/>
      <c r="K4" s="540"/>
      <c r="L4" s="540"/>
      <c r="M4" s="540"/>
      <c r="N4" s="540"/>
      <c r="O4" s="540"/>
      <c r="P4" s="540"/>
      <c r="Q4" s="540"/>
      <c r="R4" s="540"/>
      <c r="S4" s="540"/>
      <c r="T4" s="213"/>
      <c r="V4" s="213"/>
      <c r="W4" s="215"/>
      <c r="AL4" s="422" t="s">
        <v>479</v>
      </c>
      <c r="AM4" s="422"/>
    </row>
    <row r="5" spans="1:48" ht="13.5" thickBot="1">
      <c r="E5" s="563"/>
      <c r="F5" s="540"/>
      <c r="G5" s="540"/>
      <c r="H5" s="540"/>
      <c r="I5" s="545"/>
      <c r="J5" s="545"/>
      <c r="K5" s="545"/>
      <c r="L5" s="545"/>
      <c r="M5" s="564"/>
      <c r="N5" s="540"/>
      <c r="O5" s="612"/>
      <c r="P5" s="612"/>
      <c r="Q5" s="612"/>
      <c r="R5" s="540"/>
      <c r="S5" s="546"/>
      <c r="T5" s="216">
        <v>0.02</v>
      </c>
      <c r="U5" s="216">
        <v>0.02</v>
      </c>
      <c r="V5" s="216">
        <v>0.02</v>
      </c>
      <c r="W5" s="216">
        <v>0.02</v>
      </c>
      <c r="X5" s="544"/>
      <c r="Y5" s="544"/>
      <c r="Z5" s="544"/>
      <c r="AA5" s="544"/>
      <c r="AB5" s="544"/>
      <c r="AC5" s="544"/>
      <c r="AD5" s="544"/>
      <c r="AE5" s="544"/>
      <c r="AF5" s="544"/>
    </row>
    <row r="6" spans="1:48" s="16" customFormat="1" ht="15" thickBot="1">
      <c r="A6" s="5" t="s">
        <v>13</v>
      </c>
      <c r="B6" s="14" t="s">
        <v>14</v>
      </c>
      <c r="C6" s="14" t="s">
        <v>15</v>
      </c>
      <c r="D6" s="5" t="s">
        <v>423</v>
      </c>
      <c r="E6" s="539"/>
      <c r="F6" s="539"/>
      <c r="G6" s="539"/>
      <c r="H6" s="539"/>
      <c r="I6" s="539"/>
      <c r="J6" s="539"/>
      <c r="K6" s="545"/>
      <c r="L6" s="565"/>
      <c r="M6" s="539"/>
      <c r="N6" s="566"/>
      <c r="O6" s="565"/>
      <c r="P6" s="565"/>
      <c r="Q6" s="565"/>
      <c r="R6" s="539"/>
      <c r="S6" s="565"/>
      <c r="T6" s="15" t="s">
        <v>21</v>
      </c>
      <c r="U6" s="414" t="s">
        <v>22</v>
      </c>
      <c r="V6" s="459" t="s">
        <v>23</v>
      </c>
      <c r="W6" s="15" t="s">
        <v>24</v>
      </c>
      <c r="X6" s="539"/>
      <c r="Y6" s="539"/>
      <c r="Z6" s="539"/>
      <c r="AA6" s="539"/>
      <c r="AB6" s="539"/>
      <c r="AC6" s="539"/>
      <c r="AD6" s="539"/>
      <c r="AE6" s="539"/>
      <c r="AF6" s="539"/>
      <c r="AJ6" s="423"/>
      <c r="AK6" s="423"/>
      <c r="AL6" s="423"/>
      <c r="AM6" s="423"/>
      <c r="AN6" s="423"/>
      <c r="AO6" s="423"/>
      <c r="AP6" s="423"/>
      <c r="AQ6" s="423"/>
      <c r="AR6" s="423"/>
      <c r="AS6" s="423"/>
      <c r="AT6" s="423"/>
      <c r="AU6" s="423"/>
      <c r="AV6" s="423"/>
    </row>
    <row r="7" spans="1:48" s="19" customFormat="1" ht="15">
      <c r="A7" s="10"/>
      <c r="B7" s="17"/>
      <c r="C7" s="9"/>
      <c r="D7" s="548"/>
      <c r="E7" s="542"/>
      <c r="F7" s="542"/>
      <c r="G7" s="542"/>
      <c r="H7" s="542"/>
      <c r="I7" s="542"/>
      <c r="J7" s="542"/>
      <c r="K7" s="547"/>
      <c r="L7" s="542"/>
      <c r="M7" s="542"/>
      <c r="N7" s="540"/>
      <c r="O7" s="544"/>
      <c r="P7" s="544"/>
      <c r="Q7" s="544"/>
      <c r="R7" s="542"/>
      <c r="S7" s="544"/>
      <c r="T7" s="209"/>
      <c r="U7" s="446"/>
      <c r="V7" s="460"/>
      <c r="W7" s="209"/>
      <c r="X7" s="540"/>
      <c r="Y7" s="540"/>
      <c r="Z7" s="540"/>
      <c r="AA7" s="540"/>
      <c r="AB7" s="540"/>
      <c r="AC7" s="540"/>
      <c r="AD7" s="540"/>
      <c r="AE7" s="540"/>
      <c r="AF7" s="540"/>
      <c r="AJ7" s="18"/>
      <c r="AK7" s="18"/>
      <c r="AL7" s="18"/>
      <c r="AM7" s="18"/>
    </row>
    <row r="8" spans="1:48" s="19" customFormat="1" ht="15">
      <c r="A8" s="20"/>
      <c r="B8" s="20"/>
      <c r="C8" s="20" t="s">
        <v>2</v>
      </c>
      <c r="D8" s="447"/>
      <c r="E8" s="541"/>
      <c r="F8" s="541"/>
      <c r="G8" s="541"/>
      <c r="H8" s="541"/>
      <c r="I8" s="541"/>
      <c r="J8" s="541"/>
      <c r="K8" s="541"/>
      <c r="L8" s="541"/>
      <c r="M8" s="541"/>
      <c r="N8" s="541"/>
      <c r="O8" s="541"/>
      <c r="P8" s="541"/>
      <c r="Q8" s="541"/>
      <c r="R8" s="541"/>
      <c r="S8" s="541"/>
      <c r="T8" s="20"/>
      <c r="U8" s="447" t="s">
        <v>96</v>
      </c>
      <c r="V8" s="410"/>
      <c r="W8" s="20"/>
      <c r="X8" s="541"/>
      <c r="Y8" s="541"/>
      <c r="Z8" s="541"/>
      <c r="AA8" s="541"/>
      <c r="AB8" s="541"/>
      <c r="AC8" s="541"/>
      <c r="AD8" s="541"/>
      <c r="AE8" s="541"/>
      <c r="AF8" s="541"/>
      <c r="AJ8" s="18"/>
      <c r="AK8" s="18"/>
      <c r="AL8" s="18"/>
      <c r="AM8" s="18"/>
    </row>
    <row r="9" spans="1:48" s="19" customFormat="1" ht="15">
      <c r="A9" s="10" t="s">
        <v>25</v>
      </c>
      <c r="B9" s="17" t="s">
        <v>26</v>
      </c>
      <c r="C9" s="9" t="s">
        <v>3</v>
      </c>
      <c r="D9" s="549"/>
      <c r="E9" s="542"/>
      <c r="F9" s="542"/>
      <c r="G9" s="542"/>
      <c r="H9" s="542"/>
      <c r="I9" s="542"/>
      <c r="J9" s="542"/>
      <c r="K9" s="547"/>
      <c r="L9" s="542"/>
      <c r="M9" s="542"/>
      <c r="N9" s="540"/>
      <c r="O9" s="544"/>
      <c r="P9" s="544"/>
      <c r="Q9" s="544"/>
      <c r="R9" s="542"/>
      <c r="S9" s="544"/>
      <c r="T9" s="209">
        <v>52329</v>
      </c>
      <c r="U9" s="448">
        <v>52308</v>
      </c>
      <c r="V9" s="416">
        <v>52287</v>
      </c>
      <c r="W9" s="448">
        <v>52266</v>
      </c>
      <c r="X9" s="542"/>
      <c r="Y9" s="542"/>
      <c r="Z9" s="542"/>
      <c r="AA9" s="542"/>
      <c r="AB9" s="542"/>
      <c r="AC9" s="542"/>
      <c r="AD9" s="542"/>
      <c r="AE9" s="542"/>
      <c r="AF9" s="542"/>
      <c r="AH9" s="236"/>
      <c r="AJ9" s="18"/>
      <c r="AK9" s="18"/>
      <c r="AL9" s="18"/>
      <c r="AM9" s="18"/>
      <c r="AN9" s="18"/>
      <c r="AO9" s="18"/>
      <c r="AP9" s="18"/>
      <c r="AQ9" s="18"/>
      <c r="AR9" s="18"/>
      <c r="AS9" s="18"/>
      <c r="AT9" s="18"/>
      <c r="AU9" s="18"/>
      <c r="AV9" s="18"/>
    </row>
    <row r="10" spans="1:48" s="19" customFormat="1" ht="15">
      <c r="A10" s="10" t="s">
        <v>25</v>
      </c>
      <c r="B10" s="17" t="s">
        <v>27</v>
      </c>
      <c r="C10" s="9" t="s">
        <v>4</v>
      </c>
      <c r="D10" s="549"/>
      <c r="E10" s="542"/>
      <c r="F10" s="542"/>
      <c r="G10" s="542"/>
      <c r="H10" s="542"/>
      <c r="I10" s="542"/>
      <c r="J10" s="542"/>
      <c r="K10" s="547"/>
      <c r="L10" s="542"/>
      <c r="M10" s="542"/>
      <c r="N10" s="540"/>
      <c r="O10" s="544"/>
      <c r="P10" s="544"/>
      <c r="Q10" s="544"/>
      <c r="R10" s="542"/>
      <c r="S10" s="544"/>
      <c r="T10" s="209">
        <v>1129</v>
      </c>
      <c r="U10" s="448">
        <v>1036</v>
      </c>
      <c r="V10" s="416">
        <v>951</v>
      </c>
      <c r="W10" s="448">
        <v>873</v>
      </c>
      <c r="X10" s="542"/>
      <c r="Y10" s="542"/>
      <c r="Z10" s="542"/>
      <c r="AA10" s="542"/>
      <c r="AB10" s="542"/>
      <c r="AC10" s="542"/>
      <c r="AD10" s="542"/>
      <c r="AE10" s="542"/>
      <c r="AF10" s="542"/>
      <c r="AH10" s="236"/>
      <c r="AJ10" s="18"/>
      <c r="AK10" s="18"/>
      <c r="AL10" s="18"/>
      <c r="AM10" s="18"/>
      <c r="AN10" s="18"/>
      <c r="AO10" s="18"/>
      <c r="AP10" s="18"/>
      <c r="AQ10" s="18"/>
      <c r="AR10" s="18"/>
      <c r="AS10" s="18"/>
      <c r="AT10" s="18"/>
      <c r="AU10" s="18"/>
      <c r="AV10" s="18"/>
    </row>
    <row r="11" spans="1:48" s="19" customFormat="1" ht="15">
      <c r="A11" s="10" t="s">
        <v>25</v>
      </c>
      <c r="B11" s="17" t="s">
        <v>28</v>
      </c>
      <c r="C11" s="9" t="s">
        <v>5</v>
      </c>
      <c r="D11" s="549"/>
      <c r="E11" s="542"/>
      <c r="F11" s="542"/>
      <c r="G11" s="542"/>
      <c r="H11" s="542"/>
      <c r="I11" s="542"/>
      <c r="J11" s="542"/>
      <c r="K11" s="547"/>
      <c r="L11" s="542"/>
      <c r="M11" s="542"/>
      <c r="N11" s="540"/>
      <c r="O11" s="544"/>
      <c r="P11" s="544"/>
      <c r="Q11" s="544"/>
      <c r="R11" s="542"/>
      <c r="S11" s="544"/>
      <c r="T11" s="209">
        <v>275</v>
      </c>
      <c r="U11" s="448">
        <v>210</v>
      </c>
      <c r="V11" s="416">
        <v>161</v>
      </c>
      <c r="W11" s="448">
        <v>123</v>
      </c>
      <c r="X11" s="542"/>
      <c r="Y11" s="542"/>
      <c r="Z11" s="542"/>
      <c r="AA11" s="542"/>
      <c r="AB11" s="542"/>
      <c r="AC11" s="542"/>
      <c r="AD11" s="542"/>
      <c r="AE11" s="542"/>
      <c r="AF11" s="542"/>
      <c r="AH11" s="236"/>
      <c r="AJ11" s="18"/>
      <c r="AK11" s="18"/>
      <c r="AL11" s="18"/>
      <c r="AM11" s="18"/>
      <c r="AN11" s="18"/>
      <c r="AO11" s="18"/>
      <c r="AP11" s="18"/>
      <c r="AQ11" s="18"/>
      <c r="AR11" s="18"/>
      <c r="AS11" s="18"/>
      <c r="AT11" s="18"/>
      <c r="AU11" s="18"/>
      <c r="AV11" s="18"/>
    </row>
    <row r="12" spans="1:48" s="19" customFormat="1" ht="15">
      <c r="A12" s="10" t="s">
        <v>25</v>
      </c>
      <c r="B12" s="17" t="s">
        <v>29</v>
      </c>
      <c r="C12" s="9" t="s">
        <v>6</v>
      </c>
      <c r="D12" s="549"/>
      <c r="E12" s="542"/>
      <c r="F12" s="542"/>
      <c r="G12" s="542"/>
      <c r="H12" s="542"/>
      <c r="I12" s="542"/>
      <c r="J12" s="542"/>
      <c r="K12" s="547"/>
      <c r="L12" s="542"/>
      <c r="M12" s="542"/>
      <c r="N12" s="540"/>
      <c r="O12" s="544"/>
      <c r="P12" s="544"/>
      <c r="Q12" s="544"/>
      <c r="R12" s="542"/>
      <c r="S12" s="544"/>
      <c r="T12" s="209">
        <v>10</v>
      </c>
      <c r="U12" s="448">
        <v>10</v>
      </c>
      <c r="V12" s="416">
        <v>10</v>
      </c>
      <c r="W12" s="448">
        <v>10</v>
      </c>
      <c r="X12" s="542"/>
      <c r="Y12" s="542"/>
      <c r="Z12" s="542"/>
      <c r="AA12" s="542"/>
      <c r="AB12" s="542"/>
      <c r="AC12" s="542"/>
      <c r="AD12" s="542"/>
      <c r="AE12" s="542"/>
      <c r="AF12" s="542"/>
      <c r="AH12" s="236"/>
      <c r="AJ12" s="18"/>
      <c r="AK12" s="18"/>
      <c r="AL12" s="18"/>
      <c r="AM12" s="18"/>
      <c r="AN12" s="18"/>
      <c r="AO12" s="18"/>
      <c r="AP12" s="18"/>
      <c r="AQ12" s="18"/>
      <c r="AR12" s="18"/>
      <c r="AS12" s="18"/>
      <c r="AT12" s="18"/>
      <c r="AU12" s="18"/>
      <c r="AV12" s="18"/>
    </row>
    <row r="13" spans="1:48" s="19" customFormat="1" ht="15">
      <c r="A13" s="10" t="s">
        <v>25</v>
      </c>
      <c r="B13" s="17" t="s">
        <v>30</v>
      </c>
      <c r="C13" s="9" t="s">
        <v>7</v>
      </c>
      <c r="D13" s="549"/>
      <c r="E13" s="542"/>
      <c r="F13" s="542"/>
      <c r="G13" s="542"/>
      <c r="H13" s="542"/>
      <c r="I13" s="542"/>
      <c r="J13" s="542"/>
      <c r="K13" s="547"/>
      <c r="L13" s="542"/>
      <c r="M13" s="542"/>
      <c r="N13" s="540"/>
      <c r="O13" s="544"/>
      <c r="P13" s="544"/>
      <c r="Q13" s="544"/>
      <c r="R13" s="542"/>
      <c r="S13" s="544"/>
      <c r="T13" s="209">
        <v>1529</v>
      </c>
      <c r="U13" s="448">
        <v>1528</v>
      </c>
      <c r="V13" s="416">
        <v>1527</v>
      </c>
      <c r="W13" s="448">
        <v>1526</v>
      </c>
      <c r="X13" s="542"/>
      <c r="Y13" s="542"/>
      <c r="Z13" s="542"/>
      <c r="AA13" s="542"/>
      <c r="AB13" s="542"/>
      <c r="AC13" s="542"/>
      <c r="AD13" s="542"/>
      <c r="AE13" s="542"/>
      <c r="AF13" s="542"/>
      <c r="AH13" s="236"/>
      <c r="AJ13" s="18"/>
      <c r="AK13" s="18"/>
      <c r="AL13" s="18"/>
      <c r="AM13" s="18"/>
      <c r="AN13" s="18"/>
      <c r="AO13" s="18"/>
      <c r="AP13" s="18"/>
      <c r="AQ13" s="18"/>
      <c r="AR13" s="18"/>
      <c r="AS13" s="18"/>
      <c r="AT13" s="18"/>
      <c r="AU13" s="18"/>
      <c r="AV13" s="18"/>
    </row>
    <row r="14" spans="1:48" s="25" customFormat="1">
      <c r="A14" s="21" t="s">
        <v>25</v>
      </c>
      <c r="B14" s="22" t="s">
        <v>31</v>
      </c>
      <c r="C14" s="23" t="s">
        <v>8</v>
      </c>
      <c r="D14" s="550"/>
      <c r="E14" s="543"/>
      <c r="F14" s="543"/>
      <c r="G14" s="543"/>
      <c r="H14" s="543"/>
      <c r="I14" s="543"/>
      <c r="J14" s="543"/>
      <c r="K14" s="567"/>
      <c r="L14" s="543"/>
      <c r="M14" s="543"/>
      <c r="N14" s="568"/>
      <c r="O14" s="569"/>
      <c r="P14" s="569"/>
      <c r="Q14" s="569"/>
      <c r="R14" s="542"/>
      <c r="S14" s="569"/>
      <c r="T14" s="24">
        <v>10</v>
      </c>
      <c r="U14" s="449">
        <v>10</v>
      </c>
      <c r="V14" s="417">
        <v>10</v>
      </c>
      <c r="W14" s="449">
        <v>10</v>
      </c>
      <c r="X14" s="543"/>
      <c r="Y14" s="543"/>
      <c r="Z14" s="543"/>
      <c r="AA14" s="543"/>
      <c r="AB14" s="543"/>
      <c r="AC14" s="543"/>
      <c r="AD14" s="543"/>
      <c r="AE14" s="543"/>
      <c r="AF14" s="543"/>
      <c r="AG14" s="19"/>
      <c r="AH14" s="236"/>
      <c r="AI14" s="19"/>
      <c r="AJ14" s="24"/>
      <c r="AK14" s="24"/>
      <c r="AL14" s="24"/>
      <c r="AM14" s="24"/>
      <c r="AN14" s="24"/>
      <c r="AO14" s="24"/>
      <c r="AP14" s="24"/>
      <c r="AQ14" s="24"/>
      <c r="AR14" s="24"/>
      <c r="AS14" s="24"/>
      <c r="AT14" s="24"/>
      <c r="AU14" s="24"/>
      <c r="AV14" s="24"/>
    </row>
    <row r="15" spans="1:48" s="19" customFormat="1" ht="15.75" thickBot="1">
      <c r="A15" s="10" t="s">
        <v>25</v>
      </c>
      <c r="B15" s="17" t="s">
        <v>32</v>
      </c>
      <c r="C15" s="9" t="s">
        <v>481</v>
      </c>
      <c r="D15" s="549"/>
      <c r="E15" s="542"/>
      <c r="F15" s="542"/>
      <c r="G15" s="542"/>
      <c r="H15" s="542"/>
      <c r="I15" s="542"/>
      <c r="J15" s="542"/>
      <c r="K15" s="547"/>
      <c r="L15" s="542"/>
      <c r="M15" s="542"/>
      <c r="N15" s="540"/>
      <c r="O15" s="544"/>
      <c r="P15" s="544"/>
      <c r="Q15" s="544"/>
      <c r="R15" s="542"/>
      <c r="S15" s="544"/>
      <c r="T15" s="209">
        <v>41</v>
      </c>
      <c r="U15" s="448">
        <v>42</v>
      </c>
      <c r="V15" s="461">
        <v>43</v>
      </c>
      <c r="W15" s="534">
        <v>44</v>
      </c>
      <c r="X15" s="542"/>
      <c r="Y15" s="542"/>
      <c r="Z15" s="542"/>
      <c r="AA15" s="542"/>
      <c r="AB15" s="542"/>
      <c r="AC15" s="542"/>
      <c r="AD15" s="542"/>
      <c r="AE15" s="542"/>
      <c r="AF15" s="542"/>
      <c r="AH15" s="236"/>
      <c r="AJ15" s="18"/>
      <c r="AK15" s="18"/>
      <c r="AL15" s="18"/>
      <c r="AM15" s="18"/>
      <c r="AN15" s="18"/>
      <c r="AO15" s="18"/>
      <c r="AP15" s="18"/>
      <c r="AQ15" s="18"/>
      <c r="AR15" s="18"/>
      <c r="AS15" s="18"/>
      <c r="AT15" s="18"/>
      <c r="AU15" s="18"/>
      <c r="AV15" s="18"/>
    </row>
    <row r="16" spans="1:48" s="19" customFormat="1" ht="15">
      <c r="A16" s="10"/>
      <c r="B16" s="17">
        <v>8</v>
      </c>
      <c r="C16" s="264" t="s">
        <v>34</v>
      </c>
      <c r="D16" s="549"/>
      <c r="E16" s="542"/>
      <c r="F16" s="542"/>
      <c r="G16" s="542"/>
      <c r="H16" s="542"/>
      <c r="I16" s="542"/>
      <c r="J16" s="542"/>
      <c r="K16" s="547"/>
      <c r="L16" s="542"/>
      <c r="M16" s="542"/>
      <c r="N16" s="540"/>
      <c r="O16" s="544"/>
      <c r="P16" s="544"/>
      <c r="Q16" s="544"/>
      <c r="R16" s="542"/>
      <c r="S16" s="544"/>
      <c r="T16" s="209"/>
      <c r="U16" s="418">
        <v>0</v>
      </c>
      <c r="V16" s="418">
        <v>0</v>
      </c>
      <c r="W16" s="452">
        <v>0</v>
      </c>
      <c r="X16" s="542"/>
      <c r="Y16" s="542"/>
      <c r="Z16" s="540"/>
      <c r="AA16" s="540"/>
      <c r="AB16" s="540"/>
      <c r="AC16" s="540"/>
      <c r="AD16" s="540"/>
      <c r="AE16" s="540"/>
      <c r="AF16" s="540"/>
      <c r="AJ16" s="18"/>
      <c r="AK16" s="18"/>
      <c r="AL16" s="18"/>
      <c r="AM16" s="18"/>
    </row>
    <row r="17" spans="1:48" s="19" customFormat="1" ht="15">
      <c r="A17" s="10"/>
      <c r="B17" s="17"/>
      <c r="C17" s="228" t="s">
        <v>215</v>
      </c>
      <c r="D17" s="551"/>
      <c r="E17" s="542"/>
      <c r="F17" s="542"/>
      <c r="G17" s="542"/>
      <c r="H17" s="542"/>
      <c r="I17" s="542"/>
      <c r="J17" s="542"/>
      <c r="K17" s="547"/>
      <c r="L17" s="542"/>
      <c r="M17" s="542"/>
      <c r="N17" s="540"/>
      <c r="O17" s="544"/>
      <c r="P17" s="544"/>
      <c r="Q17" s="544"/>
      <c r="R17" s="542"/>
      <c r="S17" s="544"/>
      <c r="T17" s="209"/>
      <c r="U17" s="418">
        <v>1</v>
      </c>
      <c r="V17" s="418">
        <v>1</v>
      </c>
      <c r="W17" s="452">
        <v>1</v>
      </c>
      <c r="X17" s="542"/>
      <c r="Y17" s="542"/>
      <c r="Z17" s="540"/>
      <c r="AA17" s="540"/>
      <c r="AB17" s="540"/>
      <c r="AC17" s="540"/>
      <c r="AD17" s="540"/>
      <c r="AE17" s="540"/>
      <c r="AF17" s="540"/>
      <c r="AJ17" s="18"/>
      <c r="AK17" s="18"/>
      <c r="AL17" s="18"/>
      <c r="AM17" s="18"/>
    </row>
    <row r="18" spans="1:48" s="19" customFormat="1" ht="15">
      <c r="A18" s="10"/>
      <c r="B18" s="17"/>
      <c r="C18" s="111" t="s">
        <v>149</v>
      </c>
      <c r="D18" s="552"/>
      <c r="E18" s="542"/>
      <c r="F18" s="542"/>
      <c r="G18" s="542"/>
      <c r="H18" s="542"/>
      <c r="I18" s="542"/>
      <c r="J18" s="542"/>
      <c r="K18" s="547"/>
      <c r="L18" s="542"/>
      <c r="M18" s="542"/>
      <c r="N18" s="540"/>
      <c r="O18" s="544"/>
      <c r="P18" s="544"/>
      <c r="Q18" s="544"/>
      <c r="R18" s="542"/>
      <c r="S18" s="544"/>
      <c r="T18" s="209"/>
      <c r="U18" s="418">
        <v>1</v>
      </c>
      <c r="V18" s="418">
        <v>1</v>
      </c>
      <c r="W18" s="452">
        <v>1</v>
      </c>
      <c r="X18" s="542"/>
      <c r="Y18" s="542"/>
      <c r="Z18" s="540"/>
      <c r="AA18" s="540"/>
      <c r="AB18" s="540"/>
      <c r="AC18" s="540"/>
      <c r="AD18" s="540"/>
      <c r="AE18" s="540"/>
      <c r="AF18" s="540"/>
      <c r="AJ18" s="18"/>
      <c r="AK18" s="18"/>
      <c r="AL18" s="18"/>
      <c r="AM18" s="18"/>
    </row>
    <row r="19" spans="1:48" s="19" customFormat="1" ht="15.75" thickBot="1">
      <c r="A19" s="10"/>
      <c r="B19" s="17"/>
      <c r="C19" s="111" t="s">
        <v>216</v>
      </c>
      <c r="D19" s="552"/>
      <c r="E19" s="542"/>
      <c r="F19" s="542"/>
      <c r="G19" s="542"/>
      <c r="H19" s="542"/>
      <c r="I19" s="542"/>
      <c r="J19" s="542"/>
      <c r="K19" s="547"/>
      <c r="L19" s="542"/>
      <c r="M19" s="542"/>
      <c r="N19" s="540"/>
      <c r="O19" s="544"/>
      <c r="P19" s="544"/>
      <c r="Q19" s="544"/>
      <c r="R19" s="542"/>
      <c r="S19" s="544"/>
      <c r="T19" s="209"/>
      <c r="U19" s="418">
        <v>1</v>
      </c>
      <c r="V19" s="418">
        <v>1</v>
      </c>
      <c r="W19" s="452">
        <v>1</v>
      </c>
      <c r="X19" s="542"/>
      <c r="Y19" s="542"/>
      <c r="Z19" s="540"/>
      <c r="AA19" s="540"/>
      <c r="AB19" s="540"/>
      <c r="AC19" s="540"/>
      <c r="AD19" s="540"/>
      <c r="AE19" s="540"/>
      <c r="AF19" s="540"/>
      <c r="AJ19" s="18"/>
      <c r="AK19" s="18"/>
      <c r="AL19" s="18"/>
      <c r="AM19" s="18"/>
    </row>
    <row r="20" spans="1:48" s="19" customFormat="1" ht="15">
      <c r="A20" s="20"/>
      <c r="B20" s="20"/>
      <c r="C20" s="20" t="s">
        <v>33</v>
      </c>
      <c r="D20" s="447"/>
      <c r="E20" s="541"/>
      <c r="F20" s="541"/>
      <c r="G20" s="541"/>
      <c r="H20" s="541"/>
      <c r="I20" s="541"/>
      <c r="J20" s="541"/>
      <c r="K20" s="541"/>
      <c r="L20" s="541"/>
      <c r="M20" s="541"/>
      <c r="N20" s="541"/>
      <c r="O20" s="541"/>
      <c r="P20" s="541"/>
      <c r="Q20" s="541"/>
      <c r="R20" s="541"/>
      <c r="S20" s="541"/>
      <c r="T20" s="20"/>
      <c r="U20" s="447" t="s">
        <v>96</v>
      </c>
      <c r="V20" s="462"/>
      <c r="W20" s="20"/>
      <c r="X20" s="541"/>
      <c r="Y20" s="541"/>
      <c r="Z20" s="541"/>
      <c r="AA20" s="541"/>
      <c r="AB20" s="541"/>
      <c r="AC20" s="541"/>
      <c r="AD20" s="541"/>
      <c r="AE20" s="541"/>
      <c r="AF20" s="541"/>
      <c r="AJ20" s="18"/>
      <c r="AK20" s="18"/>
      <c r="AL20" s="18"/>
      <c r="AM20" s="18"/>
    </row>
    <row r="21" spans="1:48" s="19" customFormat="1" ht="15">
      <c r="A21" s="10"/>
      <c r="B21" s="17">
        <v>9</v>
      </c>
      <c r="C21" s="9" t="s">
        <v>34</v>
      </c>
      <c r="D21" s="549"/>
      <c r="E21" s="542"/>
      <c r="F21" s="542"/>
      <c r="G21" s="542"/>
      <c r="H21" s="542"/>
      <c r="I21" s="542"/>
      <c r="J21" s="542"/>
      <c r="K21" s="547"/>
      <c r="L21" s="542"/>
      <c r="M21" s="542"/>
      <c r="N21" s="540"/>
      <c r="O21" s="544"/>
      <c r="P21" s="544"/>
      <c r="Q21" s="544"/>
      <c r="R21" s="542"/>
      <c r="S21" s="544"/>
      <c r="T21" s="209"/>
      <c r="U21" s="448"/>
      <c r="V21" s="460"/>
      <c r="W21" s="209"/>
      <c r="X21" s="540"/>
      <c r="Y21" s="540"/>
      <c r="Z21" s="540"/>
      <c r="AA21" s="540"/>
      <c r="AB21" s="540"/>
      <c r="AC21" s="540"/>
      <c r="AD21" s="540"/>
      <c r="AE21" s="540"/>
      <c r="AF21" s="540"/>
      <c r="AJ21" s="18"/>
      <c r="AK21" s="18"/>
      <c r="AL21" s="18"/>
      <c r="AM21" s="18"/>
    </row>
    <row r="22" spans="1:48" s="19" customFormat="1" ht="15">
      <c r="A22" s="10" t="s">
        <v>25</v>
      </c>
      <c r="B22" s="17" t="s">
        <v>35</v>
      </c>
      <c r="C22" s="9" t="s">
        <v>36</v>
      </c>
      <c r="D22" s="549"/>
      <c r="E22" s="542"/>
      <c r="F22" s="542"/>
      <c r="G22" s="542"/>
      <c r="H22" s="542"/>
      <c r="I22" s="542"/>
      <c r="J22" s="542"/>
      <c r="K22" s="547"/>
      <c r="L22" s="542"/>
      <c r="M22" s="542"/>
      <c r="N22" s="540"/>
      <c r="O22" s="544"/>
      <c r="P22" s="544"/>
      <c r="Q22" s="544"/>
      <c r="R22" s="542"/>
      <c r="S22" s="544"/>
      <c r="T22" s="209">
        <v>5959</v>
      </c>
      <c r="U22" s="448">
        <v>5774</v>
      </c>
      <c r="V22" s="416">
        <v>5595</v>
      </c>
      <c r="W22" s="448">
        <v>5422</v>
      </c>
      <c r="X22" s="542"/>
      <c r="Y22" s="542"/>
      <c r="Z22" s="542"/>
      <c r="AA22" s="542"/>
      <c r="AB22" s="542"/>
      <c r="AC22" s="542"/>
      <c r="AD22" s="542"/>
      <c r="AE22" s="542"/>
      <c r="AF22" s="542"/>
      <c r="AJ22" s="18"/>
      <c r="AK22" s="18"/>
      <c r="AL22" s="18"/>
      <c r="AM22" s="18"/>
      <c r="AN22" s="18"/>
      <c r="AO22" s="18"/>
      <c r="AP22" s="18"/>
      <c r="AQ22" s="18"/>
      <c r="AR22" s="18"/>
      <c r="AS22" s="18"/>
      <c r="AT22" s="18"/>
      <c r="AU22" s="18"/>
      <c r="AV22" s="18"/>
    </row>
    <row r="23" spans="1:48" s="19" customFormat="1" ht="15.75" thickBot="1">
      <c r="A23" s="10" t="s">
        <v>25</v>
      </c>
      <c r="B23" s="17" t="s">
        <v>37</v>
      </c>
      <c r="C23" s="9" t="s">
        <v>315</v>
      </c>
      <c r="D23" s="549"/>
      <c r="E23" s="542"/>
      <c r="F23" s="542"/>
      <c r="G23" s="542"/>
      <c r="H23" s="542"/>
      <c r="I23" s="542"/>
      <c r="J23" s="542"/>
      <c r="K23" s="547"/>
      <c r="L23" s="542"/>
      <c r="M23" s="542"/>
      <c r="N23" s="540"/>
      <c r="O23" s="544"/>
      <c r="P23" s="544"/>
      <c r="Q23" s="544"/>
      <c r="R23" s="542"/>
      <c r="S23" s="544"/>
      <c r="T23" s="209">
        <v>979</v>
      </c>
      <c r="U23" s="448">
        <v>999</v>
      </c>
      <c r="V23" s="461">
        <v>1019</v>
      </c>
      <c r="W23" s="534">
        <v>1039</v>
      </c>
      <c r="X23" s="542"/>
      <c r="Y23" s="542"/>
      <c r="Z23" s="542"/>
      <c r="AA23" s="542"/>
      <c r="AB23" s="542"/>
      <c r="AC23" s="542"/>
      <c r="AD23" s="542"/>
      <c r="AE23" s="542"/>
      <c r="AF23" s="542"/>
      <c r="AJ23" s="18"/>
      <c r="AK23" s="18"/>
      <c r="AL23" s="18"/>
      <c r="AM23" s="18"/>
      <c r="AN23" s="18"/>
      <c r="AO23" s="18"/>
      <c r="AP23" s="18"/>
      <c r="AQ23" s="18"/>
      <c r="AR23" s="18"/>
      <c r="AS23" s="18"/>
      <c r="AT23" s="18"/>
      <c r="AU23" s="18"/>
      <c r="AV23" s="18"/>
    </row>
    <row r="24" spans="1:48" s="19" customFormat="1" ht="15.75" thickBot="1">
      <c r="A24" s="10" t="s">
        <v>25</v>
      </c>
      <c r="B24" s="17" t="s">
        <v>38</v>
      </c>
      <c r="C24" s="9" t="s">
        <v>39</v>
      </c>
      <c r="D24" s="549"/>
      <c r="E24" s="542"/>
      <c r="F24" s="542"/>
      <c r="G24" s="542"/>
      <c r="H24" s="542"/>
      <c r="I24" s="542"/>
      <c r="J24" s="542"/>
      <c r="K24" s="547"/>
      <c r="L24" s="542"/>
      <c r="M24" s="542"/>
      <c r="N24" s="540"/>
      <c r="O24" s="544"/>
      <c r="P24" s="544"/>
      <c r="Q24" s="544"/>
      <c r="R24" s="542"/>
      <c r="S24" s="544"/>
      <c r="T24" s="209">
        <v>0</v>
      </c>
      <c r="U24" s="418">
        <v>1</v>
      </c>
      <c r="V24" s="418">
        <v>1</v>
      </c>
      <c r="W24" s="452">
        <v>1</v>
      </c>
      <c r="X24" s="542"/>
      <c r="Y24" s="542"/>
      <c r="Z24" s="542"/>
      <c r="AA24" s="542"/>
      <c r="AB24" s="542"/>
      <c r="AC24" s="542"/>
      <c r="AD24" s="542"/>
      <c r="AE24" s="542"/>
      <c r="AF24" s="542"/>
      <c r="AJ24" s="18"/>
      <c r="AK24" s="18"/>
      <c r="AL24" s="18"/>
      <c r="AM24" s="18"/>
      <c r="AN24" s="18"/>
      <c r="AO24" s="18"/>
      <c r="AP24" s="18"/>
      <c r="AQ24" s="18"/>
      <c r="AR24" s="18"/>
      <c r="AS24" s="18"/>
      <c r="AT24" s="18"/>
      <c r="AU24" s="18"/>
      <c r="AV24" s="18"/>
    </row>
    <row r="25" spans="1:48" s="19" customFormat="1" ht="15">
      <c r="A25" s="10" t="s">
        <v>25</v>
      </c>
      <c r="B25" s="17" t="s">
        <v>40</v>
      </c>
      <c r="C25" s="9" t="s">
        <v>41</v>
      </c>
      <c r="D25" s="549"/>
      <c r="E25" s="542"/>
      <c r="F25" s="542"/>
      <c r="G25" s="542"/>
      <c r="H25" s="542"/>
      <c r="I25" s="542"/>
      <c r="J25" s="542"/>
      <c r="K25" s="547"/>
      <c r="L25" s="542"/>
      <c r="M25" s="542"/>
      <c r="N25" s="540"/>
      <c r="O25" s="544"/>
      <c r="P25" s="544"/>
      <c r="Q25" s="544"/>
      <c r="R25" s="542"/>
      <c r="S25" s="544"/>
      <c r="T25" s="209">
        <v>43</v>
      </c>
      <c r="U25" s="450">
        <v>46</v>
      </c>
      <c r="V25" s="463">
        <v>49</v>
      </c>
      <c r="W25" s="535">
        <v>52</v>
      </c>
      <c r="X25" s="542"/>
      <c r="Y25" s="542"/>
      <c r="Z25" s="542"/>
      <c r="AA25" s="542"/>
      <c r="AB25" s="542"/>
      <c r="AC25" s="542"/>
      <c r="AD25" s="542"/>
      <c r="AE25" s="542"/>
      <c r="AF25" s="542"/>
      <c r="AJ25" s="18"/>
      <c r="AK25" s="18"/>
      <c r="AL25" s="18"/>
      <c r="AM25" s="18"/>
      <c r="AN25" s="18"/>
      <c r="AO25" s="18"/>
      <c r="AP25" s="18"/>
      <c r="AQ25" s="18"/>
      <c r="AR25" s="18"/>
      <c r="AS25" s="18"/>
      <c r="AT25" s="18"/>
      <c r="AU25" s="18"/>
      <c r="AV25" s="18"/>
    </row>
    <row r="26" spans="1:48" s="19" customFormat="1" ht="15">
      <c r="A26" s="10"/>
      <c r="B26" s="17" t="s">
        <v>42</v>
      </c>
      <c r="C26" s="243" t="s">
        <v>43</v>
      </c>
      <c r="D26" s="553"/>
      <c r="E26" s="542"/>
      <c r="F26" s="542"/>
      <c r="G26" s="542"/>
      <c r="H26" s="542"/>
      <c r="I26" s="542"/>
      <c r="J26" s="542"/>
      <c r="K26" s="547"/>
      <c r="L26" s="542"/>
      <c r="M26" s="542"/>
      <c r="N26" s="540"/>
      <c r="O26" s="544"/>
      <c r="P26" s="544"/>
      <c r="Q26" s="544"/>
      <c r="R26" s="542"/>
      <c r="S26" s="544"/>
      <c r="T26" s="261"/>
      <c r="U26" s="448">
        <v>250</v>
      </c>
      <c r="V26" s="416">
        <v>255</v>
      </c>
      <c r="W26" s="209">
        <v>260</v>
      </c>
      <c r="X26" s="542"/>
      <c r="Y26" s="542"/>
      <c r="Z26" s="542"/>
      <c r="AA26" s="542"/>
      <c r="AB26" s="542"/>
      <c r="AC26" s="542"/>
      <c r="AD26" s="542"/>
      <c r="AE26" s="542"/>
      <c r="AF26" s="542"/>
      <c r="AJ26" s="18"/>
      <c r="AK26" s="18"/>
      <c r="AL26" s="18"/>
      <c r="AM26" s="18"/>
      <c r="AN26" s="18"/>
      <c r="AO26" s="18"/>
      <c r="AP26" s="18"/>
      <c r="AQ26" s="18"/>
      <c r="AR26" s="18"/>
      <c r="AS26" s="18"/>
      <c r="AT26" s="18"/>
      <c r="AU26" s="18"/>
      <c r="AV26" s="18"/>
    </row>
    <row r="27" spans="1:48" s="19" customFormat="1" ht="15">
      <c r="A27" s="10" t="s">
        <v>25</v>
      </c>
      <c r="B27" s="17"/>
      <c r="C27" s="244" t="s">
        <v>214</v>
      </c>
      <c r="D27" s="554">
        <f>AK166</f>
        <v>0.92533500926734702</v>
      </c>
      <c r="E27" s="542"/>
      <c r="F27" s="542"/>
      <c r="G27" s="542"/>
      <c r="H27" s="542"/>
      <c r="I27" s="542"/>
      <c r="J27" s="542"/>
      <c r="K27" s="547"/>
      <c r="L27" s="542"/>
      <c r="M27" s="542"/>
      <c r="N27" s="540"/>
      <c r="O27" s="544"/>
      <c r="P27" s="544"/>
      <c r="Q27" s="544"/>
      <c r="R27" s="542"/>
      <c r="S27" s="544"/>
      <c r="T27" s="262">
        <v>245</v>
      </c>
      <c r="U27" s="451">
        <f>ROUND($U$26*$D27,0)</f>
        <v>231</v>
      </c>
      <c r="V27" s="419">
        <f>ROUND(V$26*$D27,0)</f>
        <v>236</v>
      </c>
      <c r="W27" s="451">
        <f t="shared" ref="W27:W28" si="0">ROUND(W$26*$D27,0)</f>
        <v>241</v>
      </c>
      <c r="X27" s="542"/>
      <c r="Y27" s="542"/>
      <c r="Z27" s="540"/>
      <c r="AA27" s="540"/>
      <c r="AB27" s="540"/>
      <c r="AC27" s="540"/>
      <c r="AD27" s="540"/>
      <c r="AE27" s="540"/>
      <c r="AF27" s="540"/>
      <c r="AJ27" s="18"/>
      <c r="AK27" s="18"/>
      <c r="AL27" s="18"/>
      <c r="AM27" s="18"/>
      <c r="AN27" s="18"/>
      <c r="AO27" s="18"/>
      <c r="AP27" s="18"/>
      <c r="AQ27" s="18"/>
      <c r="AR27" s="18"/>
      <c r="AS27" s="18"/>
      <c r="AT27" s="18"/>
      <c r="AU27" s="18"/>
      <c r="AV27" s="18"/>
    </row>
    <row r="28" spans="1:48" s="19" customFormat="1" ht="15.75" thickBot="1">
      <c r="A28" s="10"/>
      <c r="B28" s="17"/>
      <c r="C28" s="235" t="s">
        <v>314</v>
      </c>
      <c r="D28" s="555">
        <f>AK167</f>
        <v>7.4664990732653022E-2</v>
      </c>
      <c r="E28" s="542"/>
      <c r="F28" s="542"/>
      <c r="G28" s="542"/>
      <c r="H28" s="542"/>
      <c r="I28" s="542"/>
      <c r="J28" s="542"/>
      <c r="K28" s="547"/>
      <c r="L28" s="542"/>
      <c r="M28" s="542"/>
      <c r="N28" s="540"/>
      <c r="O28" s="544"/>
      <c r="P28" s="544"/>
      <c r="Q28" s="544"/>
      <c r="R28" s="542"/>
      <c r="S28" s="544"/>
      <c r="T28" s="263"/>
      <c r="U28" s="451">
        <f>ROUND($U$26*$D28,0)</f>
        <v>19</v>
      </c>
      <c r="V28" s="464">
        <f>ROUND(V$26*$D28,0)</f>
        <v>19</v>
      </c>
      <c r="W28" s="536">
        <f t="shared" si="0"/>
        <v>19</v>
      </c>
      <c r="X28" s="542"/>
      <c r="Y28" s="542"/>
      <c r="Z28" s="542"/>
      <c r="AA28" s="542"/>
      <c r="AB28" s="542"/>
      <c r="AC28" s="542"/>
      <c r="AD28" s="542"/>
      <c r="AE28" s="542"/>
      <c r="AF28" s="542"/>
      <c r="AJ28" s="18"/>
      <c r="AK28" s="18"/>
      <c r="AL28" s="18"/>
      <c r="AM28" s="18"/>
      <c r="AN28" s="18"/>
      <c r="AO28" s="18"/>
      <c r="AP28" s="18"/>
      <c r="AQ28" s="18"/>
      <c r="AR28" s="18"/>
      <c r="AS28" s="18"/>
      <c r="AT28" s="18"/>
      <c r="AU28" s="18"/>
      <c r="AV28" s="18"/>
    </row>
    <row r="29" spans="1:48" s="19" customFormat="1" ht="15.75" thickBot="1">
      <c r="A29" s="10" t="s">
        <v>25</v>
      </c>
      <c r="B29" s="17" t="s">
        <v>44</v>
      </c>
      <c r="C29" s="9" t="s">
        <v>45</v>
      </c>
      <c r="D29" s="549"/>
      <c r="E29" s="542"/>
      <c r="F29" s="542"/>
      <c r="G29" s="542"/>
      <c r="H29" s="542"/>
      <c r="I29" s="542"/>
      <c r="J29" s="542"/>
      <c r="K29" s="547"/>
      <c r="L29" s="542"/>
      <c r="M29" s="542"/>
      <c r="N29" s="540"/>
      <c r="O29" s="544"/>
      <c r="P29" s="544"/>
      <c r="Q29" s="544"/>
      <c r="R29" s="542"/>
      <c r="S29" s="544"/>
      <c r="T29" s="209">
        <v>0</v>
      </c>
      <c r="U29" s="418">
        <v>1</v>
      </c>
      <c r="V29" s="418">
        <v>1</v>
      </c>
      <c r="W29" s="452">
        <v>1</v>
      </c>
      <c r="X29" s="542"/>
      <c r="Y29" s="542"/>
      <c r="Z29" s="542"/>
      <c r="AA29" s="542"/>
      <c r="AB29" s="542"/>
      <c r="AC29" s="542"/>
      <c r="AD29" s="542"/>
      <c r="AE29" s="542"/>
      <c r="AF29" s="542"/>
      <c r="AJ29" s="18"/>
      <c r="AK29" s="18"/>
      <c r="AL29" s="18"/>
      <c r="AM29" s="18"/>
      <c r="AN29" s="18"/>
      <c r="AO29" s="18"/>
      <c r="AP29" s="18"/>
      <c r="AQ29" s="18"/>
      <c r="AR29" s="18"/>
      <c r="AS29" s="18"/>
      <c r="AT29" s="18"/>
      <c r="AU29" s="18"/>
      <c r="AV29" s="18"/>
    </row>
    <row r="30" spans="1:48" s="19" customFormat="1" ht="15">
      <c r="A30" s="10"/>
      <c r="B30" s="17">
        <v>16</v>
      </c>
      <c r="C30" s="9"/>
      <c r="D30" s="549"/>
      <c r="E30" s="542"/>
      <c r="F30" s="542"/>
      <c r="G30" s="542"/>
      <c r="H30" s="542"/>
      <c r="I30" s="542"/>
      <c r="J30" s="542"/>
      <c r="K30" s="547"/>
      <c r="L30" s="542"/>
      <c r="M30" s="542"/>
      <c r="N30" s="540"/>
      <c r="O30" s="544"/>
      <c r="P30" s="544"/>
      <c r="Q30" s="544"/>
      <c r="R30" s="542"/>
      <c r="S30" s="544"/>
      <c r="T30" s="209"/>
      <c r="U30" s="452"/>
      <c r="V30" s="465"/>
      <c r="W30" s="209"/>
      <c r="X30" s="542"/>
      <c r="Y30" s="542"/>
      <c r="Z30" s="542"/>
      <c r="AA30" s="542"/>
      <c r="AB30" s="542"/>
      <c r="AC30" s="542"/>
      <c r="AD30" s="542"/>
      <c r="AE30" s="542"/>
      <c r="AF30" s="542"/>
      <c r="AJ30" s="18"/>
      <c r="AK30" s="18"/>
      <c r="AL30" s="18"/>
      <c r="AM30" s="18"/>
      <c r="AN30" s="18"/>
      <c r="AO30" s="18"/>
      <c r="AP30" s="18"/>
      <c r="AQ30" s="18"/>
      <c r="AR30" s="18"/>
      <c r="AS30" s="18"/>
      <c r="AT30" s="18"/>
      <c r="AU30" s="18"/>
      <c r="AV30" s="18"/>
    </row>
    <row r="31" spans="1:48" s="19" customFormat="1" ht="15">
      <c r="A31" s="10" t="s">
        <v>25</v>
      </c>
      <c r="B31" s="17" t="s">
        <v>46</v>
      </c>
      <c r="C31" s="9" t="s">
        <v>47</v>
      </c>
      <c r="D31" s="549"/>
      <c r="E31" s="542"/>
      <c r="F31" s="542"/>
      <c r="G31" s="542"/>
      <c r="H31" s="542"/>
      <c r="I31" s="542"/>
      <c r="J31" s="542"/>
      <c r="K31" s="547"/>
      <c r="L31" s="542"/>
      <c r="M31" s="542"/>
      <c r="N31" s="540"/>
      <c r="O31" s="544"/>
      <c r="P31" s="544"/>
      <c r="Q31" s="544"/>
      <c r="R31" s="542"/>
      <c r="S31" s="544"/>
      <c r="T31" s="209">
        <v>449</v>
      </c>
      <c r="U31" s="448">
        <v>458</v>
      </c>
      <c r="V31" s="416">
        <v>467</v>
      </c>
      <c r="W31" s="448">
        <v>476</v>
      </c>
      <c r="X31" s="542"/>
      <c r="Y31" s="542"/>
      <c r="Z31" s="542"/>
      <c r="AA31" s="542"/>
      <c r="AB31" s="542"/>
      <c r="AC31" s="542"/>
      <c r="AD31" s="542"/>
      <c r="AE31" s="542"/>
      <c r="AF31" s="542"/>
      <c r="AJ31" s="18"/>
      <c r="AK31" s="18"/>
      <c r="AL31" s="18"/>
      <c r="AM31" s="18"/>
      <c r="AN31" s="18"/>
      <c r="AO31" s="18"/>
      <c r="AP31" s="18"/>
      <c r="AQ31" s="18"/>
      <c r="AR31" s="18"/>
      <c r="AS31" s="18"/>
      <c r="AT31" s="18"/>
      <c r="AU31" s="18"/>
      <c r="AV31" s="18"/>
    </row>
    <row r="32" spans="1:48" s="19" customFormat="1" ht="15">
      <c r="A32" s="20"/>
      <c r="B32" s="20"/>
      <c r="C32" s="20" t="s">
        <v>48</v>
      </c>
      <c r="D32" s="447"/>
      <c r="E32" s="541"/>
      <c r="F32" s="541"/>
      <c r="G32" s="541"/>
      <c r="H32" s="541"/>
      <c r="I32" s="541"/>
      <c r="J32" s="541"/>
      <c r="K32" s="541"/>
      <c r="L32" s="541"/>
      <c r="M32" s="541"/>
      <c r="N32" s="541"/>
      <c r="O32" s="541"/>
      <c r="P32" s="541"/>
      <c r="Q32" s="541"/>
      <c r="R32" s="541"/>
      <c r="S32" s="541"/>
      <c r="T32" s="20">
        <v>0</v>
      </c>
      <c r="U32" s="447" t="s">
        <v>96</v>
      </c>
      <c r="V32" s="410">
        <v>0</v>
      </c>
      <c r="W32" s="20">
        <v>0</v>
      </c>
      <c r="X32" s="541"/>
      <c r="Y32" s="541"/>
      <c r="Z32" s="541"/>
      <c r="AA32" s="541"/>
      <c r="AB32" s="541"/>
      <c r="AC32" s="541"/>
      <c r="AD32" s="541"/>
      <c r="AE32" s="541"/>
      <c r="AF32" s="541"/>
      <c r="AJ32" s="18"/>
      <c r="AK32" s="18"/>
      <c r="AL32" s="18"/>
      <c r="AM32" s="18"/>
    </row>
    <row r="33" spans="1:48" s="19" customFormat="1" ht="15.75" thickBot="1">
      <c r="A33" s="10" t="s">
        <v>25</v>
      </c>
      <c r="B33" s="17" t="s">
        <v>49</v>
      </c>
      <c r="C33" s="9" t="s">
        <v>50</v>
      </c>
      <c r="D33" s="549"/>
      <c r="E33" s="542"/>
      <c r="F33" s="542"/>
      <c r="G33" s="542"/>
      <c r="H33" s="542"/>
      <c r="I33" s="542"/>
      <c r="J33" s="542"/>
      <c r="K33" s="547"/>
      <c r="L33" s="542"/>
      <c r="M33" s="542"/>
      <c r="N33" s="540"/>
      <c r="O33" s="544"/>
      <c r="P33" s="544"/>
      <c r="Q33" s="544"/>
      <c r="R33" s="542"/>
      <c r="S33" s="544"/>
      <c r="T33" s="209">
        <v>10</v>
      </c>
      <c r="U33" s="448">
        <v>10</v>
      </c>
      <c r="V33" s="461">
        <v>10</v>
      </c>
      <c r="W33" s="534">
        <v>10</v>
      </c>
      <c r="X33" s="542"/>
      <c r="Y33" s="542"/>
      <c r="Z33" s="542"/>
      <c r="AA33" s="542"/>
      <c r="AB33" s="542"/>
      <c r="AC33" s="542"/>
      <c r="AD33" s="542"/>
      <c r="AE33" s="542"/>
      <c r="AF33" s="542"/>
      <c r="AJ33" s="18"/>
      <c r="AK33" s="18"/>
      <c r="AL33" s="18"/>
      <c r="AM33" s="18"/>
      <c r="AN33" s="18"/>
      <c r="AO33" s="18"/>
      <c r="AP33" s="18"/>
      <c r="AQ33" s="18"/>
      <c r="AR33" s="18"/>
      <c r="AS33" s="18"/>
      <c r="AT33" s="18"/>
      <c r="AU33" s="18"/>
      <c r="AV33" s="18"/>
    </row>
    <row r="34" spans="1:48" s="19" customFormat="1" ht="15">
      <c r="A34" s="10" t="s">
        <v>25</v>
      </c>
      <c r="B34" s="17" t="s">
        <v>51</v>
      </c>
      <c r="C34" s="9" t="s">
        <v>52</v>
      </c>
      <c r="D34" s="549"/>
      <c r="E34" s="542"/>
      <c r="F34" s="542"/>
      <c r="G34" s="542"/>
      <c r="H34" s="542"/>
      <c r="I34" s="542"/>
      <c r="J34" s="542"/>
      <c r="K34" s="547"/>
      <c r="L34" s="542"/>
      <c r="M34" s="542"/>
      <c r="N34" s="540"/>
      <c r="O34" s="544"/>
      <c r="P34" s="544"/>
      <c r="Q34" s="544"/>
      <c r="R34" s="542"/>
      <c r="S34" s="544"/>
      <c r="T34" s="209">
        <v>0</v>
      </c>
      <c r="U34" s="418">
        <v>1</v>
      </c>
      <c r="V34" s="418">
        <v>1</v>
      </c>
      <c r="W34" s="452">
        <v>1</v>
      </c>
      <c r="X34" s="542"/>
      <c r="Y34" s="542"/>
      <c r="Z34" s="542"/>
      <c r="AA34" s="542"/>
      <c r="AB34" s="542"/>
      <c r="AC34" s="542"/>
      <c r="AD34" s="542"/>
      <c r="AE34" s="542"/>
      <c r="AF34" s="542"/>
      <c r="AJ34" s="18"/>
      <c r="AK34" s="18"/>
      <c r="AL34" s="18"/>
      <c r="AM34" s="18"/>
      <c r="AN34" s="18"/>
      <c r="AO34" s="18"/>
      <c r="AP34" s="18"/>
      <c r="AQ34" s="18"/>
      <c r="AR34" s="18"/>
      <c r="AS34" s="18"/>
      <c r="AT34" s="18"/>
      <c r="AU34" s="18"/>
      <c r="AV34" s="18"/>
    </row>
    <row r="35" spans="1:48" s="19" customFormat="1" ht="15">
      <c r="A35" s="10" t="s">
        <v>25</v>
      </c>
      <c r="B35" s="17" t="s">
        <v>53</v>
      </c>
      <c r="C35" s="9" t="s">
        <v>482</v>
      </c>
      <c r="D35" s="549"/>
      <c r="E35" s="542"/>
      <c r="F35" s="542"/>
      <c r="G35" s="542"/>
      <c r="H35" s="542"/>
      <c r="I35" s="542"/>
      <c r="J35" s="542"/>
      <c r="K35" s="547"/>
      <c r="L35" s="542"/>
      <c r="M35" s="542"/>
      <c r="N35" s="540"/>
      <c r="O35" s="544"/>
      <c r="P35" s="544"/>
      <c r="Q35" s="544"/>
      <c r="R35" s="542"/>
      <c r="S35" s="544"/>
      <c r="T35" s="209">
        <v>0</v>
      </c>
      <c r="U35" s="418">
        <v>1</v>
      </c>
      <c r="V35" s="418">
        <v>1</v>
      </c>
      <c r="W35" s="452">
        <v>1</v>
      </c>
      <c r="X35" s="542"/>
      <c r="Y35" s="542"/>
      <c r="Z35" s="542"/>
      <c r="AA35" s="542"/>
      <c r="AB35" s="542"/>
      <c r="AC35" s="542"/>
      <c r="AD35" s="542"/>
      <c r="AE35" s="542"/>
      <c r="AF35" s="542"/>
      <c r="AJ35" s="18"/>
      <c r="AK35" s="18"/>
      <c r="AL35" s="18"/>
      <c r="AM35" s="18"/>
      <c r="AN35" s="18"/>
      <c r="AO35" s="18"/>
      <c r="AP35" s="18"/>
      <c r="AQ35" s="18"/>
      <c r="AR35" s="18"/>
      <c r="AS35" s="18"/>
      <c r="AT35" s="18"/>
      <c r="AU35" s="18"/>
      <c r="AV35" s="18"/>
    </row>
    <row r="36" spans="1:48" s="19" customFormat="1" ht="15.75" thickBot="1">
      <c r="A36" s="10" t="s">
        <v>25</v>
      </c>
      <c r="B36" s="17" t="s">
        <v>54</v>
      </c>
      <c r="C36" s="9" t="s">
        <v>55</v>
      </c>
      <c r="D36" s="549"/>
      <c r="E36" s="542"/>
      <c r="F36" s="542"/>
      <c r="G36" s="542"/>
      <c r="H36" s="542"/>
      <c r="I36" s="542"/>
      <c r="J36" s="542"/>
      <c r="K36" s="547"/>
      <c r="L36" s="542"/>
      <c r="M36" s="542"/>
      <c r="N36" s="540"/>
      <c r="O36" s="544"/>
      <c r="P36" s="544"/>
      <c r="Q36" s="544"/>
      <c r="R36" s="542"/>
      <c r="S36" s="544"/>
      <c r="T36" s="209">
        <v>0</v>
      </c>
      <c r="U36" s="418">
        <v>1</v>
      </c>
      <c r="V36" s="418">
        <v>1</v>
      </c>
      <c r="W36" s="452">
        <v>1</v>
      </c>
      <c r="X36" s="542"/>
      <c r="Y36" s="542"/>
      <c r="Z36" s="542"/>
      <c r="AA36" s="542"/>
      <c r="AB36" s="542"/>
      <c r="AC36" s="542"/>
      <c r="AD36" s="542"/>
      <c r="AE36" s="542"/>
      <c r="AF36" s="542"/>
      <c r="AJ36" s="18"/>
      <c r="AK36" s="18"/>
      <c r="AL36" s="18"/>
      <c r="AM36" s="18"/>
      <c r="AN36" s="18"/>
      <c r="AO36" s="18"/>
      <c r="AP36" s="18"/>
      <c r="AQ36" s="18"/>
      <c r="AR36" s="18"/>
      <c r="AS36" s="18"/>
      <c r="AT36" s="18"/>
      <c r="AU36" s="18"/>
      <c r="AV36" s="18"/>
    </row>
    <row r="37" spans="1:48" s="19" customFormat="1" ht="15.75" thickBot="1">
      <c r="A37" s="10"/>
      <c r="B37" s="17">
        <v>22</v>
      </c>
      <c r="C37" s="9"/>
      <c r="D37" s="549"/>
      <c r="E37" s="542"/>
      <c r="F37" s="542"/>
      <c r="G37" s="542"/>
      <c r="H37" s="542"/>
      <c r="I37" s="542"/>
      <c r="J37" s="542"/>
      <c r="K37" s="547"/>
      <c r="L37" s="542"/>
      <c r="M37" s="542"/>
      <c r="N37" s="540"/>
      <c r="O37" s="544"/>
      <c r="P37" s="544"/>
      <c r="Q37" s="544"/>
      <c r="R37" s="542"/>
      <c r="S37" s="544"/>
      <c r="T37" s="209"/>
      <c r="U37" s="452"/>
      <c r="V37" s="466">
        <v>0</v>
      </c>
      <c r="W37" s="209">
        <v>0</v>
      </c>
      <c r="X37" s="542"/>
      <c r="Y37" s="542"/>
      <c r="Z37" s="542"/>
      <c r="AA37" s="542"/>
      <c r="AB37" s="542"/>
      <c r="AC37" s="542"/>
      <c r="AD37" s="542"/>
      <c r="AE37" s="542"/>
      <c r="AF37" s="542"/>
      <c r="AJ37" s="18"/>
      <c r="AK37" s="18"/>
      <c r="AL37" s="18"/>
      <c r="AM37" s="18"/>
      <c r="AN37" s="18"/>
      <c r="AO37" s="18"/>
      <c r="AP37" s="18"/>
      <c r="AQ37" s="18"/>
      <c r="AR37" s="18"/>
      <c r="AS37" s="18"/>
      <c r="AT37" s="18"/>
      <c r="AU37" s="18"/>
      <c r="AV37" s="18"/>
    </row>
    <row r="38" spans="1:48" s="19" customFormat="1" ht="15.75" thickBot="1">
      <c r="A38" s="10" t="s">
        <v>25</v>
      </c>
      <c r="B38" s="17" t="s">
        <v>56</v>
      </c>
      <c r="C38" s="9" t="s">
        <v>475</v>
      </c>
      <c r="D38" s="549"/>
      <c r="E38" s="542"/>
      <c r="F38" s="542"/>
      <c r="G38" s="542"/>
      <c r="H38" s="542"/>
      <c r="I38" s="542"/>
      <c r="J38" s="542"/>
      <c r="K38" s="547"/>
      <c r="L38" s="542"/>
      <c r="M38" s="542"/>
      <c r="N38" s="540"/>
      <c r="O38" s="544"/>
      <c r="P38" s="544"/>
      <c r="Q38" s="544"/>
      <c r="R38" s="542"/>
      <c r="S38" s="544"/>
      <c r="T38" s="209">
        <v>0</v>
      </c>
      <c r="U38" s="418">
        <v>1</v>
      </c>
      <c r="V38" s="418">
        <v>1</v>
      </c>
      <c r="W38" s="452">
        <v>1</v>
      </c>
      <c r="X38" s="542"/>
      <c r="Y38" s="542"/>
      <c r="Z38" s="542"/>
      <c r="AA38" s="542"/>
      <c r="AB38" s="542"/>
      <c r="AC38" s="542"/>
      <c r="AD38" s="542"/>
      <c r="AE38" s="542"/>
      <c r="AF38" s="542"/>
      <c r="AJ38" s="18"/>
      <c r="AK38" s="18"/>
      <c r="AL38" s="18"/>
      <c r="AM38" s="18"/>
      <c r="AN38" s="18"/>
      <c r="AO38" s="18"/>
      <c r="AP38" s="18"/>
      <c r="AQ38" s="18"/>
      <c r="AR38" s="18"/>
      <c r="AS38" s="18"/>
      <c r="AT38" s="18"/>
      <c r="AU38" s="18"/>
      <c r="AV38" s="18"/>
    </row>
    <row r="39" spans="1:48" s="19" customFormat="1" ht="15">
      <c r="A39" s="20"/>
      <c r="B39" s="20"/>
      <c r="C39" s="20" t="s">
        <v>58</v>
      </c>
      <c r="D39" s="447"/>
      <c r="E39" s="541"/>
      <c r="F39" s="541"/>
      <c r="G39" s="541"/>
      <c r="H39" s="541"/>
      <c r="I39" s="541"/>
      <c r="J39" s="541"/>
      <c r="K39" s="541"/>
      <c r="L39" s="541"/>
      <c r="M39" s="541"/>
      <c r="N39" s="541"/>
      <c r="O39" s="541"/>
      <c r="P39" s="541"/>
      <c r="Q39" s="541"/>
      <c r="R39" s="541"/>
      <c r="S39" s="541"/>
      <c r="T39" s="20"/>
      <c r="U39" s="447" t="s">
        <v>96</v>
      </c>
      <c r="V39" s="462"/>
      <c r="W39" s="20"/>
      <c r="X39" s="541"/>
      <c r="Y39" s="541"/>
      <c r="Z39" s="541"/>
      <c r="AA39" s="541"/>
      <c r="AB39" s="541"/>
      <c r="AC39" s="541"/>
      <c r="AD39" s="541"/>
      <c r="AE39" s="541"/>
      <c r="AF39" s="541"/>
      <c r="AJ39" s="18"/>
      <c r="AK39" s="18"/>
      <c r="AL39" s="18"/>
      <c r="AM39" s="18"/>
    </row>
    <row r="40" spans="1:48" s="19" customFormat="1" ht="15.75" thickBot="1">
      <c r="A40" s="10" t="s">
        <v>25</v>
      </c>
      <c r="B40" s="17" t="s">
        <v>59</v>
      </c>
      <c r="C40" s="9" t="s">
        <v>60</v>
      </c>
      <c r="D40" s="549"/>
      <c r="E40" s="542"/>
      <c r="F40" s="542"/>
      <c r="G40" s="542"/>
      <c r="H40" s="542"/>
      <c r="I40" s="542"/>
      <c r="J40" s="542"/>
      <c r="K40" s="547"/>
      <c r="L40" s="542"/>
      <c r="M40" s="542"/>
      <c r="N40" s="540"/>
      <c r="O40" s="544"/>
      <c r="P40" s="544"/>
      <c r="Q40" s="544"/>
      <c r="R40" s="542"/>
      <c r="S40" s="544"/>
      <c r="T40" s="209">
        <v>310</v>
      </c>
      <c r="U40" s="448">
        <v>310</v>
      </c>
      <c r="V40" s="461">
        <v>310</v>
      </c>
      <c r="W40" s="534">
        <v>310</v>
      </c>
      <c r="X40" s="542"/>
      <c r="Y40" s="542"/>
      <c r="Z40" s="542"/>
      <c r="AA40" s="542"/>
      <c r="AB40" s="542"/>
      <c r="AC40" s="542"/>
      <c r="AD40" s="542"/>
      <c r="AE40" s="542"/>
      <c r="AF40" s="542"/>
      <c r="AJ40" s="18"/>
      <c r="AK40" s="18"/>
      <c r="AL40" s="18"/>
      <c r="AM40" s="18"/>
      <c r="AN40" s="18"/>
      <c r="AO40" s="18"/>
      <c r="AP40" s="18"/>
      <c r="AQ40" s="18"/>
      <c r="AR40" s="18"/>
      <c r="AS40" s="18"/>
      <c r="AT40" s="18"/>
      <c r="AU40" s="18"/>
      <c r="AV40" s="18"/>
    </row>
    <row r="41" spans="1:48" s="19" customFormat="1" ht="15.75" thickBot="1">
      <c r="A41" s="10" t="s">
        <v>25</v>
      </c>
      <c r="B41" s="17" t="s">
        <v>61</v>
      </c>
      <c r="C41" s="9" t="s">
        <v>62</v>
      </c>
      <c r="D41" s="549"/>
      <c r="E41" s="542"/>
      <c r="F41" s="542"/>
      <c r="G41" s="542"/>
      <c r="H41" s="542"/>
      <c r="I41" s="542"/>
      <c r="J41" s="542"/>
      <c r="K41" s="547"/>
      <c r="L41" s="542"/>
      <c r="M41" s="542"/>
      <c r="N41" s="540"/>
      <c r="O41" s="544"/>
      <c r="P41" s="544"/>
      <c r="Q41" s="544"/>
      <c r="R41" s="542"/>
      <c r="S41" s="544"/>
      <c r="T41" s="209">
        <v>0</v>
      </c>
      <c r="U41" s="418">
        <v>1</v>
      </c>
      <c r="V41" s="418">
        <v>1</v>
      </c>
      <c r="W41" s="452">
        <v>1</v>
      </c>
      <c r="X41" s="542"/>
      <c r="Y41" s="542"/>
      <c r="Z41" s="542"/>
      <c r="AA41" s="542"/>
      <c r="AB41" s="542"/>
      <c r="AC41" s="542"/>
      <c r="AD41" s="542"/>
      <c r="AE41" s="542"/>
      <c r="AF41" s="542"/>
      <c r="AJ41" s="18"/>
      <c r="AK41" s="18"/>
      <c r="AL41" s="18"/>
      <c r="AM41" s="18"/>
      <c r="AN41" s="18"/>
      <c r="AO41" s="18"/>
      <c r="AP41" s="18"/>
      <c r="AQ41" s="18"/>
      <c r="AR41" s="18"/>
      <c r="AS41" s="18"/>
      <c r="AT41" s="18"/>
      <c r="AU41" s="18"/>
      <c r="AV41" s="18"/>
    </row>
    <row r="42" spans="1:48" s="19" customFormat="1" ht="15">
      <c r="A42" s="10"/>
      <c r="B42" s="17">
        <v>33</v>
      </c>
      <c r="C42" s="9"/>
      <c r="D42" s="549"/>
      <c r="E42" s="542"/>
      <c r="F42" s="542"/>
      <c r="G42" s="542"/>
      <c r="H42" s="542"/>
      <c r="I42" s="542"/>
      <c r="J42" s="542"/>
      <c r="K42" s="547"/>
      <c r="L42" s="542"/>
      <c r="M42" s="542"/>
      <c r="N42" s="540"/>
      <c r="O42" s="544"/>
      <c r="P42" s="544"/>
      <c r="Q42" s="544"/>
      <c r="R42" s="542"/>
      <c r="S42" s="544"/>
      <c r="T42" s="209">
        <v>0</v>
      </c>
      <c r="U42" s="452"/>
      <c r="V42" s="465">
        <v>0</v>
      </c>
      <c r="W42" s="209">
        <v>0</v>
      </c>
      <c r="X42" s="542"/>
      <c r="Y42" s="542"/>
      <c r="Z42" s="542"/>
      <c r="AA42" s="542"/>
      <c r="AB42" s="542"/>
      <c r="AC42" s="542"/>
      <c r="AD42" s="542"/>
      <c r="AE42" s="542"/>
      <c r="AF42" s="542"/>
      <c r="AJ42" s="18"/>
      <c r="AK42" s="18"/>
      <c r="AL42" s="18"/>
      <c r="AM42" s="18"/>
      <c r="AN42" s="18"/>
      <c r="AO42" s="18"/>
      <c r="AP42" s="18"/>
      <c r="AQ42" s="18"/>
      <c r="AR42" s="18"/>
      <c r="AS42" s="18"/>
      <c r="AT42" s="18"/>
      <c r="AU42" s="18"/>
      <c r="AV42" s="18"/>
    </row>
    <row r="43" spans="1:48" s="19" customFormat="1" ht="15">
      <c r="A43" s="10" t="s">
        <v>25</v>
      </c>
      <c r="B43" s="17" t="s">
        <v>63</v>
      </c>
      <c r="C43" s="9" t="s">
        <v>64</v>
      </c>
      <c r="D43" s="549"/>
      <c r="E43" s="542"/>
      <c r="F43" s="542"/>
      <c r="G43" s="542"/>
      <c r="H43" s="542"/>
      <c r="I43" s="542"/>
      <c r="J43" s="542"/>
      <c r="K43" s="547"/>
      <c r="L43" s="542"/>
      <c r="M43" s="542"/>
      <c r="N43" s="540"/>
      <c r="O43" s="544"/>
      <c r="P43" s="544"/>
      <c r="Q43" s="544"/>
      <c r="R43" s="542"/>
      <c r="S43" s="544"/>
      <c r="T43" s="209">
        <v>20</v>
      </c>
      <c r="U43" s="448">
        <v>20</v>
      </c>
      <c r="V43" s="416">
        <v>20</v>
      </c>
      <c r="W43" s="209">
        <v>20</v>
      </c>
      <c r="X43" s="542"/>
      <c r="Y43" s="542"/>
      <c r="Z43" s="542"/>
      <c r="AA43" s="542"/>
      <c r="AB43" s="542"/>
      <c r="AC43" s="542"/>
      <c r="AD43" s="542"/>
      <c r="AE43" s="542"/>
      <c r="AF43" s="542"/>
      <c r="AJ43" s="18"/>
      <c r="AK43" s="18"/>
      <c r="AL43" s="18"/>
      <c r="AM43" s="18"/>
      <c r="AN43" s="18"/>
      <c r="AO43" s="18"/>
      <c r="AP43" s="18"/>
      <c r="AQ43" s="18"/>
      <c r="AR43" s="18"/>
      <c r="AS43" s="18"/>
      <c r="AT43" s="18"/>
      <c r="AU43" s="18"/>
      <c r="AV43" s="18"/>
    </row>
    <row r="44" spans="1:48" s="19" customFormat="1" ht="15">
      <c r="A44" s="20"/>
      <c r="B44" s="20"/>
      <c r="C44" s="20" t="s">
        <v>65</v>
      </c>
      <c r="D44" s="447"/>
      <c r="E44" s="541"/>
      <c r="F44" s="541"/>
      <c r="G44" s="541"/>
      <c r="H44" s="541"/>
      <c r="I44" s="541"/>
      <c r="J44" s="541"/>
      <c r="K44" s="541"/>
      <c r="L44" s="541"/>
      <c r="M44" s="541"/>
      <c r="N44" s="541"/>
      <c r="O44" s="541"/>
      <c r="P44" s="541"/>
      <c r="Q44" s="541"/>
      <c r="R44" s="541"/>
      <c r="S44" s="541"/>
      <c r="T44" s="20">
        <v>0</v>
      </c>
      <c r="U44" s="447" t="s">
        <v>96</v>
      </c>
      <c r="V44" s="410">
        <v>0</v>
      </c>
      <c r="W44" s="20">
        <v>0</v>
      </c>
      <c r="X44" s="541"/>
      <c r="Y44" s="541"/>
      <c r="Z44" s="541"/>
      <c r="AA44" s="541"/>
      <c r="AB44" s="541"/>
      <c r="AC44" s="541"/>
      <c r="AD44" s="541"/>
      <c r="AE44" s="541"/>
      <c r="AF44" s="541"/>
      <c r="AJ44" s="18"/>
      <c r="AK44" s="18"/>
      <c r="AL44" s="18"/>
      <c r="AM44" s="18"/>
    </row>
    <row r="45" spans="1:48" s="19" customFormat="1" ht="15">
      <c r="A45" s="10" t="s">
        <v>66</v>
      </c>
      <c r="B45" s="17" t="s">
        <v>67</v>
      </c>
      <c r="C45" s="9" t="s">
        <v>68</v>
      </c>
      <c r="D45" s="549"/>
      <c r="E45" s="542"/>
      <c r="F45" s="542"/>
      <c r="G45" s="542"/>
      <c r="H45" s="542"/>
      <c r="I45" s="542"/>
      <c r="J45" s="542"/>
      <c r="K45" s="547"/>
      <c r="L45" s="542"/>
      <c r="M45" s="542"/>
      <c r="N45" s="540"/>
      <c r="O45" s="544"/>
      <c r="P45" s="544"/>
      <c r="Q45" s="544"/>
      <c r="R45" s="542"/>
      <c r="S45" s="544"/>
      <c r="T45" s="209">
        <v>3917</v>
      </c>
      <c r="U45" s="448"/>
      <c r="V45" s="416"/>
      <c r="W45" s="209"/>
      <c r="X45" s="542"/>
      <c r="Y45" s="542"/>
      <c r="Z45" s="542"/>
      <c r="AA45" s="542"/>
      <c r="AB45" s="542"/>
      <c r="AC45" s="542"/>
      <c r="AD45" s="542"/>
      <c r="AE45" s="542"/>
      <c r="AF45" s="542"/>
      <c r="AJ45" s="18"/>
      <c r="AK45" s="18"/>
      <c r="AL45" s="18"/>
      <c r="AM45" s="18"/>
      <c r="AN45" s="18"/>
      <c r="AO45" s="18"/>
      <c r="AP45" s="18"/>
      <c r="AQ45" s="18"/>
      <c r="AR45" s="18"/>
      <c r="AS45" s="18"/>
      <c r="AT45" s="18"/>
      <c r="AU45" s="18"/>
      <c r="AV45" s="18"/>
    </row>
    <row r="46" spans="1:48" s="19" customFormat="1" ht="15">
      <c r="A46" s="10" t="s">
        <v>25</v>
      </c>
      <c r="B46" s="17" t="s">
        <v>269</v>
      </c>
      <c r="C46" s="9" t="s">
        <v>224</v>
      </c>
      <c r="D46" s="549"/>
      <c r="E46" s="542"/>
      <c r="F46" s="542"/>
      <c r="G46" s="542"/>
      <c r="H46" s="542"/>
      <c r="I46" s="542"/>
      <c r="J46" s="542"/>
      <c r="K46" s="547"/>
      <c r="L46" s="542"/>
      <c r="M46" s="542"/>
      <c r="N46" s="540"/>
      <c r="O46" s="544"/>
      <c r="P46" s="544"/>
      <c r="Q46" s="544"/>
      <c r="R46" s="542"/>
      <c r="S46" s="544"/>
      <c r="T46" s="209">
        <v>1255</v>
      </c>
      <c r="U46" s="451">
        <f>AJ181</f>
        <v>2186.1964928950338</v>
      </c>
      <c r="V46" s="419">
        <f>U46*(1+$V$5)</f>
        <v>2229.9204227529344</v>
      </c>
      <c r="W46" s="451">
        <f t="shared" ref="W46" si="1">V46*(1+$V$5)</f>
        <v>2274.5188312079931</v>
      </c>
      <c r="X46" s="542"/>
      <c r="Y46" s="542"/>
      <c r="Z46" s="542"/>
      <c r="AA46" s="542"/>
      <c r="AB46" s="542"/>
      <c r="AC46" s="542"/>
      <c r="AD46" s="542"/>
      <c r="AE46" s="542"/>
      <c r="AF46" s="542"/>
      <c r="AJ46" s="18"/>
      <c r="AK46" s="18"/>
      <c r="AL46" s="18"/>
      <c r="AM46" s="18"/>
    </row>
    <row r="47" spans="1:48" s="19" customFormat="1" ht="15.75" thickBot="1">
      <c r="A47" s="10" t="s">
        <v>25</v>
      </c>
      <c r="B47" s="17" t="s">
        <v>270</v>
      </c>
      <c r="C47" s="9" t="s">
        <v>225</v>
      </c>
      <c r="D47" s="549"/>
      <c r="E47" s="542"/>
      <c r="F47" s="542"/>
      <c r="G47" s="542"/>
      <c r="H47" s="542"/>
      <c r="I47" s="542"/>
      <c r="J47" s="542"/>
      <c r="K47" s="547"/>
      <c r="L47" s="542"/>
      <c r="M47" s="542"/>
      <c r="N47" s="540"/>
      <c r="O47" s="544"/>
      <c r="P47" s="544"/>
      <c r="Q47" s="544"/>
      <c r="R47" s="542"/>
      <c r="S47" s="544"/>
      <c r="T47" s="209">
        <v>224</v>
      </c>
      <c r="U47" s="453">
        <f>AJ182</f>
        <v>176.40350710496602</v>
      </c>
      <c r="V47" s="464">
        <f>U47*(1+$V$5)</f>
        <v>179.93157724706535</v>
      </c>
      <c r="W47" s="536">
        <f t="shared" ref="W47" si="2">V47*(1+$V$5)</f>
        <v>183.53020879200665</v>
      </c>
      <c r="X47" s="542"/>
      <c r="Y47" s="542"/>
      <c r="Z47" s="542"/>
      <c r="AA47" s="542"/>
      <c r="AB47" s="542"/>
      <c r="AC47" s="542"/>
      <c r="AD47" s="542"/>
      <c r="AE47" s="542"/>
      <c r="AF47" s="542"/>
      <c r="AJ47" s="18"/>
      <c r="AK47" s="18"/>
      <c r="AL47" s="18"/>
      <c r="AM47" s="18"/>
    </row>
    <row r="48" spans="1:48" s="19" customFormat="1" ht="15.75" thickBot="1">
      <c r="A48" s="10"/>
      <c r="B48" s="17"/>
      <c r="C48" s="19" t="s">
        <v>69</v>
      </c>
      <c r="D48" s="549"/>
      <c r="E48" s="542"/>
      <c r="F48" s="542"/>
      <c r="G48" s="542"/>
      <c r="H48" s="542"/>
      <c r="I48" s="542"/>
      <c r="J48" s="542"/>
      <c r="K48" s="547"/>
      <c r="L48" s="542"/>
      <c r="M48" s="542"/>
      <c r="N48" s="540"/>
      <c r="O48" s="544"/>
      <c r="P48" s="544"/>
      <c r="Q48" s="544"/>
      <c r="R48" s="542"/>
      <c r="S48" s="544"/>
      <c r="T48" s="209"/>
      <c r="U48" s="418">
        <v>1</v>
      </c>
      <c r="V48" s="418">
        <v>1</v>
      </c>
      <c r="W48" s="452">
        <v>1</v>
      </c>
      <c r="X48" s="542"/>
      <c r="Y48" s="542"/>
      <c r="Z48" s="542"/>
      <c r="AA48" s="542"/>
      <c r="AB48" s="542"/>
      <c r="AC48" s="542"/>
      <c r="AD48" s="542"/>
      <c r="AE48" s="542"/>
      <c r="AF48" s="542"/>
      <c r="AJ48" s="18"/>
      <c r="AK48" s="18"/>
      <c r="AL48" s="18"/>
      <c r="AM48" s="18"/>
    </row>
    <row r="49" spans="1:48" s="19" customFormat="1" ht="15.75" thickBot="1">
      <c r="A49" s="10"/>
      <c r="B49" s="17"/>
      <c r="D49" s="549"/>
      <c r="E49" s="542"/>
      <c r="F49" s="542"/>
      <c r="G49" s="542"/>
      <c r="H49" s="542"/>
      <c r="I49" s="542"/>
      <c r="J49" s="542"/>
      <c r="K49" s="547"/>
      <c r="L49" s="542"/>
      <c r="M49" s="542"/>
      <c r="N49" s="540"/>
      <c r="O49" s="544"/>
      <c r="P49" s="544"/>
      <c r="Q49" s="544"/>
      <c r="R49" s="542"/>
      <c r="S49" s="544"/>
      <c r="T49" s="209"/>
      <c r="U49" s="452"/>
      <c r="V49" s="466"/>
      <c r="W49" s="209"/>
      <c r="X49" s="542"/>
      <c r="Y49" s="542"/>
      <c r="Z49" s="542"/>
      <c r="AA49" s="542"/>
      <c r="AB49" s="542"/>
      <c r="AC49" s="542"/>
      <c r="AD49" s="542"/>
      <c r="AE49" s="542"/>
      <c r="AF49" s="542"/>
      <c r="AJ49" s="18"/>
      <c r="AK49" s="18"/>
      <c r="AL49" s="18"/>
      <c r="AM49" s="18"/>
    </row>
    <row r="50" spans="1:48" s="19" customFormat="1" ht="15.75" thickBot="1">
      <c r="A50" s="10"/>
      <c r="B50" s="17">
        <v>38</v>
      </c>
      <c r="C50" s="9" t="s">
        <v>488</v>
      </c>
      <c r="D50" s="549"/>
      <c r="E50" s="542"/>
      <c r="F50" s="542"/>
      <c r="G50" s="542"/>
      <c r="H50" s="542"/>
      <c r="I50" s="542"/>
      <c r="J50" s="542"/>
      <c r="K50" s="547"/>
      <c r="L50" s="542"/>
      <c r="M50" s="542"/>
      <c r="N50" s="540"/>
      <c r="O50" s="544"/>
      <c r="P50" s="544"/>
      <c r="Q50" s="544"/>
      <c r="R50" s="542"/>
      <c r="S50" s="544"/>
      <c r="T50" s="209"/>
      <c r="U50" s="418">
        <v>1</v>
      </c>
      <c r="V50" s="418">
        <v>1</v>
      </c>
      <c r="W50" s="452">
        <v>1</v>
      </c>
      <c r="X50" s="542"/>
      <c r="Y50" s="542"/>
      <c r="Z50" s="542"/>
      <c r="AA50" s="542"/>
      <c r="AB50" s="542"/>
      <c r="AC50" s="542"/>
      <c r="AD50" s="542"/>
      <c r="AE50" s="542"/>
      <c r="AF50" s="542"/>
      <c r="AJ50" s="18"/>
      <c r="AK50" s="18"/>
      <c r="AL50" s="18"/>
      <c r="AM50" s="18"/>
    </row>
    <row r="51" spans="1:48" s="19" customFormat="1" ht="15">
      <c r="A51" s="20"/>
      <c r="B51" s="20"/>
      <c r="C51" s="20" t="s">
        <v>70</v>
      </c>
      <c r="D51" s="447"/>
      <c r="E51" s="541"/>
      <c r="F51" s="541"/>
      <c r="G51" s="541"/>
      <c r="H51" s="541"/>
      <c r="I51" s="541"/>
      <c r="J51" s="541"/>
      <c r="K51" s="541"/>
      <c r="L51" s="541"/>
      <c r="M51" s="541"/>
      <c r="N51" s="541"/>
      <c r="O51" s="541"/>
      <c r="P51" s="541"/>
      <c r="Q51" s="541"/>
      <c r="R51" s="541"/>
      <c r="S51" s="541"/>
      <c r="T51" s="20"/>
      <c r="U51" s="447" t="s">
        <v>96</v>
      </c>
      <c r="V51" s="462"/>
      <c r="W51" s="20"/>
      <c r="X51" s="541"/>
      <c r="Y51" s="541"/>
      <c r="Z51" s="541"/>
      <c r="AA51" s="541"/>
      <c r="AB51" s="541"/>
      <c r="AC51" s="541"/>
      <c r="AD51" s="541"/>
      <c r="AE51" s="541"/>
      <c r="AF51" s="541"/>
      <c r="AJ51" s="18"/>
      <c r="AK51" s="18"/>
      <c r="AL51" s="18"/>
      <c r="AM51" s="18"/>
    </row>
    <row r="52" spans="1:48" s="19" customFormat="1" ht="15">
      <c r="A52" s="10" t="s">
        <v>25</v>
      </c>
      <c r="B52" s="17" t="s">
        <v>71</v>
      </c>
      <c r="C52" s="9" t="s">
        <v>271</v>
      </c>
      <c r="D52" s="549"/>
      <c r="E52" s="542"/>
      <c r="F52" s="542"/>
      <c r="G52" s="542"/>
      <c r="H52" s="542"/>
      <c r="I52" s="542"/>
      <c r="J52" s="542"/>
      <c r="K52" s="547"/>
      <c r="L52" s="542"/>
      <c r="M52" s="542"/>
      <c r="N52" s="540"/>
      <c r="O52" s="544"/>
      <c r="P52" s="544"/>
      <c r="Q52" s="544"/>
      <c r="R52" s="542"/>
      <c r="S52" s="544"/>
      <c r="T52" s="209">
        <v>20</v>
      </c>
      <c r="U52" s="448">
        <v>20</v>
      </c>
      <c r="V52" s="416">
        <v>20</v>
      </c>
      <c r="W52" s="209">
        <v>20</v>
      </c>
      <c r="X52" s="542"/>
      <c r="Y52" s="542"/>
      <c r="Z52" s="542"/>
      <c r="AA52" s="542"/>
      <c r="AB52" s="542"/>
      <c r="AC52" s="542"/>
      <c r="AD52" s="542"/>
      <c r="AE52" s="542"/>
      <c r="AF52" s="542"/>
      <c r="AJ52" s="18"/>
      <c r="AK52" s="18"/>
      <c r="AL52" s="18"/>
      <c r="AM52" s="18"/>
      <c r="AN52" s="18"/>
      <c r="AO52" s="18"/>
      <c r="AP52" s="18"/>
      <c r="AQ52" s="18"/>
      <c r="AR52" s="18"/>
      <c r="AS52" s="18"/>
      <c r="AT52" s="18"/>
      <c r="AU52" s="18"/>
      <c r="AV52" s="18"/>
    </row>
    <row r="53" spans="1:48" s="19" customFormat="1" ht="15">
      <c r="A53" s="10" t="s">
        <v>25</v>
      </c>
      <c r="B53" s="17" t="s">
        <v>72</v>
      </c>
      <c r="C53" s="9" t="s">
        <v>316</v>
      </c>
      <c r="D53" s="549"/>
      <c r="E53" s="542"/>
      <c r="F53" s="542"/>
      <c r="G53" s="542"/>
      <c r="H53" s="542"/>
      <c r="I53" s="542"/>
      <c r="J53" s="542"/>
      <c r="K53" s="547"/>
      <c r="L53" s="542"/>
      <c r="M53" s="542"/>
      <c r="N53" s="540"/>
      <c r="O53" s="544"/>
      <c r="P53" s="544"/>
      <c r="Q53" s="544"/>
      <c r="R53" s="542"/>
      <c r="S53" s="544"/>
      <c r="T53" s="209">
        <v>10</v>
      </c>
      <c r="U53" s="448">
        <v>10</v>
      </c>
      <c r="V53" s="416">
        <v>10</v>
      </c>
      <c r="W53" s="209">
        <v>10</v>
      </c>
      <c r="X53" s="542"/>
      <c r="Y53" s="542"/>
      <c r="Z53" s="542"/>
      <c r="AA53" s="542"/>
      <c r="AB53" s="542"/>
      <c r="AC53" s="542"/>
      <c r="AD53" s="542"/>
      <c r="AE53" s="542"/>
      <c r="AF53" s="542"/>
      <c r="AJ53" s="18"/>
      <c r="AK53" s="18"/>
      <c r="AL53" s="18"/>
      <c r="AM53" s="18"/>
      <c r="AN53" s="18"/>
      <c r="AO53" s="18"/>
      <c r="AP53" s="18"/>
      <c r="AQ53" s="18"/>
      <c r="AR53" s="18"/>
      <c r="AS53" s="18"/>
      <c r="AT53" s="18"/>
      <c r="AU53" s="18"/>
      <c r="AV53" s="18"/>
    </row>
    <row r="54" spans="1:48" s="19" customFormat="1" ht="15">
      <c r="A54" s="10"/>
      <c r="B54" s="17">
        <v>41</v>
      </c>
      <c r="D54" s="454"/>
      <c r="E54" s="540"/>
      <c r="F54" s="540"/>
      <c r="G54" s="540"/>
      <c r="H54" s="540"/>
      <c r="I54" s="540"/>
      <c r="J54" s="540"/>
      <c r="K54" s="540"/>
      <c r="L54" s="540"/>
      <c r="M54" s="540"/>
      <c r="N54" s="540"/>
      <c r="O54" s="540"/>
      <c r="P54" s="540"/>
      <c r="Q54" s="540"/>
      <c r="R54" s="540"/>
      <c r="S54" s="540"/>
      <c r="U54" s="454"/>
      <c r="V54" s="411">
        <v>0</v>
      </c>
      <c r="W54" s="209">
        <v>0</v>
      </c>
      <c r="X54" s="542"/>
      <c r="Y54" s="542"/>
      <c r="Z54" s="542"/>
      <c r="AA54" s="542"/>
      <c r="AB54" s="542"/>
      <c r="AC54" s="542"/>
      <c r="AD54" s="542"/>
      <c r="AE54" s="542"/>
      <c r="AF54" s="542"/>
      <c r="AJ54" s="18"/>
      <c r="AK54" s="18"/>
      <c r="AL54" s="18"/>
      <c r="AM54" s="18"/>
      <c r="AN54" s="18"/>
      <c r="AO54" s="18"/>
      <c r="AP54" s="18"/>
      <c r="AQ54" s="18"/>
      <c r="AR54" s="18"/>
      <c r="AS54" s="18"/>
      <c r="AT54" s="18"/>
      <c r="AU54" s="18"/>
      <c r="AV54" s="18"/>
    </row>
    <row r="55" spans="1:48" s="19" customFormat="1" ht="15">
      <c r="A55" s="10"/>
      <c r="B55" s="17">
        <v>42</v>
      </c>
      <c r="D55" s="454"/>
      <c r="E55" s="540"/>
      <c r="F55" s="540"/>
      <c r="G55" s="540"/>
      <c r="H55" s="540"/>
      <c r="I55" s="540"/>
      <c r="J55" s="540"/>
      <c r="K55" s="540"/>
      <c r="L55" s="540"/>
      <c r="M55" s="540"/>
      <c r="N55" s="540"/>
      <c r="O55" s="540"/>
      <c r="P55" s="540"/>
      <c r="Q55" s="540"/>
      <c r="R55" s="540"/>
      <c r="S55" s="540"/>
      <c r="U55" s="454"/>
      <c r="V55" s="411">
        <v>0</v>
      </c>
      <c r="W55" s="209">
        <v>0</v>
      </c>
      <c r="X55" s="542"/>
      <c r="Y55" s="542"/>
      <c r="Z55" s="542"/>
      <c r="AA55" s="542"/>
      <c r="AB55" s="542"/>
      <c r="AC55" s="542"/>
      <c r="AD55" s="542"/>
      <c r="AE55" s="542"/>
      <c r="AF55" s="542"/>
      <c r="AJ55" s="18"/>
      <c r="AK55" s="18"/>
      <c r="AL55" s="18"/>
      <c r="AM55" s="18"/>
      <c r="AN55" s="18"/>
      <c r="AO55" s="18"/>
      <c r="AP55" s="18"/>
      <c r="AQ55" s="18"/>
      <c r="AR55" s="18"/>
      <c r="AS55" s="18"/>
      <c r="AT55" s="18"/>
      <c r="AU55" s="18"/>
      <c r="AV55" s="18"/>
    </row>
    <row r="56" spans="1:48" s="19" customFormat="1" ht="15">
      <c r="A56" s="10" t="s">
        <v>25</v>
      </c>
      <c r="B56" s="17" t="s">
        <v>73</v>
      </c>
      <c r="C56" s="9" t="s">
        <v>272</v>
      </c>
      <c r="D56" s="549"/>
      <c r="E56" s="542"/>
      <c r="F56" s="542"/>
      <c r="G56" s="542"/>
      <c r="H56" s="542"/>
      <c r="I56" s="542"/>
      <c r="J56" s="542"/>
      <c r="K56" s="547"/>
      <c r="L56" s="542"/>
      <c r="M56" s="542"/>
      <c r="N56" s="540"/>
      <c r="O56" s="544"/>
      <c r="P56" s="544"/>
      <c r="Q56" s="544"/>
      <c r="R56" s="542"/>
      <c r="S56" s="544"/>
      <c r="T56" s="209">
        <v>0</v>
      </c>
      <c r="U56" s="448">
        <v>0</v>
      </c>
      <c r="V56" s="416">
        <v>0</v>
      </c>
      <c r="W56" s="209">
        <v>0</v>
      </c>
      <c r="X56" s="542"/>
      <c r="Y56" s="542"/>
      <c r="Z56" s="542"/>
      <c r="AA56" s="542"/>
      <c r="AB56" s="542"/>
      <c r="AC56" s="542"/>
      <c r="AD56" s="542"/>
      <c r="AE56" s="542"/>
      <c r="AF56" s="542"/>
      <c r="AJ56" s="18"/>
      <c r="AK56" s="18"/>
      <c r="AL56" s="18"/>
      <c r="AM56" s="18"/>
      <c r="AN56" s="18"/>
      <c r="AO56" s="18"/>
      <c r="AP56" s="18"/>
      <c r="AQ56" s="18"/>
      <c r="AR56" s="18"/>
      <c r="AS56" s="18"/>
      <c r="AT56" s="18"/>
      <c r="AU56" s="18"/>
      <c r="AV56" s="18"/>
    </row>
    <row r="57" spans="1:48" s="19" customFormat="1" ht="15">
      <c r="A57" s="10" t="s">
        <v>25</v>
      </c>
      <c r="B57" s="17" t="s">
        <v>74</v>
      </c>
      <c r="C57" s="9" t="s">
        <v>317</v>
      </c>
      <c r="D57" s="549"/>
      <c r="E57" s="542"/>
      <c r="F57" s="542"/>
      <c r="G57" s="542"/>
      <c r="H57" s="542"/>
      <c r="I57" s="542"/>
      <c r="J57" s="542"/>
      <c r="K57" s="547"/>
      <c r="L57" s="542"/>
      <c r="M57" s="542"/>
      <c r="N57" s="540"/>
      <c r="O57" s="544"/>
      <c r="P57" s="544"/>
      <c r="Q57" s="544"/>
      <c r="R57" s="542"/>
      <c r="S57" s="544"/>
      <c r="T57" s="209">
        <v>10</v>
      </c>
      <c r="U57" s="448">
        <v>10</v>
      </c>
      <c r="V57" s="416">
        <v>10</v>
      </c>
      <c r="W57" s="209">
        <v>10</v>
      </c>
      <c r="X57" s="542"/>
      <c r="Y57" s="542"/>
      <c r="Z57" s="542"/>
      <c r="AA57" s="542"/>
      <c r="AB57" s="542"/>
      <c r="AC57" s="542"/>
      <c r="AD57" s="542"/>
      <c r="AE57" s="542"/>
      <c r="AF57" s="542"/>
      <c r="AJ57" s="18"/>
      <c r="AK57" s="18"/>
      <c r="AL57" s="18"/>
      <c r="AM57" s="18"/>
      <c r="AN57" s="18"/>
      <c r="AO57" s="18"/>
      <c r="AP57" s="18"/>
      <c r="AQ57" s="18"/>
      <c r="AR57" s="18"/>
      <c r="AS57" s="18"/>
      <c r="AT57" s="18"/>
      <c r="AU57" s="18"/>
      <c r="AV57" s="18"/>
    </row>
    <row r="58" spans="1:48" s="19" customFormat="1" ht="15">
      <c r="A58" s="10"/>
      <c r="B58" s="17"/>
      <c r="C58" s="19" t="s">
        <v>229</v>
      </c>
      <c r="D58" s="549"/>
      <c r="E58" s="542"/>
      <c r="F58" s="542"/>
      <c r="G58" s="542"/>
      <c r="H58" s="542"/>
      <c r="I58" s="542"/>
      <c r="J58" s="542"/>
      <c r="K58" s="547"/>
      <c r="L58" s="542"/>
      <c r="M58" s="542"/>
      <c r="N58" s="540"/>
      <c r="O58" s="544"/>
      <c r="P58" s="544"/>
      <c r="Q58" s="544"/>
      <c r="R58" s="542"/>
      <c r="S58" s="544"/>
      <c r="T58" s="209">
        <v>0</v>
      </c>
      <c r="U58" s="453">
        <f>U52+U56</f>
        <v>20</v>
      </c>
      <c r="V58" s="420">
        <f>V52+V56</f>
        <v>20</v>
      </c>
      <c r="W58" s="209"/>
      <c r="X58" s="540"/>
      <c r="Y58" s="540"/>
      <c r="Z58" s="540"/>
      <c r="AA58" s="540"/>
      <c r="AB58" s="540"/>
      <c r="AC58" s="540"/>
      <c r="AD58" s="540"/>
      <c r="AE58" s="540"/>
      <c r="AF58" s="540"/>
      <c r="AJ58" s="18"/>
      <c r="AK58" s="18"/>
      <c r="AL58" s="18"/>
      <c r="AM58" s="18"/>
    </row>
    <row r="59" spans="1:48" s="19" customFormat="1" ht="15.75" thickBot="1">
      <c r="A59" s="10"/>
      <c r="B59" s="17"/>
      <c r="C59" s="19" t="s">
        <v>230</v>
      </c>
      <c r="D59" s="549"/>
      <c r="E59" s="542"/>
      <c r="F59" s="542"/>
      <c r="G59" s="542"/>
      <c r="H59" s="542"/>
      <c r="I59" s="542"/>
      <c r="J59" s="542"/>
      <c r="K59" s="547"/>
      <c r="L59" s="542"/>
      <c r="M59" s="542"/>
      <c r="N59" s="540"/>
      <c r="O59" s="544"/>
      <c r="P59" s="544"/>
      <c r="Q59" s="544"/>
      <c r="R59" s="542"/>
      <c r="S59" s="544"/>
      <c r="T59" s="209">
        <v>0</v>
      </c>
      <c r="U59" s="453">
        <f>U53+U57</f>
        <v>20</v>
      </c>
      <c r="V59" s="464">
        <f>V53+V57</f>
        <v>20</v>
      </c>
      <c r="W59" s="209"/>
      <c r="X59" s="540"/>
      <c r="Y59" s="540"/>
      <c r="Z59" s="540"/>
      <c r="AA59" s="540"/>
      <c r="AB59" s="540"/>
      <c r="AC59" s="540"/>
      <c r="AD59" s="540"/>
      <c r="AE59" s="540"/>
      <c r="AF59" s="540"/>
      <c r="AJ59" s="18"/>
      <c r="AK59" s="18"/>
      <c r="AL59" s="18"/>
      <c r="AM59" s="18"/>
    </row>
    <row r="60" spans="1:48" s="19" customFormat="1" ht="15">
      <c r="A60" s="10"/>
      <c r="B60" s="17"/>
      <c r="C60" s="264" t="s">
        <v>385</v>
      </c>
      <c r="D60" s="549"/>
      <c r="E60" s="542"/>
      <c r="F60" s="542"/>
      <c r="G60" s="542"/>
      <c r="H60" s="542"/>
      <c r="I60" s="542"/>
      <c r="J60" s="542"/>
      <c r="K60" s="547"/>
      <c r="L60" s="542"/>
      <c r="M60" s="542"/>
      <c r="N60" s="540"/>
      <c r="O60" s="544"/>
      <c r="P60" s="544"/>
      <c r="Q60" s="544"/>
      <c r="R60" s="542"/>
      <c r="S60" s="544"/>
      <c r="T60" s="209"/>
      <c r="U60" s="418">
        <v>1</v>
      </c>
      <c r="V60" s="418">
        <v>1</v>
      </c>
      <c r="W60" s="452">
        <v>1</v>
      </c>
      <c r="X60" s="542"/>
      <c r="Y60" s="542"/>
      <c r="Z60" s="540"/>
      <c r="AA60" s="540"/>
      <c r="AB60" s="540"/>
      <c r="AC60" s="540"/>
      <c r="AD60" s="540"/>
      <c r="AE60" s="540"/>
      <c r="AF60" s="540"/>
      <c r="AJ60" s="18"/>
      <c r="AK60" s="18"/>
      <c r="AL60" s="18"/>
      <c r="AM60" s="18"/>
    </row>
    <row r="61" spans="1:48" s="19" customFormat="1" ht="15.75" thickBot="1">
      <c r="A61" s="10"/>
      <c r="B61" s="17"/>
      <c r="C61" s="264" t="s">
        <v>386</v>
      </c>
      <c r="D61" s="549"/>
      <c r="E61" s="542"/>
      <c r="F61" s="542"/>
      <c r="G61" s="542"/>
      <c r="H61" s="542"/>
      <c r="I61" s="542"/>
      <c r="J61" s="542"/>
      <c r="K61" s="547"/>
      <c r="L61" s="542"/>
      <c r="M61" s="542"/>
      <c r="N61" s="540"/>
      <c r="O61" s="544"/>
      <c r="P61" s="544"/>
      <c r="Q61" s="544"/>
      <c r="R61" s="542"/>
      <c r="S61" s="544"/>
      <c r="T61" s="209"/>
      <c r="U61" s="418">
        <v>1</v>
      </c>
      <c r="V61" s="418">
        <v>1</v>
      </c>
      <c r="W61" s="452">
        <v>1</v>
      </c>
      <c r="X61" s="542"/>
      <c r="Y61" s="542"/>
      <c r="Z61" s="540"/>
      <c r="AA61" s="540"/>
      <c r="AB61" s="540"/>
      <c r="AC61" s="540"/>
      <c r="AD61" s="540"/>
      <c r="AE61" s="540"/>
      <c r="AF61" s="540"/>
      <c r="AJ61" s="18"/>
      <c r="AK61" s="18"/>
      <c r="AL61" s="18"/>
      <c r="AM61" s="18"/>
    </row>
    <row r="62" spans="1:48" s="19" customFormat="1" ht="15">
      <c r="A62" s="10"/>
      <c r="B62" s="17"/>
      <c r="C62" s="9"/>
      <c r="D62" s="549"/>
      <c r="E62" s="542"/>
      <c r="F62" s="542"/>
      <c r="G62" s="542"/>
      <c r="H62" s="542"/>
      <c r="I62" s="542"/>
      <c r="J62" s="542"/>
      <c r="K62" s="547"/>
      <c r="L62" s="542"/>
      <c r="M62" s="542"/>
      <c r="N62" s="540"/>
      <c r="O62" s="544"/>
      <c r="P62" s="544"/>
      <c r="Q62" s="544"/>
      <c r="R62" s="542"/>
      <c r="S62" s="544"/>
      <c r="T62" s="209"/>
      <c r="U62" s="448"/>
      <c r="V62" s="465"/>
      <c r="W62" s="209"/>
      <c r="X62" s="540"/>
      <c r="Y62" s="540"/>
      <c r="Z62" s="540"/>
      <c r="AA62" s="540"/>
      <c r="AB62" s="540"/>
      <c r="AC62" s="540"/>
      <c r="AD62" s="540"/>
      <c r="AE62" s="540"/>
      <c r="AF62" s="540"/>
      <c r="AJ62" s="18"/>
      <c r="AK62" s="18"/>
      <c r="AL62" s="18"/>
      <c r="AM62" s="18"/>
    </row>
    <row r="63" spans="1:48" s="19" customFormat="1" ht="15">
      <c r="A63" s="20"/>
      <c r="B63" s="20"/>
      <c r="C63" s="20" t="s">
        <v>75</v>
      </c>
      <c r="D63" s="447"/>
      <c r="E63" s="541"/>
      <c r="F63" s="541"/>
      <c r="G63" s="541"/>
      <c r="H63" s="541"/>
      <c r="I63" s="541"/>
      <c r="J63" s="541"/>
      <c r="K63" s="541"/>
      <c r="L63" s="541"/>
      <c r="M63" s="541"/>
      <c r="N63" s="541"/>
      <c r="O63" s="541"/>
      <c r="P63" s="541"/>
      <c r="Q63" s="541"/>
      <c r="R63" s="541"/>
      <c r="S63" s="541"/>
      <c r="T63" s="20"/>
      <c r="U63" s="447" t="s">
        <v>96</v>
      </c>
      <c r="V63" s="410"/>
      <c r="W63" s="20"/>
      <c r="X63" s="541"/>
      <c r="Y63" s="541"/>
      <c r="Z63" s="541"/>
      <c r="AA63" s="541"/>
      <c r="AB63" s="541"/>
      <c r="AC63" s="541"/>
      <c r="AD63" s="541"/>
      <c r="AE63" s="541"/>
      <c r="AF63" s="541"/>
      <c r="AJ63" s="18"/>
      <c r="AK63" s="18"/>
      <c r="AL63" s="18"/>
      <c r="AM63" s="18"/>
    </row>
    <row r="64" spans="1:48" s="19" customFormat="1" ht="15.75" thickBot="1">
      <c r="A64" s="10" t="s">
        <v>25</v>
      </c>
      <c r="B64" s="17" t="s">
        <v>76</v>
      </c>
      <c r="C64" s="9" t="s">
        <v>483</v>
      </c>
      <c r="D64" s="549"/>
      <c r="E64" s="542"/>
      <c r="F64" s="542"/>
      <c r="G64" s="542"/>
      <c r="H64" s="542"/>
      <c r="I64" s="542"/>
      <c r="J64" s="542"/>
      <c r="K64" s="547"/>
      <c r="L64" s="542"/>
      <c r="M64" s="542"/>
      <c r="N64" s="540"/>
      <c r="O64" s="544"/>
      <c r="P64" s="544"/>
      <c r="Q64" s="544"/>
      <c r="R64" s="542"/>
      <c r="S64" s="544"/>
      <c r="T64" s="209">
        <v>255</v>
      </c>
      <c r="U64" s="448">
        <v>260</v>
      </c>
      <c r="V64" s="461">
        <v>265</v>
      </c>
      <c r="W64" s="209">
        <v>270</v>
      </c>
      <c r="X64" s="542"/>
      <c r="Y64" s="542"/>
      <c r="Z64" s="542"/>
      <c r="AA64" s="542"/>
      <c r="AB64" s="542"/>
      <c r="AC64" s="542"/>
      <c r="AD64" s="542"/>
      <c r="AE64" s="542"/>
      <c r="AF64" s="542"/>
      <c r="AJ64" s="18"/>
      <c r="AK64" s="18"/>
      <c r="AL64" s="18"/>
      <c r="AM64" s="18"/>
      <c r="AN64" s="18"/>
      <c r="AO64" s="18"/>
      <c r="AP64" s="18"/>
      <c r="AQ64" s="18"/>
      <c r="AR64" s="18"/>
      <c r="AS64" s="18"/>
      <c r="AT64" s="18"/>
      <c r="AU64" s="18"/>
      <c r="AV64" s="18"/>
    </row>
    <row r="65" spans="1:48" s="19" customFormat="1" ht="15">
      <c r="A65" s="10"/>
      <c r="B65" s="17">
        <v>57</v>
      </c>
      <c r="C65" s="111" t="s">
        <v>87</v>
      </c>
      <c r="D65" s="549"/>
      <c r="E65" s="542"/>
      <c r="F65" s="542"/>
      <c r="G65" s="542"/>
      <c r="H65" s="542"/>
      <c r="I65" s="542"/>
      <c r="J65" s="542"/>
      <c r="K65" s="547"/>
      <c r="L65" s="542"/>
      <c r="M65" s="542"/>
      <c r="N65" s="540"/>
      <c r="O65" s="544"/>
      <c r="P65" s="544"/>
      <c r="Q65" s="544"/>
      <c r="R65" s="542"/>
      <c r="S65" s="544"/>
      <c r="T65" s="209">
        <v>0</v>
      </c>
      <c r="U65" s="418">
        <v>1</v>
      </c>
      <c r="V65" s="418">
        <v>1</v>
      </c>
      <c r="W65" s="452">
        <v>1</v>
      </c>
      <c r="X65" s="542"/>
      <c r="Y65" s="542"/>
      <c r="Z65" s="542"/>
      <c r="AA65" s="542"/>
      <c r="AB65" s="542"/>
      <c r="AC65" s="542"/>
      <c r="AD65" s="542"/>
      <c r="AE65" s="542"/>
      <c r="AF65" s="542"/>
      <c r="AJ65" s="18"/>
      <c r="AK65" s="18"/>
      <c r="AL65" s="18"/>
      <c r="AM65" s="18"/>
      <c r="AN65" s="18"/>
      <c r="AO65" s="18"/>
      <c r="AP65" s="18"/>
      <c r="AQ65" s="18"/>
      <c r="AR65" s="18"/>
      <c r="AS65" s="18"/>
      <c r="AT65" s="18"/>
      <c r="AU65" s="18"/>
      <c r="AV65" s="18"/>
    </row>
    <row r="66" spans="1:48" s="19" customFormat="1" ht="15">
      <c r="A66" s="10"/>
      <c r="B66" s="17" t="s">
        <v>77</v>
      </c>
      <c r="C66" s="111" t="s">
        <v>484</v>
      </c>
      <c r="D66" s="549"/>
      <c r="E66" s="542"/>
      <c r="F66" s="542"/>
      <c r="G66" s="542"/>
      <c r="H66" s="542"/>
      <c r="I66" s="542"/>
      <c r="J66" s="542"/>
      <c r="K66" s="547"/>
      <c r="L66" s="542"/>
      <c r="M66" s="542"/>
      <c r="N66" s="540"/>
      <c r="O66" s="544"/>
      <c r="P66" s="544"/>
      <c r="Q66" s="544"/>
      <c r="R66" s="542"/>
      <c r="S66" s="544"/>
      <c r="T66" s="209">
        <v>0</v>
      </c>
      <c r="U66" s="418">
        <v>1</v>
      </c>
      <c r="V66" s="418">
        <v>1</v>
      </c>
      <c r="W66" s="452">
        <v>1</v>
      </c>
      <c r="X66" s="542"/>
      <c r="Y66" s="542"/>
      <c r="Z66" s="542"/>
      <c r="AA66" s="542"/>
      <c r="AB66" s="542"/>
      <c r="AC66" s="542"/>
      <c r="AD66" s="542"/>
      <c r="AE66" s="542"/>
      <c r="AF66" s="542"/>
      <c r="AJ66" s="18"/>
      <c r="AK66" s="18"/>
      <c r="AL66" s="18"/>
      <c r="AM66" s="18"/>
      <c r="AN66" s="18"/>
      <c r="AO66" s="18"/>
      <c r="AP66" s="18"/>
      <c r="AQ66" s="18"/>
      <c r="AR66" s="18"/>
      <c r="AS66" s="18"/>
      <c r="AT66" s="18"/>
      <c r="AU66" s="18"/>
      <c r="AV66" s="18"/>
    </row>
    <row r="67" spans="1:48" s="19" customFormat="1" ht="15.75" thickBot="1">
      <c r="A67" s="10"/>
      <c r="B67" s="17" t="s">
        <v>273</v>
      </c>
      <c r="C67" s="111" t="s">
        <v>485</v>
      </c>
      <c r="D67" s="549"/>
      <c r="E67" s="542"/>
      <c r="F67" s="542"/>
      <c r="G67" s="542"/>
      <c r="H67" s="542"/>
      <c r="I67" s="542"/>
      <c r="J67" s="542"/>
      <c r="K67" s="547"/>
      <c r="L67" s="542"/>
      <c r="M67" s="542"/>
      <c r="N67" s="540"/>
      <c r="O67" s="544"/>
      <c r="P67" s="544"/>
      <c r="Q67" s="544"/>
      <c r="R67" s="542"/>
      <c r="S67" s="544"/>
      <c r="T67" s="209">
        <v>0</v>
      </c>
      <c r="U67" s="418">
        <v>1</v>
      </c>
      <c r="V67" s="418">
        <v>1</v>
      </c>
      <c r="W67" s="452">
        <v>1</v>
      </c>
      <c r="X67" s="542"/>
      <c r="Y67" s="542"/>
      <c r="Z67" s="542"/>
      <c r="AA67" s="542"/>
      <c r="AB67" s="542"/>
      <c r="AC67" s="542"/>
      <c r="AD67" s="542"/>
      <c r="AE67" s="542"/>
      <c r="AF67" s="542"/>
      <c r="AJ67" s="18"/>
      <c r="AK67" s="18"/>
      <c r="AL67" s="18"/>
      <c r="AM67" s="18"/>
      <c r="AN67" s="18"/>
      <c r="AO67" s="18"/>
      <c r="AP67" s="18"/>
      <c r="AQ67" s="18"/>
      <c r="AR67" s="18"/>
      <c r="AS67" s="18"/>
      <c r="AT67" s="18"/>
      <c r="AU67" s="18"/>
      <c r="AV67" s="18"/>
    </row>
    <row r="68" spans="1:48" s="19" customFormat="1" ht="15.75" thickBot="1">
      <c r="A68" s="10"/>
      <c r="B68" s="17">
        <v>60</v>
      </c>
      <c r="C68" s="111"/>
      <c r="D68" s="549"/>
      <c r="E68" s="542"/>
      <c r="F68" s="542"/>
      <c r="G68" s="542"/>
      <c r="H68" s="542"/>
      <c r="I68" s="542"/>
      <c r="J68" s="542"/>
      <c r="K68" s="547"/>
      <c r="L68" s="542"/>
      <c r="M68" s="542"/>
      <c r="N68" s="540"/>
      <c r="O68" s="544"/>
      <c r="P68" s="544"/>
      <c r="Q68" s="544"/>
      <c r="R68" s="542"/>
      <c r="S68" s="544"/>
      <c r="T68" s="209"/>
      <c r="U68" s="452"/>
      <c r="V68" s="466"/>
      <c r="W68" s="209"/>
      <c r="X68" s="540"/>
      <c r="Y68" s="540"/>
      <c r="Z68" s="540"/>
      <c r="AA68" s="540"/>
      <c r="AB68" s="540"/>
      <c r="AC68" s="540"/>
      <c r="AD68" s="540"/>
      <c r="AE68" s="540"/>
      <c r="AF68" s="540"/>
      <c r="AJ68" s="18"/>
      <c r="AK68" s="18"/>
      <c r="AL68" s="18"/>
      <c r="AM68" s="18"/>
    </row>
    <row r="69" spans="1:48" s="19" customFormat="1" ht="15.75" thickBot="1">
      <c r="A69" s="10"/>
      <c r="B69" s="17">
        <v>61</v>
      </c>
      <c r="C69" s="111" t="s">
        <v>486</v>
      </c>
      <c r="D69" s="549"/>
      <c r="E69" s="542"/>
      <c r="F69" s="542"/>
      <c r="G69" s="542"/>
      <c r="H69" s="542"/>
      <c r="I69" s="542"/>
      <c r="J69" s="542"/>
      <c r="K69" s="547"/>
      <c r="L69" s="542"/>
      <c r="M69" s="542"/>
      <c r="N69" s="540"/>
      <c r="O69" s="544"/>
      <c r="P69" s="544"/>
      <c r="Q69" s="544"/>
      <c r="R69" s="542"/>
      <c r="S69" s="544"/>
      <c r="T69" s="209"/>
      <c r="U69" s="418">
        <v>1</v>
      </c>
      <c r="V69" s="418">
        <v>1</v>
      </c>
      <c r="W69" s="452">
        <v>1</v>
      </c>
      <c r="X69" s="542"/>
      <c r="Y69" s="542"/>
      <c r="Z69" s="540"/>
      <c r="AA69" s="540"/>
      <c r="AB69" s="540"/>
      <c r="AC69" s="540"/>
      <c r="AD69" s="540"/>
      <c r="AE69" s="540"/>
      <c r="AF69" s="540"/>
      <c r="AJ69" s="18"/>
      <c r="AK69" s="18"/>
      <c r="AL69" s="18"/>
      <c r="AM69" s="18"/>
    </row>
    <row r="70" spans="1:48" s="19" customFormat="1" ht="15.75" thickBot="1">
      <c r="A70" s="20"/>
      <c r="B70" s="20"/>
      <c r="C70" s="20" t="s">
        <v>84</v>
      </c>
      <c r="D70" s="447"/>
      <c r="E70" s="541"/>
      <c r="F70" s="541"/>
      <c r="G70" s="541"/>
      <c r="H70" s="541"/>
      <c r="I70" s="541"/>
      <c r="J70" s="541"/>
      <c r="K70" s="541"/>
      <c r="L70" s="541"/>
      <c r="M70" s="541"/>
      <c r="N70" s="541"/>
      <c r="O70" s="541"/>
      <c r="P70" s="541"/>
      <c r="Q70" s="541"/>
      <c r="R70" s="541"/>
      <c r="S70" s="541"/>
      <c r="T70" s="20"/>
      <c r="U70" s="447" t="s">
        <v>96</v>
      </c>
      <c r="V70" s="467"/>
      <c r="W70" s="20"/>
      <c r="X70" s="541"/>
      <c r="Y70" s="541"/>
      <c r="Z70" s="541"/>
      <c r="AA70" s="541"/>
      <c r="AB70" s="541"/>
      <c r="AC70" s="541"/>
      <c r="AD70" s="541"/>
      <c r="AE70" s="541"/>
      <c r="AF70" s="541"/>
      <c r="AJ70" s="18"/>
      <c r="AK70" s="18"/>
      <c r="AL70" s="18"/>
      <c r="AM70" s="18"/>
    </row>
    <row r="71" spans="1:48" s="19" customFormat="1" ht="15">
      <c r="A71" s="10" t="s">
        <v>25</v>
      </c>
      <c r="B71" s="17" t="s">
        <v>274</v>
      </c>
      <c r="C71" s="9" t="s">
        <v>78</v>
      </c>
      <c r="D71" s="549"/>
      <c r="E71" s="542"/>
      <c r="F71" s="542"/>
      <c r="G71" s="542"/>
      <c r="H71" s="542"/>
      <c r="I71" s="542"/>
      <c r="J71" s="542"/>
      <c r="K71" s="547"/>
      <c r="L71" s="542"/>
      <c r="M71" s="542"/>
      <c r="N71" s="540"/>
      <c r="O71" s="544"/>
      <c r="P71" s="544"/>
      <c r="Q71" s="544"/>
      <c r="R71" s="542"/>
      <c r="S71" s="544"/>
      <c r="T71" s="209">
        <v>0</v>
      </c>
      <c r="U71" s="418">
        <v>1</v>
      </c>
      <c r="V71" s="418">
        <v>1</v>
      </c>
      <c r="W71" s="452">
        <v>1</v>
      </c>
      <c r="X71" s="542"/>
      <c r="Y71" s="542"/>
      <c r="Z71" s="542"/>
      <c r="AA71" s="542"/>
      <c r="AB71" s="542"/>
      <c r="AC71" s="542"/>
      <c r="AD71" s="542"/>
      <c r="AE71" s="542"/>
      <c r="AF71" s="542"/>
      <c r="AJ71" s="18"/>
      <c r="AK71" s="18"/>
      <c r="AL71" s="18"/>
      <c r="AM71" s="18"/>
    </row>
    <row r="72" spans="1:48" s="19" customFormat="1" ht="15.75" thickBot="1">
      <c r="A72" s="10" t="s">
        <v>96</v>
      </c>
      <c r="B72" s="17">
        <v>63</v>
      </c>
      <c r="C72" s="9" t="s">
        <v>79</v>
      </c>
      <c r="D72" s="549"/>
      <c r="E72" s="542"/>
      <c r="F72" s="542"/>
      <c r="G72" s="542"/>
      <c r="H72" s="542"/>
      <c r="I72" s="542"/>
      <c r="J72" s="542"/>
      <c r="K72" s="547"/>
      <c r="L72" s="542"/>
      <c r="M72" s="542"/>
      <c r="N72" s="540"/>
      <c r="O72" s="544"/>
      <c r="P72" s="544"/>
      <c r="Q72" s="544"/>
      <c r="R72" s="542"/>
      <c r="S72" s="544"/>
      <c r="T72" s="209"/>
      <c r="U72" s="418">
        <v>1</v>
      </c>
      <c r="V72" s="418">
        <v>1</v>
      </c>
      <c r="W72" s="452">
        <v>1</v>
      </c>
      <c r="X72" s="542"/>
      <c r="Y72" s="542"/>
      <c r="Z72" s="540"/>
      <c r="AA72" s="540"/>
      <c r="AB72" s="540"/>
      <c r="AC72" s="540"/>
      <c r="AD72" s="540"/>
      <c r="AE72" s="540"/>
      <c r="AF72" s="540"/>
      <c r="AJ72" s="18"/>
      <c r="AK72" s="18"/>
      <c r="AL72" s="18"/>
      <c r="AM72" s="18"/>
    </row>
    <row r="73" spans="1:48" s="19" customFormat="1" ht="15.75" thickBot="1">
      <c r="A73" s="10" t="s">
        <v>25</v>
      </c>
      <c r="B73" s="17" t="s">
        <v>80</v>
      </c>
      <c r="C73" s="9" t="s">
        <v>157</v>
      </c>
      <c r="D73" s="549"/>
      <c r="E73" s="542"/>
      <c r="F73" s="542"/>
      <c r="G73" s="542"/>
      <c r="H73" s="542"/>
      <c r="I73" s="542"/>
      <c r="J73" s="542"/>
      <c r="K73" s="547"/>
      <c r="L73" s="542"/>
      <c r="M73" s="542"/>
      <c r="N73" s="540"/>
      <c r="O73" s="544"/>
      <c r="P73" s="544"/>
      <c r="Q73" s="544"/>
      <c r="R73" s="542"/>
      <c r="S73" s="544"/>
      <c r="T73" s="209">
        <v>867</v>
      </c>
      <c r="U73" s="448">
        <v>884</v>
      </c>
      <c r="V73" s="468">
        <v>902</v>
      </c>
      <c r="W73" s="537">
        <v>920</v>
      </c>
      <c r="X73" s="542"/>
      <c r="Y73" s="542"/>
      <c r="Z73" s="542"/>
      <c r="AA73" s="542"/>
      <c r="AB73" s="542"/>
      <c r="AC73" s="542"/>
      <c r="AD73" s="542"/>
      <c r="AE73" s="542"/>
      <c r="AF73" s="542"/>
      <c r="AJ73" s="18"/>
      <c r="AK73" s="18"/>
      <c r="AL73" s="18"/>
      <c r="AM73" s="18"/>
      <c r="AN73" s="18"/>
      <c r="AO73" s="18"/>
      <c r="AP73" s="18"/>
      <c r="AQ73" s="18"/>
      <c r="AT73" s="18"/>
      <c r="AU73" s="18"/>
      <c r="AV73" s="18"/>
    </row>
    <row r="74" spans="1:48" s="19" customFormat="1" ht="13.5" thickBot="1">
      <c r="A74" s="10" t="s">
        <v>25</v>
      </c>
      <c r="B74" s="17" t="s">
        <v>275</v>
      </c>
      <c r="C74" s="9" t="s">
        <v>81</v>
      </c>
      <c r="D74" s="549"/>
      <c r="E74" s="542"/>
      <c r="F74" s="542"/>
      <c r="G74" s="542"/>
      <c r="H74" s="542"/>
      <c r="I74" s="542"/>
      <c r="J74" s="542"/>
      <c r="K74" s="547"/>
      <c r="L74" s="542"/>
      <c r="M74" s="542"/>
      <c r="N74" s="540"/>
      <c r="O74" s="544"/>
      <c r="P74" s="544"/>
      <c r="Q74" s="544"/>
      <c r="R74" s="542"/>
      <c r="S74" s="544"/>
      <c r="T74" s="209">
        <v>0</v>
      </c>
      <c r="U74" s="418">
        <v>1</v>
      </c>
      <c r="V74" s="418">
        <v>1</v>
      </c>
      <c r="W74" s="452">
        <v>1</v>
      </c>
      <c r="X74" s="542"/>
      <c r="Y74" s="542"/>
      <c r="Z74" s="542"/>
      <c r="AA74" s="542"/>
      <c r="AB74" s="542"/>
      <c r="AC74" s="542"/>
      <c r="AD74" s="542"/>
      <c r="AE74" s="542"/>
      <c r="AF74" s="542"/>
    </row>
    <row r="75" spans="1:48" s="19" customFormat="1" ht="15.75" thickBot="1">
      <c r="A75" s="10" t="s">
        <v>25</v>
      </c>
      <c r="B75" s="17" t="s">
        <v>82</v>
      </c>
      <c r="C75" s="9" t="s">
        <v>83</v>
      </c>
      <c r="D75" s="549"/>
      <c r="E75" s="542"/>
      <c r="F75" s="542"/>
      <c r="G75" s="542"/>
      <c r="H75" s="542"/>
      <c r="I75" s="542"/>
      <c r="J75" s="542"/>
      <c r="K75" s="547"/>
      <c r="L75" s="542"/>
      <c r="M75" s="542"/>
      <c r="N75" s="540"/>
      <c r="O75" s="544"/>
      <c r="P75" s="544"/>
      <c r="Q75" s="544"/>
      <c r="R75" s="542"/>
      <c r="S75" s="544"/>
      <c r="T75" s="209">
        <v>10</v>
      </c>
      <c r="U75" s="448">
        <v>10</v>
      </c>
      <c r="V75" s="468">
        <v>10</v>
      </c>
      <c r="W75" s="537">
        <v>10</v>
      </c>
      <c r="X75" s="542"/>
      <c r="Y75" s="542"/>
      <c r="Z75" s="542"/>
      <c r="AA75" s="542"/>
      <c r="AB75" s="542"/>
      <c r="AC75" s="542"/>
      <c r="AD75" s="542"/>
      <c r="AE75" s="542"/>
      <c r="AF75" s="542"/>
      <c r="AI75" s="18"/>
      <c r="AJ75" s="18"/>
      <c r="AK75" s="18"/>
      <c r="AL75" s="18"/>
      <c r="AM75" s="18"/>
      <c r="AN75" s="18"/>
      <c r="AO75" s="18"/>
      <c r="AP75" s="18"/>
      <c r="AQ75" s="18"/>
      <c r="AT75" s="18"/>
      <c r="AU75" s="18"/>
      <c r="AV75" s="18"/>
    </row>
    <row r="76" spans="1:48" s="19" customFormat="1">
      <c r="A76" s="10" t="s">
        <v>25</v>
      </c>
      <c r="B76" s="17" t="s">
        <v>276</v>
      </c>
      <c r="C76" s="9" t="s">
        <v>88</v>
      </c>
      <c r="D76" s="549"/>
      <c r="E76" s="542"/>
      <c r="F76" s="542"/>
      <c r="G76" s="542"/>
      <c r="H76" s="542"/>
      <c r="I76" s="542"/>
      <c r="J76" s="542"/>
      <c r="K76" s="547"/>
      <c r="L76" s="542"/>
      <c r="M76" s="542"/>
      <c r="N76" s="540"/>
      <c r="O76" s="544"/>
      <c r="P76" s="544"/>
      <c r="Q76" s="544"/>
      <c r="R76" s="542"/>
      <c r="S76" s="544"/>
      <c r="T76" s="209">
        <v>0</v>
      </c>
      <c r="U76" s="418">
        <v>1</v>
      </c>
      <c r="V76" s="418">
        <v>1</v>
      </c>
      <c r="W76" s="452">
        <v>1</v>
      </c>
      <c r="X76" s="542"/>
      <c r="Y76" s="542"/>
      <c r="Z76" s="542"/>
      <c r="AA76" s="542"/>
      <c r="AB76" s="542"/>
      <c r="AC76" s="542"/>
      <c r="AD76" s="542"/>
      <c r="AE76" s="542"/>
      <c r="AF76" s="542"/>
    </row>
    <row r="77" spans="1:48" s="19" customFormat="1" ht="15.75" thickBot="1">
      <c r="A77" s="10" t="s">
        <v>25</v>
      </c>
      <c r="B77" s="17" t="s">
        <v>277</v>
      </c>
      <c r="C77" s="9" t="s">
        <v>89</v>
      </c>
      <c r="D77" s="549"/>
      <c r="E77" s="542"/>
      <c r="F77" s="542"/>
      <c r="G77" s="542"/>
      <c r="H77" s="542"/>
      <c r="I77" s="542"/>
      <c r="J77" s="542"/>
      <c r="K77" s="547"/>
      <c r="L77" s="542"/>
      <c r="M77" s="542"/>
      <c r="N77" s="540"/>
      <c r="O77" s="544"/>
      <c r="P77" s="544"/>
      <c r="Q77" s="544"/>
      <c r="R77" s="542"/>
      <c r="S77" s="544"/>
      <c r="T77" s="209">
        <v>0</v>
      </c>
      <c r="U77" s="418">
        <v>1</v>
      </c>
      <c r="V77" s="418">
        <v>1</v>
      </c>
      <c r="W77" s="452">
        <v>1</v>
      </c>
      <c r="X77" s="542"/>
      <c r="Y77" s="542"/>
      <c r="Z77" s="542"/>
      <c r="AA77" s="542"/>
      <c r="AB77" s="542"/>
      <c r="AC77" s="542"/>
      <c r="AD77" s="542"/>
      <c r="AE77" s="542"/>
      <c r="AF77" s="542"/>
      <c r="AI77" s="18"/>
    </row>
    <row r="78" spans="1:48" s="19" customFormat="1" ht="13.5" thickBot="1">
      <c r="A78" s="10" t="s">
        <v>96</v>
      </c>
      <c r="B78" s="17">
        <v>69</v>
      </c>
      <c r="C78" s="9"/>
      <c r="D78" s="549"/>
      <c r="E78" s="540"/>
      <c r="F78" s="540"/>
      <c r="G78" s="540"/>
      <c r="H78" s="540"/>
      <c r="I78" s="540"/>
      <c r="J78" s="540"/>
      <c r="K78" s="540"/>
      <c r="L78" s="540"/>
      <c r="M78" s="540"/>
      <c r="N78" s="540"/>
      <c r="O78" s="540"/>
      <c r="P78" s="540"/>
      <c r="Q78" s="540"/>
      <c r="R78" s="540"/>
      <c r="S78" s="540"/>
      <c r="U78" s="452"/>
      <c r="V78" s="469"/>
      <c r="W78" s="538"/>
      <c r="X78" s="540"/>
      <c r="Y78" s="540"/>
      <c r="Z78" s="540"/>
      <c r="AA78" s="540"/>
      <c r="AB78" s="540"/>
      <c r="AC78" s="540"/>
      <c r="AD78" s="540"/>
      <c r="AE78" s="540"/>
      <c r="AF78" s="540"/>
    </row>
    <row r="79" spans="1:48">
      <c r="A79" s="10" t="s">
        <v>25</v>
      </c>
      <c r="B79" s="6" t="s">
        <v>278</v>
      </c>
      <c r="C79" s="9" t="s">
        <v>90</v>
      </c>
      <c r="D79" s="549"/>
      <c r="E79" s="542"/>
      <c r="F79" s="542"/>
      <c r="G79" s="542"/>
      <c r="H79" s="542"/>
      <c r="I79" s="542"/>
      <c r="J79" s="542"/>
      <c r="K79" s="547"/>
      <c r="L79" s="542"/>
      <c r="M79" s="542"/>
      <c r="N79" s="540"/>
      <c r="O79" s="544"/>
      <c r="P79" s="544"/>
      <c r="Q79" s="544"/>
      <c r="R79" s="542"/>
      <c r="S79" s="544"/>
      <c r="T79" s="209">
        <v>0</v>
      </c>
      <c r="U79" s="418">
        <v>1</v>
      </c>
      <c r="V79" s="418">
        <v>1</v>
      </c>
      <c r="W79" s="452">
        <v>1</v>
      </c>
      <c r="X79" s="542"/>
      <c r="Y79" s="542"/>
      <c r="Z79" s="542"/>
      <c r="AA79" s="542"/>
      <c r="AB79" s="542"/>
      <c r="AC79" s="542"/>
      <c r="AD79" s="542"/>
      <c r="AE79" s="542"/>
      <c r="AF79" s="542"/>
      <c r="AG79" s="19"/>
      <c r="AI79" s="19"/>
    </row>
    <row r="80" spans="1:48" ht="15.75" thickBot="1">
      <c r="C80" s="228" t="s">
        <v>487</v>
      </c>
      <c r="D80" s="549"/>
      <c r="E80" s="542"/>
      <c r="F80" s="542"/>
      <c r="G80" s="542"/>
      <c r="H80" s="542"/>
      <c r="I80" s="542"/>
      <c r="J80" s="542"/>
      <c r="K80" s="547"/>
      <c r="L80" s="542"/>
      <c r="M80" s="542"/>
      <c r="N80" s="540"/>
      <c r="O80" s="544"/>
      <c r="P80" s="544"/>
      <c r="Q80" s="544"/>
      <c r="R80" s="542"/>
      <c r="S80" s="544"/>
      <c r="T80" s="209"/>
      <c r="U80" s="418">
        <v>1</v>
      </c>
      <c r="V80" s="418">
        <v>1</v>
      </c>
      <c r="W80" s="452">
        <v>1</v>
      </c>
      <c r="X80" s="542"/>
      <c r="Y80" s="542"/>
      <c r="Z80" s="542"/>
      <c r="AA80" s="542"/>
      <c r="AB80" s="542"/>
      <c r="AC80" s="542"/>
      <c r="AD80" s="542"/>
      <c r="AE80" s="542"/>
      <c r="AF80" s="542"/>
      <c r="AG80" s="19"/>
      <c r="AI80" s="19"/>
    </row>
    <row r="81" spans="1:39">
      <c r="A81" s="10" t="s">
        <v>25</v>
      </c>
      <c r="B81" s="17" t="s">
        <v>31</v>
      </c>
      <c r="C81" s="9" t="s">
        <v>8</v>
      </c>
      <c r="D81" s="549"/>
      <c r="E81" s="542"/>
      <c r="F81" s="542"/>
      <c r="G81" s="542"/>
      <c r="H81" s="542"/>
      <c r="I81" s="542"/>
      <c r="J81" s="542"/>
      <c r="K81" s="547"/>
      <c r="L81" s="542"/>
      <c r="M81" s="542"/>
      <c r="N81" s="540"/>
      <c r="O81" s="544"/>
      <c r="P81" s="544"/>
      <c r="Q81" s="544"/>
      <c r="R81" s="542"/>
      <c r="S81" s="540"/>
      <c r="U81" s="455"/>
      <c r="V81" s="470"/>
      <c r="X81" s="540"/>
      <c r="Y81" s="540"/>
      <c r="Z81" s="540"/>
      <c r="AA81" s="540"/>
      <c r="AB81" s="540"/>
      <c r="AC81" s="540"/>
      <c r="AD81" s="540"/>
      <c r="AE81" s="540"/>
      <c r="AF81" s="540"/>
      <c r="AG81" s="19"/>
      <c r="AI81" s="19"/>
    </row>
    <row r="82" spans="1:39" ht="18">
      <c r="A82" s="7"/>
      <c r="B82" s="7"/>
      <c r="C82" s="26"/>
      <c r="D82" s="556"/>
      <c r="E82" s="540"/>
      <c r="F82" s="540"/>
      <c r="G82" s="540"/>
      <c r="H82" s="540"/>
      <c r="I82" s="540"/>
      <c r="J82" s="540"/>
      <c r="K82" s="540"/>
      <c r="L82" s="540"/>
      <c r="M82" s="540"/>
      <c r="N82" s="540"/>
      <c r="O82" s="540"/>
      <c r="P82" s="540"/>
      <c r="Q82" s="540"/>
      <c r="R82" s="540"/>
      <c r="S82" s="540"/>
      <c r="U82" s="455"/>
      <c r="V82" s="412"/>
      <c r="X82" s="540"/>
      <c r="Y82" s="540"/>
      <c r="Z82" s="540"/>
      <c r="AA82" s="540"/>
      <c r="AB82" s="540"/>
      <c r="AC82" s="540"/>
      <c r="AD82" s="540"/>
      <c r="AE82" s="540"/>
      <c r="AF82" s="540"/>
      <c r="AG82" s="19"/>
    </row>
    <row r="83" spans="1:39" s="19" customFormat="1" ht="15">
      <c r="A83" s="20" t="s">
        <v>346</v>
      </c>
      <c r="B83" s="20"/>
      <c r="C83" s="20" t="s">
        <v>279</v>
      </c>
      <c r="D83" s="447"/>
      <c r="E83" s="541"/>
      <c r="F83" s="541"/>
      <c r="G83" s="541"/>
      <c r="H83" s="541"/>
      <c r="I83" s="541"/>
      <c r="J83" s="541"/>
      <c r="K83" s="541"/>
      <c r="L83" s="541"/>
      <c r="M83" s="541"/>
      <c r="N83" s="541"/>
      <c r="O83" s="541"/>
      <c r="P83" s="541"/>
      <c r="Q83" s="541"/>
      <c r="R83" s="541"/>
      <c r="S83" s="541"/>
      <c r="T83" s="20"/>
      <c r="U83" s="447" t="s">
        <v>96</v>
      </c>
      <c r="V83" s="410"/>
      <c r="W83" s="20"/>
      <c r="X83" s="541"/>
      <c r="Y83" s="541"/>
      <c r="Z83" s="541"/>
      <c r="AA83" s="541"/>
      <c r="AB83" s="541"/>
      <c r="AC83" s="541"/>
      <c r="AD83" s="541"/>
      <c r="AE83" s="541"/>
      <c r="AF83" s="541"/>
      <c r="AJ83" s="18"/>
      <c r="AK83" s="18"/>
      <c r="AL83" s="18"/>
      <c r="AM83" s="18"/>
    </row>
    <row r="84" spans="1:39">
      <c r="A84" s="10" t="s">
        <v>25</v>
      </c>
      <c r="B84" s="6" t="s">
        <v>280</v>
      </c>
      <c r="C84" s="9" t="s">
        <v>281</v>
      </c>
      <c r="D84" s="549"/>
      <c r="E84" s="542"/>
      <c r="F84" s="542"/>
      <c r="G84" s="542"/>
      <c r="H84" s="542"/>
      <c r="I84" s="542"/>
      <c r="J84" s="542"/>
      <c r="K84" s="547"/>
      <c r="L84" s="542"/>
      <c r="M84" s="542"/>
      <c r="N84" s="540"/>
      <c r="O84" s="544"/>
      <c r="P84" s="544"/>
      <c r="Q84" s="544"/>
      <c r="R84" s="542"/>
      <c r="S84" s="544"/>
      <c r="T84" s="209">
        <v>571</v>
      </c>
      <c r="U84" s="448">
        <v>582</v>
      </c>
      <c r="V84" s="416">
        <v>594</v>
      </c>
      <c r="W84" s="448">
        <v>606</v>
      </c>
      <c r="X84" s="542"/>
      <c r="Y84" s="542"/>
      <c r="Z84" s="542"/>
      <c r="AA84" s="542"/>
      <c r="AB84" s="542"/>
      <c r="AC84" s="542"/>
      <c r="AD84" s="542"/>
      <c r="AE84" s="542"/>
      <c r="AF84" s="542"/>
      <c r="AG84" s="19"/>
    </row>
    <row r="85" spans="1:39">
      <c r="A85" s="10" t="s">
        <v>25</v>
      </c>
      <c r="B85" s="6" t="s">
        <v>282</v>
      </c>
      <c r="C85" s="9" t="s">
        <v>318</v>
      </c>
      <c r="D85" s="549"/>
      <c r="E85" s="542"/>
      <c r="F85" s="542"/>
      <c r="G85" s="542"/>
      <c r="H85" s="542"/>
      <c r="I85" s="542"/>
      <c r="J85" s="542"/>
      <c r="K85" s="547"/>
      <c r="L85" s="542"/>
      <c r="M85" s="542"/>
      <c r="N85" s="540"/>
      <c r="O85" s="544"/>
      <c r="P85" s="544"/>
      <c r="Q85" s="544"/>
      <c r="R85" s="542"/>
      <c r="S85" s="544"/>
      <c r="T85" s="209">
        <v>133</v>
      </c>
      <c r="U85" s="448">
        <v>136</v>
      </c>
      <c r="V85" s="416">
        <v>139</v>
      </c>
      <c r="W85" s="448">
        <v>142</v>
      </c>
      <c r="X85" s="542"/>
      <c r="Y85" s="542"/>
      <c r="Z85" s="542"/>
      <c r="AA85" s="542"/>
      <c r="AB85" s="542"/>
      <c r="AC85" s="542"/>
      <c r="AD85" s="542"/>
      <c r="AE85" s="542"/>
      <c r="AF85" s="542"/>
      <c r="AG85" s="19"/>
    </row>
    <row r="86" spans="1:39">
      <c r="A86" s="10" t="s">
        <v>25</v>
      </c>
      <c r="B86" s="6" t="s">
        <v>283</v>
      </c>
      <c r="C86" s="9" t="s">
        <v>284</v>
      </c>
      <c r="D86" s="549"/>
      <c r="E86" s="542"/>
      <c r="F86" s="542"/>
      <c r="G86" s="542"/>
      <c r="H86" s="542"/>
      <c r="I86" s="542"/>
      <c r="J86" s="542"/>
      <c r="K86" s="547"/>
      <c r="L86" s="542"/>
      <c r="M86" s="542"/>
      <c r="N86" s="540"/>
      <c r="O86" s="544"/>
      <c r="P86" s="544"/>
      <c r="Q86" s="544"/>
      <c r="R86" s="542"/>
      <c r="S86" s="544"/>
      <c r="T86" s="209">
        <v>163</v>
      </c>
      <c r="U86" s="448">
        <v>166</v>
      </c>
      <c r="V86" s="416">
        <v>169</v>
      </c>
      <c r="W86" s="448">
        <v>172</v>
      </c>
      <c r="X86" s="542"/>
      <c r="Y86" s="542"/>
      <c r="Z86" s="542"/>
      <c r="AA86" s="542"/>
      <c r="AB86" s="542"/>
      <c r="AC86" s="542"/>
      <c r="AD86" s="542"/>
      <c r="AE86" s="542"/>
      <c r="AF86" s="542"/>
      <c r="AG86" s="19"/>
    </row>
    <row r="87" spans="1:39">
      <c r="A87" s="10" t="s">
        <v>25</v>
      </c>
      <c r="B87" s="6" t="s">
        <v>285</v>
      </c>
      <c r="C87" s="9" t="s">
        <v>319</v>
      </c>
      <c r="D87" s="549"/>
      <c r="E87" s="542"/>
      <c r="F87" s="542"/>
      <c r="G87" s="542"/>
      <c r="H87" s="542"/>
      <c r="I87" s="542"/>
      <c r="J87" s="542"/>
      <c r="K87" s="547"/>
      <c r="L87" s="542"/>
      <c r="M87" s="542"/>
      <c r="N87" s="540"/>
      <c r="O87" s="544"/>
      <c r="P87" s="544"/>
      <c r="Q87" s="544"/>
      <c r="R87" s="542"/>
      <c r="S87" s="544"/>
      <c r="T87" s="209">
        <v>112</v>
      </c>
      <c r="U87" s="448">
        <v>114</v>
      </c>
      <c r="V87" s="416">
        <v>116</v>
      </c>
      <c r="W87" s="448">
        <v>118</v>
      </c>
      <c r="X87" s="542"/>
      <c r="Y87" s="542"/>
      <c r="Z87" s="542"/>
      <c r="AA87" s="542"/>
      <c r="AB87" s="542"/>
      <c r="AC87" s="542"/>
      <c r="AD87" s="542"/>
      <c r="AE87" s="542"/>
      <c r="AF87" s="542"/>
      <c r="AG87" s="19"/>
    </row>
    <row r="88" spans="1:39">
      <c r="C88" s="264" t="s">
        <v>368</v>
      </c>
      <c r="D88" s="549"/>
      <c r="E88" s="542"/>
      <c r="F88" s="542"/>
      <c r="G88" s="542"/>
      <c r="H88" s="542"/>
      <c r="I88" s="542"/>
      <c r="J88" s="542"/>
      <c r="K88" s="547"/>
      <c r="L88" s="542"/>
      <c r="M88" s="542"/>
      <c r="N88" s="540"/>
      <c r="O88" s="544"/>
      <c r="P88" s="544"/>
      <c r="Q88" s="544"/>
      <c r="R88" s="542"/>
      <c r="S88" s="544"/>
      <c r="T88" s="209"/>
      <c r="U88" s="451">
        <f t="shared" ref="U88:V91" si="3">U84</f>
        <v>582</v>
      </c>
      <c r="V88" s="419">
        <f t="shared" si="3"/>
        <v>594</v>
      </c>
      <c r="W88" s="451">
        <f t="shared" ref="W88" si="4">W84</f>
        <v>606</v>
      </c>
      <c r="X88" s="542"/>
      <c r="Y88" s="542"/>
      <c r="Z88" s="542"/>
      <c r="AA88" s="542"/>
      <c r="AB88" s="542"/>
      <c r="AC88" s="542"/>
      <c r="AD88" s="542"/>
      <c r="AE88" s="542"/>
      <c r="AF88" s="542"/>
      <c r="AG88" s="19"/>
      <c r="AI88" s="264"/>
    </row>
    <row r="89" spans="1:39">
      <c r="C89" s="264" t="s">
        <v>369</v>
      </c>
      <c r="D89" s="549"/>
      <c r="E89" s="542"/>
      <c r="F89" s="542"/>
      <c r="G89" s="542"/>
      <c r="H89" s="542"/>
      <c r="I89" s="542"/>
      <c r="J89" s="542"/>
      <c r="K89" s="547"/>
      <c r="L89" s="542"/>
      <c r="M89" s="542"/>
      <c r="N89" s="540"/>
      <c r="O89" s="544"/>
      <c r="P89" s="544"/>
      <c r="Q89" s="544"/>
      <c r="R89" s="542"/>
      <c r="S89" s="544"/>
      <c r="T89" s="209"/>
      <c r="U89" s="451">
        <f t="shared" si="3"/>
        <v>136</v>
      </c>
      <c r="V89" s="419">
        <f t="shared" si="3"/>
        <v>139</v>
      </c>
      <c r="W89" s="451">
        <f t="shared" ref="W89" si="5">W85</f>
        <v>142</v>
      </c>
      <c r="X89" s="542"/>
      <c r="Y89" s="542"/>
      <c r="Z89" s="542"/>
      <c r="AA89" s="542"/>
      <c r="AB89" s="542"/>
      <c r="AC89" s="542"/>
      <c r="AD89" s="542"/>
      <c r="AE89" s="542"/>
      <c r="AF89" s="542"/>
      <c r="AG89" s="19"/>
      <c r="AI89" s="264"/>
    </row>
    <row r="90" spans="1:39">
      <c r="C90" s="264" t="s">
        <v>383</v>
      </c>
      <c r="D90" s="549"/>
      <c r="E90" s="542"/>
      <c r="F90" s="542"/>
      <c r="G90" s="542"/>
      <c r="H90" s="542"/>
      <c r="I90" s="542"/>
      <c r="J90" s="542"/>
      <c r="K90" s="547"/>
      <c r="L90" s="542"/>
      <c r="M90" s="542"/>
      <c r="N90" s="540"/>
      <c r="O90" s="544"/>
      <c r="P90" s="544"/>
      <c r="Q90" s="544"/>
      <c r="R90" s="542"/>
      <c r="S90" s="544"/>
      <c r="T90" s="209"/>
      <c r="U90" s="451">
        <f t="shared" si="3"/>
        <v>166</v>
      </c>
      <c r="V90" s="419">
        <f t="shared" si="3"/>
        <v>169</v>
      </c>
      <c r="W90" s="451">
        <f t="shared" ref="W90" si="6">W86</f>
        <v>172</v>
      </c>
      <c r="X90" s="542"/>
      <c r="Y90" s="542"/>
      <c r="Z90" s="542"/>
      <c r="AA90" s="542"/>
      <c r="AB90" s="542"/>
      <c r="AC90" s="542"/>
      <c r="AD90" s="542"/>
      <c r="AE90" s="542"/>
      <c r="AF90" s="542"/>
      <c r="AG90" s="19"/>
      <c r="AI90" s="264"/>
    </row>
    <row r="91" spans="1:39" ht="13.5" thickBot="1">
      <c r="C91" s="264" t="s">
        <v>384</v>
      </c>
      <c r="D91" s="549"/>
      <c r="E91" s="542"/>
      <c r="F91" s="542"/>
      <c r="G91" s="542"/>
      <c r="H91" s="542"/>
      <c r="I91" s="542"/>
      <c r="J91" s="542"/>
      <c r="K91" s="547"/>
      <c r="L91" s="542"/>
      <c r="M91" s="542"/>
      <c r="N91" s="540"/>
      <c r="O91" s="544"/>
      <c r="P91" s="544"/>
      <c r="Q91" s="544"/>
      <c r="R91" s="542"/>
      <c r="S91" s="544"/>
      <c r="T91" s="209"/>
      <c r="U91" s="451">
        <f t="shared" si="3"/>
        <v>114</v>
      </c>
      <c r="V91" s="464">
        <f t="shared" si="3"/>
        <v>116</v>
      </c>
      <c r="W91" s="536">
        <f t="shared" ref="W91" si="7">W87</f>
        <v>118</v>
      </c>
      <c r="X91" s="542"/>
      <c r="Y91" s="542"/>
      <c r="Z91" s="542"/>
      <c r="AA91" s="542"/>
      <c r="AB91" s="542"/>
      <c r="AC91" s="542"/>
      <c r="AD91" s="542"/>
      <c r="AE91" s="542"/>
      <c r="AF91" s="542"/>
      <c r="AG91" s="19"/>
    </row>
    <row r="92" spans="1:39">
      <c r="C92" s="264" t="s">
        <v>370</v>
      </c>
      <c r="D92" s="549"/>
      <c r="E92" s="542"/>
      <c r="F92" s="542"/>
      <c r="G92" s="542"/>
      <c r="H92" s="542"/>
      <c r="I92" s="542"/>
      <c r="J92" s="542"/>
      <c r="K92" s="547"/>
      <c r="L92" s="542"/>
      <c r="M92" s="542"/>
      <c r="N92" s="540"/>
      <c r="O92" s="544"/>
      <c r="P92" s="544"/>
      <c r="Q92" s="544"/>
      <c r="R92" s="542"/>
      <c r="S92" s="544"/>
      <c r="T92" s="209"/>
      <c r="U92" s="418">
        <v>1</v>
      </c>
      <c r="V92" s="418">
        <v>1</v>
      </c>
      <c r="W92" s="452">
        <v>1</v>
      </c>
      <c r="X92" s="542"/>
      <c r="Y92" s="542"/>
      <c r="Z92" s="542"/>
      <c r="AA92" s="542"/>
      <c r="AB92" s="542"/>
      <c r="AC92" s="542"/>
      <c r="AD92" s="542"/>
      <c r="AE92" s="542"/>
      <c r="AF92" s="542"/>
      <c r="AG92" s="19"/>
      <c r="AI92" s="264"/>
    </row>
    <row r="93" spans="1:39">
      <c r="C93" s="264" t="s">
        <v>371</v>
      </c>
      <c r="D93" s="549"/>
      <c r="E93" s="542"/>
      <c r="F93" s="542"/>
      <c r="G93" s="542"/>
      <c r="H93" s="542"/>
      <c r="I93" s="542"/>
      <c r="J93" s="542"/>
      <c r="K93" s="547"/>
      <c r="L93" s="542"/>
      <c r="M93" s="542"/>
      <c r="N93" s="540"/>
      <c r="O93" s="544"/>
      <c r="P93" s="544"/>
      <c r="Q93" s="544"/>
      <c r="R93" s="542"/>
      <c r="S93" s="544"/>
      <c r="T93" s="209"/>
      <c r="U93" s="418">
        <v>1</v>
      </c>
      <c r="V93" s="418">
        <v>1</v>
      </c>
      <c r="W93" s="452">
        <v>1</v>
      </c>
      <c r="X93" s="542"/>
      <c r="Y93" s="542"/>
      <c r="Z93" s="542"/>
      <c r="AA93" s="542"/>
      <c r="AB93" s="542"/>
      <c r="AC93" s="542"/>
      <c r="AD93" s="542"/>
      <c r="AE93" s="542"/>
      <c r="AF93" s="542"/>
      <c r="AG93" s="19"/>
    </row>
    <row r="94" spans="1:39">
      <c r="C94" s="264" t="s">
        <v>372</v>
      </c>
      <c r="D94" s="549"/>
      <c r="E94" s="542"/>
      <c r="F94" s="542"/>
      <c r="G94" s="542"/>
      <c r="H94" s="542"/>
      <c r="I94" s="542"/>
      <c r="J94" s="542"/>
      <c r="K94" s="547"/>
      <c r="L94" s="542"/>
      <c r="M94" s="542"/>
      <c r="N94" s="540"/>
      <c r="O94" s="544"/>
      <c r="P94" s="544"/>
      <c r="Q94" s="544"/>
      <c r="R94" s="542"/>
      <c r="S94" s="544"/>
      <c r="T94" s="209"/>
      <c r="U94" s="418">
        <v>1</v>
      </c>
      <c r="V94" s="418">
        <v>1</v>
      </c>
      <c r="W94" s="452">
        <v>1</v>
      </c>
      <c r="X94" s="542"/>
      <c r="Y94" s="542"/>
      <c r="Z94" s="542"/>
      <c r="AA94" s="542"/>
      <c r="AB94" s="542"/>
      <c r="AC94" s="542"/>
      <c r="AD94" s="542"/>
      <c r="AE94" s="542"/>
      <c r="AF94" s="542"/>
      <c r="AG94" s="19"/>
    </row>
    <row r="95" spans="1:39">
      <c r="C95" s="264" t="s">
        <v>373</v>
      </c>
      <c r="D95" s="549"/>
      <c r="E95" s="542"/>
      <c r="F95" s="542"/>
      <c r="G95" s="542"/>
      <c r="H95" s="542"/>
      <c r="I95" s="542"/>
      <c r="J95" s="542"/>
      <c r="K95" s="547"/>
      <c r="L95" s="542"/>
      <c r="M95" s="542"/>
      <c r="N95" s="540"/>
      <c r="O95" s="544"/>
      <c r="P95" s="544"/>
      <c r="Q95" s="544"/>
      <c r="R95" s="542"/>
      <c r="S95" s="544"/>
      <c r="T95" s="209"/>
      <c r="U95" s="418">
        <v>1</v>
      </c>
      <c r="V95" s="418">
        <v>1</v>
      </c>
      <c r="W95" s="452">
        <v>1</v>
      </c>
      <c r="X95" s="542"/>
      <c r="Y95" s="542"/>
      <c r="Z95" s="542"/>
      <c r="AA95" s="542"/>
      <c r="AB95" s="542"/>
      <c r="AC95" s="542"/>
      <c r="AD95" s="542"/>
      <c r="AE95" s="542"/>
      <c r="AF95" s="542"/>
      <c r="AG95" s="19"/>
      <c r="AI95" s="264"/>
    </row>
    <row r="96" spans="1:39">
      <c r="C96" s="264" t="s">
        <v>374</v>
      </c>
      <c r="D96" s="549"/>
      <c r="E96" s="542"/>
      <c r="F96" s="542"/>
      <c r="G96" s="542"/>
      <c r="H96" s="542"/>
      <c r="I96" s="542"/>
      <c r="J96" s="542"/>
      <c r="K96" s="547"/>
      <c r="L96" s="542"/>
      <c r="M96" s="542"/>
      <c r="N96" s="540"/>
      <c r="O96" s="544"/>
      <c r="P96" s="544"/>
      <c r="Q96" s="544"/>
      <c r="R96" s="542"/>
      <c r="S96" s="544"/>
      <c r="T96" s="209"/>
      <c r="U96" s="418">
        <v>1</v>
      </c>
      <c r="V96" s="418">
        <v>1</v>
      </c>
      <c r="W96" s="452">
        <v>1</v>
      </c>
      <c r="X96" s="542"/>
      <c r="Y96" s="542"/>
      <c r="Z96" s="542"/>
      <c r="AA96" s="542"/>
      <c r="AB96" s="542"/>
      <c r="AC96" s="542"/>
      <c r="AD96" s="542"/>
      <c r="AE96" s="542"/>
      <c r="AF96" s="542"/>
      <c r="AG96" s="19"/>
      <c r="AI96" s="264"/>
    </row>
    <row r="97" spans="1:39">
      <c r="C97" s="264" t="s">
        <v>375</v>
      </c>
      <c r="D97" s="549"/>
      <c r="E97" s="542"/>
      <c r="F97" s="542"/>
      <c r="G97" s="542"/>
      <c r="H97" s="542"/>
      <c r="I97" s="542"/>
      <c r="J97" s="542"/>
      <c r="K97" s="547"/>
      <c r="L97" s="542"/>
      <c r="M97" s="542"/>
      <c r="N97" s="540"/>
      <c r="O97" s="544"/>
      <c r="P97" s="544"/>
      <c r="Q97" s="544"/>
      <c r="R97" s="542"/>
      <c r="S97" s="544"/>
      <c r="T97" s="209"/>
      <c r="U97" s="418">
        <v>1</v>
      </c>
      <c r="V97" s="418">
        <v>1</v>
      </c>
      <c r="W97" s="452">
        <v>1</v>
      </c>
      <c r="X97" s="542"/>
      <c r="Y97" s="542"/>
      <c r="Z97" s="542"/>
      <c r="AA97" s="542"/>
      <c r="AB97" s="542"/>
      <c r="AC97" s="542"/>
      <c r="AD97" s="542"/>
      <c r="AE97" s="542"/>
      <c r="AF97" s="542"/>
      <c r="AG97" s="19"/>
      <c r="AI97" s="264"/>
    </row>
    <row r="98" spans="1:39" ht="13.5" thickBot="1">
      <c r="C98" s="264" t="s">
        <v>365</v>
      </c>
      <c r="D98" s="549"/>
      <c r="E98" s="542"/>
      <c r="F98" s="542"/>
      <c r="G98" s="542"/>
      <c r="H98" s="542"/>
      <c r="I98" s="542"/>
      <c r="J98" s="542"/>
      <c r="K98" s="547"/>
      <c r="L98" s="542"/>
      <c r="M98" s="542"/>
      <c r="N98" s="540"/>
      <c r="O98" s="544"/>
      <c r="P98" s="544"/>
      <c r="Q98" s="544"/>
      <c r="R98" s="542"/>
      <c r="S98" s="544"/>
      <c r="T98" s="209"/>
      <c r="U98" s="418">
        <v>1</v>
      </c>
      <c r="V98" s="418">
        <v>1</v>
      </c>
      <c r="W98" s="452">
        <v>1</v>
      </c>
      <c r="X98" s="542"/>
      <c r="Y98" s="542"/>
      <c r="Z98" s="542"/>
      <c r="AA98" s="542"/>
      <c r="AB98" s="542"/>
      <c r="AC98" s="542"/>
      <c r="AD98" s="542"/>
      <c r="AE98" s="542"/>
      <c r="AF98" s="542"/>
      <c r="AG98" s="19"/>
      <c r="AI98" s="264"/>
    </row>
    <row r="99" spans="1:39">
      <c r="A99" s="296" t="s">
        <v>25</v>
      </c>
      <c r="B99" s="257" t="s">
        <v>286</v>
      </c>
      <c r="C99" s="297" t="s">
        <v>142</v>
      </c>
      <c r="D99" s="553"/>
      <c r="E99" s="542"/>
      <c r="F99" s="542"/>
      <c r="G99" s="542"/>
      <c r="H99" s="542"/>
      <c r="I99" s="542"/>
      <c r="J99" s="542"/>
      <c r="K99" s="547"/>
      <c r="L99" s="542"/>
      <c r="M99" s="542"/>
      <c r="N99" s="540"/>
      <c r="O99" s="544"/>
      <c r="P99" s="544"/>
      <c r="Q99" s="544"/>
      <c r="R99" s="542"/>
      <c r="S99" s="544"/>
      <c r="T99" s="261">
        <v>204</v>
      </c>
      <c r="U99" s="456">
        <v>208</v>
      </c>
      <c r="V99" s="415">
        <v>212</v>
      </c>
      <c r="W99" s="446">
        <v>212</v>
      </c>
      <c r="X99" s="542"/>
      <c r="Y99" s="542"/>
      <c r="Z99" s="542"/>
      <c r="AA99" s="542"/>
      <c r="AB99" s="542"/>
      <c r="AC99" s="542"/>
      <c r="AD99" s="542"/>
      <c r="AE99" s="542"/>
      <c r="AF99" s="542"/>
      <c r="AG99" s="19"/>
      <c r="AI99" s="264"/>
    </row>
    <row r="100" spans="1:39" ht="15">
      <c r="A100" s="298"/>
      <c r="B100" s="12"/>
      <c r="C100" s="29" t="s">
        <v>477</v>
      </c>
      <c r="D100" s="557">
        <v>1</v>
      </c>
      <c r="E100" s="542"/>
      <c r="F100" s="542"/>
      <c r="G100" s="542"/>
      <c r="H100" s="542"/>
      <c r="I100" s="542"/>
      <c r="J100" s="542"/>
      <c r="K100" s="547"/>
      <c r="L100" s="542"/>
      <c r="M100" s="542"/>
      <c r="N100" s="540"/>
      <c r="O100" s="544"/>
      <c r="P100" s="544"/>
      <c r="Q100" s="544"/>
      <c r="R100" s="542"/>
      <c r="S100" s="544"/>
      <c r="T100" s="262"/>
      <c r="U100" s="451">
        <f>$U$99*$D100</f>
        <v>208</v>
      </c>
      <c r="V100" s="419">
        <f>V$99*$D100</f>
        <v>212</v>
      </c>
      <c r="W100" s="451">
        <f t="shared" ref="W100:W101" si="8">W$99*$D100</f>
        <v>212</v>
      </c>
      <c r="X100" s="542"/>
      <c r="Y100" s="542"/>
      <c r="Z100" s="542"/>
      <c r="AA100" s="542"/>
      <c r="AB100" s="542"/>
      <c r="AC100" s="542"/>
      <c r="AD100" s="542"/>
      <c r="AE100" s="542"/>
      <c r="AF100" s="542"/>
      <c r="AG100" s="19"/>
      <c r="AI100" s="264"/>
    </row>
    <row r="101" spans="1:39" ht="15">
      <c r="A101" s="299"/>
      <c r="B101" s="300"/>
      <c r="C101" s="301" t="s">
        <v>376</v>
      </c>
      <c r="D101" s="558">
        <v>0</v>
      </c>
      <c r="E101" s="542"/>
      <c r="F101" s="542"/>
      <c r="G101" s="542"/>
      <c r="H101" s="542"/>
      <c r="I101" s="542"/>
      <c r="J101" s="542"/>
      <c r="K101" s="547"/>
      <c r="L101" s="542"/>
      <c r="M101" s="542"/>
      <c r="N101" s="540"/>
      <c r="O101" s="544"/>
      <c r="P101" s="544"/>
      <c r="Q101" s="544"/>
      <c r="R101" s="542"/>
      <c r="S101" s="544"/>
      <c r="T101" s="263"/>
      <c r="U101" s="451">
        <f>$U$99*$D101</f>
        <v>0</v>
      </c>
      <c r="V101" s="419">
        <f>V$99*$D101</f>
        <v>0</v>
      </c>
      <c r="W101" s="451">
        <f t="shared" si="8"/>
        <v>0</v>
      </c>
      <c r="X101" s="542"/>
      <c r="Y101" s="542"/>
      <c r="Z101" s="542"/>
      <c r="AA101" s="542"/>
      <c r="AB101" s="542"/>
      <c r="AC101" s="542"/>
      <c r="AD101" s="542"/>
      <c r="AE101" s="542"/>
      <c r="AF101" s="542"/>
      <c r="AG101" s="19"/>
      <c r="AI101" s="264"/>
    </row>
    <row r="102" spans="1:39">
      <c r="C102" s="9"/>
      <c r="D102" s="549"/>
      <c r="E102" s="542"/>
      <c r="F102" s="542"/>
      <c r="G102" s="542"/>
      <c r="H102" s="542"/>
      <c r="I102" s="542"/>
      <c r="J102" s="542"/>
      <c r="K102" s="547"/>
      <c r="L102" s="542"/>
      <c r="M102" s="542"/>
      <c r="N102" s="540"/>
      <c r="O102" s="544"/>
      <c r="P102" s="544"/>
      <c r="Q102" s="544"/>
      <c r="R102" s="542"/>
      <c r="S102" s="544"/>
      <c r="T102" s="209"/>
      <c r="U102" s="448"/>
      <c r="V102" s="460"/>
      <c r="W102" s="209"/>
      <c r="X102" s="542"/>
      <c r="Y102" s="542"/>
      <c r="Z102" s="542"/>
      <c r="AA102" s="542"/>
      <c r="AB102" s="542"/>
      <c r="AC102" s="542"/>
      <c r="AD102" s="542"/>
      <c r="AE102" s="542"/>
      <c r="AF102" s="542"/>
      <c r="AG102" s="19"/>
      <c r="AI102" s="264"/>
    </row>
    <row r="103" spans="1:39">
      <c r="C103" s="9"/>
      <c r="D103" s="549"/>
      <c r="E103" s="542"/>
      <c r="F103" s="542"/>
      <c r="G103" s="542"/>
      <c r="H103" s="542"/>
      <c r="I103" s="542"/>
      <c r="J103" s="542"/>
      <c r="K103" s="547"/>
      <c r="L103" s="542"/>
      <c r="M103" s="542"/>
      <c r="N103" s="540"/>
      <c r="O103" s="544"/>
      <c r="P103" s="544"/>
      <c r="Q103" s="544"/>
      <c r="R103" s="542"/>
      <c r="S103" s="544"/>
      <c r="T103" s="209"/>
      <c r="U103" s="448"/>
      <c r="V103" s="460"/>
      <c r="W103" s="209"/>
      <c r="X103" s="542"/>
      <c r="Y103" s="542"/>
      <c r="Z103" s="542"/>
      <c r="AA103" s="542"/>
      <c r="AB103" s="542"/>
      <c r="AC103" s="542"/>
      <c r="AD103" s="542"/>
      <c r="AE103" s="542"/>
      <c r="AF103" s="542"/>
      <c r="AG103" s="19"/>
      <c r="AI103" s="264"/>
    </row>
    <row r="104" spans="1:39">
      <c r="C104" s="9"/>
      <c r="D104" s="549"/>
      <c r="E104" s="542"/>
      <c r="F104" s="542"/>
      <c r="G104" s="542"/>
      <c r="H104" s="542"/>
      <c r="I104" s="542"/>
      <c r="J104" s="542"/>
      <c r="K104" s="547"/>
      <c r="L104" s="542"/>
      <c r="M104" s="542"/>
      <c r="N104" s="540"/>
      <c r="O104" s="544"/>
      <c r="P104" s="544"/>
      <c r="Q104" s="544"/>
      <c r="R104" s="542"/>
      <c r="S104" s="544"/>
      <c r="T104" s="209"/>
      <c r="U104" s="448"/>
      <c r="V104" s="460"/>
      <c r="W104" s="209"/>
      <c r="X104" s="542"/>
      <c r="Y104" s="542"/>
      <c r="Z104" s="542"/>
      <c r="AA104" s="542"/>
      <c r="AB104" s="542"/>
      <c r="AC104" s="542"/>
      <c r="AD104" s="542"/>
      <c r="AE104" s="542"/>
      <c r="AF104" s="542"/>
      <c r="AG104" s="19"/>
      <c r="AI104" s="264"/>
    </row>
    <row r="105" spans="1:39">
      <c r="C105" s="9"/>
      <c r="D105" s="549"/>
      <c r="E105" s="542"/>
      <c r="F105" s="542"/>
      <c r="G105" s="542"/>
      <c r="H105" s="542"/>
      <c r="I105" s="542"/>
      <c r="J105" s="542"/>
      <c r="K105" s="547"/>
      <c r="L105" s="542"/>
      <c r="M105" s="542"/>
      <c r="N105" s="540"/>
      <c r="O105" s="544"/>
      <c r="P105" s="544"/>
      <c r="Q105" s="544"/>
      <c r="R105" s="542"/>
      <c r="S105" s="544"/>
      <c r="T105" s="209"/>
      <c r="U105" s="448"/>
      <c r="V105" s="460"/>
      <c r="W105" s="209"/>
      <c r="X105" s="542"/>
      <c r="Y105" s="542"/>
      <c r="Z105" s="542"/>
      <c r="AA105" s="542"/>
      <c r="AB105" s="542"/>
      <c r="AC105" s="542"/>
      <c r="AD105" s="542"/>
      <c r="AE105" s="542"/>
      <c r="AF105" s="542"/>
      <c r="AG105" s="19"/>
      <c r="AI105" s="264"/>
    </row>
    <row r="106" spans="1:39" s="19" customFormat="1" ht="15">
      <c r="A106" s="20"/>
      <c r="B106" s="20"/>
      <c r="C106" s="20" t="s">
        <v>287</v>
      </c>
      <c r="D106" s="447"/>
      <c r="E106" s="541"/>
      <c r="F106" s="541"/>
      <c r="G106" s="541"/>
      <c r="H106" s="541"/>
      <c r="I106" s="541"/>
      <c r="J106" s="541"/>
      <c r="K106" s="541"/>
      <c r="L106" s="541"/>
      <c r="M106" s="541"/>
      <c r="N106" s="541"/>
      <c r="O106" s="541"/>
      <c r="P106" s="541"/>
      <c r="Q106" s="541"/>
      <c r="R106" s="541"/>
      <c r="S106" s="541"/>
      <c r="T106" s="20"/>
      <c r="U106" s="447" t="s">
        <v>96</v>
      </c>
      <c r="V106" s="410"/>
      <c r="W106" s="20"/>
      <c r="X106" s="541"/>
      <c r="Y106" s="541"/>
      <c r="Z106" s="541"/>
      <c r="AA106" s="541"/>
      <c r="AB106" s="541"/>
      <c r="AC106" s="541"/>
      <c r="AD106" s="541"/>
      <c r="AE106" s="541"/>
      <c r="AF106" s="541"/>
      <c r="AJ106" s="18"/>
      <c r="AK106" s="18"/>
      <c r="AL106" s="18"/>
      <c r="AM106" s="18"/>
    </row>
    <row r="107" spans="1:39" ht="15">
      <c r="A107" s="210" t="s">
        <v>25</v>
      </c>
      <c r="B107" s="211" t="s">
        <v>290</v>
      </c>
      <c r="C107" s="400" t="s">
        <v>344</v>
      </c>
      <c r="D107" s="559"/>
      <c r="E107" s="542"/>
      <c r="F107" s="542"/>
      <c r="G107" s="542"/>
      <c r="H107" s="542"/>
      <c r="I107" s="542"/>
      <c r="J107" s="542"/>
      <c r="K107" s="547"/>
      <c r="L107" s="542"/>
      <c r="M107" s="542"/>
      <c r="N107" s="540"/>
      <c r="O107" s="544"/>
      <c r="P107" s="544"/>
      <c r="Q107" s="544"/>
      <c r="R107" s="542"/>
      <c r="S107" s="544"/>
      <c r="T107" s="209">
        <v>31</v>
      </c>
      <c r="U107" s="448">
        <v>32</v>
      </c>
      <c r="V107" s="416">
        <v>33</v>
      </c>
      <c r="W107" s="209">
        <v>34</v>
      </c>
      <c r="X107" s="542"/>
      <c r="Y107" s="542"/>
      <c r="Z107" s="542"/>
      <c r="AA107" s="542"/>
      <c r="AB107" s="542"/>
      <c r="AC107" s="542"/>
      <c r="AD107" s="542"/>
      <c r="AE107" s="542"/>
      <c r="AF107" s="542"/>
      <c r="AG107" s="19"/>
      <c r="AH107"/>
    </row>
    <row r="108" spans="1:39" ht="15">
      <c r="A108" s="210" t="s">
        <v>25</v>
      </c>
      <c r="B108" s="211" t="s">
        <v>291</v>
      </c>
      <c r="C108" s="401" t="s">
        <v>292</v>
      </c>
      <c r="D108" s="559"/>
      <c r="E108" s="542"/>
      <c r="F108" s="542"/>
      <c r="G108" s="542"/>
      <c r="H108" s="542"/>
      <c r="I108" s="542"/>
      <c r="J108" s="542"/>
      <c r="K108" s="547"/>
      <c r="L108" s="542"/>
      <c r="M108" s="542"/>
      <c r="N108" s="540"/>
      <c r="O108" s="544"/>
      <c r="P108" s="544"/>
      <c r="Q108" s="544"/>
      <c r="R108" s="542"/>
      <c r="S108" s="544"/>
      <c r="T108" s="209">
        <v>10</v>
      </c>
      <c r="U108" s="448">
        <v>10</v>
      </c>
      <c r="V108" s="416">
        <v>10</v>
      </c>
      <c r="W108" s="209">
        <v>10</v>
      </c>
      <c r="X108" s="542"/>
      <c r="Y108" s="542"/>
      <c r="Z108" s="542"/>
      <c r="AA108" s="542"/>
      <c r="AB108" s="542"/>
      <c r="AC108" s="542"/>
      <c r="AD108" s="542"/>
      <c r="AE108" s="542"/>
      <c r="AF108" s="542"/>
      <c r="AG108" s="19"/>
      <c r="AH108"/>
    </row>
    <row r="109" spans="1:39" ht="15">
      <c r="A109" s="210" t="s">
        <v>25</v>
      </c>
      <c r="B109" s="211" t="s">
        <v>293</v>
      </c>
      <c r="C109" s="403" t="s">
        <v>294</v>
      </c>
      <c r="D109" s="559"/>
      <c r="E109" s="542"/>
      <c r="F109" s="542"/>
      <c r="G109" s="542"/>
      <c r="H109" s="542"/>
      <c r="I109" s="542"/>
      <c r="J109" s="542"/>
      <c r="K109" s="547"/>
      <c r="L109" s="542"/>
      <c r="M109" s="542"/>
      <c r="N109" s="540"/>
      <c r="O109" s="544"/>
      <c r="P109" s="544"/>
      <c r="Q109" s="544"/>
      <c r="R109" s="542"/>
      <c r="S109" s="544"/>
      <c r="T109" s="209">
        <v>20</v>
      </c>
      <c r="U109" s="448">
        <v>20</v>
      </c>
      <c r="V109" s="416">
        <v>20</v>
      </c>
      <c r="W109" s="209">
        <v>20</v>
      </c>
      <c r="X109" s="542"/>
      <c r="Y109" s="542"/>
      <c r="Z109" s="542"/>
      <c r="AA109" s="542"/>
      <c r="AB109" s="542"/>
      <c r="AC109" s="542"/>
      <c r="AD109" s="542"/>
      <c r="AE109" s="542"/>
      <c r="AF109" s="542"/>
      <c r="AG109" s="19"/>
      <c r="AH109"/>
    </row>
    <row r="110" spans="1:39" ht="15">
      <c r="A110" s="210" t="s">
        <v>25</v>
      </c>
      <c r="B110" s="211" t="s">
        <v>295</v>
      </c>
      <c r="C110" s="400" t="s">
        <v>296</v>
      </c>
      <c r="D110" s="559"/>
      <c r="E110" s="542"/>
      <c r="F110" s="542"/>
      <c r="G110" s="542"/>
      <c r="H110" s="542"/>
      <c r="I110" s="542"/>
      <c r="J110" s="542"/>
      <c r="K110" s="547"/>
      <c r="L110" s="542"/>
      <c r="M110" s="542"/>
      <c r="N110" s="540"/>
      <c r="O110" s="544"/>
      <c r="P110" s="544"/>
      <c r="Q110" s="544"/>
      <c r="R110" s="542"/>
      <c r="S110" s="544"/>
      <c r="T110" s="209">
        <v>10</v>
      </c>
      <c r="U110" s="448">
        <v>10</v>
      </c>
      <c r="V110" s="416">
        <v>10</v>
      </c>
      <c r="W110" s="209">
        <v>10</v>
      </c>
      <c r="X110" s="542"/>
      <c r="Y110" s="542"/>
      <c r="Z110" s="542"/>
      <c r="AA110" s="542"/>
      <c r="AB110" s="542"/>
      <c r="AC110" s="542"/>
      <c r="AD110" s="542"/>
      <c r="AE110" s="542"/>
      <c r="AF110" s="542"/>
      <c r="AG110" s="19"/>
      <c r="AH110"/>
      <c r="AI110" s="29"/>
    </row>
    <row r="111" spans="1:39" ht="15">
      <c r="A111" s="210" t="s">
        <v>25</v>
      </c>
      <c r="B111" s="211" t="s">
        <v>297</v>
      </c>
      <c r="C111" s="405" t="s">
        <v>298</v>
      </c>
      <c r="D111" s="559"/>
      <c r="E111" s="542"/>
      <c r="F111" s="542"/>
      <c r="G111" s="542"/>
      <c r="H111" s="542"/>
      <c r="I111" s="542"/>
      <c r="J111" s="542"/>
      <c r="K111" s="547"/>
      <c r="L111" s="542"/>
      <c r="M111" s="542"/>
      <c r="N111" s="540"/>
      <c r="O111" s="544"/>
      <c r="P111" s="544"/>
      <c r="Q111" s="544"/>
      <c r="R111" s="542"/>
      <c r="S111" s="544"/>
      <c r="T111" s="209">
        <v>10</v>
      </c>
      <c r="U111" s="448">
        <v>10</v>
      </c>
      <c r="V111" s="416">
        <v>10</v>
      </c>
      <c r="W111" s="209">
        <v>10</v>
      </c>
      <c r="X111" s="542"/>
      <c r="Y111" s="542"/>
      <c r="Z111" s="542"/>
      <c r="AA111" s="542"/>
      <c r="AB111" s="542"/>
      <c r="AC111" s="542"/>
      <c r="AD111" s="542"/>
      <c r="AE111" s="542"/>
      <c r="AF111" s="542"/>
      <c r="AG111" s="19"/>
      <c r="AH111"/>
      <c r="AI111" s="29"/>
    </row>
    <row r="112" spans="1:39" ht="15">
      <c r="A112" s="210" t="s">
        <v>25</v>
      </c>
      <c r="B112" s="211" t="s">
        <v>299</v>
      </c>
      <c r="C112" s="407" t="s">
        <v>300</v>
      </c>
      <c r="D112" s="559"/>
      <c r="E112" s="542"/>
      <c r="F112" s="542"/>
      <c r="G112" s="542"/>
      <c r="H112" s="542"/>
      <c r="I112" s="542"/>
      <c r="J112" s="542"/>
      <c r="K112" s="547"/>
      <c r="L112" s="542"/>
      <c r="M112" s="542"/>
      <c r="N112" s="540"/>
      <c r="O112" s="544"/>
      <c r="P112" s="544"/>
      <c r="Q112" s="544"/>
      <c r="R112" s="542"/>
      <c r="S112" s="544"/>
      <c r="T112" s="209">
        <v>10</v>
      </c>
      <c r="U112" s="448">
        <v>10</v>
      </c>
      <c r="V112" s="416">
        <v>10</v>
      </c>
      <c r="W112" s="209">
        <v>10</v>
      </c>
      <c r="X112" s="542"/>
      <c r="Y112" s="542"/>
      <c r="Z112" s="542"/>
      <c r="AA112" s="542"/>
      <c r="AB112" s="542"/>
      <c r="AC112" s="542"/>
      <c r="AD112" s="542"/>
      <c r="AE112" s="542"/>
      <c r="AF112" s="542"/>
      <c r="AG112" s="19"/>
      <c r="AH112"/>
      <c r="AI112" s="29"/>
    </row>
    <row r="113" spans="1:36" ht="15">
      <c r="A113" s="210" t="s">
        <v>25</v>
      </c>
      <c r="B113" s="211" t="s">
        <v>288</v>
      </c>
      <c r="C113" s="409" t="s">
        <v>289</v>
      </c>
      <c r="D113" s="451">
        <f>U113+SUM(U107,U110)</f>
        <v>3049</v>
      </c>
      <c r="E113" s="542"/>
      <c r="F113" s="542"/>
      <c r="G113" s="542"/>
      <c r="H113" s="542"/>
      <c r="I113" s="542"/>
      <c r="J113" s="542"/>
      <c r="K113" s="547"/>
      <c r="L113" s="542"/>
      <c r="M113" s="542"/>
      <c r="N113" s="540"/>
      <c r="O113" s="544"/>
      <c r="P113" s="544"/>
      <c r="Q113" s="544"/>
      <c r="R113" s="542"/>
      <c r="S113" s="544"/>
      <c r="T113" s="261">
        <v>2948</v>
      </c>
      <c r="U113" s="448">
        <v>3007</v>
      </c>
      <c r="V113" s="419">
        <f>3067+V107+V110</f>
        <v>3110</v>
      </c>
      <c r="W113" s="209">
        <v>3128</v>
      </c>
      <c r="X113" s="542"/>
      <c r="Y113" s="542"/>
      <c r="Z113" s="542"/>
      <c r="AA113" s="542"/>
      <c r="AB113" s="542"/>
      <c r="AC113" s="542"/>
      <c r="AD113" s="542"/>
      <c r="AE113" s="542"/>
      <c r="AF113" s="542"/>
      <c r="AG113" s="19"/>
      <c r="AH113"/>
    </row>
    <row r="114" spans="1:36" ht="15">
      <c r="A114" s="210"/>
      <c r="B114" s="211"/>
      <c r="C114" s="402" t="s">
        <v>218</v>
      </c>
      <c r="D114" s="560">
        <f>AK133</f>
        <v>0.41899351854458272</v>
      </c>
      <c r="E114" s="542"/>
      <c r="F114" s="542"/>
      <c r="G114" s="542"/>
      <c r="H114" s="542"/>
      <c r="I114" s="542"/>
      <c r="J114" s="542"/>
      <c r="K114" s="547"/>
      <c r="L114" s="542"/>
      <c r="M114" s="542"/>
      <c r="N114" s="540"/>
      <c r="O114" s="544"/>
      <c r="P114" s="544"/>
      <c r="Q114" s="544"/>
      <c r="R114" s="542"/>
      <c r="S114" s="544"/>
      <c r="T114" s="262"/>
      <c r="U114" s="451">
        <f>ROUND($D$113*$D114,0)+U108</f>
        <v>1288</v>
      </c>
      <c r="V114" s="419">
        <f>ROUND($V$113*$D114,0)+V108</f>
        <v>1313</v>
      </c>
      <c r="W114" s="209"/>
      <c r="X114" s="542"/>
      <c r="Y114" s="542"/>
      <c r="Z114" s="542"/>
      <c r="AA114" s="542"/>
      <c r="AB114" s="542"/>
      <c r="AC114" s="542"/>
      <c r="AD114" s="542"/>
      <c r="AE114" s="542"/>
      <c r="AF114" s="542"/>
      <c r="AG114" s="19"/>
      <c r="AH114"/>
    </row>
    <row r="115" spans="1:36" ht="15">
      <c r="A115" s="210"/>
      <c r="B115" s="211"/>
      <c r="C115" s="406" t="s">
        <v>219</v>
      </c>
      <c r="D115" s="560">
        <f>AK134</f>
        <v>3.3808455171217201E-2</v>
      </c>
      <c r="E115" s="542"/>
      <c r="F115" s="542"/>
      <c r="G115" s="542"/>
      <c r="H115" s="542"/>
      <c r="I115" s="542"/>
      <c r="J115" s="542"/>
      <c r="K115" s="547"/>
      <c r="L115" s="542"/>
      <c r="M115" s="542"/>
      <c r="N115" s="540"/>
      <c r="O115" s="544"/>
      <c r="P115" s="544"/>
      <c r="Q115" s="544"/>
      <c r="R115" s="542"/>
      <c r="S115" s="544"/>
      <c r="T115" s="262"/>
      <c r="U115" s="451">
        <f>ROUND($D$113*D115,0)+U111</f>
        <v>113</v>
      </c>
      <c r="V115" s="419">
        <f>ROUND($V$113*$D115,0)+V111</f>
        <v>115</v>
      </c>
      <c r="W115" s="209"/>
      <c r="X115" s="542"/>
      <c r="Y115" s="542"/>
      <c r="Z115" s="542"/>
      <c r="AA115" s="542"/>
      <c r="AB115" s="542"/>
      <c r="AC115" s="542"/>
      <c r="AD115" s="542"/>
      <c r="AE115" s="542"/>
      <c r="AF115" s="542"/>
      <c r="AG115" s="19"/>
      <c r="AH115"/>
    </row>
    <row r="116" spans="1:36" ht="15">
      <c r="A116" s="210"/>
      <c r="B116" s="211"/>
      <c r="C116" s="404" t="s">
        <v>220</v>
      </c>
      <c r="D116" s="560">
        <f>AK153</f>
        <v>0.25317074536138212</v>
      </c>
      <c r="E116" s="542"/>
      <c r="F116" s="542"/>
      <c r="G116" s="542"/>
      <c r="H116" s="542"/>
      <c r="I116" s="542"/>
      <c r="J116" s="542"/>
      <c r="K116" s="547"/>
      <c r="L116" s="542"/>
      <c r="M116" s="542"/>
      <c r="N116" s="540"/>
      <c r="O116" s="544"/>
      <c r="P116" s="544"/>
      <c r="Q116" s="544"/>
      <c r="R116" s="542"/>
      <c r="S116" s="544"/>
      <c r="T116" s="262"/>
      <c r="U116" s="451">
        <f>ROUND($D$113*D116,0)+U109</f>
        <v>792</v>
      </c>
      <c r="V116" s="419">
        <f>ROUND($V$113*$D116,0)+V109</f>
        <v>807</v>
      </c>
      <c r="W116" s="209"/>
      <c r="X116" s="542"/>
      <c r="Y116" s="542"/>
      <c r="Z116" s="542"/>
      <c r="AA116" s="542"/>
      <c r="AB116" s="542"/>
      <c r="AC116" s="542"/>
      <c r="AD116" s="542"/>
      <c r="AE116" s="542"/>
      <c r="AF116" s="542"/>
      <c r="AG116" s="19"/>
      <c r="AH116"/>
    </row>
    <row r="117" spans="1:36" ht="15">
      <c r="A117" s="210"/>
      <c r="B117" s="211"/>
      <c r="C117" s="408" t="s">
        <v>221</v>
      </c>
      <c r="D117" s="560">
        <f>AK154</f>
        <v>2.042826778071791E-2</v>
      </c>
      <c r="E117" s="542"/>
      <c r="F117" s="542"/>
      <c r="G117" s="542"/>
      <c r="H117" s="542"/>
      <c r="I117" s="542"/>
      <c r="J117" s="542"/>
      <c r="K117" s="547"/>
      <c r="L117" s="542"/>
      <c r="M117" s="542"/>
      <c r="N117" s="540"/>
      <c r="O117" s="544"/>
      <c r="P117" s="544"/>
      <c r="Q117" s="544"/>
      <c r="R117" s="542"/>
      <c r="S117" s="544"/>
      <c r="T117" s="262"/>
      <c r="U117" s="451">
        <f>ROUND($D$113*D117,0)+U112</f>
        <v>72</v>
      </c>
      <c r="V117" s="419">
        <f>ROUND($V$113*$D117,0)+V112</f>
        <v>74</v>
      </c>
      <c r="W117" s="209"/>
      <c r="X117" s="542"/>
      <c r="Y117" s="542"/>
      <c r="Z117" s="542"/>
      <c r="AA117" s="542"/>
      <c r="AB117" s="542"/>
      <c r="AC117" s="542"/>
      <c r="AD117" s="542"/>
      <c r="AE117" s="542"/>
      <c r="AF117" s="542"/>
      <c r="AG117" s="19"/>
      <c r="AH117"/>
    </row>
    <row r="118" spans="1:36" ht="15">
      <c r="A118" s="210"/>
      <c r="B118" s="211"/>
      <c r="C118" s="13" t="s">
        <v>222</v>
      </c>
      <c r="D118" s="560">
        <f>AK156</f>
        <v>0.25317074536138212</v>
      </c>
      <c r="E118" s="542"/>
      <c r="F118" s="542"/>
      <c r="G118" s="542"/>
      <c r="H118" s="542"/>
      <c r="I118" s="542"/>
      <c r="J118" s="542"/>
      <c r="K118" s="547"/>
      <c r="L118" s="542"/>
      <c r="M118" s="542"/>
      <c r="N118" s="540"/>
      <c r="O118" s="544"/>
      <c r="P118" s="544"/>
      <c r="Q118" s="544"/>
      <c r="R118" s="542"/>
      <c r="S118" s="544"/>
      <c r="T118" s="262"/>
      <c r="U118" s="451">
        <f>ROUND($D$113*D118,0)</f>
        <v>772</v>
      </c>
      <c r="V118" s="419">
        <f>ROUND($V$113*$D118,0)</f>
        <v>787</v>
      </c>
      <c r="W118" s="209"/>
      <c r="X118" s="542"/>
      <c r="Y118" s="542"/>
      <c r="Z118" s="542"/>
      <c r="AA118" s="542"/>
      <c r="AB118" s="542"/>
      <c r="AC118" s="542"/>
      <c r="AD118" s="542"/>
      <c r="AE118" s="542"/>
      <c r="AF118" s="542"/>
      <c r="AG118" s="19"/>
      <c r="AH118"/>
    </row>
    <row r="119" spans="1:36" ht="15.75" thickBot="1">
      <c r="A119" s="210"/>
      <c r="B119" s="211"/>
      <c r="C119" s="242" t="s">
        <v>223</v>
      </c>
      <c r="D119" s="561">
        <f>AK157</f>
        <v>2.042826778071791E-2</v>
      </c>
      <c r="E119" s="542"/>
      <c r="F119" s="542"/>
      <c r="G119" s="542"/>
      <c r="H119" s="542"/>
      <c r="I119" s="542"/>
      <c r="J119" s="542"/>
      <c r="K119" s="547"/>
      <c r="L119" s="542"/>
      <c r="M119" s="542"/>
      <c r="N119" s="540"/>
      <c r="O119" s="544"/>
      <c r="P119" s="544"/>
      <c r="Q119" s="544"/>
      <c r="R119" s="542"/>
      <c r="S119" s="544"/>
      <c r="T119" s="263"/>
      <c r="U119" s="453">
        <f>ROUND($D$113*D119,0)</f>
        <v>62</v>
      </c>
      <c r="V119" s="464">
        <f>ROUND($V$113*$D119,0)</f>
        <v>64</v>
      </c>
      <c r="W119" s="209"/>
      <c r="X119" s="542"/>
      <c r="Y119" s="542"/>
      <c r="Z119" s="542"/>
      <c r="AA119" s="542"/>
      <c r="AB119" s="542"/>
      <c r="AC119" s="542"/>
      <c r="AD119" s="542"/>
      <c r="AE119" s="542"/>
      <c r="AF119" s="542"/>
      <c r="AG119" s="19"/>
      <c r="AH119"/>
    </row>
    <row r="120" spans="1:36" ht="15.75" thickBot="1">
      <c r="A120" s="210"/>
      <c r="B120" s="211"/>
      <c r="C120" s="264" t="s">
        <v>349</v>
      </c>
      <c r="D120" s="560"/>
      <c r="E120" s="542"/>
      <c r="F120" s="542"/>
      <c r="G120" s="542"/>
      <c r="H120" s="542"/>
      <c r="I120" s="542"/>
      <c r="J120" s="542"/>
      <c r="K120" s="547"/>
      <c r="L120" s="542"/>
      <c r="M120" s="542"/>
      <c r="N120" s="540"/>
      <c r="O120" s="544"/>
      <c r="P120" s="544"/>
      <c r="Q120" s="544"/>
      <c r="R120" s="542"/>
      <c r="S120" s="544"/>
      <c r="T120" s="209"/>
      <c r="U120" s="418">
        <v>1</v>
      </c>
      <c r="V120" s="418">
        <v>1</v>
      </c>
      <c r="W120" s="452">
        <v>1</v>
      </c>
      <c r="X120" s="542"/>
      <c r="Y120" s="542"/>
      <c r="Z120" s="542"/>
      <c r="AA120" s="542"/>
      <c r="AB120" s="542"/>
      <c r="AC120" s="542"/>
      <c r="AD120" s="542"/>
      <c r="AE120" s="542"/>
      <c r="AF120" s="542"/>
      <c r="AG120" s="19"/>
      <c r="AH120"/>
    </row>
    <row r="121" spans="1:36" ht="15">
      <c r="A121" s="210" t="s">
        <v>25</v>
      </c>
      <c r="B121" s="211" t="s">
        <v>301</v>
      </c>
      <c r="C121" s="212" t="s">
        <v>302</v>
      </c>
      <c r="D121" s="559"/>
      <c r="E121" s="542"/>
      <c r="F121" s="542"/>
      <c r="G121" s="542"/>
      <c r="H121" s="542"/>
      <c r="I121" s="542"/>
      <c r="J121" s="542"/>
      <c r="K121" s="547"/>
      <c r="L121" s="542"/>
      <c r="M121" s="542"/>
      <c r="N121" s="540"/>
      <c r="O121" s="544"/>
      <c r="P121" s="544"/>
      <c r="Q121" s="544"/>
      <c r="R121" s="542"/>
      <c r="S121" s="544"/>
      <c r="T121" s="209">
        <v>10</v>
      </c>
      <c r="U121" s="448">
        <v>10</v>
      </c>
      <c r="V121" s="415">
        <v>10</v>
      </c>
      <c r="W121" s="446">
        <v>10</v>
      </c>
      <c r="X121" s="542"/>
      <c r="Y121" s="542"/>
      <c r="Z121" s="542"/>
      <c r="AA121" s="542"/>
      <c r="AB121" s="542"/>
      <c r="AC121" s="542"/>
      <c r="AD121" s="542"/>
      <c r="AE121" s="542"/>
      <c r="AF121" s="542"/>
      <c r="AG121" s="19"/>
      <c r="AH121"/>
      <c r="AI121" s="29"/>
    </row>
    <row r="122" spans="1:36" ht="15">
      <c r="A122" s="210"/>
      <c r="B122" s="211"/>
      <c r="C122" s="7" t="s">
        <v>476</v>
      </c>
      <c r="D122" s="560">
        <v>1</v>
      </c>
      <c r="E122" s="542"/>
      <c r="F122" s="542"/>
      <c r="G122" s="542"/>
      <c r="H122" s="542"/>
      <c r="I122" s="542"/>
      <c r="J122" s="542"/>
      <c r="K122" s="547"/>
      <c r="L122" s="542"/>
      <c r="M122" s="542"/>
      <c r="N122" s="540"/>
      <c r="O122" s="544"/>
      <c r="P122" s="544"/>
      <c r="Q122" s="544"/>
      <c r="R122" s="542"/>
      <c r="S122" s="544"/>
      <c r="T122" s="209"/>
      <c r="U122" s="451">
        <f>$U$121*$D122</f>
        <v>10</v>
      </c>
      <c r="V122" s="419">
        <f>$U$121*$D122</f>
        <v>10</v>
      </c>
      <c r="W122" s="209"/>
      <c r="X122" s="542"/>
      <c r="Y122" s="542"/>
      <c r="Z122" s="542"/>
      <c r="AA122" s="542"/>
      <c r="AB122" s="542"/>
      <c r="AC122" s="542"/>
      <c r="AD122" s="542"/>
      <c r="AE122" s="542"/>
      <c r="AF122" s="542"/>
      <c r="AG122" s="19"/>
      <c r="AH122"/>
    </row>
    <row r="123" spans="1:36" ht="15">
      <c r="A123" s="210"/>
      <c r="B123" s="211"/>
      <c r="C123" s="7" t="s">
        <v>320</v>
      </c>
      <c r="D123" s="560">
        <v>0</v>
      </c>
      <c r="E123" s="542"/>
      <c r="F123" s="542"/>
      <c r="G123" s="542"/>
      <c r="H123" s="542"/>
      <c r="I123" s="542"/>
      <c r="J123" s="542"/>
      <c r="K123" s="547"/>
      <c r="L123" s="542"/>
      <c r="M123" s="542"/>
      <c r="N123" s="540"/>
      <c r="O123" s="544"/>
      <c r="P123" s="544"/>
      <c r="Q123" s="544"/>
      <c r="R123" s="542"/>
      <c r="S123" s="544"/>
      <c r="T123" s="209"/>
      <c r="U123" s="451">
        <f>$U$121*$D123</f>
        <v>0</v>
      </c>
      <c r="V123" s="419">
        <f>$U$121*$D123</f>
        <v>0</v>
      </c>
      <c r="W123" s="209"/>
      <c r="X123" s="542"/>
      <c r="Y123" s="542"/>
      <c r="Z123" s="542"/>
      <c r="AA123" s="542"/>
      <c r="AB123" s="542"/>
      <c r="AC123" s="542"/>
      <c r="AD123" s="542"/>
      <c r="AE123" s="542"/>
      <c r="AF123" s="542"/>
      <c r="AG123" s="19"/>
      <c r="AH123"/>
    </row>
    <row r="124" spans="1:36">
      <c r="D124" s="457"/>
      <c r="E124" s="540"/>
      <c r="F124" s="540"/>
      <c r="G124" s="540"/>
      <c r="H124" s="540"/>
      <c r="I124" s="540"/>
      <c r="J124" s="540"/>
      <c r="K124" s="540"/>
      <c r="L124" s="540"/>
      <c r="M124" s="540"/>
      <c r="N124" s="540"/>
      <c r="O124" s="540"/>
      <c r="P124" s="540"/>
      <c r="Q124" s="540"/>
      <c r="R124" s="540"/>
      <c r="S124" s="540"/>
      <c r="U124" s="457"/>
      <c r="V124" s="412"/>
      <c r="X124" s="540"/>
      <c r="Y124" s="540"/>
      <c r="Z124" s="540"/>
      <c r="AA124" s="540"/>
      <c r="AB124" s="540"/>
      <c r="AC124" s="540"/>
      <c r="AD124" s="540"/>
      <c r="AE124" s="540"/>
      <c r="AF124" s="540"/>
      <c r="AI124" s="471" t="s">
        <v>432</v>
      </c>
    </row>
    <row r="125" spans="1:36">
      <c r="D125" s="457"/>
      <c r="E125" s="540"/>
      <c r="F125" s="540"/>
      <c r="G125" s="540"/>
      <c r="H125" s="540"/>
      <c r="I125" s="540"/>
      <c r="J125" s="540"/>
      <c r="K125" s="540"/>
      <c r="L125" s="540"/>
      <c r="M125" s="540"/>
      <c r="N125" s="540"/>
      <c r="O125" s="540"/>
      <c r="P125" s="540"/>
      <c r="Q125" s="540"/>
      <c r="R125" s="540"/>
      <c r="S125" s="540"/>
      <c r="U125" s="457"/>
      <c r="V125" s="412"/>
      <c r="X125" s="540"/>
      <c r="Y125" s="540"/>
      <c r="Z125" s="540"/>
      <c r="AA125" s="540"/>
      <c r="AB125" s="540"/>
      <c r="AC125" s="540"/>
      <c r="AD125" s="540"/>
      <c r="AE125" s="540"/>
      <c r="AF125" s="540"/>
      <c r="AH125" s="7" t="s">
        <v>435</v>
      </c>
    </row>
    <row r="126" spans="1:36" ht="15.75" thickBot="1">
      <c r="D126" s="458"/>
      <c r="E126" s="540"/>
      <c r="F126" s="540"/>
      <c r="G126" s="540"/>
      <c r="H126" s="540"/>
      <c r="I126" s="540"/>
      <c r="J126" s="540"/>
      <c r="K126" s="540"/>
      <c r="L126" s="540"/>
      <c r="M126" s="540"/>
      <c r="N126" s="540"/>
      <c r="O126" s="540"/>
      <c r="P126" s="540"/>
      <c r="Q126" s="540"/>
      <c r="R126" s="540"/>
      <c r="S126" s="540"/>
      <c r="U126" s="458"/>
      <c r="V126" s="413"/>
      <c r="X126" s="540"/>
      <c r="Y126" s="540"/>
      <c r="Z126" s="540"/>
      <c r="AA126" s="540"/>
      <c r="AB126" s="540"/>
      <c r="AC126" s="540"/>
      <c r="AD126" s="540"/>
      <c r="AE126" s="540"/>
      <c r="AF126" s="540"/>
      <c r="AI126" s="250" t="s">
        <v>340</v>
      </c>
      <c r="AJ126" s="472" t="s">
        <v>20</v>
      </c>
    </row>
    <row r="127" spans="1:36" ht="15">
      <c r="A127" s="20"/>
      <c r="B127" s="20"/>
      <c r="C127" s="20" t="s">
        <v>345</v>
      </c>
      <c r="D127" s="20"/>
      <c r="E127" s="541"/>
      <c r="F127" s="541"/>
      <c r="G127" s="541"/>
      <c r="H127" s="541"/>
      <c r="I127" s="541"/>
      <c r="J127" s="541"/>
      <c r="K127" s="541"/>
      <c r="L127" s="541"/>
      <c r="M127" s="541"/>
      <c r="N127" s="541"/>
      <c r="O127" s="541"/>
      <c r="P127" s="541"/>
      <c r="Q127" s="541"/>
      <c r="R127" s="541"/>
      <c r="S127" s="541"/>
      <c r="T127" s="20"/>
      <c r="U127" s="20"/>
      <c r="V127" s="20"/>
      <c r="W127" s="20"/>
      <c r="X127" s="20"/>
      <c r="Y127" s="20"/>
      <c r="Z127" s="20"/>
      <c r="AA127" s="20"/>
      <c r="AB127" s="20"/>
      <c r="AC127" s="20"/>
      <c r="AD127" s="20"/>
      <c r="AE127" s="20"/>
      <c r="AF127" s="20"/>
      <c r="AG127" s="19"/>
      <c r="AH127" t="s">
        <v>434</v>
      </c>
      <c r="AI127" t="s">
        <v>339</v>
      </c>
      <c r="AJ127" s="245">
        <v>810.06857838362259</v>
      </c>
    </row>
    <row r="128" spans="1:36" ht="15">
      <c r="C128" s="7" t="s">
        <v>256</v>
      </c>
      <c r="E128" s="540"/>
      <c r="F128" s="540"/>
      <c r="G128" s="540"/>
      <c r="H128" s="540"/>
      <c r="I128" s="540"/>
      <c r="J128" s="540"/>
      <c r="K128" s="540"/>
      <c r="L128" s="540"/>
      <c r="M128" s="540"/>
      <c r="N128" s="540"/>
      <c r="O128" s="540"/>
      <c r="P128" s="540"/>
      <c r="Q128" s="540"/>
      <c r="R128" s="540"/>
      <c r="S128" s="540"/>
      <c r="U128" s="7">
        <v>1</v>
      </c>
      <c r="V128" s="7">
        <v>1</v>
      </c>
      <c r="AH128" t="s">
        <v>440</v>
      </c>
      <c r="AI128" t="s">
        <v>339</v>
      </c>
      <c r="AJ128" s="245">
        <v>302.80636033721953</v>
      </c>
    </row>
    <row r="129" spans="3:40" ht="15">
      <c r="C129" s="7" t="s">
        <v>258</v>
      </c>
      <c r="E129" s="540"/>
      <c r="F129" s="540"/>
      <c r="G129" s="540"/>
      <c r="H129" s="540"/>
      <c r="I129" s="540"/>
      <c r="J129" s="540"/>
      <c r="K129" s="540"/>
      <c r="L129" s="540"/>
      <c r="M129" s="540"/>
      <c r="N129" s="540"/>
      <c r="O129" s="540"/>
      <c r="P129" s="540"/>
      <c r="Q129" s="540"/>
      <c r="R129" s="540"/>
      <c r="S129" s="540"/>
      <c r="U129" s="7">
        <v>1</v>
      </c>
      <c r="V129" s="7">
        <v>1</v>
      </c>
      <c r="AH129"/>
      <c r="AJ129" s="248">
        <f>SUM(AJ127:AJ128)</f>
        <v>1112.8749387208422</v>
      </c>
      <c r="AK129" s="238"/>
      <c r="AL129" s="245"/>
    </row>
    <row r="130" spans="3:40">
      <c r="C130" s="7" t="s">
        <v>321</v>
      </c>
      <c r="E130" s="540"/>
      <c r="F130" s="540"/>
      <c r="G130" s="540"/>
      <c r="H130" s="540"/>
      <c r="I130" s="540"/>
      <c r="J130" s="540"/>
      <c r="K130" s="540"/>
      <c r="L130" s="540"/>
      <c r="M130" s="540"/>
      <c r="N130" s="540"/>
      <c r="O130" s="540"/>
      <c r="P130" s="540"/>
      <c r="Q130" s="540"/>
      <c r="R130" s="540"/>
      <c r="S130" s="540"/>
      <c r="U130" s="7">
        <v>1</v>
      </c>
      <c r="V130" s="7">
        <v>1</v>
      </c>
    </row>
    <row r="131" spans="3:40" ht="15">
      <c r="C131" s="7" t="s">
        <v>322</v>
      </c>
      <c r="E131" s="540"/>
      <c r="F131" s="540"/>
      <c r="G131" s="540"/>
      <c r="H131" s="540"/>
      <c r="I131" s="540"/>
      <c r="J131" s="540"/>
      <c r="K131" s="540"/>
      <c r="L131" s="540"/>
      <c r="M131" s="540"/>
      <c r="N131" s="540"/>
      <c r="O131" s="540"/>
      <c r="P131" s="540"/>
      <c r="Q131" s="540"/>
      <c r="R131" s="540"/>
      <c r="S131" s="540"/>
      <c r="U131" s="7">
        <v>1</v>
      </c>
      <c r="V131" s="7">
        <v>1</v>
      </c>
      <c r="AH131" t="s">
        <v>436</v>
      </c>
      <c r="AJ131" s="475"/>
      <c r="AK131" s="238"/>
      <c r="AL131" s="245"/>
    </row>
    <row r="132" spans="3:40" ht="15">
      <c r="C132" s="7" t="s">
        <v>323</v>
      </c>
      <c r="E132" s="540"/>
      <c r="F132" s="540"/>
      <c r="G132" s="540"/>
      <c r="H132" s="540"/>
      <c r="I132" s="540"/>
      <c r="J132" s="540"/>
      <c r="K132" s="540"/>
      <c r="L132" s="540"/>
      <c r="M132" s="540"/>
      <c r="N132" s="540"/>
      <c r="O132" s="540"/>
      <c r="P132" s="540"/>
      <c r="Q132" s="540"/>
      <c r="R132" s="540"/>
      <c r="S132" s="540"/>
      <c r="U132" s="7">
        <v>1</v>
      </c>
      <c r="V132" s="7">
        <v>1</v>
      </c>
      <c r="AH132"/>
      <c r="AI132" s="250" t="s">
        <v>342</v>
      </c>
      <c r="AL132" s="245"/>
    </row>
    <row r="133" spans="3:40" ht="15">
      <c r="C133" s="7" t="s">
        <v>324</v>
      </c>
      <c r="E133" s="540"/>
      <c r="F133" s="540"/>
      <c r="G133" s="540"/>
      <c r="H133" s="540"/>
      <c r="I133" s="540"/>
      <c r="J133" s="540"/>
      <c r="K133" s="540"/>
      <c r="L133" s="540"/>
      <c r="M133" s="540"/>
      <c r="N133" s="540"/>
      <c r="O133" s="540"/>
      <c r="P133" s="540"/>
      <c r="Q133" s="540"/>
      <c r="R133" s="540"/>
      <c r="S133" s="540"/>
      <c r="U133" s="7">
        <v>1</v>
      </c>
      <c r="V133" s="7">
        <v>1</v>
      </c>
      <c r="AH133"/>
      <c r="AI133" s="7" t="str">
        <f>AI166</f>
        <v>LV - Single Phase</v>
      </c>
      <c r="AJ133" s="245">
        <f>AJ129*AK166</f>
        <v>1029.7821417346488</v>
      </c>
      <c r="AK133" s="238">
        <f>AJ133/$AJ$160</f>
        <v>0.41899351854458272</v>
      </c>
      <c r="AL133" s="245"/>
    </row>
    <row r="134" spans="3:40" ht="15">
      <c r="C134" s="7" t="s">
        <v>325</v>
      </c>
      <c r="E134" s="540"/>
      <c r="F134" s="540"/>
      <c r="G134" s="540"/>
      <c r="H134" s="540"/>
      <c r="I134" s="540"/>
      <c r="J134" s="540"/>
      <c r="K134" s="540"/>
      <c r="L134" s="540"/>
      <c r="M134" s="540"/>
      <c r="N134" s="540"/>
      <c r="O134" s="540"/>
      <c r="P134" s="540"/>
      <c r="Q134" s="540"/>
      <c r="R134" s="540"/>
      <c r="S134" s="540"/>
      <c r="U134" s="7">
        <v>1</v>
      </c>
      <c r="V134" s="7">
        <v>1</v>
      </c>
      <c r="AH134"/>
      <c r="AI134" s="7" t="str">
        <f>AI167</f>
        <v>LV - Multi Phase</v>
      </c>
      <c r="AJ134" s="245">
        <f>AJ129*AK167</f>
        <v>83.092796986193491</v>
      </c>
      <c r="AK134" s="238">
        <f>AJ134/$AJ$160</f>
        <v>3.3808455171217201E-2</v>
      </c>
      <c r="AL134" s="245"/>
    </row>
    <row r="135" spans="3:40" ht="15">
      <c r="C135" s="7" t="s">
        <v>326</v>
      </c>
      <c r="E135" s="540"/>
      <c r="F135" s="540"/>
      <c r="G135" s="540"/>
      <c r="H135" s="540"/>
      <c r="I135" s="540"/>
      <c r="J135" s="540"/>
      <c r="K135" s="540"/>
      <c r="L135" s="540"/>
      <c r="M135" s="540"/>
      <c r="N135" s="540"/>
      <c r="O135" s="540"/>
      <c r="P135" s="540"/>
      <c r="Q135" s="540"/>
      <c r="R135" s="540"/>
      <c r="S135" s="540"/>
      <c r="U135" s="7">
        <v>1</v>
      </c>
      <c r="V135" s="7">
        <v>1</v>
      </c>
      <c r="AH135"/>
      <c r="AJ135" s="248">
        <f>SUM(AJ133:AJ134)</f>
        <v>1112.8749387208422</v>
      </c>
    </row>
    <row r="136" spans="3:40" ht="15">
      <c r="C136" s="7" t="s">
        <v>327</v>
      </c>
      <c r="E136" s="540"/>
      <c r="F136" s="540"/>
      <c r="G136" s="540"/>
      <c r="H136" s="540"/>
      <c r="I136" s="540"/>
      <c r="J136" s="540"/>
      <c r="K136" s="540"/>
      <c r="L136" s="540"/>
      <c r="M136" s="540"/>
      <c r="N136" s="540"/>
      <c r="O136" s="540"/>
      <c r="P136" s="540"/>
      <c r="Q136" s="540"/>
      <c r="R136" s="540"/>
      <c r="S136" s="540"/>
      <c r="U136" s="7">
        <v>1</v>
      </c>
      <c r="V136" s="7">
        <v>1</v>
      </c>
      <c r="AH136"/>
      <c r="AJ136" s="247">
        <f>AJ129-AJ135</f>
        <v>0</v>
      </c>
    </row>
    <row r="137" spans="3:40">
      <c r="C137" s="7" t="s">
        <v>328</v>
      </c>
      <c r="E137" s="540"/>
      <c r="F137" s="540"/>
      <c r="G137" s="540"/>
      <c r="H137" s="540"/>
      <c r="I137" s="540"/>
      <c r="J137" s="540"/>
      <c r="K137" s="540"/>
      <c r="L137" s="540"/>
      <c r="M137" s="540"/>
      <c r="N137" s="540"/>
      <c r="O137" s="540"/>
      <c r="P137" s="540"/>
      <c r="Q137" s="540"/>
      <c r="R137" s="540"/>
      <c r="S137" s="540"/>
      <c r="U137" s="7">
        <v>1</v>
      </c>
      <c r="V137" s="7">
        <v>1</v>
      </c>
      <c r="AH137" s="7" t="s">
        <v>437</v>
      </c>
    </row>
    <row r="138" spans="3:40">
      <c r="C138" s="7" t="s">
        <v>329</v>
      </c>
      <c r="E138" s="540"/>
      <c r="F138" s="540"/>
      <c r="G138" s="540"/>
      <c r="H138" s="540"/>
      <c r="I138" s="540"/>
      <c r="J138" s="540"/>
      <c r="K138" s="540"/>
      <c r="L138" s="540"/>
      <c r="M138" s="540"/>
      <c r="N138" s="540"/>
      <c r="O138" s="540"/>
      <c r="P138" s="540"/>
      <c r="Q138" s="540"/>
      <c r="R138" s="540"/>
      <c r="S138" s="540"/>
      <c r="U138" s="7">
        <v>1</v>
      </c>
      <c r="V138" s="7">
        <v>1</v>
      </c>
      <c r="AI138" s="250" t="s">
        <v>341</v>
      </c>
      <c r="AN138" s="247">
        <f>AJ178-AJ183</f>
        <v>0</v>
      </c>
    </row>
    <row r="139" spans="3:40" ht="15">
      <c r="C139" s="7" t="s">
        <v>330</v>
      </c>
      <c r="E139" s="540"/>
      <c r="F139" s="540"/>
      <c r="G139" s="540"/>
      <c r="H139" s="540"/>
      <c r="I139" s="540"/>
      <c r="J139" s="540"/>
      <c r="K139" s="540"/>
      <c r="L139" s="540"/>
      <c r="M139" s="540"/>
      <c r="N139" s="540"/>
      <c r="O139" s="540"/>
      <c r="P139" s="540"/>
      <c r="Q139" s="540"/>
      <c r="R139" s="540"/>
      <c r="S139" s="540"/>
      <c r="U139" s="7">
        <v>1</v>
      </c>
      <c r="V139" s="7">
        <v>1</v>
      </c>
      <c r="AH139" t="s">
        <v>434</v>
      </c>
      <c r="AI139" t="s">
        <v>338</v>
      </c>
      <c r="AJ139" s="245">
        <v>1215.1028675754337</v>
      </c>
    </row>
    <row r="140" spans="3:40" ht="15">
      <c r="C140" s="7" t="s">
        <v>331</v>
      </c>
      <c r="E140" s="540"/>
      <c r="F140" s="540"/>
      <c r="G140" s="540"/>
      <c r="H140" s="540"/>
      <c r="I140" s="540"/>
      <c r="J140" s="540"/>
      <c r="K140" s="540"/>
      <c r="L140" s="540"/>
      <c r="M140" s="540"/>
      <c r="N140" s="540"/>
      <c r="O140" s="540"/>
      <c r="P140" s="540"/>
      <c r="Q140" s="540"/>
      <c r="R140" s="540"/>
      <c r="S140" s="540"/>
      <c r="U140" s="7">
        <v>1</v>
      </c>
      <c r="V140" s="7">
        <v>1</v>
      </c>
      <c r="AH140" t="s">
        <v>440</v>
      </c>
      <c r="AI140" t="s">
        <v>338</v>
      </c>
      <c r="AJ140" s="245">
        <v>129.77415443023696</v>
      </c>
    </row>
    <row r="141" spans="3:40" ht="15">
      <c r="C141" s="7" t="s">
        <v>332</v>
      </c>
      <c r="E141" s="540"/>
      <c r="F141" s="540"/>
      <c r="G141" s="540"/>
      <c r="H141" s="540"/>
      <c r="I141" s="540"/>
      <c r="J141" s="540"/>
      <c r="K141" s="540"/>
      <c r="L141" s="540"/>
      <c r="M141" s="540"/>
      <c r="N141" s="540"/>
      <c r="O141" s="540"/>
      <c r="P141" s="540"/>
      <c r="Q141" s="540"/>
      <c r="R141" s="540"/>
      <c r="S141" s="540"/>
      <c r="U141" s="7">
        <v>1</v>
      </c>
      <c r="V141" s="7">
        <v>1</v>
      </c>
      <c r="AJ141" s="248">
        <f>SUM(AJ139:AJ140)</f>
        <v>1344.8770220056706</v>
      </c>
      <c r="AK141" s="238"/>
      <c r="AL141" s="251"/>
    </row>
    <row r="142" spans="3:40" ht="15" customHeight="1">
      <c r="C142" s="7" t="s">
        <v>333</v>
      </c>
      <c r="E142" s="540"/>
      <c r="F142" s="540"/>
      <c r="G142" s="540"/>
      <c r="H142" s="540"/>
      <c r="I142" s="540"/>
      <c r="J142" s="540"/>
      <c r="K142" s="540"/>
      <c r="L142" s="540"/>
      <c r="M142" s="540"/>
      <c r="N142" s="540"/>
      <c r="O142" s="540"/>
      <c r="P142" s="540"/>
      <c r="Q142" s="540"/>
      <c r="R142" s="540"/>
      <c r="S142" s="540"/>
      <c r="U142" s="7">
        <v>1</v>
      </c>
      <c r="V142" s="7">
        <v>1</v>
      </c>
      <c r="AJ142" s="475"/>
      <c r="AK142" s="238"/>
      <c r="AL142" s="251"/>
    </row>
    <row r="143" spans="3:40" ht="15">
      <c r="C143" s="7" t="s">
        <v>334</v>
      </c>
      <c r="E143" s="540"/>
      <c r="F143" s="540"/>
      <c r="G143" s="540"/>
      <c r="H143" s="540"/>
      <c r="I143" s="540"/>
      <c r="J143" s="540"/>
      <c r="K143" s="540"/>
      <c r="L143" s="540"/>
      <c r="M143" s="540"/>
      <c r="N143" s="540"/>
      <c r="O143" s="540"/>
      <c r="P143" s="540"/>
      <c r="Q143" s="540"/>
      <c r="R143" s="540"/>
      <c r="S143" s="540"/>
      <c r="U143" s="7">
        <v>1</v>
      </c>
      <c r="V143" s="7">
        <v>1</v>
      </c>
      <c r="AH143" t="s">
        <v>438</v>
      </c>
      <c r="AJ143" s="475"/>
      <c r="AK143" s="238"/>
      <c r="AL143" s="251"/>
    </row>
    <row r="144" spans="3:40" ht="15">
      <c r="C144" s="7" t="s">
        <v>335</v>
      </c>
      <c r="E144" s="540"/>
      <c r="F144" s="540"/>
      <c r="G144" s="540"/>
      <c r="H144" s="540"/>
      <c r="I144" s="540"/>
      <c r="J144" s="540"/>
      <c r="K144" s="540"/>
      <c r="L144" s="540"/>
      <c r="M144" s="540"/>
      <c r="N144" s="540"/>
      <c r="O144" s="540"/>
      <c r="P144" s="540"/>
      <c r="Q144" s="540"/>
      <c r="R144" s="540"/>
      <c r="S144" s="540"/>
      <c r="U144" s="7">
        <v>1</v>
      </c>
      <c r="V144" s="7">
        <v>1</v>
      </c>
      <c r="AI144" s="250" t="s">
        <v>342</v>
      </c>
      <c r="AL144" s="251"/>
    </row>
    <row r="145" spans="3:38" ht="15">
      <c r="C145" s="7" t="s">
        <v>336</v>
      </c>
      <c r="E145" s="540"/>
      <c r="F145" s="540"/>
      <c r="G145" s="540"/>
      <c r="H145" s="540"/>
      <c r="I145" s="540"/>
      <c r="J145" s="540"/>
      <c r="K145" s="540"/>
      <c r="L145" s="540"/>
      <c r="M145" s="540"/>
      <c r="N145" s="540"/>
      <c r="O145" s="540"/>
      <c r="P145" s="540"/>
      <c r="Q145" s="540"/>
      <c r="R145" s="540"/>
      <c r="S145" s="540"/>
      <c r="U145" s="7">
        <v>1</v>
      </c>
      <c r="V145" s="7">
        <v>1</v>
      </c>
      <c r="AI145" s="7" t="str">
        <f>AI166</f>
        <v>LV - Single Phase</v>
      </c>
      <c r="AJ145" s="251">
        <f>AJ141*AK166</f>
        <v>1244.4617916210593</v>
      </c>
      <c r="AK145" s="238"/>
      <c r="AL145" s="249"/>
    </row>
    <row r="146" spans="3:38" ht="15">
      <c r="E146" s="540"/>
      <c r="F146" s="540"/>
      <c r="G146" s="540"/>
      <c r="H146" s="540"/>
      <c r="I146" s="540"/>
      <c r="J146" s="540"/>
      <c r="K146" s="540"/>
      <c r="L146" s="540"/>
      <c r="M146" s="540"/>
      <c r="N146" s="540"/>
      <c r="O146" s="540"/>
      <c r="P146" s="540"/>
      <c r="Q146" s="540"/>
      <c r="R146" s="540"/>
      <c r="S146" s="540"/>
      <c r="AI146" s="7" t="str">
        <f>AI167</f>
        <v>LV - Multi Phase</v>
      </c>
      <c r="AJ146" s="251">
        <f>AJ141*AK167</f>
        <v>100.41523038461139</v>
      </c>
      <c r="AK146" s="238"/>
    </row>
    <row r="147" spans="3:38" ht="15">
      <c r="E147" s="540"/>
      <c r="F147" s="540"/>
      <c r="G147" s="540"/>
      <c r="H147" s="540"/>
      <c r="I147" s="540"/>
      <c r="J147" s="540"/>
      <c r="K147" s="540"/>
      <c r="L147" s="540"/>
      <c r="M147" s="540"/>
      <c r="N147" s="540"/>
      <c r="O147" s="540"/>
      <c r="P147" s="540"/>
      <c r="Q147" s="540"/>
      <c r="R147" s="540"/>
      <c r="S147" s="540"/>
      <c r="AJ147" s="248">
        <f>SUM(AJ145:AJ146)</f>
        <v>1344.8770220056708</v>
      </c>
    </row>
    <row r="148" spans="3:38">
      <c r="E148" s="540"/>
      <c r="F148" s="540"/>
      <c r="G148" s="540"/>
      <c r="H148" s="540"/>
      <c r="I148" s="540"/>
      <c r="J148" s="540"/>
      <c r="K148" s="540"/>
      <c r="L148" s="540"/>
      <c r="M148" s="540"/>
      <c r="N148" s="540"/>
      <c r="O148" s="540"/>
      <c r="P148" s="540"/>
      <c r="Q148" s="540"/>
      <c r="R148" s="540"/>
      <c r="S148" s="540"/>
    </row>
    <row r="149" spans="3:38">
      <c r="E149" s="540"/>
      <c r="F149" s="540"/>
      <c r="G149" s="540"/>
      <c r="H149" s="540"/>
      <c r="I149" s="540"/>
      <c r="J149" s="540"/>
      <c r="K149" s="540"/>
      <c r="L149" s="540"/>
      <c r="M149" s="540"/>
      <c r="N149" s="540"/>
      <c r="O149" s="540"/>
      <c r="P149" s="540"/>
      <c r="Q149" s="540"/>
      <c r="R149" s="540"/>
      <c r="S149" s="540"/>
    </row>
    <row r="150" spans="3:38">
      <c r="E150" s="540"/>
      <c r="F150" s="540"/>
      <c r="G150" s="540"/>
      <c r="H150" s="540"/>
      <c r="I150" s="540"/>
      <c r="J150" s="540"/>
      <c r="K150" s="540"/>
      <c r="L150" s="540"/>
      <c r="M150" s="540"/>
      <c r="N150" s="540"/>
      <c r="O150" s="540"/>
      <c r="P150" s="540"/>
      <c r="Q150" s="540"/>
      <c r="R150" s="540"/>
      <c r="S150" s="540"/>
      <c r="AH150" s="7" t="s">
        <v>439</v>
      </c>
    </row>
    <row r="151" spans="3:38">
      <c r="E151" s="540"/>
      <c r="F151" s="540"/>
      <c r="G151" s="540"/>
      <c r="H151" s="540"/>
      <c r="I151" s="540"/>
      <c r="J151" s="540"/>
      <c r="K151" s="540"/>
      <c r="L151" s="540"/>
      <c r="M151" s="540"/>
      <c r="N151" s="540"/>
      <c r="O151" s="540"/>
      <c r="P151" s="540"/>
      <c r="Q151" s="540"/>
      <c r="R151" s="540"/>
      <c r="S151" s="540"/>
      <c r="AI151" s="250" t="s">
        <v>441</v>
      </c>
    </row>
    <row r="152" spans="3:38">
      <c r="E152" s="540"/>
      <c r="F152" s="540"/>
      <c r="G152" s="540"/>
      <c r="H152" s="540"/>
      <c r="I152" s="540"/>
      <c r="J152" s="540"/>
      <c r="K152" s="540"/>
      <c r="L152" s="540"/>
      <c r="M152" s="540"/>
      <c r="N152" s="540"/>
      <c r="O152" s="540"/>
      <c r="P152" s="540"/>
      <c r="Q152" s="540"/>
      <c r="R152" s="540"/>
      <c r="S152" s="540"/>
      <c r="AI152" s="259" t="s">
        <v>442</v>
      </c>
      <c r="AJ152" s="260">
        <v>0.5</v>
      </c>
    </row>
    <row r="153" spans="3:38" ht="15">
      <c r="E153" s="540"/>
      <c r="F153" s="540"/>
      <c r="G153" s="540"/>
      <c r="H153" s="540"/>
      <c r="I153" s="540"/>
      <c r="J153" s="540"/>
      <c r="K153" s="540"/>
      <c r="L153" s="540"/>
      <c r="M153" s="540"/>
      <c r="N153" s="540"/>
      <c r="O153" s="540"/>
      <c r="P153" s="540"/>
      <c r="Q153" s="540"/>
      <c r="R153" s="540"/>
      <c r="S153" s="540"/>
      <c r="AI153" s="7" t="str">
        <f>AI145</f>
        <v>LV - Single Phase</v>
      </c>
      <c r="AJ153" s="251">
        <f>AJ145*$AJ$152</f>
        <v>622.23089581052966</v>
      </c>
      <c r="AK153" s="238">
        <f>AJ153/$AJ$160</f>
        <v>0.25317074536138212</v>
      </c>
    </row>
    <row r="154" spans="3:38" ht="15">
      <c r="AI154" s="7" t="str">
        <f>AI146</f>
        <v>LV - Multi Phase</v>
      </c>
      <c r="AJ154" s="251">
        <f>AJ146*$AJ$152</f>
        <v>50.207615192305695</v>
      </c>
      <c r="AK154" s="238">
        <f>AJ154/$AJ$160</f>
        <v>2.042826778071791E-2</v>
      </c>
    </row>
    <row r="155" spans="3:38">
      <c r="AI155" s="259" t="s">
        <v>343</v>
      </c>
      <c r="AJ155" s="260">
        <v>0.5</v>
      </c>
    </row>
    <row r="156" spans="3:38" ht="15">
      <c r="AI156" s="7" t="str">
        <f>AI145</f>
        <v>LV - Single Phase</v>
      </c>
      <c r="AJ156" s="251">
        <f>AJ145*$AJ$152</f>
        <v>622.23089581052966</v>
      </c>
      <c r="AK156" s="238">
        <f>AJ156/$AJ$160</f>
        <v>0.25317074536138212</v>
      </c>
    </row>
    <row r="157" spans="3:38" ht="15">
      <c r="AI157" s="7" t="str">
        <f>AI146</f>
        <v>LV - Multi Phase</v>
      </c>
      <c r="AJ157" s="251">
        <f>AJ146*$AJ$152</f>
        <v>50.207615192305695</v>
      </c>
      <c r="AK157" s="238">
        <f>AJ157/$AJ$160</f>
        <v>2.042826778071791E-2</v>
      </c>
    </row>
    <row r="158" spans="3:38" ht="15">
      <c r="AJ158" s="248">
        <f>SUM(AJ156:AJ157,AJ153:AJ154)</f>
        <v>1344.8770220056708</v>
      </c>
    </row>
    <row r="160" spans="3:38" ht="15.75" thickBot="1">
      <c r="AJ160" s="254">
        <f>AJ129+AJ141</f>
        <v>2457.7519607265131</v>
      </c>
      <c r="AK160" s="256">
        <f>SUM(AK127:AK159)</f>
        <v>1</v>
      </c>
    </row>
    <row r="161" spans="34:37" ht="14.25" thickTop="1" thickBot="1">
      <c r="AJ161" s="253"/>
    </row>
    <row r="162" spans="34:37" ht="16.5" thickTop="1" thickBot="1">
      <c r="AJ162" s="254">
        <f>AJ135+AJ147</f>
        <v>2457.7519607265131</v>
      </c>
    </row>
    <row r="163" spans="34:37" ht="13.5" thickTop="1"/>
    <row r="164" spans="34:37">
      <c r="AH164" s="613" t="s">
        <v>433</v>
      </c>
      <c r="AI164" s="613"/>
      <c r="AJ164" s="613"/>
      <c r="AK164" s="613"/>
    </row>
    <row r="165" spans="34:37">
      <c r="AH165" s="265" t="s">
        <v>337</v>
      </c>
      <c r="AI165" s="257"/>
      <c r="AJ165" s="257"/>
      <c r="AK165" s="258"/>
    </row>
    <row r="166" spans="34:37" ht="15">
      <c r="AH166" s="13"/>
      <c r="AI166" s="239" t="s">
        <v>463</v>
      </c>
      <c r="AJ166" s="129">
        <v>434343</v>
      </c>
      <c r="AK166" s="255">
        <f>AJ166/$AJ$169</f>
        <v>0.92533500926734702</v>
      </c>
    </row>
    <row r="167" spans="34:37" ht="15">
      <c r="AH167" s="13"/>
      <c r="AI167" s="239" t="s">
        <v>464</v>
      </c>
      <c r="AJ167" s="129">
        <v>35047</v>
      </c>
      <c r="AK167" s="255">
        <f>AJ167/$AJ$169</f>
        <v>7.4664990732653022E-2</v>
      </c>
    </row>
    <row r="168" spans="34:37">
      <c r="AH168" s="13"/>
      <c r="AK168" s="241"/>
    </row>
    <row r="169" spans="34:37" ht="15">
      <c r="AH169" s="242"/>
      <c r="AI169" s="240"/>
      <c r="AJ169" s="237">
        <f>SUM(AJ166:AJ168)</f>
        <v>469390</v>
      </c>
      <c r="AK169" s="252">
        <f>SUM(AK166:AK168)</f>
        <v>1</v>
      </c>
    </row>
    <row r="171" spans="34:37" ht="15">
      <c r="AI171" s="239" t="s">
        <v>465</v>
      </c>
      <c r="AJ171" s="129">
        <v>2347</v>
      </c>
    </row>
    <row r="174" spans="34:37">
      <c r="AI174" s="7" t="s">
        <v>443</v>
      </c>
    </row>
    <row r="175" spans="34:37" ht="15">
      <c r="AI175" s="250" t="s">
        <v>451</v>
      </c>
      <c r="AJ175" s="472" t="s">
        <v>20</v>
      </c>
    </row>
    <row r="176" spans="34:37" ht="15">
      <c r="AI176" s="7" t="s">
        <v>338</v>
      </c>
      <c r="AJ176" s="245">
        <v>708.78</v>
      </c>
    </row>
    <row r="177" spans="35:36" ht="15">
      <c r="AI177" s="7" t="s">
        <v>339</v>
      </c>
      <c r="AJ177" s="245">
        <v>1653.82</v>
      </c>
    </row>
    <row r="178" spans="35:36" ht="15">
      <c r="AI178"/>
      <c r="AJ178" s="248">
        <f>SUM(AJ176:AJ177)</f>
        <v>2362.6</v>
      </c>
    </row>
    <row r="180" spans="35:36">
      <c r="AI180" s="250" t="s">
        <v>342</v>
      </c>
    </row>
    <row r="181" spans="35:36" ht="15">
      <c r="AI181" s="7" t="str">
        <f>AI166</f>
        <v>LV - Single Phase</v>
      </c>
      <c r="AJ181" s="246">
        <f>$AJ$178*AK166</f>
        <v>2186.1964928950338</v>
      </c>
    </row>
    <row r="182" spans="35:36" ht="15">
      <c r="AI182" s="7" t="str">
        <f>AI167</f>
        <v>LV - Multi Phase</v>
      </c>
      <c r="AJ182" s="246">
        <f>$AJ$178*AK167</f>
        <v>176.40350710496602</v>
      </c>
    </row>
    <row r="183" spans="35:36" ht="15">
      <c r="AJ183" s="248">
        <f>SUM(AJ181:AJ182)</f>
        <v>2362.6</v>
      </c>
    </row>
  </sheetData>
  <autoFilter ref="A6:AF126"/>
  <mergeCells count="2">
    <mergeCell ref="O5:Q5"/>
    <mergeCell ref="AH164:AK164"/>
  </mergeCells>
  <conditionalFormatting sqref="S75 S7 E74:F78 K75:L75 G75:I75 O75:Q75 O9:Q19 K7:L7 E7:I7 O7:Q7 K9:L19 E9:I19 S9:S19 S21:S31 E21:I31 K21:L31 O21:Q31 O33:Q38 K33:L38 E33:I38 S33:S38 O40:Q43 K40:L43 E40:I43 S40:S43 O64:Q69 K64:L69 E64:I69 S64:S69 S71:S73 E71:I73 K71:L73 O71:Q73 S45:S50 E45:I50 K45:L50 O45:Q50 S52:S53 S56:S62 E52:I53 E56:I62 K52:L53 K56:L62 O52:Q53 O56:Q62">
    <cfRule type="cellIs" dxfId="13" priority="10" stopIfTrue="1" operator="greaterThan">
      <formula>0</formula>
    </cfRule>
    <cfRule type="cellIs" dxfId="12" priority="11" stopIfTrue="1" operator="equal">
      <formula>0</formula>
    </cfRule>
  </conditionalFormatting>
  <conditionalFormatting sqref="O81:Q81 K81:L81 E81:I81">
    <cfRule type="cellIs" dxfId="11" priority="8" stopIfTrue="1" operator="greaterThan">
      <formula>0</formula>
    </cfRule>
    <cfRule type="cellIs" dxfId="10" priority="9" stopIfTrue="1" operator="equal">
      <formula>0</formula>
    </cfRule>
  </conditionalFormatting>
  <conditionalFormatting sqref="C17:D17">
    <cfRule type="duplicateValues" dxfId="9" priority="7"/>
  </conditionalFormatting>
  <conditionalFormatting sqref="C18:D18">
    <cfRule type="duplicateValues" dxfId="8" priority="6"/>
  </conditionalFormatting>
  <conditionalFormatting sqref="C19:D19">
    <cfRule type="duplicateValues" dxfId="7" priority="5"/>
  </conditionalFormatting>
  <conditionalFormatting sqref="C80">
    <cfRule type="duplicateValues" dxfId="6" priority="4"/>
  </conditionalFormatting>
  <conditionalFormatting sqref="C127">
    <cfRule type="duplicateValues" dxfId="5" priority="1"/>
  </conditionalFormatting>
  <conditionalFormatting sqref="C121 C8:C15 C99 C56:C57 C62:C87 C17:C53 C102:C113">
    <cfRule type="duplicateValues" dxfId="4" priority="459"/>
  </conditionalFormatting>
  <pageMargins left="0.15748031496062992" right="0.15748031496062992" top="0.27559055118110237" bottom="0.23622047244094491" header="0.15748031496062992" footer="0.15748031496062992"/>
  <pageSetup paperSize="9" scale="22" fitToHeight="0"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249977111117893"/>
  </sheetPr>
  <dimension ref="A1:AB231"/>
  <sheetViews>
    <sheetView topLeftCell="A16" workbookViewId="0">
      <selection activeCell="H32" sqref="H32"/>
    </sheetView>
  </sheetViews>
  <sheetFormatPr defaultRowHeight="15"/>
  <cols>
    <col min="1" max="1" width="33.140625" bestFit="1" customWidth="1"/>
    <col min="2" max="2" width="12.85546875" customWidth="1"/>
    <col min="3" max="3" width="17.28515625" customWidth="1"/>
    <col min="4" max="13" width="10.7109375" bestFit="1" customWidth="1"/>
  </cols>
  <sheetData>
    <row r="1" spans="1:8" ht="15.75">
      <c r="A1" s="32" t="s">
        <v>122</v>
      </c>
      <c r="B1" s="33">
        <f>EOMONTH($B$2,-12)</f>
        <v>41820</v>
      </c>
      <c r="D1" s="34" t="str">
        <f>TEXT(B1,"YY")</f>
        <v>14</v>
      </c>
      <c r="E1" s="34" t="str">
        <f>TEXT(B1,"YYy")</f>
        <v>2014</v>
      </c>
      <c r="F1" s="34" t="str">
        <f>TEXT(B1,"mmm")</f>
        <v>Jun</v>
      </c>
      <c r="G1" s="34" t="str">
        <f>TEXT(B1,"mmmm")</f>
        <v>June</v>
      </c>
    </row>
    <row r="2" spans="1:8" ht="15.75">
      <c r="A2" s="32" t="s">
        <v>104</v>
      </c>
      <c r="B2" s="33">
        <f>EOMONTH($B$3,-1)</f>
        <v>42185</v>
      </c>
      <c r="D2" s="34" t="str">
        <f>TEXT(B2,"YY")</f>
        <v>15</v>
      </c>
      <c r="E2" s="34" t="str">
        <f>TEXT(B2,"YYy")</f>
        <v>2015</v>
      </c>
      <c r="F2" s="34" t="str">
        <f>TEXT(B2,"mmm")</f>
        <v>Jun</v>
      </c>
      <c r="G2" s="34" t="str">
        <f>TEXT(B2,"mmmm")</f>
        <v>June</v>
      </c>
      <c r="H2" s="2" t="str">
        <f>E1&amp;"-"&amp;D2</f>
        <v>2014-15</v>
      </c>
    </row>
    <row r="3" spans="1:8" ht="15.75">
      <c r="A3" s="35" t="s">
        <v>105</v>
      </c>
      <c r="B3" s="36">
        <v>42186</v>
      </c>
      <c r="C3" s="37">
        <v>2015</v>
      </c>
      <c r="D3" s="34" t="str">
        <f>TEXT(B3,"YY")</f>
        <v>15</v>
      </c>
      <c r="E3" s="34" t="str">
        <f>TEXT(B3,"YYy")</f>
        <v>2015</v>
      </c>
      <c r="F3" s="34" t="str">
        <f>TEXT(B3,"mmm")</f>
        <v>Jul</v>
      </c>
      <c r="G3" s="34" t="str">
        <f>TEXT(B3,"mmmm")</f>
        <v>July</v>
      </c>
    </row>
    <row r="4" spans="1:8" ht="15.75">
      <c r="A4" s="38" t="s">
        <v>106</v>
      </c>
      <c r="B4" s="39">
        <f>EOMONTH($B$3,11)</f>
        <v>42551</v>
      </c>
      <c r="D4" s="34" t="str">
        <f>TEXT(B4,"YY")</f>
        <v>16</v>
      </c>
      <c r="E4" s="34" t="str">
        <f>TEXT(B4,"YYy")</f>
        <v>2016</v>
      </c>
      <c r="F4" s="34" t="str">
        <f>TEXT(B4,"mmm")</f>
        <v>Jun</v>
      </c>
      <c r="G4" s="34" t="str">
        <f>TEXT(B4,"mmmm")</f>
        <v>June</v>
      </c>
      <c r="H4" s="2" t="str">
        <f>E3&amp;"-"&amp;D4</f>
        <v>2015-16</v>
      </c>
    </row>
    <row r="5" spans="1:8" ht="15.75">
      <c r="A5" s="38" t="s">
        <v>107</v>
      </c>
      <c r="B5" s="39">
        <f>EOMONTH($B$3,23)</f>
        <v>42916</v>
      </c>
      <c r="D5" s="34" t="str">
        <f t="shared" ref="D5:D13" si="0">TEXT(B5,"YY")</f>
        <v>17</v>
      </c>
      <c r="E5" s="34" t="str">
        <f t="shared" ref="E5:E13" si="1">TEXT(B5,"YYy")</f>
        <v>2017</v>
      </c>
      <c r="F5" s="34" t="str">
        <f t="shared" ref="F5:F13" si="2">TEXT(B5,"mmm")</f>
        <v>Jun</v>
      </c>
      <c r="G5" s="34" t="str">
        <f t="shared" ref="G5:G13" si="3">TEXT(B5,"mmmm")</f>
        <v>June</v>
      </c>
      <c r="H5" s="2" t="str">
        <f t="shared" ref="H5:H13" si="4">E4&amp;"-"&amp;D5</f>
        <v>2016-17</v>
      </c>
    </row>
    <row r="6" spans="1:8" ht="15.75">
      <c r="A6" s="38" t="s">
        <v>108</v>
      </c>
      <c r="B6" s="39">
        <f>EOMONTH($B$3,35)</f>
        <v>43281</v>
      </c>
      <c r="D6" s="34" t="str">
        <f t="shared" si="0"/>
        <v>18</v>
      </c>
      <c r="E6" s="34" t="str">
        <f t="shared" si="1"/>
        <v>2018</v>
      </c>
      <c r="F6" s="34" t="str">
        <f t="shared" si="2"/>
        <v>Jun</v>
      </c>
      <c r="G6" s="34" t="str">
        <f t="shared" si="3"/>
        <v>June</v>
      </c>
      <c r="H6" s="2" t="str">
        <f t="shared" si="4"/>
        <v>2017-18</v>
      </c>
    </row>
    <row r="7" spans="1:8" ht="15.75">
      <c r="A7" s="38" t="s">
        <v>109</v>
      </c>
      <c r="B7" s="39">
        <f>EOMONTH($B$3,47)</f>
        <v>43646</v>
      </c>
      <c r="D7" s="34" t="str">
        <f t="shared" si="0"/>
        <v>19</v>
      </c>
      <c r="E7" s="34" t="str">
        <f t="shared" si="1"/>
        <v>2019</v>
      </c>
      <c r="F7" s="34" t="str">
        <f t="shared" si="2"/>
        <v>Jun</v>
      </c>
      <c r="G7" s="34" t="str">
        <f t="shared" si="3"/>
        <v>June</v>
      </c>
      <c r="H7" s="2" t="str">
        <f t="shared" si="4"/>
        <v>2018-19</v>
      </c>
    </row>
    <row r="8" spans="1:8" ht="15.75">
      <c r="A8" s="38" t="s">
        <v>110</v>
      </c>
      <c r="B8" s="39">
        <f>EOMONTH($B$3,59)</f>
        <v>44012</v>
      </c>
      <c r="D8" s="34" t="str">
        <f t="shared" si="0"/>
        <v>20</v>
      </c>
      <c r="E8" s="34" t="str">
        <f t="shared" si="1"/>
        <v>2020</v>
      </c>
      <c r="F8" s="34" t="str">
        <f t="shared" si="2"/>
        <v>Jun</v>
      </c>
      <c r="G8" s="34" t="str">
        <f t="shared" si="3"/>
        <v>June</v>
      </c>
      <c r="H8" s="2" t="str">
        <f t="shared" si="4"/>
        <v>2019-20</v>
      </c>
    </row>
    <row r="9" spans="1:8" ht="15.75">
      <c r="A9" s="38" t="s">
        <v>111</v>
      </c>
      <c r="B9" s="39">
        <f>EOMONTH($B$3,71)</f>
        <v>44377</v>
      </c>
      <c r="D9" s="34" t="str">
        <f t="shared" si="0"/>
        <v>21</v>
      </c>
      <c r="E9" s="34" t="str">
        <f t="shared" si="1"/>
        <v>2021</v>
      </c>
      <c r="F9" s="34" t="str">
        <f t="shared" si="2"/>
        <v>Jun</v>
      </c>
      <c r="G9" s="34" t="str">
        <f t="shared" si="3"/>
        <v>June</v>
      </c>
      <c r="H9" s="2" t="str">
        <f t="shared" si="4"/>
        <v>2020-21</v>
      </c>
    </row>
    <row r="10" spans="1:8" ht="15.75">
      <c r="A10" s="38" t="s">
        <v>112</v>
      </c>
      <c r="B10" s="39">
        <f>EOMONTH($B$3,83)</f>
        <v>44742</v>
      </c>
      <c r="D10" s="34" t="str">
        <f t="shared" si="0"/>
        <v>22</v>
      </c>
      <c r="E10" s="34" t="str">
        <f t="shared" si="1"/>
        <v>2022</v>
      </c>
      <c r="F10" s="34" t="str">
        <f t="shared" si="2"/>
        <v>Jun</v>
      </c>
      <c r="G10" s="34" t="str">
        <f t="shared" si="3"/>
        <v>June</v>
      </c>
      <c r="H10" s="2" t="str">
        <f t="shared" si="4"/>
        <v>2021-22</v>
      </c>
    </row>
    <row r="11" spans="1:8" ht="15.75">
      <c r="A11" s="38" t="s">
        <v>113</v>
      </c>
      <c r="B11" s="39">
        <f>EOMONTH($B$3,95)</f>
        <v>45107</v>
      </c>
      <c r="D11" s="34" t="str">
        <f t="shared" si="0"/>
        <v>23</v>
      </c>
      <c r="E11" s="34" t="str">
        <f t="shared" si="1"/>
        <v>2023</v>
      </c>
      <c r="F11" s="34" t="str">
        <f t="shared" si="2"/>
        <v>Jun</v>
      </c>
      <c r="G11" s="34" t="str">
        <f t="shared" si="3"/>
        <v>June</v>
      </c>
      <c r="H11" s="2" t="str">
        <f t="shared" si="4"/>
        <v>2022-23</v>
      </c>
    </row>
    <row r="12" spans="1:8" ht="15.75">
      <c r="A12" s="38" t="s">
        <v>114</v>
      </c>
      <c r="B12" s="39">
        <f>EOMONTH($B$3,107)</f>
        <v>45473</v>
      </c>
      <c r="D12" s="34" t="str">
        <f t="shared" si="0"/>
        <v>24</v>
      </c>
      <c r="E12" s="34" t="str">
        <f t="shared" si="1"/>
        <v>2024</v>
      </c>
      <c r="F12" s="34" t="str">
        <f t="shared" si="2"/>
        <v>Jun</v>
      </c>
      <c r="G12" s="34" t="str">
        <f t="shared" si="3"/>
        <v>June</v>
      </c>
      <c r="H12" s="2" t="str">
        <f t="shared" si="4"/>
        <v>2023-24</v>
      </c>
    </row>
    <row r="13" spans="1:8" ht="15.75">
      <c r="A13" s="40" t="s">
        <v>115</v>
      </c>
      <c r="B13" s="41">
        <f>EOMONTH($B$3,119)</f>
        <v>45838</v>
      </c>
      <c r="D13" s="34" t="str">
        <f t="shared" si="0"/>
        <v>25</v>
      </c>
      <c r="E13" s="34" t="str">
        <f t="shared" si="1"/>
        <v>2025</v>
      </c>
      <c r="F13" s="34" t="str">
        <f t="shared" si="2"/>
        <v>Jun</v>
      </c>
      <c r="G13" s="34" t="str">
        <f t="shared" si="3"/>
        <v>June</v>
      </c>
      <c r="H13" s="2" t="str">
        <f t="shared" si="4"/>
        <v>2024-25</v>
      </c>
    </row>
    <row r="17" spans="1:26">
      <c r="C17" s="42"/>
      <c r="D17" s="42"/>
      <c r="E17" s="42"/>
      <c r="F17" s="42"/>
      <c r="G17" s="42"/>
      <c r="H17" s="42"/>
      <c r="I17" s="42"/>
      <c r="J17" s="42"/>
      <c r="K17" s="42"/>
      <c r="L17" s="42"/>
      <c r="M17" s="42"/>
    </row>
    <row r="18" spans="1:26">
      <c r="A18" s="1" t="s">
        <v>116</v>
      </c>
      <c r="C18" s="43" t="s">
        <v>117</v>
      </c>
      <c r="D18" s="43" t="str">
        <f>A4</f>
        <v>Year 1</v>
      </c>
      <c r="E18" s="43" t="str">
        <f>A5</f>
        <v>Year 2</v>
      </c>
      <c r="F18" s="43" t="str">
        <f>A6</f>
        <v>Year 3</v>
      </c>
      <c r="G18" s="43" t="str">
        <f>A7</f>
        <v>Year 4</v>
      </c>
      <c r="H18" s="43" t="str">
        <f>A8</f>
        <v>Year 5</v>
      </c>
      <c r="I18" s="43" t="str">
        <f>A9</f>
        <v>Year 6</v>
      </c>
      <c r="J18" s="43" t="str">
        <f>A10</f>
        <v>Year 7</v>
      </c>
      <c r="K18" s="43" t="str">
        <f>A11</f>
        <v>Year 8</v>
      </c>
      <c r="L18" s="43" t="str">
        <f>A12</f>
        <v>Year 9</v>
      </c>
      <c r="M18" s="43" t="str">
        <f>A13</f>
        <v>Year 10</v>
      </c>
      <c r="N18" s="44"/>
      <c r="Z18" s="44"/>
    </row>
    <row r="19" spans="1:26">
      <c r="B19" s="30"/>
      <c r="C19" s="45">
        <f>C3</f>
        <v>2015</v>
      </c>
      <c r="D19" s="45">
        <f>C19+1</f>
        <v>2016</v>
      </c>
      <c r="E19" s="45">
        <f t="shared" ref="E19:M19" si="5">D19+1</f>
        <v>2017</v>
      </c>
      <c r="F19" s="45">
        <f t="shared" si="5"/>
        <v>2018</v>
      </c>
      <c r="G19" s="45">
        <f t="shared" si="5"/>
        <v>2019</v>
      </c>
      <c r="H19" s="45">
        <f t="shared" si="5"/>
        <v>2020</v>
      </c>
      <c r="I19" s="45">
        <f t="shared" si="5"/>
        <v>2021</v>
      </c>
      <c r="J19" s="45">
        <f t="shared" si="5"/>
        <v>2022</v>
      </c>
      <c r="K19" s="45">
        <f t="shared" si="5"/>
        <v>2023</v>
      </c>
      <c r="L19" s="45">
        <f t="shared" si="5"/>
        <v>2024</v>
      </c>
      <c r="M19" s="45">
        <f t="shared" si="5"/>
        <v>2025</v>
      </c>
      <c r="N19" s="44"/>
      <c r="Z19" s="44"/>
    </row>
    <row r="20" spans="1:26">
      <c r="C20" s="45" t="str">
        <f>H2</f>
        <v>2014-15</v>
      </c>
      <c r="D20" s="43" t="str">
        <f>H4</f>
        <v>2015-16</v>
      </c>
      <c r="E20" s="43" t="str">
        <f>H5</f>
        <v>2016-17</v>
      </c>
      <c r="F20" s="43" t="str">
        <f>H6</f>
        <v>2017-18</v>
      </c>
      <c r="G20" s="43" t="str">
        <f>H7</f>
        <v>2018-19</v>
      </c>
      <c r="H20" s="43" t="str">
        <f>H8</f>
        <v>2019-20</v>
      </c>
      <c r="I20" s="43" t="str">
        <f>H9</f>
        <v>2020-21</v>
      </c>
      <c r="J20" s="43" t="str">
        <f>H10</f>
        <v>2021-22</v>
      </c>
      <c r="K20" s="43" t="str">
        <f>H11</f>
        <v>2022-23</v>
      </c>
      <c r="L20" s="43" t="str">
        <f>H12</f>
        <v>2023-24</v>
      </c>
      <c r="M20" s="43" t="str">
        <f>H13</f>
        <v>2024-25</v>
      </c>
    </row>
    <row r="21" spans="1:26" ht="5.25" customHeight="1">
      <c r="C21" s="45"/>
      <c r="D21" s="43"/>
      <c r="E21" s="43"/>
      <c r="F21" s="43"/>
      <c r="G21" s="43"/>
      <c r="H21" s="43"/>
      <c r="I21" s="43"/>
      <c r="J21" s="43"/>
      <c r="K21" s="43"/>
      <c r="L21" s="43"/>
      <c r="M21" s="43"/>
    </row>
    <row r="22" spans="1:26">
      <c r="C22" s="46">
        <f>B2</f>
        <v>42185</v>
      </c>
      <c r="D22" s="46">
        <f>B4</f>
        <v>42551</v>
      </c>
      <c r="E22" s="46">
        <f>B5</f>
        <v>42916</v>
      </c>
      <c r="F22" s="46">
        <f>B6</f>
        <v>43281</v>
      </c>
      <c r="G22" s="46">
        <f>B7</f>
        <v>43646</v>
      </c>
      <c r="H22" s="46">
        <f>B8</f>
        <v>44012</v>
      </c>
      <c r="I22" s="46">
        <f>B9</f>
        <v>44377</v>
      </c>
      <c r="J22" s="46">
        <f>B10</f>
        <v>44742</v>
      </c>
      <c r="K22" s="46">
        <f>B11</f>
        <v>45107</v>
      </c>
      <c r="L22" s="46">
        <f>B12</f>
        <v>45473</v>
      </c>
      <c r="M22" s="46">
        <f>B13</f>
        <v>45838</v>
      </c>
    </row>
    <row r="23" spans="1:26">
      <c r="A23" s="1" t="s">
        <v>14</v>
      </c>
      <c r="D23">
        <f>D22-C22</f>
        <v>366</v>
      </c>
      <c r="E23">
        <f t="shared" ref="E23:M23" si="6">E22-D22</f>
        <v>365</v>
      </c>
      <c r="F23">
        <f t="shared" si="6"/>
        <v>365</v>
      </c>
      <c r="G23">
        <f t="shared" si="6"/>
        <v>365</v>
      </c>
      <c r="H23">
        <f t="shared" si="6"/>
        <v>366</v>
      </c>
      <c r="I23">
        <f t="shared" si="6"/>
        <v>365</v>
      </c>
      <c r="J23">
        <f t="shared" si="6"/>
        <v>365</v>
      </c>
      <c r="K23">
        <f t="shared" si="6"/>
        <v>365</v>
      </c>
      <c r="L23">
        <f t="shared" si="6"/>
        <v>366</v>
      </c>
      <c r="M23">
        <f t="shared" si="6"/>
        <v>365</v>
      </c>
    </row>
    <row r="24" spans="1:26">
      <c r="A24" s="47" t="s">
        <v>118</v>
      </c>
      <c r="C24" s="48">
        <f>$C$36</f>
        <v>2.5000000000000001E-2</v>
      </c>
      <c r="D24" s="48">
        <f t="shared" ref="D24:M24" si="7">$C$36</f>
        <v>2.5000000000000001E-2</v>
      </c>
      <c r="E24" s="48">
        <f t="shared" si="7"/>
        <v>2.5000000000000001E-2</v>
      </c>
      <c r="F24" s="48">
        <f t="shared" si="7"/>
        <v>2.5000000000000001E-2</v>
      </c>
      <c r="G24" s="48">
        <f t="shared" si="7"/>
        <v>2.5000000000000001E-2</v>
      </c>
      <c r="H24" s="48">
        <f t="shared" si="7"/>
        <v>2.5000000000000001E-2</v>
      </c>
      <c r="I24" s="48">
        <f t="shared" si="7"/>
        <v>2.5000000000000001E-2</v>
      </c>
      <c r="J24" s="48">
        <f t="shared" si="7"/>
        <v>2.5000000000000001E-2</v>
      </c>
      <c r="K24" s="48">
        <f t="shared" si="7"/>
        <v>2.5000000000000001E-2</v>
      </c>
      <c r="L24" s="48">
        <f t="shared" si="7"/>
        <v>2.5000000000000001E-2</v>
      </c>
      <c r="M24" s="48">
        <f t="shared" si="7"/>
        <v>2.5000000000000001E-2</v>
      </c>
      <c r="P24" s="48"/>
      <c r="Q24" s="48"/>
    </row>
    <row r="25" spans="1:26">
      <c r="A25" s="47" t="s">
        <v>119</v>
      </c>
      <c r="D25" s="48">
        <f>D24+1%</f>
        <v>3.5000000000000003E-2</v>
      </c>
      <c r="E25" s="48">
        <f t="shared" ref="E25:M25" si="8">E24+1%</f>
        <v>3.5000000000000003E-2</v>
      </c>
      <c r="F25" s="48">
        <f t="shared" si="8"/>
        <v>3.5000000000000003E-2</v>
      </c>
      <c r="G25" s="48">
        <f t="shared" si="8"/>
        <v>3.5000000000000003E-2</v>
      </c>
      <c r="H25" s="48">
        <f t="shared" si="8"/>
        <v>3.5000000000000003E-2</v>
      </c>
      <c r="I25" s="48">
        <f t="shared" si="8"/>
        <v>3.5000000000000003E-2</v>
      </c>
      <c r="J25" s="48">
        <f t="shared" si="8"/>
        <v>3.5000000000000003E-2</v>
      </c>
      <c r="K25" s="48">
        <f t="shared" si="8"/>
        <v>3.5000000000000003E-2</v>
      </c>
      <c r="L25" s="48">
        <f t="shared" si="8"/>
        <v>3.5000000000000003E-2</v>
      </c>
      <c r="M25" s="48">
        <f t="shared" si="8"/>
        <v>3.5000000000000003E-2</v>
      </c>
      <c r="P25" s="48"/>
      <c r="Q25" s="48"/>
      <c r="R25" s="48"/>
      <c r="S25" s="48"/>
      <c r="T25" s="48"/>
      <c r="U25" s="48"/>
      <c r="V25" s="48"/>
      <c r="W25" s="48"/>
      <c r="X25" s="48"/>
      <c r="Y25" s="48"/>
    </row>
    <row r="26" spans="1:26">
      <c r="A26" s="1"/>
    </row>
    <row r="27" spans="1:26" ht="15" customHeight="1">
      <c r="A27" s="4"/>
      <c r="B27" s="4"/>
      <c r="C27" s="4"/>
      <c r="E27" s="4"/>
      <c r="F27" s="158" t="s">
        <v>18</v>
      </c>
      <c r="G27" s="4"/>
      <c r="H27" s="4"/>
      <c r="I27" s="4"/>
      <c r="J27" s="4"/>
      <c r="K27" s="4"/>
      <c r="L27" s="4"/>
    </row>
    <row r="28" spans="1:26" ht="18.75">
      <c r="A28" s="159"/>
      <c r="B28" s="160"/>
      <c r="C28" s="161"/>
      <c r="D28" s="161"/>
      <c r="E28" s="160"/>
      <c r="F28" s="162" t="str">
        <f>'Master Data'!C18</f>
        <v>Current</v>
      </c>
      <c r="G28" s="163" t="str">
        <f>'Master Data'!D18</f>
        <v>Year 1</v>
      </c>
      <c r="H28" s="164" t="str">
        <f>'Master Data'!E18</f>
        <v>Year 2</v>
      </c>
      <c r="I28" s="163" t="str">
        <f>'Master Data'!F18</f>
        <v>Year 3</v>
      </c>
      <c r="J28" s="164" t="str">
        <f>'Master Data'!G18</f>
        <v>Year 4</v>
      </c>
      <c r="K28" s="162" t="str">
        <f>'Master Data'!H18</f>
        <v>Year 5</v>
      </c>
      <c r="L28" s="162" t="str">
        <f>'Master Data'!I18</f>
        <v>Year 6</v>
      </c>
      <c r="M28" s="162" t="str">
        <f>'Master Data'!J18</f>
        <v>Year 7</v>
      </c>
      <c r="N28" s="162" t="str">
        <f>'Master Data'!K18</f>
        <v>Year 8</v>
      </c>
      <c r="O28" s="164" t="str">
        <f>'Master Data'!L18</f>
        <v>Year 9</v>
      </c>
      <c r="P28" s="162" t="str">
        <f>'Master Data'!M18</f>
        <v>Year 10</v>
      </c>
    </row>
    <row r="29" spans="1:26">
      <c r="A29" s="165"/>
      <c r="B29" s="162" t="s">
        <v>16</v>
      </c>
      <c r="C29" s="162" t="s">
        <v>17</v>
      </c>
      <c r="D29" s="162" t="s">
        <v>18</v>
      </c>
      <c r="E29" s="162" t="s">
        <v>19</v>
      </c>
      <c r="F29" s="171" t="str">
        <f>'Master Data'!C20</f>
        <v>2014-15</v>
      </c>
      <c r="G29" s="163" t="str">
        <f>'Master Data'!D20</f>
        <v>2015-16</v>
      </c>
      <c r="H29" s="164" t="str">
        <f>'Master Data'!E20</f>
        <v>2016-17</v>
      </c>
      <c r="I29" s="163" t="str">
        <f>'Master Data'!F20</f>
        <v>2017-18</v>
      </c>
      <c r="J29" s="164" t="str">
        <f>'Master Data'!G20</f>
        <v>2018-19</v>
      </c>
      <c r="K29" s="162" t="str">
        <f>'Master Data'!H20</f>
        <v>2019-20</v>
      </c>
      <c r="L29" s="162" t="str">
        <f>'Master Data'!I20</f>
        <v>2020-21</v>
      </c>
      <c r="M29" s="162" t="str">
        <f>'Master Data'!J20</f>
        <v>2021-22</v>
      </c>
      <c r="N29" s="162" t="str">
        <f>'Master Data'!K20</f>
        <v>2022-23</v>
      </c>
      <c r="O29" s="164" t="str">
        <f>'Master Data'!L20</f>
        <v>2023-24</v>
      </c>
      <c r="P29" s="162" t="str">
        <f>'Master Data'!M20</f>
        <v>2024-25</v>
      </c>
    </row>
    <row r="30" spans="1:26">
      <c r="A30" s="166" t="s">
        <v>211</v>
      </c>
      <c r="B30" s="167">
        <v>2.6548672566371723E-2</v>
      </c>
      <c r="C30" s="167">
        <v>3.1034482758620641E-2</v>
      </c>
      <c r="D30" s="168">
        <v>2.5999999999999999E-2</v>
      </c>
      <c r="E30" s="168">
        <v>2.5999999999999999E-2</v>
      </c>
      <c r="F30" s="169">
        <f>'Master Data'!$C$36</f>
        <v>2.5000000000000001E-2</v>
      </c>
      <c r="G30" s="169">
        <f>'Master Data'!$C$36</f>
        <v>2.5000000000000001E-2</v>
      </c>
      <c r="H30" s="169">
        <f>'Master Data'!$C$36</f>
        <v>2.5000000000000001E-2</v>
      </c>
      <c r="I30" s="169">
        <f>'Master Data'!$C$36</f>
        <v>2.5000000000000001E-2</v>
      </c>
      <c r="J30" s="169">
        <f>'Master Data'!$C$36</f>
        <v>2.5000000000000001E-2</v>
      </c>
      <c r="K30" s="169">
        <f>'Master Data'!$C$36</f>
        <v>2.5000000000000001E-2</v>
      </c>
      <c r="L30" s="169">
        <f>'Master Data'!$C$36</f>
        <v>2.5000000000000001E-2</v>
      </c>
      <c r="M30" s="169">
        <f>'Master Data'!$C$36</f>
        <v>2.5000000000000001E-2</v>
      </c>
      <c r="N30" s="169">
        <f>'Master Data'!$C$36</f>
        <v>2.5000000000000001E-2</v>
      </c>
      <c r="O30" s="169">
        <f>'Master Data'!$C$36</f>
        <v>2.5000000000000001E-2</v>
      </c>
      <c r="P30" s="169">
        <f>'Master Data'!$C$36</f>
        <v>2.5000000000000001E-2</v>
      </c>
    </row>
    <row r="31" spans="1:26">
      <c r="A31" s="165" t="s">
        <v>212</v>
      </c>
      <c r="B31" s="170">
        <f>C31-(C31*B30)</f>
        <v>0.89482987976808059</v>
      </c>
      <c r="C31" s="170">
        <f>D31-(D31*C30)</f>
        <v>0.91923433103448282</v>
      </c>
      <c r="D31" s="170">
        <f>E31-(E31*D30)</f>
        <v>0.94867599999999996</v>
      </c>
      <c r="E31" s="170">
        <f>F31-(F31*E30)</f>
        <v>0.97399999999999998</v>
      </c>
      <c r="F31" s="170">
        <v>1</v>
      </c>
      <c r="G31" s="170">
        <f t="shared" ref="G31:P32" si="9">F31*(1+G$30)</f>
        <v>1.0249999999999999</v>
      </c>
      <c r="H31" s="170">
        <f t="shared" si="9"/>
        <v>1.0506249999999999</v>
      </c>
      <c r="I31" s="170">
        <f t="shared" si="9"/>
        <v>1.0768906249999999</v>
      </c>
      <c r="J31" s="170">
        <f t="shared" si="9"/>
        <v>1.1038128906249998</v>
      </c>
      <c r="K31" s="170">
        <f t="shared" si="9"/>
        <v>1.1314082128906247</v>
      </c>
      <c r="L31" s="170">
        <f t="shared" si="9"/>
        <v>1.1596934182128902</v>
      </c>
      <c r="M31" s="170">
        <f t="shared" si="9"/>
        <v>1.1886857536682123</v>
      </c>
      <c r="N31" s="170">
        <f t="shared" si="9"/>
        <v>1.2184028975099175</v>
      </c>
      <c r="O31" s="170">
        <f t="shared" si="9"/>
        <v>1.2488629699476652</v>
      </c>
      <c r="P31" s="170">
        <f t="shared" si="9"/>
        <v>1.2800845441963566</v>
      </c>
    </row>
    <row r="32" spans="1:26">
      <c r="A32" s="165" t="s">
        <v>212</v>
      </c>
      <c r="G32" s="170">
        <v>1</v>
      </c>
      <c r="H32" s="170">
        <f>G32*(1+H$30)</f>
        <v>1.0249999999999999</v>
      </c>
      <c r="I32" s="170">
        <f>H32*(1+I$30)</f>
        <v>1.0506249999999999</v>
      </c>
      <c r="J32" s="170">
        <f t="shared" si="9"/>
        <v>1.0768906249999999</v>
      </c>
      <c r="K32" s="170">
        <f t="shared" si="9"/>
        <v>1.1038128906249998</v>
      </c>
      <c r="L32" s="170">
        <f t="shared" si="9"/>
        <v>1.1314082128906247</v>
      </c>
      <c r="M32" s="170">
        <f t="shared" si="9"/>
        <v>1.1596934182128902</v>
      </c>
      <c r="N32" s="170">
        <f t="shared" si="9"/>
        <v>1.1886857536682123</v>
      </c>
      <c r="O32" s="170">
        <f t="shared" si="9"/>
        <v>1.2184028975099175</v>
      </c>
      <c r="P32" s="170">
        <f t="shared" si="9"/>
        <v>1.2488629699476652</v>
      </c>
    </row>
    <row r="33" spans="1:27">
      <c r="A33" s="1"/>
      <c r="G33" s="170">
        <f>H33*(1-G$30)</f>
        <v>0.95062499999999994</v>
      </c>
      <c r="H33" s="170">
        <f>I33*(1-H$30)</f>
        <v>0.97499999999999998</v>
      </c>
      <c r="I33" s="170">
        <v>1</v>
      </c>
    </row>
    <row r="34" spans="1:27">
      <c r="A34" s="1"/>
      <c r="H34" s="48"/>
    </row>
    <row r="35" spans="1:27">
      <c r="A35" s="1" t="s">
        <v>120</v>
      </c>
    </row>
    <row r="36" spans="1:27">
      <c r="A36" s="157" t="s">
        <v>213</v>
      </c>
      <c r="B36" s="157"/>
      <c r="C36" s="172">
        <v>2.5000000000000001E-2</v>
      </c>
    </row>
    <row r="37" spans="1:27">
      <c r="A37" s="1" t="s">
        <v>121</v>
      </c>
      <c r="C37" s="50">
        <v>0.3</v>
      </c>
      <c r="O37" s="49"/>
    </row>
    <row r="38" spans="1:27">
      <c r="A38" s="1" t="s">
        <v>305</v>
      </c>
      <c r="C38" s="50">
        <v>6.0400000000000002E-2</v>
      </c>
      <c r="G38" s="476"/>
    </row>
    <row r="43" spans="1:27">
      <c r="A43" s="387"/>
      <c r="B43" s="386"/>
      <c r="C43" s="388"/>
      <c r="D43" s="389"/>
      <c r="E43" s="4"/>
      <c r="F43" s="4"/>
      <c r="G43" s="4"/>
      <c r="H43" s="4"/>
      <c r="I43" s="4"/>
      <c r="J43" s="4"/>
      <c r="K43" s="4"/>
      <c r="L43" s="4"/>
    </row>
    <row r="44" spans="1:27" ht="15" customHeight="1">
      <c r="A44" s="387"/>
      <c r="B44" s="390"/>
      <c r="C44" s="391"/>
      <c r="D44" s="392"/>
      <c r="E44" s="4"/>
      <c r="F44" s="4"/>
      <c r="G44" s="4"/>
      <c r="H44" s="4"/>
      <c r="I44" s="4"/>
      <c r="J44" s="4"/>
      <c r="K44" s="4"/>
      <c r="L44" s="4"/>
      <c r="P44" s="51"/>
      <c r="Q44" s="51"/>
      <c r="R44" s="51"/>
      <c r="S44" s="51"/>
      <c r="T44" s="51"/>
      <c r="U44" s="51"/>
      <c r="V44" s="51"/>
      <c r="W44" s="51"/>
      <c r="X44" s="51"/>
      <c r="Y44" s="51"/>
      <c r="Z44" s="51"/>
      <c r="AA44" s="51"/>
    </row>
    <row r="45" spans="1:27" ht="15" customHeight="1">
      <c r="A45" s="387"/>
      <c r="B45" s="386"/>
      <c r="C45" s="391"/>
      <c r="D45" s="392"/>
      <c r="E45" s="4"/>
      <c r="F45" s="4"/>
      <c r="G45" s="4"/>
      <c r="H45" s="4"/>
      <c r="I45" s="4"/>
      <c r="J45" s="4"/>
      <c r="K45" s="4"/>
      <c r="L45" s="4"/>
    </row>
    <row r="46" spans="1:27">
      <c r="A46" s="387"/>
      <c r="B46" s="387"/>
      <c r="C46" s="393"/>
      <c r="D46" s="394"/>
      <c r="E46" s="4"/>
      <c r="F46" s="4"/>
      <c r="G46" s="4"/>
      <c r="H46" s="4"/>
      <c r="I46" s="4"/>
      <c r="J46" s="4"/>
      <c r="K46" s="4"/>
      <c r="L46" s="4"/>
    </row>
    <row r="47" spans="1:27">
      <c r="A47" s="387"/>
      <c r="B47" s="387"/>
      <c r="C47" s="391"/>
      <c r="D47" s="394"/>
      <c r="E47" s="4"/>
      <c r="F47" s="4"/>
      <c r="G47" s="4"/>
      <c r="H47" s="4"/>
      <c r="I47" s="4"/>
      <c r="J47" s="4"/>
      <c r="K47" s="4"/>
      <c r="L47" s="4"/>
    </row>
    <row r="48" spans="1:27" ht="15" customHeight="1">
      <c r="A48" s="387"/>
      <c r="B48" s="386"/>
      <c r="C48" s="391"/>
      <c r="D48" s="394"/>
      <c r="E48" s="4"/>
      <c r="F48" s="4"/>
      <c r="G48" s="4"/>
      <c r="H48" s="4"/>
      <c r="I48" s="4"/>
      <c r="J48" s="4"/>
      <c r="K48" s="4"/>
      <c r="L48" s="4"/>
    </row>
    <row r="49" spans="1:16" ht="15" customHeight="1">
      <c r="A49" s="387"/>
      <c r="B49" s="386"/>
      <c r="C49" s="391"/>
      <c r="D49" s="394"/>
      <c r="E49" s="4"/>
      <c r="F49" s="4"/>
      <c r="G49" s="4"/>
      <c r="H49" s="4"/>
      <c r="I49" s="4"/>
      <c r="J49" s="4"/>
      <c r="K49" s="4"/>
      <c r="L49" s="4"/>
      <c r="P49" s="52"/>
    </row>
    <row r="50" spans="1:16">
      <c r="A50" s="387"/>
      <c r="B50" s="386"/>
      <c r="C50" s="391"/>
      <c r="D50" s="394"/>
      <c r="E50" s="4"/>
      <c r="F50" s="4"/>
      <c r="G50" s="4"/>
      <c r="H50" s="4"/>
      <c r="I50" s="4"/>
      <c r="J50" s="4"/>
      <c r="K50" s="4"/>
      <c r="L50" s="4"/>
    </row>
    <row r="51" spans="1:16">
      <c r="A51" s="387"/>
      <c r="B51" s="386"/>
      <c r="C51" s="391"/>
      <c r="D51" s="394"/>
      <c r="E51" s="4"/>
      <c r="F51" s="4"/>
      <c r="G51" s="4"/>
      <c r="H51" s="4"/>
      <c r="I51" s="4"/>
      <c r="J51" s="4"/>
      <c r="K51" s="4"/>
      <c r="L51" s="4"/>
    </row>
    <row r="52" spans="1:16" ht="15" customHeight="1">
      <c r="A52" s="387"/>
      <c r="B52" s="387"/>
      <c r="C52" s="395"/>
      <c r="D52" s="394"/>
      <c r="E52" s="4"/>
      <c r="F52" s="4"/>
      <c r="G52" s="4"/>
      <c r="H52" s="4"/>
      <c r="I52" s="4"/>
      <c r="J52" s="4"/>
      <c r="K52" s="4"/>
      <c r="L52" s="4"/>
    </row>
    <row r="53" spans="1:16" ht="15" customHeight="1">
      <c r="A53" s="387"/>
      <c r="B53" s="387"/>
      <c r="C53" s="395"/>
      <c r="D53" s="394"/>
      <c r="E53" s="4"/>
      <c r="F53" s="4"/>
      <c r="G53" s="4"/>
      <c r="H53" s="4"/>
      <c r="I53" s="4"/>
      <c r="J53" s="4"/>
      <c r="K53" s="4"/>
      <c r="L53" s="4"/>
    </row>
    <row r="54" spans="1:16" ht="15" customHeight="1">
      <c r="A54" s="4"/>
      <c r="B54" s="4"/>
      <c r="C54" s="4"/>
      <c r="D54" s="4"/>
      <c r="E54" s="4"/>
      <c r="F54" s="4"/>
      <c r="G54" s="4"/>
      <c r="H54" s="4"/>
      <c r="I54" s="4"/>
      <c r="J54" s="4"/>
      <c r="K54" s="4"/>
      <c r="L54" s="4"/>
    </row>
    <row r="55" spans="1:16" ht="15" customHeight="1">
      <c r="A55" s="54"/>
      <c r="B55" s="4"/>
      <c r="C55" s="4"/>
      <c r="D55" s="4"/>
      <c r="E55" s="4"/>
      <c r="F55" s="4"/>
      <c r="G55" s="4"/>
      <c r="H55" s="4"/>
      <c r="I55" s="4"/>
      <c r="J55" s="4"/>
      <c r="K55" s="4"/>
      <c r="L55" s="4"/>
    </row>
    <row r="56" spans="1:16" ht="15" customHeight="1">
      <c r="A56" s="4"/>
      <c r="B56" s="4"/>
      <c r="C56" s="4"/>
      <c r="D56" s="4"/>
      <c r="E56" s="4"/>
      <c r="F56" s="4"/>
      <c r="G56" s="4"/>
      <c r="H56" s="4"/>
      <c r="I56" s="4"/>
      <c r="J56" s="4"/>
      <c r="K56" s="4"/>
      <c r="L56" s="4"/>
    </row>
    <row r="57" spans="1:16" ht="15" customHeight="1">
      <c r="A57" s="4"/>
      <c r="B57" s="4"/>
      <c r="C57" s="4"/>
      <c r="D57" s="4"/>
      <c r="E57" s="4"/>
      <c r="F57" s="4"/>
      <c r="G57" s="4"/>
      <c r="H57" s="4"/>
      <c r="I57" s="4"/>
      <c r="J57" s="4"/>
      <c r="K57" s="4"/>
      <c r="L57" s="4"/>
    </row>
    <row r="58" spans="1:16">
      <c r="A58" s="4"/>
      <c r="B58" s="4"/>
      <c r="C58" s="4"/>
      <c r="D58" s="4"/>
      <c r="E58" s="4"/>
      <c r="F58" s="4"/>
      <c r="G58" s="4"/>
      <c r="H58" s="4"/>
      <c r="I58" s="4"/>
      <c r="J58" s="4"/>
      <c r="K58" s="4"/>
      <c r="L58" s="4"/>
    </row>
    <row r="59" spans="1:16">
      <c r="A59" s="4"/>
      <c r="B59" s="4"/>
      <c r="C59" s="4"/>
      <c r="D59" s="4"/>
      <c r="E59" s="4"/>
      <c r="F59" s="4"/>
      <c r="G59" s="4"/>
      <c r="H59" s="4"/>
      <c r="I59" s="4"/>
      <c r="J59" s="4"/>
      <c r="K59" s="4"/>
      <c r="L59" s="4"/>
    </row>
    <row r="60" spans="1:16">
      <c r="A60" s="4"/>
      <c r="B60" s="4"/>
      <c r="C60" s="4"/>
      <c r="D60" s="4"/>
      <c r="E60" s="4"/>
      <c r="F60" s="4"/>
      <c r="G60" s="4"/>
      <c r="H60" s="4"/>
      <c r="I60" s="4"/>
      <c r="J60" s="4"/>
      <c r="K60" s="4"/>
      <c r="L60" s="4"/>
    </row>
    <row r="61" spans="1:16">
      <c r="A61" s="4"/>
      <c r="B61" s="4"/>
      <c r="C61" s="4"/>
      <c r="D61" s="4"/>
      <c r="E61" s="4"/>
      <c r="F61" s="4"/>
      <c r="G61" s="4"/>
      <c r="H61" s="4"/>
      <c r="I61" s="4"/>
      <c r="J61" s="4"/>
      <c r="K61" s="4"/>
      <c r="L61" s="4"/>
    </row>
    <row r="62" spans="1:16">
      <c r="A62" s="4"/>
      <c r="B62" s="4"/>
      <c r="C62" s="4"/>
      <c r="D62" s="4"/>
      <c r="E62" s="4"/>
      <c r="F62" s="4"/>
      <c r="G62" s="4"/>
      <c r="H62" s="4"/>
      <c r="I62" s="4"/>
      <c r="J62" s="4"/>
      <c r="K62" s="4"/>
      <c r="L62" s="4"/>
    </row>
    <row r="63" spans="1:16">
      <c r="A63" s="4"/>
      <c r="B63" s="4"/>
      <c r="C63" s="4"/>
      <c r="D63" s="4"/>
      <c r="E63" s="4"/>
      <c r="F63" s="4"/>
      <c r="G63" s="4"/>
      <c r="H63" s="4"/>
      <c r="I63" s="4"/>
      <c r="J63" s="4"/>
      <c r="K63" s="4"/>
      <c r="L63" s="4"/>
    </row>
    <row r="66" ht="15" customHeight="1"/>
    <row r="68" ht="15" customHeight="1"/>
    <row r="69" ht="15" customHeight="1"/>
    <row r="70" ht="15" customHeight="1"/>
    <row r="71" ht="15" customHeight="1"/>
    <row r="74" ht="15" customHeight="1"/>
    <row r="75" ht="15" customHeight="1"/>
    <row r="78" ht="15" customHeight="1"/>
    <row r="79" ht="15" customHeight="1"/>
    <row r="80" ht="15" customHeight="1"/>
    <row r="81" spans="28:28" ht="15" customHeight="1"/>
    <row r="82" spans="28:28" ht="15" customHeight="1"/>
    <row r="83" spans="28:28" ht="15" customHeight="1"/>
    <row r="86" spans="28:28" ht="15" customHeight="1"/>
    <row r="87" spans="28:28" ht="15" customHeight="1"/>
    <row r="88" spans="28:28" ht="15" customHeight="1"/>
    <row r="89" spans="28:28" ht="15" customHeight="1"/>
    <row r="90" spans="28:28" ht="15" customHeight="1"/>
    <row r="91" spans="28:28" ht="15" customHeight="1"/>
    <row r="94" spans="28:28">
      <c r="AB94" s="53"/>
    </row>
    <row r="95" spans="28:28">
      <c r="AB95" s="53"/>
    </row>
    <row r="96" spans="28:28">
      <c r="AB96" s="3"/>
    </row>
    <row r="136" spans="1:12">
      <c r="A136" s="3"/>
      <c r="B136" s="3"/>
      <c r="C136" s="3"/>
      <c r="D136" s="3"/>
      <c r="E136" s="3"/>
      <c r="F136" s="3"/>
      <c r="G136" s="3"/>
      <c r="H136" s="3"/>
      <c r="I136" s="3"/>
      <c r="J136" s="3"/>
      <c r="K136" s="3"/>
      <c r="L136" s="3"/>
    </row>
    <row r="231" spans="1:12">
      <c r="A231" s="3"/>
      <c r="B231" s="3"/>
      <c r="C231" s="3"/>
      <c r="D231" s="3"/>
      <c r="E231" s="3"/>
      <c r="F231" s="3"/>
      <c r="G231" s="3"/>
      <c r="H231" s="3"/>
      <c r="I231" s="3"/>
      <c r="J231" s="3"/>
      <c r="K231" s="3"/>
      <c r="L231" s="3"/>
    </row>
  </sheetData>
  <pageMargins left="0.70866141732283472" right="0.70866141732283472" top="0.74803149606299213" bottom="0.74803149606299213" header="0.31496062992125984" footer="0.31496062992125984"/>
  <pageSetup paperSize="9" scale="80" orientation="landscape" r:id="rId1"/>
  <headerFooter>
    <oddHeader>&amp;L&amp;G</oddHeader>
  </headerFooter>
  <colBreaks count="2" manualBreakCount="2">
    <brk id="13" max="1048575" man="1"/>
    <brk id="25"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249977111117893"/>
  </sheetPr>
  <dimension ref="A1:Q72"/>
  <sheetViews>
    <sheetView topLeftCell="A40" zoomScale="85" zoomScaleNormal="85" workbookViewId="0">
      <selection activeCell="C53" sqref="C53"/>
    </sheetView>
  </sheetViews>
  <sheetFormatPr defaultRowHeight="15"/>
  <cols>
    <col min="2" max="2" width="29.28515625" customWidth="1"/>
    <col min="3" max="3" width="27.42578125" customWidth="1"/>
    <col min="4" max="4" width="14.140625" customWidth="1"/>
    <col min="5" max="5" width="10.5703125" customWidth="1"/>
    <col min="6" max="6" width="25" customWidth="1"/>
    <col min="7" max="7" width="14.5703125" customWidth="1"/>
    <col min="8" max="8" width="16" customWidth="1"/>
    <col min="9" max="9" width="18.5703125" bestFit="1" customWidth="1"/>
    <col min="10" max="10" width="13.42578125" bestFit="1" customWidth="1"/>
    <col min="11" max="11" width="25.5703125" bestFit="1" customWidth="1"/>
    <col min="12" max="12" width="16.28515625" bestFit="1" customWidth="1"/>
    <col min="13" max="13" width="15.28515625" bestFit="1" customWidth="1"/>
    <col min="15" max="15" width="25.5703125" bestFit="1" customWidth="1"/>
    <col min="16" max="16" width="26.28515625" bestFit="1" customWidth="1"/>
    <col min="19" max="19" width="11" bestFit="1" customWidth="1"/>
  </cols>
  <sheetData>
    <row r="1" spans="1:17">
      <c r="B1" s="343" t="s">
        <v>429</v>
      </c>
    </row>
    <row r="2" spans="1:17">
      <c r="A2" s="29"/>
      <c r="B2" s="27"/>
      <c r="C2" s="101"/>
    </row>
    <row r="3" spans="1:17">
      <c r="A3" s="507"/>
      <c r="B3" s="508"/>
      <c r="C3" s="509"/>
      <c r="D3" s="510"/>
      <c r="E3" s="59"/>
      <c r="F3" s="59"/>
      <c r="G3" s="59"/>
      <c r="H3" s="59"/>
      <c r="I3" s="59"/>
      <c r="J3" s="59"/>
      <c r="K3" s="59"/>
      <c r="L3" s="511"/>
    </row>
    <row r="4" spans="1:17">
      <c r="A4" s="346"/>
      <c r="B4" s="490"/>
      <c r="C4" s="491"/>
      <c r="D4" s="492"/>
      <c r="E4" s="27"/>
      <c r="F4" s="27"/>
      <c r="G4" s="27"/>
      <c r="H4" s="27"/>
      <c r="I4" s="27"/>
      <c r="J4" s="27"/>
      <c r="K4" s="29"/>
      <c r="L4" s="347"/>
      <c r="M4" s="29"/>
      <c r="N4" s="29"/>
      <c r="O4" s="29"/>
    </row>
    <row r="5" spans="1:17">
      <c r="A5" s="346"/>
      <c r="B5" s="495"/>
      <c r="C5" s="493"/>
      <c r="D5" s="494"/>
      <c r="E5" s="27"/>
      <c r="F5" s="348" t="s">
        <v>160</v>
      </c>
      <c r="G5" s="349" t="s">
        <v>252</v>
      </c>
      <c r="H5" s="27"/>
      <c r="I5" s="27"/>
      <c r="J5" s="27"/>
      <c r="K5" s="290"/>
      <c r="L5" s="350"/>
      <c r="M5" s="29"/>
      <c r="N5" s="29"/>
      <c r="O5" s="29"/>
    </row>
    <row r="6" spans="1:17">
      <c r="A6" s="346"/>
      <c r="B6" s="489"/>
      <c r="C6" s="493"/>
      <c r="D6" s="494"/>
      <c r="E6" s="27"/>
      <c r="F6" s="27"/>
      <c r="G6" s="351" t="s">
        <v>161</v>
      </c>
      <c r="H6" s="351" t="s">
        <v>162</v>
      </c>
      <c r="I6" s="351" t="s">
        <v>163</v>
      </c>
      <c r="J6" s="27"/>
      <c r="K6" s="29"/>
      <c r="L6" s="352"/>
      <c r="M6" s="316"/>
      <c r="N6" s="316"/>
      <c r="O6" s="316"/>
    </row>
    <row r="7" spans="1:17">
      <c r="A7" s="346"/>
      <c r="B7" s="495"/>
      <c r="C7" s="493"/>
      <c r="D7" s="494"/>
      <c r="E7" s="27"/>
      <c r="F7" s="353" t="s">
        <v>450</v>
      </c>
      <c r="G7" s="107">
        <v>19105.863529214654</v>
      </c>
      <c r="H7" s="354">
        <v>4303778.8778759185</v>
      </c>
      <c r="I7" s="312"/>
      <c r="J7" s="27"/>
      <c r="K7" s="29"/>
      <c r="L7" s="355"/>
      <c r="M7" s="313"/>
      <c r="N7" s="29"/>
      <c r="O7" s="310"/>
      <c r="P7" s="57"/>
    </row>
    <row r="8" spans="1:17">
      <c r="A8" s="346"/>
      <c r="B8" s="489"/>
      <c r="C8" s="493"/>
      <c r="D8" s="494"/>
      <c r="E8" s="27"/>
      <c r="F8" s="353" t="s">
        <v>450</v>
      </c>
      <c r="G8" s="108">
        <v>73340.131298965833</v>
      </c>
      <c r="H8" s="354">
        <v>1121178.9567899695</v>
      </c>
      <c r="I8" s="312"/>
      <c r="J8" s="27"/>
      <c r="K8" s="29"/>
      <c r="L8" s="355"/>
      <c r="M8" s="313"/>
      <c r="N8" s="29"/>
      <c r="O8" s="310"/>
      <c r="P8" s="311"/>
      <c r="Q8" s="29"/>
    </row>
    <row r="9" spans="1:17">
      <c r="A9" s="346"/>
      <c r="B9" s="496"/>
      <c r="C9" s="497"/>
      <c r="D9" s="498"/>
      <c r="E9" s="27"/>
      <c r="F9" s="353" t="s">
        <v>196</v>
      </c>
      <c r="G9" s="356">
        <v>8879.7676392377944</v>
      </c>
      <c r="H9" s="354"/>
      <c r="I9" s="27"/>
      <c r="J9" s="27"/>
      <c r="K9" s="29"/>
      <c r="L9" s="355"/>
      <c r="M9" s="29"/>
      <c r="N9" s="29"/>
      <c r="O9" s="312"/>
      <c r="P9" s="313"/>
      <c r="Q9" s="29"/>
    </row>
    <row r="10" spans="1:17">
      <c r="A10" s="346"/>
      <c r="B10" s="357"/>
      <c r="C10" s="357"/>
      <c r="D10" s="358"/>
      <c r="E10" s="27"/>
      <c r="F10" s="359" t="s">
        <v>205</v>
      </c>
      <c r="G10" s="360"/>
      <c r="H10" s="361">
        <f>-$D$55</f>
        <v>-1472071.4308282479</v>
      </c>
      <c r="I10" s="27" t="s">
        <v>254</v>
      </c>
      <c r="J10" s="27"/>
      <c r="K10" s="318"/>
      <c r="L10" s="362"/>
      <c r="M10" s="319"/>
      <c r="N10" s="29"/>
      <c r="O10" s="314"/>
      <c r="P10" s="29"/>
      <c r="Q10" s="29"/>
    </row>
    <row r="11" spans="1:17">
      <c r="A11" s="346"/>
      <c r="B11" s="357"/>
      <c r="C11" s="357"/>
      <c r="D11" s="358"/>
      <c r="E11" s="27"/>
      <c r="F11" s="27"/>
      <c r="G11" s="27"/>
      <c r="H11" s="361"/>
      <c r="I11" s="27"/>
      <c r="J11" s="363"/>
      <c r="K11" s="29"/>
      <c r="L11" s="347"/>
      <c r="M11" s="29"/>
      <c r="N11" s="29"/>
      <c r="O11" s="312"/>
      <c r="P11" s="29"/>
      <c r="Q11" s="29"/>
    </row>
    <row r="12" spans="1:17">
      <c r="A12" s="346"/>
      <c r="B12" s="490"/>
      <c r="C12" s="491"/>
      <c r="D12" s="499"/>
      <c r="E12" s="27"/>
      <c r="F12" s="27"/>
      <c r="G12" s="27"/>
      <c r="H12" s="361"/>
      <c r="I12" s="27"/>
      <c r="J12" s="27"/>
      <c r="K12" s="29"/>
      <c r="L12" s="347"/>
      <c r="M12" s="29"/>
      <c r="N12" s="29"/>
      <c r="O12" s="312"/>
      <c r="P12" s="29"/>
      <c r="Q12" s="29"/>
    </row>
    <row r="13" spans="1:17">
      <c r="A13" s="346"/>
      <c r="B13" s="495"/>
      <c r="C13" s="493"/>
      <c r="D13" s="494"/>
      <c r="E13" s="27"/>
      <c r="F13" s="364" t="s">
        <v>164</v>
      </c>
      <c r="G13" s="102">
        <f>SUM(G7:G12)</f>
        <v>101325.76246741827</v>
      </c>
      <c r="H13" s="102">
        <f>SUM(H7:H12)</f>
        <v>3952886.4038376398</v>
      </c>
      <c r="I13" s="365">
        <f>H13/G13</f>
        <v>39.011662064805158</v>
      </c>
      <c r="J13" s="363" t="s">
        <v>411</v>
      </c>
      <c r="K13" s="29"/>
      <c r="L13" s="366"/>
      <c r="M13" s="320"/>
      <c r="N13" s="312"/>
      <c r="O13" s="312"/>
      <c r="P13" s="29"/>
      <c r="Q13" s="29"/>
    </row>
    <row r="14" spans="1:17">
      <c r="A14" s="346"/>
      <c r="B14" s="495"/>
      <c r="C14" s="493"/>
      <c r="D14" s="494"/>
      <c r="E14" s="27"/>
      <c r="F14" s="27"/>
      <c r="G14" s="367"/>
      <c r="H14" s="367"/>
      <c r="I14" s="27"/>
      <c r="J14" s="27"/>
      <c r="K14" s="29"/>
      <c r="L14" s="347"/>
      <c r="M14" s="29"/>
      <c r="N14" s="29"/>
      <c r="O14" s="312"/>
      <c r="P14" s="29"/>
      <c r="Q14" s="29"/>
    </row>
    <row r="15" spans="1:17">
      <c r="A15" s="346"/>
      <c r="B15" s="489"/>
      <c r="C15" s="493"/>
      <c r="D15" s="494"/>
      <c r="E15" s="27"/>
      <c r="F15" s="27"/>
      <c r="G15" s="27"/>
      <c r="H15" s="27"/>
      <c r="I15" s="363"/>
      <c r="J15" s="27"/>
      <c r="K15" s="29"/>
      <c r="L15" s="347"/>
      <c r="M15" s="29"/>
      <c r="N15" s="29"/>
      <c r="O15" s="29"/>
      <c r="P15" s="29"/>
      <c r="Q15" s="29"/>
    </row>
    <row r="16" spans="1:17">
      <c r="A16" s="346"/>
      <c r="B16" s="496"/>
      <c r="C16" s="497"/>
      <c r="D16" s="498"/>
      <c r="E16" s="27"/>
      <c r="F16" s="348" t="s">
        <v>160</v>
      </c>
      <c r="G16" s="349" t="s">
        <v>197</v>
      </c>
      <c r="H16" s="27"/>
      <c r="I16" s="312"/>
      <c r="J16" s="27"/>
      <c r="K16" s="29"/>
      <c r="L16" s="347"/>
      <c r="M16" s="29"/>
      <c r="N16" s="29"/>
      <c r="O16" s="315"/>
      <c r="P16" s="290"/>
      <c r="Q16" s="29"/>
    </row>
    <row r="17" spans="1:17">
      <c r="A17" s="346"/>
      <c r="B17" s="29"/>
      <c r="C17" s="29"/>
      <c r="D17" s="29"/>
      <c r="E17" s="27"/>
      <c r="F17" s="27" t="s">
        <v>307</v>
      </c>
      <c r="G17" s="368">
        <v>8544820.0779479239</v>
      </c>
      <c r="H17" s="321"/>
      <c r="I17" s="312"/>
      <c r="J17" s="27"/>
      <c r="K17" s="29"/>
      <c r="L17" s="369"/>
      <c r="M17" s="29"/>
      <c r="N17" s="29"/>
      <c r="O17" s="29"/>
      <c r="P17" s="29"/>
      <c r="Q17" s="29"/>
    </row>
    <row r="18" spans="1:17">
      <c r="A18" s="83"/>
      <c r="B18" s="501"/>
      <c r="C18" s="502"/>
      <c r="D18" s="29"/>
      <c r="E18" s="27"/>
      <c r="F18" s="27" t="s">
        <v>308</v>
      </c>
      <c r="G18" s="368">
        <v>1452411.761607487</v>
      </c>
      <c r="H18" s="370"/>
      <c r="I18" s="312"/>
      <c r="J18" s="27"/>
      <c r="K18" s="29"/>
      <c r="L18" s="347"/>
      <c r="M18" s="29"/>
      <c r="N18" s="29"/>
      <c r="O18" s="316"/>
      <c r="P18" s="29"/>
      <c r="Q18" s="29"/>
    </row>
    <row r="19" spans="1:17">
      <c r="A19" s="83"/>
      <c r="B19" s="290"/>
      <c r="C19" s="29"/>
      <c r="D19" s="29"/>
      <c r="E19" s="27"/>
      <c r="F19" s="27"/>
      <c r="G19" s="103">
        <f>SUM(G17:G18)</f>
        <v>9997231.8395554107</v>
      </c>
      <c r="H19" s="321"/>
      <c r="I19" s="27"/>
      <c r="J19" s="27"/>
      <c r="K19" s="29"/>
      <c r="L19" s="369"/>
      <c r="M19" s="29"/>
      <c r="N19" s="29"/>
      <c r="O19" s="317"/>
      <c r="P19" s="29"/>
      <c r="Q19" s="29"/>
    </row>
    <row r="20" spans="1:17">
      <c r="A20" s="83"/>
      <c r="B20" s="503"/>
      <c r="C20" s="504"/>
      <c r="D20" s="384"/>
      <c r="E20" s="27"/>
      <c r="F20" s="27"/>
      <c r="G20" s="371"/>
      <c r="H20" s="321"/>
      <c r="I20" s="27"/>
      <c r="J20" s="27"/>
      <c r="K20" s="29"/>
      <c r="L20" s="347"/>
      <c r="M20" s="29"/>
      <c r="N20" s="29"/>
      <c r="O20" s="315"/>
      <c r="P20" s="290"/>
      <c r="Q20" s="29"/>
    </row>
    <row r="21" spans="1:17">
      <c r="A21" s="83"/>
      <c r="B21" s="500"/>
      <c r="C21" s="505"/>
      <c r="D21" s="317"/>
      <c r="E21" s="27"/>
      <c r="F21" s="27" t="s">
        <v>193</v>
      </c>
      <c r="G21" s="371">
        <v>208881423.93395016</v>
      </c>
      <c r="H21" s="321"/>
      <c r="I21" s="27"/>
      <c r="J21" s="27"/>
      <c r="K21" s="29"/>
      <c r="L21" s="369"/>
      <c r="M21" s="29"/>
      <c r="N21" s="29"/>
      <c r="O21" s="29"/>
      <c r="Q21" s="105"/>
    </row>
    <row r="22" spans="1:17">
      <c r="A22" s="83"/>
      <c r="B22" s="506"/>
      <c r="C22" s="504"/>
      <c r="D22" s="384"/>
      <c r="E22" s="27"/>
      <c r="F22" s="27"/>
      <c r="G22" s="27"/>
      <c r="H22" s="29"/>
      <c r="I22" s="27"/>
      <c r="J22" s="27"/>
      <c r="K22" s="29"/>
      <c r="L22" s="347"/>
      <c r="M22" s="29"/>
      <c r="N22" s="29"/>
      <c r="O22" s="322"/>
      <c r="Q22" s="105"/>
    </row>
    <row r="23" spans="1:17">
      <c r="A23" s="83"/>
      <c r="B23" s="500"/>
      <c r="C23" s="505"/>
      <c r="D23" s="317"/>
      <c r="E23" s="27"/>
      <c r="F23" s="27"/>
      <c r="G23" s="372">
        <f>G19/G21</f>
        <v>4.786079897040825E-2</v>
      </c>
      <c r="H23" s="27" t="s">
        <v>412</v>
      </c>
      <c r="I23" s="27"/>
      <c r="J23" s="27"/>
      <c r="K23" s="29"/>
      <c r="L23" s="373"/>
      <c r="M23" s="29"/>
      <c r="N23" s="29"/>
      <c r="O23" s="29"/>
      <c r="Q23" s="109"/>
    </row>
    <row r="24" spans="1:17">
      <c r="A24" s="83"/>
      <c r="B24" s="29"/>
      <c r="C24" s="504"/>
      <c r="D24" s="29"/>
      <c r="E24" s="27"/>
      <c r="F24" s="27"/>
      <c r="G24" s="27"/>
      <c r="H24" s="27"/>
      <c r="I24" s="27"/>
      <c r="J24" s="27"/>
      <c r="K24" s="29"/>
      <c r="L24" s="347"/>
      <c r="M24" s="29"/>
      <c r="N24" s="29"/>
      <c r="O24" s="29"/>
      <c r="Q24" s="73"/>
    </row>
    <row r="25" spans="1:17">
      <c r="A25" s="83"/>
      <c r="B25" s="29"/>
      <c r="C25" s="504"/>
      <c r="D25" s="29"/>
      <c r="E25" s="27"/>
      <c r="F25" s="27"/>
      <c r="G25" s="27"/>
      <c r="H25" s="27"/>
      <c r="I25" s="27"/>
      <c r="J25" s="27"/>
      <c r="K25" s="29"/>
      <c r="L25" s="347"/>
      <c r="M25" s="29"/>
      <c r="N25" s="29"/>
      <c r="O25" s="29"/>
      <c r="Q25" s="105"/>
    </row>
    <row r="26" spans="1:17">
      <c r="A26" s="83"/>
      <c r="B26" s="290"/>
      <c r="C26" s="29"/>
      <c r="D26" s="29"/>
      <c r="E26" s="27"/>
      <c r="F26" s="27"/>
      <c r="G26" s="27"/>
      <c r="H26" s="27"/>
      <c r="I26" s="27"/>
      <c r="J26" s="27"/>
      <c r="K26" s="27"/>
      <c r="L26" s="60"/>
      <c r="Q26" s="105"/>
    </row>
    <row r="27" spans="1:17">
      <c r="A27" s="83"/>
      <c r="B27" s="503"/>
      <c r="C27" s="504"/>
      <c r="D27" s="384"/>
      <c r="E27" s="27"/>
      <c r="F27" s="27"/>
      <c r="G27" s="27"/>
      <c r="H27" s="27"/>
      <c r="I27" s="27"/>
      <c r="J27" s="27"/>
      <c r="K27" s="27"/>
      <c r="L27" s="60"/>
      <c r="Q27" s="105"/>
    </row>
    <row r="28" spans="1:17">
      <c r="A28" s="83"/>
      <c r="B28" s="500"/>
      <c r="C28" s="505"/>
      <c r="D28" s="317"/>
      <c r="E28" s="27"/>
      <c r="F28" s="27"/>
      <c r="G28" s="27"/>
      <c r="H28" s="27"/>
      <c r="I28" s="27"/>
      <c r="J28" s="27"/>
      <c r="K28" s="27"/>
      <c r="L28" s="60"/>
      <c r="Q28" s="105"/>
    </row>
    <row r="29" spans="1:17">
      <c r="A29" s="83"/>
      <c r="B29" s="506"/>
      <c r="C29" s="504"/>
      <c r="D29" s="384"/>
      <c r="E29" s="27"/>
      <c r="F29" s="27"/>
      <c r="G29" s="27"/>
      <c r="H29" s="27"/>
      <c r="I29" s="27"/>
      <c r="J29" s="27"/>
      <c r="K29" s="27"/>
      <c r="L29" s="60"/>
      <c r="Q29" s="105"/>
    </row>
    <row r="30" spans="1:17">
      <c r="A30" s="83"/>
      <c r="B30" s="500"/>
      <c r="C30" s="505"/>
      <c r="D30" s="317"/>
      <c r="E30" s="27"/>
      <c r="F30" s="27"/>
      <c r="G30" s="27"/>
      <c r="H30" s="27"/>
      <c r="I30" s="27"/>
      <c r="J30" s="27"/>
      <c r="K30" s="27"/>
      <c r="L30" s="60"/>
      <c r="Q30" s="105"/>
    </row>
    <row r="31" spans="1:17">
      <c r="A31" s="83"/>
      <c r="B31" s="29"/>
      <c r="C31" s="504"/>
      <c r="D31" s="29"/>
      <c r="E31" s="27"/>
      <c r="F31" s="27"/>
      <c r="G31" s="27"/>
      <c r="H31" s="27"/>
      <c r="I31" s="27"/>
      <c r="J31" s="27"/>
      <c r="K31" s="27"/>
      <c r="L31" s="60"/>
      <c r="Q31" s="105"/>
    </row>
    <row r="32" spans="1:17">
      <c r="A32" s="83"/>
      <c r="B32" s="27"/>
      <c r="C32" s="374"/>
      <c r="D32" s="27"/>
      <c r="E32" s="27"/>
      <c r="F32" s="27"/>
      <c r="G32" s="27"/>
      <c r="H32" s="27"/>
      <c r="I32" s="27"/>
      <c r="J32" s="27"/>
      <c r="K32" s="27"/>
      <c r="L32" s="60"/>
      <c r="Q32" s="105"/>
    </row>
    <row r="33" spans="1:15">
      <c r="A33" s="375"/>
      <c r="B33" s="27"/>
      <c r="C33" s="27"/>
      <c r="D33" s="27"/>
      <c r="E33" s="27"/>
      <c r="F33" s="27"/>
      <c r="G33" s="27"/>
      <c r="H33" s="27"/>
      <c r="I33" s="27"/>
      <c r="J33" s="27"/>
      <c r="K33" s="27"/>
      <c r="L33" s="60"/>
    </row>
    <row r="34" spans="1:15" ht="25.5">
      <c r="A34" s="376" t="s">
        <v>452</v>
      </c>
      <c r="B34" s="377" t="s">
        <v>453</v>
      </c>
      <c r="C34" s="377" t="s">
        <v>454</v>
      </c>
      <c r="D34" s="377" t="s">
        <v>455</v>
      </c>
      <c r="E34" s="377"/>
      <c r="F34" s="377" t="s">
        <v>456</v>
      </c>
      <c r="G34" s="377"/>
      <c r="H34" s="377" t="s">
        <v>457</v>
      </c>
      <c r="I34" s="377" t="s">
        <v>458</v>
      </c>
      <c r="J34" s="377" t="s">
        <v>459</v>
      </c>
      <c r="K34" s="27"/>
      <c r="L34" s="60"/>
    </row>
    <row r="35" spans="1:15">
      <c r="A35" s="378">
        <v>572</v>
      </c>
      <c r="B35" s="379" t="s">
        <v>460</v>
      </c>
      <c r="C35" s="379" t="s">
        <v>461</v>
      </c>
      <c r="D35" s="379" t="s">
        <v>462</v>
      </c>
      <c r="E35" s="380"/>
      <c r="F35" s="104">
        <v>1472071.4308282479</v>
      </c>
      <c r="G35" s="381"/>
      <c r="H35" s="106">
        <v>1472071.4308282479</v>
      </c>
      <c r="I35" s="104">
        <v>0</v>
      </c>
      <c r="J35" s="106">
        <v>0</v>
      </c>
      <c r="K35" s="27"/>
      <c r="L35" s="382"/>
    </row>
    <row r="36" spans="1:15">
      <c r="A36" s="346"/>
      <c r="B36" s="27"/>
      <c r="C36" s="27"/>
      <c r="D36" s="27"/>
      <c r="E36" s="27"/>
      <c r="F36" s="27"/>
      <c r="G36" s="27"/>
      <c r="H36" s="27"/>
      <c r="I36" s="27"/>
      <c r="J36" s="27"/>
      <c r="K36" s="27"/>
      <c r="L36" s="60"/>
    </row>
    <row r="37" spans="1:15">
      <c r="A37" s="77"/>
      <c r="B37" s="301"/>
      <c r="C37" s="301"/>
      <c r="D37" s="301"/>
      <c r="E37" s="301"/>
      <c r="F37" s="301"/>
      <c r="G37" s="301"/>
      <c r="H37" s="301"/>
      <c r="I37" s="301"/>
      <c r="J37" s="301"/>
      <c r="K37" s="301"/>
      <c r="L37" s="383"/>
    </row>
    <row r="38" spans="1:15">
      <c r="A38" s="27"/>
      <c r="B38" s="27"/>
      <c r="C38" s="27"/>
      <c r="D38" s="27"/>
      <c r="E38" s="27"/>
      <c r="F38" s="55"/>
      <c r="G38" s="55"/>
      <c r="H38" s="55"/>
      <c r="I38" s="55"/>
      <c r="J38" s="27"/>
      <c r="K38" s="27"/>
      <c r="L38" s="27"/>
    </row>
    <row r="39" spans="1:15" ht="19.5" thickBot="1">
      <c r="B39" s="617" t="s">
        <v>95</v>
      </c>
      <c r="C39" s="618"/>
      <c r="E39" s="64"/>
      <c r="F39" s="345" t="s">
        <v>158</v>
      </c>
      <c r="G39" s="602" t="s">
        <v>404</v>
      </c>
      <c r="H39" s="603"/>
      <c r="I39" s="604"/>
      <c r="J39" s="61"/>
    </row>
    <row r="40" spans="1:15" ht="15.75" thickBot="1">
      <c r="B40" s="136" t="s">
        <v>93</v>
      </c>
      <c r="C40" s="137" t="s">
        <v>94</v>
      </c>
      <c r="E40" s="28"/>
      <c r="F40" s="339" t="s">
        <v>407</v>
      </c>
      <c r="G40" s="619"/>
      <c r="H40" s="620"/>
      <c r="I40" s="621" t="s">
        <v>148</v>
      </c>
      <c r="J40" s="62"/>
      <c r="K40" s="140" t="s">
        <v>99</v>
      </c>
      <c r="L40" s="141" t="s">
        <v>94</v>
      </c>
    </row>
    <row r="41" spans="1:15">
      <c r="B41" s="138" t="s">
        <v>199</v>
      </c>
      <c r="C41" s="436">
        <f>'Salary Calculation'!C22</f>
        <v>70.852427057116813</v>
      </c>
      <c r="F41" s="338" t="s">
        <v>147</v>
      </c>
      <c r="G41" s="153" t="str">
        <f>'Master Data'!H29</f>
        <v>2016-17</v>
      </c>
      <c r="H41" s="154" t="s">
        <v>445</v>
      </c>
      <c r="I41" s="622"/>
      <c r="J41" s="63"/>
      <c r="K41" s="142" t="s">
        <v>141</v>
      </c>
      <c r="L41" s="143"/>
    </row>
    <row r="42" spans="1:15" ht="15.75" thickBot="1">
      <c r="B42" s="138" t="s">
        <v>167</v>
      </c>
      <c r="C42" s="436">
        <f>'Salary Calculation'!C11</f>
        <v>67.548587633834956</v>
      </c>
      <c r="E42" s="28"/>
      <c r="F42" s="69">
        <v>24.74719443792624</v>
      </c>
      <c r="G42" s="65">
        <f>'Master Data'!$H$30</f>
        <v>2.5000000000000001E-2</v>
      </c>
      <c r="H42" s="66">
        <v>0</v>
      </c>
      <c r="I42" s="69">
        <f>F42*(1+G42+H42)</f>
        <v>25.365874298874392</v>
      </c>
      <c r="J42" s="63"/>
      <c r="K42" s="144" t="s">
        <v>100</v>
      </c>
      <c r="L42" s="145">
        <f>I42</f>
        <v>25.365874298874392</v>
      </c>
      <c r="O42" s="4"/>
    </row>
    <row r="43" spans="1:15" ht="15.75" thickBot="1">
      <c r="B43" s="139" t="s">
        <v>155</v>
      </c>
      <c r="C43" s="437">
        <v>57.711653887452997</v>
      </c>
      <c r="E43" s="28"/>
      <c r="F43" s="70">
        <v>6.6988829452824712</v>
      </c>
      <c r="G43" s="67">
        <f>'Master Data'!$H$30</f>
        <v>2.5000000000000001E-2</v>
      </c>
      <c r="H43" s="68">
        <v>0</v>
      </c>
      <c r="I43" s="70">
        <f>F43*(1+G43+H43)</f>
        <v>6.8663550189145326</v>
      </c>
      <c r="J43" s="63"/>
      <c r="K43" s="146" t="s">
        <v>101</v>
      </c>
      <c r="L43" s="147">
        <f>I43</f>
        <v>6.8663550189145326</v>
      </c>
      <c r="O43" s="4"/>
    </row>
    <row r="44" spans="1:15" ht="15.75" thickBot="1">
      <c r="B44" s="323" t="s">
        <v>159</v>
      </c>
      <c r="C44" s="438">
        <v>69.444875780333263</v>
      </c>
      <c r="H44" s="63"/>
      <c r="I44" s="63"/>
      <c r="J44" s="63"/>
    </row>
    <row r="45" spans="1:15" ht="15" customHeight="1" thickBot="1">
      <c r="B45" s="433" t="s">
        <v>398</v>
      </c>
      <c r="C45" s="439">
        <v>73.510000000000005</v>
      </c>
      <c r="D45" s="616" t="s">
        <v>431</v>
      </c>
      <c r="I45" s="63"/>
      <c r="J45" s="63"/>
    </row>
    <row r="46" spans="1:15" ht="15.75" thickBot="1">
      <c r="B46" s="434" t="s">
        <v>399</v>
      </c>
      <c r="C46" s="440">
        <v>67.59</v>
      </c>
      <c r="D46" s="616"/>
      <c r="I46" s="63"/>
      <c r="J46" s="63"/>
      <c r="K46" s="329" t="s">
        <v>204</v>
      </c>
      <c r="L46" s="330"/>
    </row>
    <row r="47" spans="1:15">
      <c r="B47" s="434" t="s">
        <v>400</v>
      </c>
      <c r="C47" s="440">
        <v>66.349999999999994</v>
      </c>
      <c r="D47" s="616"/>
      <c r="I47" s="63"/>
      <c r="J47" s="63"/>
      <c r="K47" s="324" t="s">
        <v>154</v>
      </c>
      <c r="L47" s="331">
        <v>0</v>
      </c>
    </row>
    <row r="48" spans="1:15" ht="15" customHeight="1">
      <c r="B48" s="434" t="s">
        <v>401</v>
      </c>
      <c r="C48" s="440">
        <v>61.68</v>
      </c>
      <c r="D48" s="616"/>
      <c r="I48" s="63"/>
      <c r="J48" s="63"/>
      <c r="K48" s="324" t="s">
        <v>194</v>
      </c>
      <c r="L48" s="331">
        <v>0</v>
      </c>
    </row>
    <row r="49" spans="2:13">
      <c r="B49" s="434" t="s">
        <v>402</v>
      </c>
      <c r="C49" s="440">
        <v>67.59</v>
      </c>
      <c r="D49" s="616"/>
      <c r="I49" s="63"/>
      <c r="J49" s="63"/>
      <c r="K49" s="324" t="s">
        <v>153</v>
      </c>
      <c r="L49" s="331">
        <v>0</v>
      </c>
    </row>
    <row r="50" spans="2:13" ht="15.75" thickBot="1">
      <c r="B50" s="435" t="s">
        <v>403</v>
      </c>
      <c r="C50" s="441">
        <v>71.5</v>
      </c>
      <c r="D50" s="616"/>
      <c r="I50" s="63"/>
      <c r="J50" s="63"/>
      <c r="K50" s="324" t="s">
        <v>152</v>
      </c>
      <c r="L50" s="331">
        <v>0</v>
      </c>
    </row>
    <row r="51" spans="2:13">
      <c r="I51" s="63"/>
      <c r="J51" s="63"/>
      <c r="K51" s="324" t="s">
        <v>151</v>
      </c>
      <c r="L51" s="331">
        <v>0</v>
      </c>
    </row>
    <row r="52" spans="2:13" ht="15.75" thickBot="1">
      <c r="B52" s="333" t="s">
        <v>206</v>
      </c>
      <c r="C52" s="334"/>
      <c r="D52" s="335"/>
      <c r="F52" s="63"/>
      <c r="I52" s="63"/>
      <c r="J52" s="63"/>
      <c r="K52" s="325"/>
      <c r="L52" s="332"/>
    </row>
    <row r="53" spans="2:13" ht="15.75" thickBot="1">
      <c r="B53" s="385" t="s">
        <v>446</v>
      </c>
      <c r="C53" s="150">
        <f>SUM('Cost buildup'!AM5:AM78)</f>
        <v>393485</v>
      </c>
      <c r="D53" s="326">
        <f>H35</f>
        <v>1472071.4308282479</v>
      </c>
      <c r="E53" s="282"/>
      <c r="I53" s="63"/>
      <c r="J53" s="63"/>
    </row>
    <row r="54" spans="2:13" ht="15.75" thickBot="1">
      <c r="B54" s="385"/>
      <c r="C54" s="150"/>
      <c r="D54" s="326"/>
      <c r="F54" s="63"/>
      <c r="H54" s="63"/>
      <c r="J54" s="63"/>
      <c r="K54" s="329" t="s">
        <v>203</v>
      </c>
      <c r="L54" s="330"/>
    </row>
    <row r="55" spans="2:13">
      <c r="B55" s="127"/>
      <c r="C55" s="148">
        <f>SUM(C53:C54)</f>
        <v>393485</v>
      </c>
      <c r="D55" s="152">
        <f>SUM(D53:D54)</f>
        <v>1472071.4308282479</v>
      </c>
      <c r="J55" s="63"/>
      <c r="K55" s="324" t="s">
        <v>154</v>
      </c>
      <c r="L55" s="331">
        <v>0</v>
      </c>
    </row>
    <row r="56" spans="2:13">
      <c r="J56" s="63"/>
      <c r="K56" s="324" t="s">
        <v>194</v>
      </c>
      <c r="L56" s="331">
        <v>0</v>
      </c>
    </row>
    <row r="57" spans="2:13">
      <c r="C57" s="424" t="s">
        <v>430</v>
      </c>
      <c r="D57" s="425">
        <f>SUM('Cost buildup'!AL5:AL96)</f>
        <v>1472071.4308282479</v>
      </c>
      <c r="F57" s="28"/>
      <c r="J57" s="63"/>
      <c r="K57" s="324" t="s">
        <v>153</v>
      </c>
      <c r="L57" s="331">
        <v>0.25</v>
      </c>
    </row>
    <row r="58" spans="2:13">
      <c r="C58" s="77"/>
      <c r="D58" s="426" t="b">
        <f>D55=D57</f>
        <v>1</v>
      </c>
      <c r="J58" s="63"/>
      <c r="K58" s="324" t="s">
        <v>152</v>
      </c>
      <c r="L58" s="331">
        <v>1</v>
      </c>
    </row>
    <row r="59" spans="2:13">
      <c r="B59" s="49"/>
      <c r="J59" s="63"/>
      <c r="K59" s="324" t="s">
        <v>151</v>
      </c>
      <c r="L59" s="331">
        <v>0.5</v>
      </c>
    </row>
    <row r="60" spans="2:13" ht="15.75" thickBot="1">
      <c r="B60" s="614" t="s">
        <v>231</v>
      </c>
      <c r="C60" s="615"/>
      <c r="D60" s="431"/>
      <c r="J60" s="63"/>
      <c r="K60" s="325"/>
      <c r="L60" s="332"/>
    </row>
    <row r="61" spans="2:13" ht="15.75" thickBot="1">
      <c r="B61" s="336"/>
      <c r="C61" s="337" t="s">
        <v>405</v>
      </c>
      <c r="D61" s="432"/>
    </row>
    <row r="62" spans="2:13" ht="15.75" thickBot="1">
      <c r="B62" s="174" t="s">
        <v>232</v>
      </c>
      <c r="C62" s="427">
        <f>117.86*'Master Data'!$I$32</f>
        <v>123.82666249999998</v>
      </c>
      <c r="D62" s="346"/>
      <c r="K62" s="327" t="s">
        <v>473</v>
      </c>
      <c r="L62" s="328">
        <f>'Master Data'!C38</f>
        <v>6.0400000000000002E-2</v>
      </c>
      <c r="M62" t="s">
        <v>305</v>
      </c>
    </row>
    <row r="63" spans="2:13">
      <c r="B63" s="175" t="s">
        <v>233</v>
      </c>
      <c r="C63" s="427">
        <f>233.79*'Master Data'!$I$32</f>
        <v>245.62561874999997</v>
      </c>
      <c r="D63" s="346"/>
    </row>
    <row r="64" spans="2:13">
      <c r="B64" s="176" t="s">
        <v>234</v>
      </c>
      <c r="C64" s="428">
        <f>1.05*'Master Data'!$I$32</f>
        <v>1.1031562500000001</v>
      </c>
      <c r="D64" s="346"/>
    </row>
    <row r="65" spans="2:4">
      <c r="B65" s="175" t="s">
        <v>235</v>
      </c>
      <c r="C65" s="429">
        <f>3.16*'Master Data'!$I$32</f>
        <v>3.3199749999999999</v>
      </c>
      <c r="D65" s="346"/>
    </row>
    <row r="66" spans="2:4">
      <c r="B66" s="176" t="s">
        <v>236</v>
      </c>
      <c r="C66" s="428">
        <f>7.25*'Master Data'!$I$32</f>
        <v>7.6170312499999993</v>
      </c>
      <c r="D66" s="346"/>
    </row>
    <row r="67" spans="2:4">
      <c r="B67" s="175" t="s">
        <v>237</v>
      </c>
      <c r="C67" s="429">
        <f>21.76*'Master Data'!$I$32</f>
        <v>22.861599999999999</v>
      </c>
      <c r="D67" s="346"/>
    </row>
    <row r="68" spans="2:4">
      <c r="B68" s="336"/>
      <c r="C68" s="337" t="s">
        <v>406</v>
      </c>
      <c r="D68" s="432"/>
    </row>
    <row r="69" spans="2:4">
      <c r="B69" s="175" t="s">
        <v>242</v>
      </c>
      <c r="C69" s="429">
        <f>89*'Master Data'!$I$31</f>
        <v>95.843265624999987</v>
      </c>
      <c r="D69" s="346"/>
    </row>
    <row r="70" spans="2:4">
      <c r="B70" s="175" t="s">
        <v>240</v>
      </c>
      <c r="C70" s="429">
        <f>99*'Master Data'!$I$31</f>
        <v>106.61217187499999</v>
      </c>
      <c r="D70" s="346"/>
    </row>
    <row r="71" spans="2:4">
      <c r="B71" s="175" t="s">
        <v>241</v>
      </c>
      <c r="C71" s="429">
        <f>166*'Master Data'!$I$31</f>
        <v>178.76384374999998</v>
      </c>
      <c r="D71" s="346"/>
    </row>
    <row r="72" spans="2:4">
      <c r="B72" s="177" t="s">
        <v>238</v>
      </c>
      <c r="C72" s="430">
        <v>0</v>
      </c>
      <c r="D72" s="346"/>
    </row>
  </sheetData>
  <mergeCells count="6">
    <mergeCell ref="B60:C60"/>
    <mergeCell ref="D45:D50"/>
    <mergeCell ref="B39:C39"/>
    <mergeCell ref="G40:H40"/>
    <mergeCell ref="I40:I41"/>
    <mergeCell ref="G39:I3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ct:contentTypeSchema xmlns:ct="http://schemas.microsoft.com/office/2006/metadata/contentType" xmlns:ma="http://schemas.microsoft.com/office/2006/metadata/properties/metaAttributes" ct:_="" ma:_="" ma:contentTypeName="Distribution 17 Document" ma:contentTypeID="0x01010001E02CCC3410964E993CCD35D068A93E020300B9D107C97F602643A5BC3B47586DEE05" ma:contentTypeVersion="11" ma:contentTypeDescription="" ma:contentTypeScope="" ma:versionID="29605f74d052370e74795e7e903340f4">
  <xsd:schema xmlns:xsd="http://www.w3.org/2001/XMLSchema" xmlns:xs="http://www.w3.org/2001/XMLSchema" xmlns:p="http://schemas.microsoft.com/office/2006/metadata/properties" xmlns:ns1="http://schemas.microsoft.com/sharepoint/v3" xmlns:ns2="8f493e50-f4fa-4672-bec5-6587e791f720" xmlns:ns3="963a2b00-4130-4e76-9a63-56535bc3f9a8" xmlns:ns4="31acd040-1a27-49be-a391-42ce7a38d4b6" targetNamespace="http://schemas.microsoft.com/office/2006/metadata/properties" ma:root="true" ma:fieldsID="0264b864174238293508c115de6bbf29" ns1:_="" ns2:_="" ns3:_="" ns4:_="">
    <xsd:import namespace="http://schemas.microsoft.com/sharepoint/v3"/>
    <xsd:import namespace="8f493e50-f4fa-4672-bec5-6587e791f720"/>
    <xsd:import namespace="963a2b00-4130-4e76-9a63-56535bc3f9a8"/>
    <xsd:import namespace="31acd040-1a27-49be-a391-42ce7a38d4b6"/>
    <xsd:element name="properties">
      <xsd:complexType>
        <xsd:sequence>
          <xsd:element name="documentManagement">
            <xsd:complexType>
              <xsd:all>
                <xsd:element ref="ns2:Record_x0020_Number" minOccurs="0"/>
                <xsd:element ref="ns3:j8d35c2313b64707a46c0a12992c3f39" minOccurs="0"/>
                <xsd:element ref="ns2:TaxCatchAll" minOccurs="0"/>
                <xsd:element ref="ns2:TaxCatchAllLabel" minOccurs="0"/>
                <xsd:element ref="ns3:d6f93840efd54e8db1963dd4139c127c" minOccurs="0"/>
                <xsd:element ref="ns1:DocumentSetDescription" minOccurs="0"/>
                <xsd:element ref="ns4:Attachment" minOccurs="0"/>
                <xsd:element ref="ns2:Published_x0020_Externally" minOccurs="0"/>
                <xsd:element ref="ns4:Attachment_x0020_ID" minOccurs="0"/>
                <xsd:element ref="ns4:Document_x0020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5"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10" nillable="true" ma:displayName="Taxonomy Catch All Colum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Published_x0020_Externally" ma:index="17" nillable="true" ma:displayName="Published Externally" ma:default="No" ma:format="RadioButtons" ma:internalName="Published_x0020_Externally">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963a2b00-4130-4e76-9a63-56535bc3f9a8" elementFormDefault="qualified">
    <xsd:import namespace="http://schemas.microsoft.com/office/2006/documentManagement/types"/>
    <xsd:import namespace="http://schemas.microsoft.com/office/infopath/2007/PartnerControls"/>
    <xsd:element name="j8d35c2313b64707a46c0a12992c3f39" ma:index="9" nillable="true" ma:taxonomy="true" ma:internalName="j8d35c2313b64707a46c0a12992c3f39" ma:taxonomyFieldName="Determination_x0020_Activity" ma:displayName="Determination Activity" ma:readOnly="false" ma:default="16;#Revenue Proposal|f3980111-814c-44b7-9aa4-fe076fe6d80d" ma:fieldId="{38d35c23-13b6-4707-a46c-0a12992c3f39}"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d6f93840efd54e8db1963dd4139c127c" ma:index="13" nillable="true" ma:taxonomy="true" ma:internalName="d6f93840efd54e8db1963dd4139c127c" ma:taxonomyFieldName="Determination_x0020_Category" ma:displayName="Determination Category" ma:default="55;#Supporting Documentation|54f61c4a-23b8-4acc-b5f4-9c145a97108c" ma:fieldId="{d6f93840-efd5-4e8d-b196-3dd4139c127c}" ma:sspId="ad4ba584-9f2e-4c1f-a403-05b05b3bfc09" ma:termSetId="ef65c028-b485-4826-ace0-e6ca04857ea0" ma:anchorId="ef143162-b2b2-4c33-83f2-f70325f64e16"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1acd040-1a27-49be-a391-42ce7a38d4b6" elementFormDefault="qualified">
    <xsd:import namespace="http://schemas.microsoft.com/office/2006/documentManagement/types"/>
    <xsd:import namespace="http://schemas.microsoft.com/office/infopath/2007/PartnerControls"/>
    <xsd:element name="Attachment" ma:index="16" nillable="true" ma:displayName="Attachment" ma:default="Secondary attachment" ma:format="RadioButtons" ma:internalName="Attachment">
      <xsd:simpleType>
        <xsd:restriction base="dms:Choice">
          <xsd:enumeration value="Primary attachment"/>
          <xsd:enumeration value="Secondary attachment"/>
          <xsd:enumeration value="Not applicable"/>
        </xsd:restriction>
      </xsd:simpleType>
    </xsd:element>
    <xsd:element name="Attachment_x0020_ID" ma:index="18" nillable="true" ma:displayName="Attachment ID" ma:description="ID number from the Table of Attachments in the Regulatory Proposal document" ma:indexed="true" ma:internalName="Attachment_x0020_ID">
      <xsd:simpleType>
        <xsd:restriction base="dms:Text">
          <xsd:maxLength value="255"/>
        </xsd:restriction>
      </xsd:simpleType>
    </xsd:element>
    <xsd:element name="Document_x0020_Category" ma:index="19" nillable="true" ma:displayName="Category" ma:format="Dropdown" ma:internalName="Document_x0020_Category">
      <xsd:simpleType>
        <xsd:restriction base="dms:Choice">
          <xsd:enumeration value="Overview"/>
          <xsd:enumeration value="Fact Shee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ttachment xmlns="31acd040-1a27-49be-a391-42ce7a38d4b6">Primary attachment</Attachment>
    <TaxCatchAll xmlns="8f493e50-f4fa-4672-bec5-6587e791f720">
      <Value>59</Value>
      <Value>16</Value>
    </TaxCatchAll>
    <Published_x0020_Externally xmlns="8f493e50-f4fa-4672-bec5-6587e791f720">Yes</Published_x0020_Externally>
    <DocumentSetDescription xmlns="http://schemas.microsoft.com/sharepoint/v3" xsi:nil="true"/>
    <d6f93840efd54e8db1963dd4139c127c xmlns="963a2b00-4130-4e76-9a63-56535bc3f9a8">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6f93840efd54e8db1963dd4139c127c>
    <Attachment_x0020_ID xmlns="31acd040-1a27-49be-a391-42ce7a38d4b6">TN058</Attachment_x0020_ID>
    <Record_x0020_Number xmlns="8f493e50-f4fa-4672-bec5-6587e791f720">R0000371054</Record_x0020_Number>
    <j8d35c2313b64707a46c0a12992c3f39 xmlns="963a2b00-4130-4e76-9a63-56535bc3f9a8">
      <Terms xmlns="http://schemas.microsoft.com/office/infopath/2007/PartnerControls">
        <TermInfo xmlns="http://schemas.microsoft.com/office/infopath/2007/PartnerControls">
          <TermName xmlns="http://schemas.microsoft.com/office/infopath/2007/PartnerControls">Revenue Proposal</TermName>
          <TermId xmlns="http://schemas.microsoft.com/office/infopath/2007/PartnerControls">f3980111-814c-44b7-9aa4-fe076fe6d80d</TermId>
        </TermInfo>
      </Terms>
    </j8d35c2313b64707a46c0a12992c3f39>
    <Document_x0020_Category xmlns="31acd040-1a27-49be-a391-42ce7a38d4b6" xsi:nil="true"/>
  </documentManagement>
</p:properties>
</file>

<file path=customXml/itemProps1.xml><?xml version="1.0" encoding="utf-8"?>
<ds:datastoreItem xmlns:ds="http://schemas.openxmlformats.org/officeDocument/2006/customXml" ds:itemID="{26541D8C-CC7F-42A1-89C8-7A4A14C6615E}"/>
</file>

<file path=customXml/itemProps2.xml><?xml version="1.0" encoding="utf-8"?>
<ds:datastoreItem xmlns:ds="http://schemas.openxmlformats.org/officeDocument/2006/customXml" ds:itemID="{9F834690-DD02-44E4-9F25-9E2E6054EB5C}"/>
</file>

<file path=customXml/itemProps3.xml><?xml version="1.0" encoding="utf-8"?>
<ds:datastoreItem xmlns:ds="http://schemas.openxmlformats.org/officeDocument/2006/customXml" ds:itemID="{3D6CE39E-DD10-438D-ABED-47047DA77B3A}"/>
</file>

<file path=customXml/itemProps4.xml><?xml version="1.0" encoding="utf-8"?>
<ds:datastoreItem xmlns:ds="http://schemas.openxmlformats.org/officeDocument/2006/customXml" ds:itemID="{C18D3BA5-5B31-407F-B217-4B8029EEC4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Sheet</vt:lpstr>
      <vt:lpstr>Model Information</vt:lpstr>
      <vt:lpstr>Revenue data</vt:lpstr>
      <vt:lpstr>Table of fees</vt:lpstr>
      <vt:lpstr>Cost buildup</vt:lpstr>
      <vt:lpstr>Customer Choice Cost buildup</vt:lpstr>
      <vt:lpstr>Volumes - Report Summary</vt:lpstr>
      <vt:lpstr>Master Data</vt:lpstr>
      <vt:lpstr>Lookups &amp; OH allocation</vt:lpstr>
      <vt:lpstr>Salary Calculation</vt:lpstr>
      <vt:lpstr>Back Office Time</vt:lpstr>
    </vt:vector>
  </TitlesOfParts>
  <Company>TasNetworks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Fee Based Services Model</dc:title>
  <dc:creator>shuttz</dc:creator>
  <cp:lastModifiedBy>shuttz</cp:lastModifiedBy>
  <cp:lastPrinted>2015-12-07T01:54:27Z</cp:lastPrinted>
  <dcterms:created xsi:type="dcterms:W3CDTF">2015-04-12T22:42:35Z</dcterms:created>
  <dcterms:modified xsi:type="dcterms:W3CDTF">2016-01-18T21:52:22Z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0x01010001E02CCC3410964E993CCD35D068A93E020300B9D107C97F602643A5BC3B47586DEE05</vt:lpwstr>
  </property>
  <property fmtid="{D5CDD505-2E9C-101B-9397-08002B2CF9AE}" pid="3" name="RecordPoint_WorkflowType">
    <vt:lpwstr>ActiveSubmitStub</vt:lpwstr>
  </property>
  <property fmtid="{D5CDD505-2E9C-101B-9397-08002B2CF9AE}" pid="4" name="RecordPoint_ActiveItemSiteId">
    <vt:lpwstr>{813152b7-69c2-464f-b7a1-05afac6a8a9a}</vt:lpwstr>
  </property>
  <property fmtid="{D5CDD505-2E9C-101B-9397-08002B2CF9AE}" pid="5" name="RecordPoint_ActiveItemListId">
    <vt:lpwstr>{31acd040-1a27-49be-a391-42ce7a38d4b6}</vt:lpwstr>
  </property>
  <property fmtid="{D5CDD505-2E9C-101B-9397-08002B2CF9AE}" pid="6" name="RecordPoint_ActiveItemUniqueId">
    <vt:lpwstr>{73204ba6-e2db-46d6-8d1a-057f83bda1ea}</vt:lpwstr>
  </property>
  <property fmtid="{D5CDD505-2E9C-101B-9397-08002B2CF9AE}" pid="7" name="RecordPoint_ActiveItemWebId">
    <vt:lpwstr>{963a2b00-4130-4e76-9a63-56535bc3f9a8}</vt:lpwstr>
  </property>
  <property fmtid="{D5CDD505-2E9C-101B-9397-08002B2CF9AE}" pid="8" name="Determination Category">
    <vt:lpwstr>59;#Models and Pricing Tariffs|2d578944-a888-48cf-9157-a3f07df87eae</vt:lpwstr>
  </property>
  <property fmtid="{D5CDD505-2E9C-101B-9397-08002B2CF9AE}" pid="9" name="Determination Activity">
    <vt:lpwstr>16;#Revenue Proposal|f3980111-814c-44b7-9aa4-fe076fe6d80d</vt:lpwstr>
  </property>
  <property fmtid="{D5CDD505-2E9C-101B-9397-08002B2CF9AE}" pid="10" name="RecordPoint_RecordNumberSubmitted">
    <vt:lpwstr>R0000371054</vt:lpwstr>
  </property>
  <property fmtid="{D5CDD505-2E9C-101B-9397-08002B2CF9AE}" pid="11" name="RecordPoint_SubmissionCompleted">
    <vt:lpwstr>2016-01-27T13:48:55.5965872+11:00</vt:lpwstr>
  </property>
  <property fmtid="{D5CDD505-2E9C-101B-9397-08002B2CF9AE}" pid="12" name="IconOverlay">
    <vt:lpwstr/>
  </property>
</Properties>
</file>