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fileSharing readOnlyRecommended="1"/>
  <workbookPr showInkAnnotation="0" codeName="ThisWorkbook" defaultThemeVersion="124226"/>
  <mc:AlternateContent xmlns:mc="http://schemas.openxmlformats.org/markup-compatibility/2006">
    <mc:Choice Requires="x15">
      <x15ac:absPath xmlns:x15ac="http://schemas.microsoft.com/office/spreadsheetml/2010/11/ac" url="M:\0.000A REVENUE PROPOSAL_31 JAN 2022\0.00A_RESUBMITTED TO AER\16 FEB 2022 - 2\"/>
    </mc:Choice>
  </mc:AlternateContent>
  <bookViews>
    <workbookView xWindow="-105" yWindow="-105" windowWidth="22695" windowHeight="14475" tabRatio="678"/>
  </bookViews>
  <sheets>
    <sheet name="Cover" sheetId="27" r:id="rId1"/>
    <sheet name="TOC" sheetId="28" r:id="rId2"/>
    <sheet name="Input_CPI" sheetId="79" r:id="rId3"/>
    <sheet name="Input_Data" sheetId="34" r:id="rId4"/>
    <sheet name="Calc_Returns" sheetId="49" r:id="rId5"/>
    <sheet name="Output_PTRM" sheetId="78" r:id="rId6"/>
    <sheet name="Lookup" sheetId="4" r:id="rId7"/>
    <sheet name="Checks" sheetId="25" r:id="rId8"/>
  </sheets>
  <definedNames>
    <definedName name="A_Weight">Input_Data!$M$119</definedName>
    <definedName name="Base_Year">Lookup!$E$11</definedName>
    <definedName name="BBB_Weight">Input_Data!$L$119</definedName>
    <definedName name="Beta">Input_Data!$J$129</definedName>
    <definedName name="Days_In_Wk">Lookup!$D$30</definedName>
    <definedName name="Days_In_Yr">Lookup!$D$31</definedName>
    <definedName name="Dollars">Lookup!$D$45</definedName>
    <definedName name="End_year">Lookup!$F$66</definedName>
    <definedName name="Error">Lookup!$D$35</definedName>
    <definedName name="Factor">Lookup!$D$48</definedName>
    <definedName name="Gamma">Input_Data!$J$130</definedName>
    <definedName name="Half">Lookup!$D$32</definedName>
    <definedName name="Inflation">Calc_Returns!$S$144</definedName>
    <definedName name="Kilometres">Lookup!$D$52</definedName>
    <definedName name="Leverage">Input_Data!$J$131</definedName>
    <definedName name="LU_Basis">Lookup!$D$57:$D$60</definedName>
    <definedName name="LU_Source">Lookup!$D$71:$D$72</definedName>
    <definedName name="LU_Timing">Lookup!$D$64:$D$67</definedName>
    <definedName name="LU_Timing_Value">Lookup!$E$64:$E$67</definedName>
    <definedName name="LU_Units">Lookup!$D$44:$D$53</definedName>
    <definedName name="Mid_year">Lookup!$D$65</definedName>
    <definedName name="Millions">Lookup!$D$46</definedName>
    <definedName name="Model_Name">Cover!$B$3</definedName>
    <definedName name="Model_Start_Date">Lookup!$E$10</definedName>
    <definedName name="MRP">Input_Data!$J$128</definedName>
    <definedName name="Mths_In_Mth">Lookup!$D$26</definedName>
    <definedName name="Mths_In_Qtr">Lookup!$D$27</definedName>
    <definedName name="Mths_In_Yr">Lookup!$D$29</definedName>
    <definedName name="NA">Lookup!$D$34</definedName>
    <definedName name="No">Lookup!$D$40</definedName>
    <definedName name="Nominal">Lookup!$D$60</definedName>
    <definedName name="Number">Lookup!$D$49</definedName>
    <definedName name="Ok">Lookup!$D$33</definedName>
    <definedName name="Percent">Lookup!$D$44</definedName>
    <definedName name="Qtrs_In_Yr">Lookup!$D$28</definedName>
    <definedName name="Real2018">Lookup!$D$57</definedName>
    <definedName name="Real2019">Lookup!$D$58</definedName>
    <definedName name="RFR">Calc_Returns!$R$41</definedName>
    <definedName name="ROD">Calc_Returns!$S$146</definedName>
    <definedName name="ROE">Calc_Returns!$S$145</definedName>
    <definedName name="Start_year">Lookup!$D$64</definedName>
    <definedName name="Thousands">Lookup!$D$47</definedName>
    <definedName name="Title_Msg">Checks!$H$10</definedName>
    <definedName name="Weight_New_Debt">Input_Data!$J$117</definedName>
    <definedName name="Yes">Lookup!$D$39</definedName>
    <definedName name="Yes_No">Lookup!$D$39:$D$40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20" i="49" l="1"/>
  <c r="D108" i="49"/>
  <c r="L110" i="49"/>
  <c r="H110" i="49"/>
  <c r="K108" i="49"/>
  <c r="J108" i="49"/>
  <c r="H89" i="34"/>
  <c r="H91" i="34"/>
  <c r="G91" i="34"/>
  <c r="F91" i="34"/>
  <c r="N39" i="49"/>
  <c r="N38" i="49"/>
  <c r="N37" i="49"/>
  <c r="N35" i="49"/>
  <c r="N34" i="49"/>
  <c r="N33" i="49"/>
  <c r="N32" i="49"/>
  <c r="N31" i="49"/>
  <c r="N30" i="49"/>
  <c r="N29" i="49"/>
  <c r="N26" i="49"/>
  <c r="N25" i="49"/>
  <c r="N24" i="49"/>
  <c r="N23" i="49"/>
  <c r="N21" i="49"/>
  <c r="N20" i="49"/>
  <c r="N19" i="49"/>
  <c r="K38" i="49"/>
  <c r="K37" i="49"/>
  <c r="K35" i="49"/>
  <c r="K34" i="49"/>
  <c r="K33" i="49"/>
  <c r="K32" i="49"/>
  <c r="K31" i="49"/>
  <c r="K30" i="49"/>
  <c r="K29" i="49"/>
  <c r="K28" i="49"/>
  <c r="K27" i="49"/>
  <c r="K25" i="49"/>
  <c r="K24" i="49"/>
  <c r="K23" i="49"/>
  <c r="K22" i="49"/>
  <c r="K21" i="49"/>
  <c r="K19" i="49"/>
  <c r="K26" i="49"/>
  <c r="K39" i="49"/>
  <c r="D19" i="49"/>
  <c r="D21" i="49"/>
  <c r="D22" i="49"/>
  <c r="P22" i="49"/>
  <c r="D23" i="49"/>
  <c r="D24" i="49"/>
  <c r="P24" i="49"/>
  <c r="D25" i="49"/>
  <c r="D26" i="49"/>
  <c r="D27" i="49"/>
  <c r="D29" i="49"/>
  <c r="D30" i="49"/>
  <c r="P30" i="49"/>
  <c r="D31" i="49"/>
  <c r="D32" i="49"/>
  <c r="D33" i="49"/>
  <c r="D34" i="49"/>
  <c r="D35" i="49"/>
  <c r="D37" i="49"/>
  <c r="D38" i="49"/>
  <c r="P38" i="49"/>
  <c r="D100" i="34"/>
  <c r="J19" i="49"/>
  <c r="J20" i="49"/>
  <c r="J21" i="49"/>
  <c r="J22" i="49"/>
  <c r="J23" i="49"/>
  <c r="J24" i="49"/>
  <c r="J25" i="49"/>
  <c r="J26" i="49"/>
  <c r="J27" i="49"/>
  <c r="J28" i="49"/>
  <c r="J29" i="49"/>
  <c r="J30" i="49"/>
  <c r="J31" i="49"/>
  <c r="J32" i="49"/>
  <c r="J33" i="49"/>
  <c r="J34" i="49"/>
  <c r="J35" i="49"/>
  <c r="J36" i="49"/>
  <c r="J37" i="49"/>
  <c r="J38" i="49"/>
  <c r="M19" i="49"/>
  <c r="M20" i="49"/>
  <c r="M21" i="49"/>
  <c r="M22" i="49"/>
  <c r="M23" i="49"/>
  <c r="M24" i="49"/>
  <c r="M25" i="49"/>
  <c r="M26" i="49"/>
  <c r="M27" i="49"/>
  <c r="M28" i="49"/>
  <c r="M29" i="49"/>
  <c r="M30" i="49"/>
  <c r="M31" i="49"/>
  <c r="M32" i="49"/>
  <c r="M33" i="49"/>
  <c r="M34" i="49"/>
  <c r="M35" i="49"/>
  <c r="M36" i="49"/>
  <c r="M37" i="49"/>
  <c r="M38" i="49"/>
  <c r="D36" i="49"/>
  <c r="P36" i="49"/>
  <c r="N36" i="49"/>
  <c r="K36" i="49"/>
  <c r="D28" i="49"/>
  <c r="D58" i="49"/>
  <c r="N28" i="49"/>
  <c r="D20" i="49"/>
  <c r="P20" i="49"/>
  <c r="N27" i="49"/>
  <c r="N22" i="49"/>
  <c r="K20" i="49"/>
  <c r="E41" i="34"/>
  <c r="E42" i="34"/>
  <c r="E43" i="34"/>
  <c r="E44" i="34"/>
  <c r="E45" i="34"/>
  <c r="E46" i="34"/>
  <c r="E47" i="34"/>
  <c r="E48" i="34"/>
  <c r="E49" i="34"/>
  <c r="E50" i="34"/>
  <c r="E51" i="34"/>
  <c r="E52" i="34"/>
  <c r="E53" i="34"/>
  <c r="E54" i="34"/>
  <c r="E55" i="34"/>
  <c r="E56" i="34"/>
  <c r="E57" i="34"/>
  <c r="E58" i="34"/>
  <c r="Q69" i="49"/>
  <c r="R69" i="49"/>
  <c r="J69" i="49"/>
  <c r="P49" i="49"/>
  <c r="R49" i="49"/>
  <c r="J49" i="49"/>
  <c r="L49" i="49"/>
  <c r="H26" i="78"/>
  <c r="G26" i="78"/>
  <c r="F26" i="78"/>
  <c r="S18" i="78"/>
  <c r="F50" i="49"/>
  <c r="H50" i="49"/>
  <c r="F51" i="49"/>
  <c r="H51" i="49"/>
  <c r="H21" i="49"/>
  <c r="F21" i="49"/>
  <c r="H20" i="49"/>
  <c r="F20" i="49"/>
  <c r="H40" i="34"/>
  <c r="G40" i="34"/>
  <c r="F40" i="34"/>
  <c r="H39" i="34"/>
  <c r="G39" i="34"/>
  <c r="F39" i="34"/>
  <c r="T132" i="49"/>
  <c r="U132" i="49"/>
  <c r="V132" i="49"/>
  <c r="W132" i="49"/>
  <c r="K135" i="49"/>
  <c r="L135" i="49"/>
  <c r="M135" i="49"/>
  <c r="N135" i="49"/>
  <c r="J131" i="49"/>
  <c r="K131" i="49"/>
  <c r="L131" i="49"/>
  <c r="M131" i="49"/>
  <c r="N131" i="49"/>
  <c r="O131" i="49"/>
  <c r="P131" i="49"/>
  <c r="Q131" i="49"/>
  <c r="J9" i="49"/>
  <c r="K9" i="49"/>
  <c r="L9" i="49"/>
  <c r="M9" i="49"/>
  <c r="J130" i="49"/>
  <c r="J132" i="49"/>
  <c r="J137" i="49"/>
  <c r="K130" i="49"/>
  <c r="K132" i="49"/>
  <c r="M130" i="49"/>
  <c r="M132" i="49"/>
  <c r="D18" i="25"/>
  <c r="D10" i="28"/>
  <c r="N33" i="79"/>
  <c r="M33" i="79"/>
  <c r="L33" i="79"/>
  <c r="K33" i="79"/>
  <c r="J33" i="79"/>
  <c r="I33" i="79"/>
  <c r="H33" i="79"/>
  <c r="G33" i="79"/>
  <c r="F33" i="79"/>
  <c r="D33" i="79"/>
  <c r="H31" i="79"/>
  <c r="G31" i="79"/>
  <c r="F31" i="79"/>
  <c r="H30" i="79"/>
  <c r="G30" i="79"/>
  <c r="F30" i="79"/>
  <c r="H28" i="79"/>
  <c r="G28" i="79"/>
  <c r="F28" i="79"/>
  <c r="E28" i="79"/>
  <c r="J21" i="79"/>
  <c r="K21" i="79"/>
  <c r="O18" i="34"/>
  <c r="L21" i="79"/>
  <c r="M21" i="79"/>
  <c r="Q18" i="34"/>
  <c r="N21" i="79"/>
  <c r="R19" i="34"/>
  <c r="I21" i="79"/>
  <c r="D21" i="79"/>
  <c r="H21" i="79"/>
  <c r="G21" i="79"/>
  <c r="F21" i="79"/>
  <c r="H19" i="79"/>
  <c r="G19" i="79"/>
  <c r="F19" i="79"/>
  <c r="H18" i="79"/>
  <c r="G18" i="79"/>
  <c r="F18" i="79"/>
  <c r="H16" i="79"/>
  <c r="G16" i="79"/>
  <c r="F16" i="79"/>
  <c r="E16" i="79"/>
  <c r="H10" i="79"/>
  <c r="G10" i="79"/>
  <c r="F10" i="79"/>
  <c r="E10" i="79"/>
  <c r="B10" i="79"/>
  <c r="N9" i="79"/>
  <c r="M9" i="79"/>
  <c r="L9" i="79"/>
  <c r="K9" i="79"/>
  <c r="J9" i="79"/>
  <c r="B9" i="79"/>
  <c r="B8" i="79"/>
  <c r="B7" i="79"/>
  <c r="B6" i="79"/>
  <c r="B5" i="79"/>
  <c r="B4" i="79"/>
  <c r="B3" i="79"/>
  <c r="A1" i="79"/>
  <c r="H18" i="25"/>
  <c r="G65" i="34"/>
  <c r="G66" i="34"/>
  <c r="G67" i="34"/>
  <c r="G68" i="34"/>
  <c r="G69" i="34"/>
  <c r="G70" i="34"/>
  <c r="G71" i="34"/>
  <c r="G72" i="34"/>
  <c r="G73" i="34"/>
  <c r="G74" i="34"/>
  <c r="G75" i="34"/>
  <c r="G76" i="34"/>
  <c r="G77" i="34"/>
  <c r="G78" i="34"/>
  <c r="G79" i="34"/>
  <c r="G80" i="34"/>
  <c r="G81" i="34"/>
  <c r="G82" i="34"/>
  <c r="G83" i="34"/>
  <c r="G84" i="34"/>
  <c r="E66" i="34"/>
  <c r="E67" i="34"/>
  <c r="E68" i="34"/>
  <c r="E69" i="34"/>
  <c r="E70" i="34"/>
  <c r="E71" i="34"/>
  <c r="E72" i="34"/>
  <c r="E73" i="34"/>
  <c r="E74" i="34"/>
  <c r="E75" i="34"/>
  <c r="E76" i="34"/>
  <c r="E77" i="34"/>
  <c r="E78" i="34"/>
  <c r="E79" i="34"/>
  <c r="E80" i="34"/>
  <c r="E81" i="34"/>
  <c r="E82" i="34"/>
  <c r="E83" i="34"/>
  <c r="E84" i="34"/>
  <c r="G58" i="34"/>
  <c r="G57" i="34"/>
  <c r="G56" i="34"/>
  <c r="G55" i="34"/>
  <c r="G54" i="34"/>
  <c r="G53" i="34"/>
  <c r="G52" i="34"/>
  <c r="G51" i="34"/>
  <c r="G50" i="34"/>
  <c r="G49" i="34"/>
  <c r="G48" i="34"/>
  <c r="G47" i="34"/>
  <c r="G46" i="34"/>
  <c r="G45" i="34"/>
  <c r="G44" i="34"/>
  <c r="G43" i="34"/>
  <c r="G42" i="34"/>
  <c r="G41" i="34"/>
  <c r="G38" i="34"/>
  <c r="P18" i="34"/>
  <c r="L130" i="49"/>
  <c r="L132" i="49"/>
  <c r="O33" i="78"/>
  <c r="O35" i="78"/>
  <c r="O36" i="78"/>
  <c r="O37" i="78"/>
  <c r="H119" i="34"/>
  <c r="F119" i="34"/>
  <c r="D79" i="49"/>
  <c r="F79" i="49"/>
  <c r="H79" i="49"/>
  <c r="K49" i="49"/>
  <c r="K69" i="49"/>
  <c r="L69" i="49"/>
  <c r="Q49" i="49"/>
  <c r="P69" i="49"/>
  <c r="S130" i="49"/>
  <c r="D99" i="34"/>
  <c r="W135" i="49"/>
  <c r="V135" i="49"/>
  <c r="U135" i="49"/>
  <c r="T135" i="49"/>
  <c r="S135" i="49"/>
  <c r="R135" i="49"/>
  <c r="Q135" i="49"/>
  <c r="P135" i="49"/>
  <c r="O135" i="49"/>
  <c r="H117" i="34"/>
  <c r="F117" i="34"/>
  <c r="H115" i="34"/>
  <c r="D131" i="49"/>
  <c r="D130" i="49"/>
  <c r="R130" i="49"/>
  <c r="N130" i="49"/>
  <c r="N132" i="49"/>
  <c r="M17" i="4"/>
  <c r="N7" i="49"/>
  <c r="H110" i="34"/>
  <c r="F110" i="34"/>
  <c r="H137" i="49"/>
  <c r="F137" i="49"/>
  <c r="H135" i="49"/>
  <c r="G135" i="49"/>
  <c r="F135" i="49"/>
  <c r="H132" i="49"/>
  <c r="F132" i="49"/>
  <c r="H131" i="49"/>
  <c r="F131" i="49"/>
  <c r="H127" i="49"/>
  <c r="G127" i="49"/>
  <c r="F127" i="49"/>
  <c r="E127" i="49"/>
  <c r="H130" i="49"/>
  <c r="F130" i="49"/>
  <c r="H108" i="49"/>
  <c r="F108" i="49"/>
  <c r="H106" i="49"/>
  <c r="G106" i="49"/>
  <c r="F106" i="49"/>
  <c r="E106" i="49"/>
  <c r="H120" i="49"/>
  <c r="F120" i="49"/>
  <c r="F69" i="49"/>
  <c r="H69" i="49"/>
  <c r="G33" i="34"/>
  <c r="G32" i="34"/>
  <c r="H146" i="49"/>
  <c r="F80" i="49"/>
  <c r="H80" i="49"/>
  <c r="F81" i="49"/>
  <c r="H81" i="49"/>
  <c r="D80" i="49"/>
  <c r="D81" i="49"/>
  <c r="D82" i="49"/>
  <c r="D83" i="49"/>
  <c r="D84" i="49"/>
  <c r="D85" i="49"/>
  <c r="D87" i="49"/>
  <c r="D88" i="49"/>
  <c r="D89" i="49"/>
  <c r="D90" i="49"/>
  <c r="D91" i="49"/>
  <c r="D92" i="49"/>
  <c r="D93" i="49"/>
  <c r="D95" i="49"/>
  <c r="D96" i="49"/>
  <c r="D97" i="49"/>
  <c r="D98" i="49"/>
  <c r="H67" i="34"/>
  <c r="F67" i="34"/>
  <c r="H66" i="34"/>
  <c r="F66" i="34"/>
  <c r="F52" i="49"/>
  <c r="H52" i="49"/>
  <c r="F53" i="49"/>
  <c r="H53" i="49"/>
  <c r="F54" i="49"/>
  <c r="H54" i="49"/>
  <c r="F22" i="49"/>
  <c r="H22" i="49"/>
  <c r="H41" i="34"/>
  <c r="F41" i="34"/>
  <c r="H43" i="34"/>
  <c r="F43" i="34"/>
  <c r="H42" i="34"/>
  <c r="F42" i="34"/>
  <c r="H24" i="49"/>
  <c r="F24" i="49"/>
  <c r="H23" i="49"/>
  <c r="F23" i="49"/>
  <c r="D19" i="25"/>
  <c r="D21" i="25"/>
  <c r="H144" i="49"/>
  <c r="F144" i="49"/>
  <c r="H19" i="34"/>
  <c r="G19" i="34"/>
  <c r="F19" i="34"/>
  <c r="H71" i="49"/>
  <c r="H68" i="49"/>
  <c r="F68" i="49"/>
  <c r="H67" i="49"/>
  <c r="F67" i="49"/>
  <c r="H66" i="49"/>
  <c r="F66" i="49"/>
  <c r="H65" i="49"/>
  <c r="F65" i="49"/>
  <c r="H64" i="49"/>
  <c r="F64" i="49"/>
  <c r="H63" i="49"/>
  <c r="F63" i="49"/>
  <c r="H62" i="49"/>
  <c r="F62" i="49"/>
  <c r="H61" i="49"/>
  <c r="F61" i="49"/>
  <c r="H60" i="49"/>
  <c r="F60" i="49"/>
  <c r="H59" i="49"/>
  <c r="F59" i="49"/>
  <c r="H58" i="49"/>
  <c r="F58" i="49"/>
  <c r="H57" i="49"/>
  <c r="F57" i="49"/>
  <c r="H56" i="49"/>
  <c r="F56" i="49"/>
  <c r="H55" i="49"/>
  <c r="F55" i="49"/>
  <c r="H49" i="49"/>
  <c r="F49" i="49"/>
  <c r="E115" i="49"/>
  <c r="F115" i="49"/>
  <c r="G115" i="49"/>
  <c r="H115" i="49"/>
  <c r="F118" i="49"/>
  <c r="H118" i="49"/>
  <c r="F119" i="49"/>
  <c r="H119" i="49"/>
  <c r="F122" i="49"/>
  <c r="H122" i="49"/>
  <c r="F41" i="49"/>
  <c r="H100" i="49"/>
  <c r="H98" i="49"/>
  <c r="F98" i="49"/>
  <c r="H97" i="49"/>
  <c r="F97" i="49"/>
  <c r="H96" i="49"/>
  <c r="F96" i="49"/>
  <c r="H95" i="49"/>
  <c r="F95" i="49"/>
  <c r="H94" i="49"/>
  <c r="F94" i="49"/>
  <c r="H93" i="49"/>
  <c r="F93" i="49"/>
  <c r="H92" i="49"/>
  <c r="F92" i="49"/>
  <c r="H91" i="49"/>
  <c r="F91" i="49"/>
  <c r="H90" i="49"/>
  <c r="F90" i="49"/>
  <c r="H89" i="49"/>
  <c r="F89" i="49"/>
  <c r="H88" i="49"/>
  <c r="F88" i="49"/>
  <c r="H87" i="49"/>
  <c r="F87" i="49"/>
  <c r="H86" i="49"/>
  <c r="F86" i="49"/>
  <c r="H85" i="49"/>
  <c r="F85" i="49"/>
  <c r="H84" i="49"/>
  <c r="F84" i="49"/>
  <c r="H83" i="49"/>
  <c r="F83" i="49"/>
  <c r="H82" i="49"/>
  <c r="F82" i="49"/>
  <c r="H77" i="49"/>
  <c r="G77" i="49"/>
  <c r="F77" i="49"/>
  <c r="E77" i="49"/>
  <c r="H145" i="49"/>
  <c r="F145" i="49"/>
  <c r="F146" i="49"/>
  <c r="H142" i="49"/>
  <c r="G142" i="49"/>
  <c r="F142" i="49"/>
  <c r="E142" i="49"/>
  <c r="H41" i="49"/>
  <c r="H17" i="49"/>
  <c r="G17" i="49"/>
  <c r="F17" i="49"/>
  <c r="E17" i="49"/>
  <c r="H39" i="49"/>
  <c r="F39" i="49"/>
  <c r="H38" i="49"/>
  <c r="F38" i="49"/>
  <c r="H37" i="49"/>
  <c r="F37" i="49"/>
  <c r="H36" i="49"/>
  <c r="F36" i="49"/>
  <c r="H35" i="49"/>
  <c r="F35" i="49"/>
  <c r="H34" i="49"/>
  <c r="F34" i="49"/>
  <c r="H33" i="49"/>
  <c r="F33" i="49"/>
  <c r="H32" i="49"/>
  <c r="F32" i="49"/>
  <c r="H31" i="49"/>
  <c r="F31" i="49"/>
  <c r="H30" i="49"/>
  <c r="F30" i="49"/>
  <c r="H29" i="49"/>
  <c r="F29" i="49"/>
  <c r="H28" i="49"/>
  <c r="F28" i="49"/>
  <c r="H27" i="49"/>
  <c r="F27" i="49"/>
  <c r="H26" i="49"/>
  <c r="F26" i="49"/>
  <c r="H25" i="49"/>
  <c r="F25" i="49"/>
  <c r="H19" i="49"/>
  <c r="F19" i="49"/>
  <c r="M16" i="49"/>
  <c r="J16" i="49"/>
  <c r="S9" i="78"/>
  <c r="H24" i="78"/>
  <c r="G24" i="78"/>
  <c r="F24" i="78"/>
  <c r="O22" i="78"/>
  <c r="O21" i="78"/>
  <c r="H22" i="78"/>
  <c r="G22" i="78"/>
  <c r="F22" i="78"/>
  <c r="H21" i="78"/>
  <c r="G21" i="78"/>
  <c r="F21" i="78"/>
  <c r="H20" i="78"/>
  <c r="G20" i="78"/>
  <c r="F20" i="78"/>
  <c r="H18" i="78"/>
  <c r="G18" i="78"/>
  <c r="F18" i="78"/>
  <c r="O34" i="78"/>
  <c r="H37" i="78"/>
  <c r="G37" i="78"/>
  <c r="F37" i="78"/>
  <c r="H36" i="78"/>
  <c r="G36" i="78"/>
  <c r="F36" i="78"/>
  <c r="H35" i="78"/>
  <c r="G35" i="78"/>
  <c r="F35" i="78"/>
  <c r="H34" i="78"/>
  <c r="G34" i="78"/>
  <c r="F34" i="78"/>
  <c r="H33" i="78"/>
  <c r="G33" i="78"/>
  <c r="F33" i="78"/>
  <c r="H31" i="78"/>
  <c r="G31" i="78"/>
  <c r="F31" i="78"/>
  <c r="E31" i="78"/>
  <c r="H16" i="78"/>
  <c r="G16" i="78"/>
  <c r="F16" i="78"/>
  <c r="E16" i="78"/>
  <c r="H107" i="34"/>
  <c r="H38" i="34"/>
  <c r="F38" i="34"/>
  <c r="H130" i="34"/>
  <c r="F130" i="34"/>
  <c r="H142" i="34"/>
  <c r="F142" i="34"/>
  <c r="H141" i="34"/>
  <c r="F141" i="34"/>
  <c r="H140" i="34"/>
  <c r="F140" i="34"/>
  <c r="H139" i="34"/>
  <c r="F139" i="34"/>
  <c r="H136" i="34"/>
  <c r="H138" i="34"/>
  <c r="F138" i="34"/>
  <c r="H131" i="34"/>
  <c r="F131" i="34"/>
  <c r="H129" i="34"/>
  <c r="F129" i="34"/>
  <c r="H128" i="34"/>
  <c r="F128" i="34"/>
  <c r="H126" i="34"/>
  <c r="H100" i="34"/>
  <c r="H99" i="34"/>
  <c r="H97" i="34"/>
  <c r="H84" i="34"/>
  <c r="H83" i="34"/>
  <c r="H82" i="34"/>
  <c r="H81" i="34"/>
  <c r="H80" i="34"/>
  <c r="H79" i="34"/>
  <c r="H78" i="34"/>
  <c r="H77" i="34"/>
  <c r="H76" i="34"/>
  <c r="H75" i="34"/>
  <c r="H74" i="34"/>
  <c r="H73" i="34"/>
  <c r="H72" i="34"/>
  <c r="H71" i="34"/>
  <c r="H70" i="34"/>
  <c r="H69" i="34"/>
  <c r="H68" i="34"/>
  <c r="H65" i="34"/>
  <c r="H58" i="34"/>
  <c r="H57" i="34"/>
  <c r="H56" i="34"/>
  <c r="H55" i="34"/>
  <c r="H54" i="34"/>
  <c r="H53" i="34"/>
  <c r="H52" i="34"/>
  <c r="H51" i="34"/>
  <c r="H50" i="34"/>
  <c r="H49" i="34"/>
  <c r="H48" i="34"/>
  <c r="H47" i="34"/>
  <c r="H46" i="34"/>
  <c r="H45" i="34"/>
  <c r="H44" i="34"/>
  <c r="H33" i="34"/>
  <c r="H63" i="34"/>
  <c r="F100" i="34"/>
  <c r="F99" i="34"/>
  <c r="F84" i="34"/>
  <c r="F83" i="34"/>
  <c r="F82" i="34"/>
  <c r="F81" i="34"/>
  <c r="F80" i="34"/>
  <c r="F79" i="34"/>
  <c r="F78" i="34"/>
  <c r="F77" i="34"/>
  <c r="F76" i="34"/>
  <c r="F75" i="34"/>
  <c r="F74" i="34"/>
  <c r="F73" i="34"/>
  <c r="F72" i="34"/>
  <c r="F71" i="34"/>
  <c r="F70" i="34"/>
  <c r="F69" i="34"/>
  <c r="F68" i="34"/>
  <c r="F65" i="34"/>
  <c r="H32" i="34"/>
  <c r="H30" i="34"/>
  <c r="F58" i="34"/>
  <c r="F57" i="34"/>
  <c r="F56" i="34"/>
  <c r="F55" i="34"/>
  <c r="F54" i="34"/>
  <c r="F53" i="34"/>
  <c r="F52" i="34"/>
  <c r="F51" i="34"/>
  <c r="F50" i="34"/>
  <c r="F49" i="34"/>
  <c r="F48" i="34"/>
  <c r="F47" i="34"/>
  <c r="F46" i="34"/>
  <c r="F45" i="34"/>
  <c r="F44" i="34"/>
  <c r="P9" i="49"/>
  <c r="O9" i="49"/>
  <c r="N9" i="49"/>
  <c r="D12" i="28"/>
  <c r="Q9" i="49"/>
  <c r="R9" i="49"/>
  <c r="H10" i="78"/>
  <c r="G10" i="78"/>
  <c r="F10" i="78"/>
  <c r="E10" i="78"/>
  <c r="B10" i="78"/>
  <c r="R9" i="78"/>
  <c r="Q9" i="78"/>
  <c r="P9" i="78"/>
  <c r="O9" i="78"/>
  <c r="N9" i="78"/>
  <c r="M9" i="78"/>
  <c r="L9" i="78"/>
  <c r="K9" i="78"/>
  <c r="J9" i="78"/>
  <c r="B9" i="78"/>
  <c r="B8" i="78"/>
  <c r="B7" i="78"/>
  <c r="B6" i="78"/>
  <c r="B5" i="78"/>
  <c r="B4" i="78"/>
  <c r="B3" i="78"/>
  <c r="D13" i="28"/>
  <c r="D20" i="25"/>
  <c r="H47" i="49"/>
  <c r="G47" i="49"/>
  <c r="F47" i="49"/>
  <c r="E47" i="49"/>
  <c r="H10" i="49"/>
  <c r="G10" i="49"/>
  <c r="F10" i="49"/>
  <c r="E10" i="49"/>
  <c r="B10" i="49"/>
  <c r="W9" i="49"/>
  <c r="V9" i="49"/>
  <c r="U9" i="49"/>
  <c r="T9" i="49"/>
  <c r="S9" i="49"/>
  <c r="B9" i="49"/>
  <c r="B8" i="49"/>
  <c r="B7" i="49"/>
  <c r="B6" i="49"/>
  <c r="B5" i="49"/>
  <c r="B4" i="49"/>
  <c r="B3" i="49"/>
  <c r="A1" i="49"/>
  <c r="D11" i="28"/>
  <c r="H18" i="34"/>
  <c r="G18" i="34"/>
  <c r="F18" i="34"/>
  <c r="H16" i="34"/>
  <c r="G16" i="34"/>
  <c r="F16" i="34"/>
  <c r="E16" i="34"/>
  <c r="H10" i="34"/>
  <c r="G10" i="34"/>
  <c r="F10" i="34"/>
  <c r="E10" i="34"/>
  <c r="B10" i="34"/>
  <c r="W9" i="34"/>
  <c r="V9" i="34"/>
  <c r="U9" i="34"/>
  <c r="T9" i="34"/>
  <c r="S9" i="34"/>
  <c r="R9" i="34"/>
  <c r="Q9" i="34"/>
  <c r="P9" i="34"/>
  <c r="O9" i="34"/>
  <c r="N9" i="34"/>
  <c r="B9" i="34"/>
  <c r="B8" i="34"/>
  <c r="B7" i="34"/>
  <c r="B6" i="34"/>
  <c r="B5" i="34"/>
  <c r="B4" i="34"/>
  <c r="B3" i="34"/>
  <c r="D59" i="4"/>
  <c r="E67" i="4"/>
  <c r="D67" i="4"/>
  <c r="D53" i="4"/>
  <c r="B3" i="25"/>
  <c r="B3" i="4"/>
  <c r="D18" i="28"/>
  <c r="D17" i="28"/>
  <c r="B6" i="28"/>
  <c r="B4" i="28"/>
  <c r="B4" i="25"/>
  <c r="B4" i="4"/>
  <c r="A1" i="78"/>
  <c r="H20" i="25"/>
  <c r="A1" i="34"/>
  <c r="H19" i="25"/>
  <c r="H23" i="25"/>
  <c r="H8" i="25"/>
  <c r="H10" i="25"/>
  <c r="H21" i="25"/>
  <c r="M15" i="4"/>
  <c r="M16" i="4"/>
  <c r="J7" i="79"/>
  <c r="J7" i="78"/>
  <c r="N7" i="34"/>
  <c r="N17" i="4"/>
  <c r="K7" i="79"/>
  <c r="O130" i="49"/>
  <c r="O132" i="49"/>
  <c r="P130" i="49"/>
  <c r="P132" i="49"/>
  <c r="Q130" i="49"/>
  <c r="Q132" i="49"/>
  <c r="N18" i="34"/>
  <c r="N5" i="34"/>
  <c r="J5" i="78"/>
  <c r="J5" i="79"/>
  <c r="J6" i="78"/>
  <c r="M18" i="4"/>
  <c r="N6" i="34"/>
  <c r="N6" i="49"/>
  <c r="J6" i="79"/>
  <c r="O17" i="4"/>
  <c r="O7" i="49"/>
  <c r="N15" i="4"/>
  <c r="O7" i="34"/>
  <c r="N5" i="49"/>
  <c r="K7" i="78"/>
  <c r="S69" i="49"/>
  <c r="D50" i="49"/>
  <c r="P29" i="49"/>
  <c r="Q29" i="49"/>
  <c r="R29" i="49"/>
  <c r="D59" i="49"/>
  <c r="M49" i="49"/>
  <c r="K137" i="49"/>
  <c r="L137" i="49"/>
  <c r="M137" i="49"/>
  <c r="N137" i="49"/>
  <c r="O137" i="49"/>
  <c r="P137" i="49"/>
  <c r="Q137" i="49"/>
  <c r="S49" i="49"/>
  <c r="Q24" i="49"/>
  <c r="R24" i="49"/>
  <c r="Q22" i="49"/>
  <c r="R22" i="49"/>
  <c r="D61" i="49"/>
  <c r="P31" i="49"/>
  <c r="Q31" i="49"/>
  <c r="R31" i="49"/>
  <c r="P33" i="49"/>
  <c r="Q33" i="49"/>
  <c r="R33" i="49"/>
  <c r="D63" i="49"/>
  <c r="D66" i="49"/>
  <c r="D60" i="49"/>
  <c r="D54" i="49"/>
  <c r="D52" i="49"/>
  <c r="D68" i="49"/>
  <c r="B2" i="78"/>
  <c r="B2" i="34"/>
  <c r="B2" i="28"/>
  <c r="B2" i="25"/>
  <c r="B2" i="79"/>
  <c r="B2" i="4"/>
  <c r="B2" i="49"/>
  <c r="D53" i="49"/>
  <c r="P23" i="49"/>
  <c r="Q23" i="49"/>
  <c r="R23" i="49"/>
  <c r="Q20" i="49"/>
  <c r="R20" i="49"/>
  <c r="P32" i="49"/>
  <c r="Q32" i="49"/>
  <c r="R32" i="49"/>
  <c r="D62" i="49"/>
  <c r="M69" i="49"/>
  <c r="Q30" i="49"/>
  <c r="R30" i="49"/>
  <c r="Q36" i="49"/>
  <c r="R36" i="49"/>
  <c r="M39" i="49"/>
  <c r="P35" i="49"/>
  <c r="Q35" i="49"/>
  <c r="R35" i="49"/>
  <c r="D65" i="49"/>
  <c r="P27" i="49"/>
  <c r="Q27" i="49"/>
  <c r="R27" i="49"/>
  <c r="D57" i="49"/>
  <c r="D49" i="49"/>
  <c r="P19" i="49"/>
  <c r="Q19" i="49"/>
  <c r="R19" i="49"/>
  <c r="D64" i="49"/>
  <c r="P34" i="49"/>
  <c r="Q34" i="49"/>
  <c r="R34" i="49"/>
  <c r="P26" i="49"/>
  <c r="Q26" i="49"/>
  <c r="R26" i="49"/>
  <c r="D56" i="49"/>
  <c r="Q38" i="49"/>
  <c r="R38" i="49"/>
  <c r="J39" i="49"/>
  <c r="D94" i="49"/>
  <c r="D86" i="49"/>
  <c r="P21" i="49"/>
  <c r="Q21" i="49"/>
  <c r="R21" i="49"/>
  <c r="D51" i="49"/>
  <c r="D55" i="49"/>
  <c r="P25" i="49"/>
  <c r="Q25" i="49"/>
  <c r="R25" i="49"/>
  <c r="P37" i="49"/>
  <c r="Q37" i="49"/>
  <c r="R37" i="49"/>
  <c r="D67" i="49"/>
  <c r="P28" i="49"/>
  <c r="Q28" i="49"/>
  <c r="R28" i="49"/>
  <c r="D39" i="49"/>
  <c r="O18" i="78"/>
  <c r="S19" i="34"/>
  <c r="O15" i="4"/>
  <c r="L7" i="78"/>
  <c r="P7" i="49"/>
  <c r="P7" i="34"/>
  <c r="P17" i="4"/>
  <c r="L7" i="79"/>
  <c r="O5" i="49"/>
  <c r="K5" i="79"/>
  <c r="O5" i="34"/>
  <c r="K5" i="78"/>
  <c r="N16" i="4"/>
  <c r="L20" i="4"/>
  <c r="M20" i="4"/>
  <c r="J8" i="79"/>
  <c r="J8" i="78"/>
  <c r="N8" i="49"/>
  <c r="N8" i="34"/>
  <c r="J119" i="49"/>
  <c r="N49" i="49"/>
  <c r="P39" i="49"/>
  <c r="Q39" i="49"/>
  <c r="N69" i="49"/>
  <c r="D69" i="49"/>
  <c r="T49" i="49"/>
  <c r="P18" i="78"/>
  <c r="U19" i="34"/>
  <c r="R18" i="78"/>
  <c r="T19" i="34"/>
  <c r="Q18" i="78"/>
  <c r="N10" i="49"/>
  <c r="N127" i="49"/>
  <c r="J10" i="79"/>
  <c r="J10" i="78"/>
  <c r="N10" i="34"/>
  <c r="Q17" i="4"/>
  <c r="Q7" i="34"/>
  <c r="Q7" i="49"/>
  <c r="P15" i="4"/>
  <c r="M7" i="79"/>
  <c r="M7" i="78"/>
  <c r="L5" i="79"/>
  <c r="O16" i="4"/>
  <c r="L5" i="78"/>
  <c r="P5" i="49"/>
  <c r="P5" i="34"/>
  <c r="O6" i="49"/>
  <c r="K6" i="78"/>
  <c r="O6" i="34"/>
  <c r="N18" i="4"/>
  <c r="K6" i="79"/>
  <c r="I10" i="79"/>
  <c r="K20" i="4"/>
  <c r="M10" i="49"/>
  <c r="M127" i="49"/>
  <c r="M10" i="34"/>
  <c r="M107" i="34"/>
  <c r="T69" i="49"/>
  <c r="Z55" i="49"/>
  <c r="AA55" i="49"/>
  <c r="AB55" i="49"/>
  <c r="R39" i="49"/>
  <c r="V51" i="49"/>
  <c r="W51" i="49"/>
  <c r="X51" i="49"/>
  <c r="V69" i="49"/>
  <c r="W69" i="49"/>
  <c r="X69" i="49"/>
  <c r="V66" i="49"/>
  <c r="W66" i="49"/>
  <c r="X66" i="49"/>
  <c r="V67" i="49"/>
  <c r="W67" i="49"/>
  <c r="X67" i="49"/>
  <c r="V62" i="49"/>
  <c r="W62" i="49"/>
  <c r="X62" i="49"/>
  <c r="V52" i="49"/>
  <c r="W52" i="49"/>
  <c r="X52" i="49"/>
  <c r="V49" i="49"/>
  <c r="W49" i="49"/>
  <c r="X49" i="49"/>
  <c r="V53" i="49"/>
  <c r="W53" i="49"/>
  <c r="X53" i="49"/>
  <c r="V56" i="49"/>
  <c r="W56" i="49"/>
  <c r="X56" i="49"/>
  <c r="V60" i="49"/>
  <c r="W60" i="49"/>
  <c r="X60" i="49"/>
  <c r="V55" i="49"/>
  <c r="W55" i="49"/>
  <c r="X55" i="49"/>
  <c r="V50" i="49"/>
  <c r="W50" i="49"/>
  <c r="X50" i="49"/>
  <c r="V65" i="49"/>
  <c r="W65" i="49"/>
  <c r="X65" i="49"/>
  <c r="V57" i="49"/>
  <c r="W57" i="49"/>
  <c r="X57" i="49"/>
  <c r="V58" i="49"/>
  <c r="W58" i="49"/>
  <c r="X58" i="49"/>
  <c r="V61" i="49"/>
  <c r="W61" i="49"/>
  <c r="X61" i="49"/>
  <c r="V59" i="49"/>
  <c r="W59" i="49"/>
  <c r="X59" i="49"/>
  <c r="V54" i="49"/>
  <c r="W54" i="49"/>
  <c r="X54" i="49"/>
  <c r="V68" i="49"/>
  <c r="W68" i="49"/>
  <c r="X68" i="49"/>
  <c r="V63" i="49"/>
  <c r="W63" i="49"/>
  <c r="X63" i="49"/>
  <c r="V64" i="49"/>
  <c r="W64" i="49"/>
  <c r="X64" i="49"/>
  <c r="S144" i="49" a="1"/>
  <c r="S144" i="49"/>
  <c r="I28" i="79"/>
  <c r="I16" i="79"/>
  <c r="Q5" i="49"/>
  <c r="M5" i="79"/>
  <c r="Q5" i="34"/>
  <c r="P16" i="4"/>
  <c r="M5" i="78"/>
  <c r="L6" i="79"/>
  <c r="L6" i="78"/>
  <c r="P6" i="49"/>
  <c r="P6" i="34"/>
  <c r="O18" i="4"/>
  <c r="N16" i="34"/>
  <c r="N107" i="34"/>
  <c r="K8" i="79"/>
  <c r="O8" i="49"/>
  <c r="O8" i="34"/>
  <c r="N20" i="4"/>
  <c r="K8" i="78"/>
  <c r="R17" i="4"/>
  <c r="R7" i="34"/>
  <c r="R7" i="49"/>
  <c r="N7" i="79"/>
  <c r="N7" i="78"/>
  <c r="Q15" i="4"/>
  <c r="J28" i="79"/>
  <c r="J16" i="79"/>
  <c r="J20" i="4"/>
  <c r="L10" i="49"/>
  <c r="L127" i="49"/>
  <c r="L10" i="34"/>
  <c r="L107" i="34"/>
  <c r="Z52" i="49"/>
  <c r="AA52" i="49"/>
  <c r="AB52" i="49"/>
  <c r="AD52" i="49"/>
  <c r="Z53" i="49"/>
  <c r="AA53" i="49"/>
  <c r="AB53" i="49"/>
  <c r="AD53" i="49"/>
  <c r="Z61" i="49"/>
  <c r="AA61" i="49"/>
  <c r="AB61" i="49"/>
  <c r="AD61" i="49"/>
  <c r="R41" i="49"/>
  <c r="S145" i="49"/>
  <c r="O20" i="78"/>
  <c r="Z65" i="49"/>
  <c r="AA65" i="49"/>
  <c r="AB65" i="49"/>
  <c r="AD65" i="49"/>
  <c r="Z69" i="49"/>
  <c r="AA69" i="49"/>
  <c r="AB69" i="49"/>
  <c r="AD69" i="49"/>
  <c r="Z59" i="49"/>
  <c r="AA59" i="49"/>
  <c r="AB59" i="49"/>
  <c r="AD59" i="49"/>
  <c r="Z54" i="49"/>
  <c r="AA54" i="49"/>
  <c r="AB54" i="49"/>
  <c r="AD54" i="49"/>
  <c r="Z60" i="49"/>
  <c r="AA60" i="49"/>
  <c r="AB60" i="49"/>
  <c r="AD60" i="49"/>
  <c r="Z56" i="49"/>
  <c r="AA56" i="49"/>
  <c r="AB56" i="49"/>
  <c r="AD56" i="49"/>
  <c r="Z58" i="49"/>
  <c r="AA58" i="49"/>
  <c r="AB58" i="49"/>
  <c r="AD58" i="49"/>
  <c r="Z68" i="49"/>
  <c r="AA68" i="49"/>
  <c r="AB68" i="49"/>
  <c r="AD68" i="49"/>
  <c r="Z50" i="49"/>
  <c r="AA50" i="49"/>
  <c r="AB50" i="49"/>
  <c r="AD50" i="49"/>
  <c r="Z49" i="49"/>
  <c r="AA49" i="49"/>
  <c r="AB49" i="49"/>
  <c r="AD49" i="49"/>
  <c r="Z62" i="49"/>
  <c r="AA62" i="49"/>
  <c r="AB62" i="49"/>
  <c r="AD62" i="49"/>
  <c r="Z51" i="49"/>
  <c r="AA51" i="49"/>
  <c r="AB51" i="49"/>
  <c r="AD51" i="49"/>
  <c r="Z63" i="49"/>
  <c r="AA63" i="49"/>
  <c r="AB63" i="49"/>
  <c r="AD63" i="49"/>
  <c r="Z67" i="49"/>
  <c r="AA67" i="49"/>
  <c r="AB67" i="49"/>
  <c r="AD67" i="49"/>
  <c r="Z57" i="49"/>
  <c r="AA57" i="49"/>
  <c r="AB57" i="49"/>
  <c r="AD57" i="49"/>
  <c r="AD55" i="49"/>
  <c r="Z64" i="49"/>
  <c r="AA64" i="49"/>
  <c r="AB64" i="49"/>
  <c r="AD64" i="49"/>
  <c r="Z66" i="49"/>
  <c r="AA66" i="49"/>
  <c r="AB66" i="49"/>
  <c r="AD66" i="49"/>
  <c r="O20" i="4"/>
  <c r="L8" i="78"/>
  <c r="P8" i="34"/>
  <c r="L8" i="79"/>
  <c r="P8" i="49"/>
  <c r="N5" i="78"/>
  <c r="R5" i="49"/>
  <c r="Q16" i="4"/>
  <c r="R15" i="4"/>
  <c r="R5" i="34"/>
  <c r="N5" i="79"/>
  <c r="I20" i="4"/>
  <c r="K10" i="34"/>
  <c r="K107" i="34"/>
  <c r="K10" i="49"/>
  <c r="K127" i="49"/>
  <c r="S7" i="34"/>
  <c r="S17" i="4"/>
  <c r="S7" i="49"/>
  <c r="O7" i="78"/>
  <c r="Q6" i="49"/>
  <c r="P18" i="4"/>
  <c r="M6" i="79"/>
  <c r="Q6" i="34"/>
  <c r="M6" i="78"/>
  <c r="K10" i="79"/>
  <c r="K10" i="78"/>
  <c r="O10" i="34"/>
  <c r="O10" i="49"/>
  <c r="O127" i="49"/>
  <c r="AD71" i="49"/>
  <c r="J118" i="49"/>
  <c r="J122" i="49"/>
  <c r="S5" i="49"/>
  <c r="O5" i="78"/>
  <c r="R16" i="4"/>
  <c r="S5" i="34"/>
  <c r="P7" i="78"/>
  <c r="T7" i="49"/>
  <c r="T7" i="34"/>
  <c r="T17" i="4"/>
  <c r="J10" i="34"/>
  <c r="J107" i="34"/>
  <c r="J10" i="49"/>
  <c r="J127" i="49"/>
  <c r="K28" i="79"/>
  <c r="K16" i="79"/>
  <c r="Q8" i="49"/>
  <c r="Q8" i="34"/>
  <c r="M8" i="79"/>
  <c r="M8" i="78"/>
  <c r="P20" i="4"/>
  <c r="O107" i="34"/>
  <c r="O16" i="34"/>
  <c r="N6" i="78"/>
  <c r="R6" i="49"/>
  <c r="Q18" i="4"/>
  <c r="N6" i="79"/>
  <c r="R6" i="34"/>
  <c r="P10" i="34"/>
  <c r="P10" i="49"/>
  <c r="P127" i="49"/>
  <c r="L10" i="79"/>
  <c r="L10" i="78"/>
  <c r="R110" i="34"/>
  <c r="R131" i="49"/>
  <c r="R132" i="49"/>
  <c r="R137" i="49"/>
  <c r="S131" i="49"/>
  <c r="S132" i="49"/>
  <c r="Q7" i="78"/>
  <c r="U7" i="34"/>
  <c r="U17" i="4"/>
  <c r="U7" i="49"/>
  <c r="L16" i="79"/>
  <c r="L28" i="79"/>
  <c r="S6" i="34"/>
  <c r="R18" i="4"/>
  <c r="S6" i="49"/>
  <c r="O6" i="78"/>
  <c r="Q20" i="4"/>
  <c r="N8" i="79"/>
  <c r="N8" i="78"/>
  <c r="R8" i="49"/>
  <c r="R8" i="34"/>
  <c r="P16" i="34"/>
  <c r="P107" i="34"/>
  <c r="M10" i="79"/>
  <c r="Q10" i="49"/>
  <c r="Q127" i="49"/>
  <c r="M10" i="78"/>
  <c r="Q10" i="34"/>
  <c r="S15" i="4"/>
  <c r="S137" i="49"/>
  <c r="T137" i="49"/>
  <c r="Q107" i="34"/>
  <c r="Q16" i="34"/>
  <c r="P5" i="78"/>
  <c r="T5" i="34"/>
  <c r="T5" i="49"/>
  <c r="S16" i="4"/>
  <c r="V7" i="49"/>
  <c r="R7" i="78"/>
  <c r="V7" i="34"/>
  <c r="V17" i="4"/>
  <c r="M16" i="79"/>
  <c r="M28" i="79"/>
  <c r="R10" i="34"/>
  <c r="N10" i="78"/>
  <c r="N10" i="79"/>
  <c r="R10" i="49"/>
  <c r="R127" i="49"/>
  <c r="S8" i="49"/>
  <c r="R20" i="4"/>
  <c r="S8" i="34"/>
  <c r="O8" i="78"/>
  <c r="S146" i="49"/>
  <c r="O24" i="78"/>
  <c r="O26" i="78"/>
  <c r="T146" i="49"/>
  <c r="P24" i="78"/>
  <c r="P26" i="78"/>
  <c r="U137" i="49"/>
  <c r="S18" i="4"/>
  <c r="T6" i="49"/>
  <c r="T6" i="34"/>
  <c r="P6" i="78"/>
  <c r="T15" i="4"/>
  <c r="N16" i="79"/>
  <c r="N28" i="79"/>
  <c r="R16" i="34"/>
  <c r="R107" i="34"/>
  <c r="O10" i="78"/>
  <c r="S10" i="49"/>
  <c r="S10" i="34"/>
  <c r="S16" i="34"/>
  <c r="S7" i="78"/>
  <c r="W7" i="49"/>
  <c r="W7" i="34"/>
  <c r="V137" i="49"/>
  <c r="U146" i="49"/>
  <c r="Q24" i="78"/>
  <c r="Q26" i="78"/>
  <c r="S142" i="49"/>
  <c r="S127" i="49"/>
  <c r="T16" i="4"/>
  <c r="Q5" i="78"/>
  <c r="U5" i="34"/>
  <c r="U5" i="49"/>
  <c r="O16" i="78"/>
  <c r="T8" i="49"/>
  <c r="S20" i="4"/>
  <c r="T8" i="34"/>
  <c r="P8" i="78"/>
  <c r="W137" i="49"/>
  <c r="W146" i="49"/>
  <c r="S24" i="78"/>
  <c r="S26" i="78"/>
  <c r="V146" i="49"/>
  <c r="R24" i="78"/>
  <c r="R26" i="78"/>
  <c r="U6" i="34"/>
  <c r="U6" i="49"/>
  <c r="T18" i="4"/>
  <c r="Q6" i="78"/>
  <c r="U15" i="4"/>
  <c r="T10" i="49"/>
  <c r="T10" i="34"/>
  <c r="T16" i="34"/>
  <c r="P10" i="78"/>
  <c r="P16" i="78"/>
  <c r="T142" i="49"/>
  <c r="T127" i="49"/>
  <c r="R5" i="78"/>
  <c r="V5" i="34"/>
  <c r="V5" i="49"/>
  <c r="U16" i="4"/>
  <c r="T20" i="4"/>
  <c r="U8" i="34"/>
  <c r="Q8" i="78"/>
  <c r="U8" i="49"/>
  <c r="U18" i="4"/>
  <c r="V6" i="34"/>
  <c r="V6" i="49"/>
  <c r="R6" i="78"/>
  <c r="V15" i="4"/>
  <c r="Q10" i="78"/>
  <c r="Q16" i="78"/>
  <c r="U10" i="34"/>
  <c r="U16" i="34"/>
  <c r="U10" i="49"/>
  <c r="R8" i="78"/>
  <c r="V8" i="34"/>
  <c r="U20" i="4"/>
  <c r="V8" i="49"/>
  <c r="S5" i="78"/>
  <c r="V16" i="4"/>
  <c r="W5" i="49"/>
  <c r="W5" i="34"/>
  <c r="U142" i="49"/>
  <c r="U127" i="49"/>
  <c r="V10" i="49"/>
  <c r="R10" i="78"/>
  <c r="R16" i="78"/>
  <c r="V10" i="34"/>
  <c r="V16" i="34"/>
  <c r="S6" i="78"/>
  <c r="V18" i="4"/>
  <c r="W6" i="34"/>
  <c r="W6" i="49"/>
  <c r="W8" i="49"/>
  <c r="W8" i="34"/>
  <c r="S8" i="78"/>
  <c r="V20" i="4"/>
  <c r="V142" i="49"/>
  <c r="V127" i="49"/>
  <c r="W10" i="49"/>
  <c r="W10" i="34"/>
  <c r="W16" i="34"/>
  <c r="S10" i="78"/>
  <c r="S16" i="78"/>
  <c r="O31" i="78"/>
  <c r="W142" i="49"/>
  <c r="W127" i="49"/>
</calcChain>
</file>

<file path=xl/comments1.xml><?xml version="1.0" encoding="utf-8"?>
<comments xmlns="http://schemas.openxmlformats.org/spreadsheetml/2006/main">
  <authors>
    <author>Eli Grace-Webb</author>
  </authors>
  <commentList>
    <comment ref="Q17" authorId="0" shapeId="0">
      <text>
        <r>
          <rPr>
            <b/>
            <sz val="9"/>
            <color indexed="81"/>
            <rFont val="Tahoma"/>
            <family val="2"/>
          </rPr>
          <t>Note:</t>
        </r>
        <r>
          <rPr>
            <sz val="9"/>
            <color indexed="81"/>
            <rFont val="Tahoma"/>
            <family val="2"/>
          </rPr>
          <t xml:space="preserve">
Semi-annual yield calculated by interpolating the yield on the bonds that fall either side of the target date</t>
        </r>
      </text>
    </comment>
    <comment ref="J76" authorId="0" shapeId="0">
      <text>
        <r>
          <rPr>
            <b/>
            <sz val="9"/>
            <color indexed="81"/>
            <rFont val="Tahoma"/>
            <family val="2"/>
          </rPr>
          <t>Note:</t>
        </r>
        <r>
          <rPr>
            <sz val="9"/>
            <color indexed="81"/>
            <rFont val="Tahoma"/>
            <family val="2"/>
          </rPr>
          <t xml:space="preserve">
Semi-annual yield calculated by interpolating the yield on the bonds that fall either side of the target date</t>
        </r>
      </text>
    </comment>
  </commentList>
</comments>
</file>

<file path=xl/sharedStrings.xml><?xml version="1.0" encoding="utf-8"?>
<sst xmlns="http://schemas.openxmlformats.org/spreadsheetml/2006/main" count="727" uniqueCount="233">
  <si>
    <t>General Model Constant</t>
  </si>
  <si>
    <t>Name</t>
  </si>
  <si>
    <t>Mths_In_Mth</t>
  </si>
  <si>
    <t>Mths_In_Qtr</t>
  </si>
  <si>
    <t>Mths_In_Yr</t>
  </si>
  <si>
    <t>Heading 1</t>
  </si>
  <si>
    <t>Ok</t>
  </si>
  <si>
    <t>Error</t>
  </si>
  <si>
    <t>Half</t>
  </si>
  <si>
    <t>Yes</t>
  </si>
  <si>
    <t>No</t>
  </si>
  <si>
    <t>Yes_No</t>
  </si>
  <si>
    <t>Error Checks</t>
  </si>
  <si>
    <t>Days_In_Wk</t>
  </si>
  <si>
    <t>Assumptions</t>
  </si>
  <si>
    <t>Checks</t>
  </si>
  <si>
    <t>Error Message</t>
  </si>
  <si>
    <t>Model Title Message</t>
  </si>
  <si>
    <t>Alert Message</t>
  </si>
  <si>
    <t>Model Message</t>
  </si>
  <si>
    <t>Input</t>
  </si>
  <si>
    <t>Output</t>
  </si>
  <si>
    <t>Cells containing input texts/numbers NOT intended to be changed by model users</t>
  </si>
  <si>
    <t>Cells containing formulae NOT intended to be changed by model users</t>
  </si>
  <si>
    <t>Heading 2</t>
  </si>
  <si>
    <t>Cells containing assumptions intended to be manipulated by model users</t>
  </si>
  <si>
    <t>Level 1 heading NOT intended to be changed by model users</t>
  </si>
  <si>
    <t>Level 2 heading NOT intended to be changed by model users</t>
  </si>
  <si>
    <t>Model Developer:</t>
  </si>
  <si>
    <t>Purpose of the Model:</t>
  </si>
  <si>
    <t>Model Settings</t>
  </si>
  <si>
    <t>Model Checks</t>
  </si>
  <si>
    <t>End</t>
  </si>
  <si>
    <t>Qtrs_In_Yr</t>
  </si>
  <si>
    <t>N/A</t>
  </si>
  <si>
    <t>NA</t>
  </si>
  <si>
    <t>Model Legend:</t>
  </si>
  <si>
    <t>Cells where inputs or outputs are not applicable</t>
  </si>
  <si>
    <t>Cells containing a drop down list for users to select inputs</t>
  </si>
  <si>
    <t>Cells containing a hyperlink to another part of the workbook</t>
  </si>
  <si>
    <t>Cells representing there is an error in the nominated area of the workbook</t>
  </si>
  <si>
    <t>Cells representing there are no errors in the nominated area of the workbook</t>
  </si>
  <si>
    <t>Cells containing a link from external workbooks</t>
  </si>
  <si>
    <t>Drop Down</t>
  </si>
  <si>
    <t>Hyperlink</t>
  </si>
  <si>
    <t>Model Lookups</t>
  </si>
  <si>
    <t>Days_In_Yr</t>
  </si>
  <si>
    <t>Total Errors</t>
  </si>
  <si>
    <t>Table of Contents</t>
  </si>
  <si>
    <t>Appendix</t>
  </si>
  <si>
    <t>Go to Cover Sheet</t>
  </si>
  <si>
    <t>Period Counter</t>
  </si>
  <si>
    <t>Period Start Date</t>
  </si>
  <si>
    <t>Period End Date</t>
  </si>
  <si>
    <t>Model Start Date</t>
  </si>
  <si>
    <t>Periodicity Inputs</t>
  </si>
  <si>
    <t>Time Series Headings</t>
  </si>
  <si>
    <t>Base Year</t>
  </si>
  <si>
    <t>Year</t>
  </si>
  <si>
    <t>Period Type</t>
  </si>
  <si>
    <t>Actual</t>
  </si>
  <si>
    <t>Forecast</t>
  </si>
  <si>
    <t>Regulatory Year</t>
  </si>
  <si>
    <t>Source</t>
  </si>
  <si>
    <t>Unit</t>
  </si>
  <si>
    <t>Basis</t>
  </si>
  <si>
    <t>Timing</t>
  </si>
  <si>
    <t>Real $2018</t>
  </si>
  <si>
    <t>Nominal</t>
  </si>
  <si>
    <t>Real$2018</t>
  </si>
  <si>
    <t>LU_Basis</t>
  </si>
  <si>
    <t>Units</t>
  </si>
  <si>
    <t>Percent</t>
  </si>
  <si>
    <t>Dollars</t>
  </si>
  <si>
    <t>Factor</t>
  </si>
  <si>
    <t>$Millions</t>
  </si>
  <si>
    <t>$000's</t>
  </si>
  <si>
    <t>Millions</t>
  </si>
  <si>
    <t>Thousands</t>
  </si>
  <si>
    <t>LU_Units</t>
  </si>
  <si>
    <t>Start year</t>
  </si>
  <si>
    <t>Mid year</t>
  </si>
  <si>
    <t>End year</t>
  </si>
  <si>
    <t>LU_Timing</t>
  </si>
  <si>
    <t>LU_Timing_Value</t>
  </si>
  <si>
    <t>End_year</t>
  </si>
  <si>
    <t>Mid_year</t>
  </si>
  <si>
    <t>Start_year</t>
  </si>
  <si>
    <t>Category Heading</t>
  </si>
  <si>
    <t>Calculated</t>
  </si>
  <si>
    <t>Not Applicable</t>
  </si>
  <si>
    <t>GWh</t>
  </si>
  <si>
    <t>MWh</t>
  </si>
  <si>
    <t>Number</t>
  </si>
  <si>
    <t>Km</t>
  </si>
  <si>
    <t>Kilometres</t>
  </si>
  <si>
    <t>Disclaimer:</t>
  </si>
  <si>
    <t>CPI Assumptions</t>
  </si>
  <si>
    <t>RBA</t>
  </si>
  <si>
    <t>Real $2019</t>
  </si>
  <si>
    <t>Real$2019</t>
  </si>
  <si>
    <t>Debt Raising Costs</t>
  </si>
  <si>
    <t>Inflation</t>
  </si>
  <si>
    <t>Bond details</t>
  </si>
  <si>
    <t>Bond 1</t>
  </si>
  <si>
    <t>Bond 2</t>
  </si>
  <si>
    <t>Issue ID</t>
  </si>
  <si>
    <t>Maturity</t>
  </si>
  <si>
    <t>Date</t>
  </si>
  <si>
    <t>Yields by date</t>
  </si>
  <si>
    <t>Yield</t>
  </si>
  <si>
    <t>Parameter assumptions</t>
  </si>
  <si>
    <t>Value</t>
  </si>
  <si>
    <t>Parameter</t>
  </si>
  <si>
    <t>Market risk premium</t>
  </si>
  <si>
    <t>AER</t>
  </si>
  <si>
    <t>Equity beta</t>
  </si>
  <si>
    <t>Leverage</t>
  </si>
  <si>
    <t>Return on equity</t>
  </si>
  <si>
    <t>Return on equity and debt</t>
  </si>
  <si>
    <t>Debt and equity raising costs</t>
  </si>
  <si>
    <t>Imputation Credit Payout Ratio</t>
  </si>
  <si>
    <t>Subsequent Equity Raising Costs</t>
  </si>
  <si>
    <t>Dividend Reinvestment Plan Costs</t>
  </si>
  <si>
    <t>Dividend Reinvestment Plan Take Up</t>
  </si>
  <si>
    <t>Value of imputation credits</t>
  </si>
  <si>
    <t>RBA Aggregate Measures of Australian Corporate Bond Spreads and Yields (Table F3)</t>
  </si>
  <si>
    <t>7 Year RBA Corp BBB Series</t>
  </si>
  <si>
    <t>10 Year RBA Corp BBB Series</t>
  </si>
  <si>
    <t>Prevailing market data</t>
  </si>
  <si>
    <t>Forecast inflation</t>
  </si>
  <si>
    <t>PTRM inputs</t>
  </si>
  <si>
    <t>Cost of Capital</t>
  </si>
  <si>
    <t>Debt and Equity Raising Costs – Transaction Costs (per cent)</t>
  </si>
  <si>
    <t>Inflation Rate</t>
  </si>
  <si>
    <t>Return on Equity</t>
  </si>
  <si>
    <t>Value of Imputation Credits (gamma)</t>
  </si>
  <si>
    <t>Proportion of Debt Funding</t>
  </si>
  <si>
    <t>Prevailing rate of return parameters</t>
  </si>
  <si>
    <t>Risk-free rate</t>
  </si>
  <si>
    <t>Return on debt | RBA data</t>
  </si>
  <si>
    <t>Return on debt | Bloomberg data</t>
  </si>
  <si>
    <t>Return on debt | RBA and Bloomberg data combined</t>
  </si>
  <si>
    <t>Interpolated</t>
  </si>
  <si>
    <t>Bond yield</t>
  </si>
  <si>
    <t>Annualised</t>
  </si>
  <si>
    <t>Per cent</t>
  </si>
  <si>
    <t>Risk-free rate estimate</t>
  </si>
  <si>
    <t>Rate of return estimates</t>
  </si>
  <si>
    <t>Return on debt</t>
  </si>
  <si>
    <t>Trailing Average Portfolio Return on Debt</t>
  </si>
  <si>
    <t>RBA estimate</t>
  </si>
  <si>
    <t>Bloomberg BVAL estimate</t>
  </si>
  <si>
    <t>Average</t>
  </si>
  <si>
    <t>Annualised yield</t>
  </si>
  <si>
    <t>Bond yields by date</t>
  </si>
  <si>
    <t xml:space="preserve"> Spread</t>
  </si>
  <si>
    <t>10yr BBB</t>
  </si>
  <si>
    <t>Spread to swaps</t>
  </si>
  <si>
    <t>Effective tenor</t>
  </si>
  <si>
    <t>Extra years needed</t>
  </si>
  <si>
    <t>Spread per year</t>
  </si>
  <si>
    <t>Adjusted 10 year yield</t>
  </si>
  <si>
    <t>Adjusted 10 year spread</t>
  </si>
  <si>
    <t>Base 10 year yield</t>
  </si>
  <si>
    <t>Actual inflation</t>
  </si>
  <si>
    <t>ABS</t>
  </si>
  <si>
    <t>Actual and forecasts</t>
  </si>
  <si>
    <t>Rate of return inputs</t>
  </si>
  <si>
    <t>Rate of return calculations</t>
  </si>
  <si>
    <t>Inputs to PTRM</t>
  </si>
  <si>
    <r>
      <rPr>
        <b/>
        <sz val="10"/>
        <color theme="1"/>
        <rFont val="Helvetica"/>
      </rPr>
      <t>Note</t>
    </r>
    <r>
      <rPr>
        <sz val="10"/>
        <color theme="1"/>
        <rFont val="Helvetica"/>
        <family val="2"/>
      </rPr>
      <t>: Actual inflation based on movement in CPI from June to June quarter</t>
    </r>
  </si>
  <si>
    <t>BBB</t>
  </si>
  <si>
    <t>A</t>
  </si>
  <si>
    <t>Weights</t>
  </si>
  <si>
    <t>BBB+</t>
  </si>
  <si>
    <t>BBB Calculations</t>
  </si>
  <si>
    <t>A Calculations</t>
  </si>
  <si>
    <t>10yr A</t>
  </si>
  <si>
    <t>10yr BBB+</t>
  </si>
  <si>
    <t>Reuters estimate</t>
  </si>
  <si>
    <t>Return on debt | Reuters data</t>
  </si>
  <si>
    <t>Bloomberg / Reuters</t>
  </si>
  <si>
    <t>7 Year RBA Corp A Series</t>
  </si>
  <si>
    <t>10 Year RBA Corp A Series</t>
  </si>
  <si>
    <t>Main Model</t>
  </si>
  <si>
    <t xml:space="preserve">▲ RBA forecast ▲ </t>
  </si>
  <si>
    <t xml:space="preserve">▲ Glide path ▲ </t>
  </si>
  <si>
    <t>▲ Mid-point of the RBA's inflation target range</t>
  </si>
  <si>
    <t>Return on Debt</t>
  </si>
  <si>
    <t>Annual observations</t>
  </si>
  <si>
    <t>Adopted</t>
  </si>
  <si>
    <t>New observation</t>
  </si>
  <si>
    <t>Trailing average</t>
  </si>
  <si>
    <t>Estimated</t>
  </si>
  <si>
    <t>Trailing average return on debt</t>
  </si>
  <si>
    <t>Gigawatt Hours</t>
  </si>
  <si>
    <t>Megawatt Hours</t>
  </si>
  <si>
    <t>LU_Source</t>
  </si>
  <si>
    <t>Current period observations</t>
  </si>
  <si>
    <t>Annual observation</t>
  </si>
  <si>
    <t>Weight applied to new observations</t>
  </si>
  <si>
    <t>Commonwealth Government Securities (Table F16)</t>
  </si>
  <si>
    <t>Weights applied to corporate bonds</t>
  </si>
  <si>
    <t>The purpose of this model is to provide rate of return outputs which are required as part of the TransGrid Determination for the 2023-28 period.</t>
  </si>
  <si>
    <t>Estimate</t>
  </si>
  <si>
    <t>CPI inputs</t>
  </si>
  <si>
    <t>CPI Profiles</t>
  </si>
  <si>
    <t>Unlagged - June to June</t>
  </si>
  <si>
    <t>Lagged - Dec to Dec</t>
  </si>
  <si>
    <r>
      <rPr>
        <b/>
        <sz val="10"/>
        <color theme="1"/>
        <rFont val="Helvetica"/>
      </rPr>
      <t>Note</t>
    </r>
    <r>
      <rPr>
        <sz val="10"/>
        <color theme="1"/>
        <rFont val="Helvetica"/>
        <family val="2"/>
      </rPr>
      <t>: Actual inflation based on movement in CPI from December to December quarter</t>
    </r>
    <r>
      <rPr>
        <sz val="10"/>
        <color theme="1"/>
        <rFont val="Helvetica"/>
      </rPr>
      <t xml:space="preserve"> where the value in FY19 represents the movement between Dec 17 to Dec 18</t>
    </r>
  </si>
  <si>
    <t>TransGrid</t>
  </si>
  <si>
    <t>TB157</t>
  </si>
  <si>
    <t>Nominal vanilla WACC</t>
  </si>
  <si>
    <t>TB163</t>
  </si>
  <si>
    <t>(Dec 2021)</t>
  </si>
  <si>
    <t>(Dec 2022)</t>
  </si>
  <si>
    <t>Frontier</t>
  </si>
  <si>
    <r>
      <rPr>
        <b/>
        <sz val="10"/>
        <color theme="1"/>
        <rFont val="Helvetica"/>
      </rPr>
      <t>Source</t>
    </r>
    <r>
      <rPr>
        <sz val="10"/>
        <color theme="1"/>
        <rFont val="Helvetica"/>
        <family val="2"/>
      </rPr>
      <t>: ABS (TABLES 3 and 4. CPI: Groups, Weighted Average of Eight Capital Cities, Index Numbers and Percentage Changes, A2325846C); RBA statement on monetary policy, November 2021</t>
    </r>
    <r>
      <rPr>
        <sz val="10"/>
        <color theme="1"/>
        <rFont val="Helvetica"/>
      </rPr>
      <t>, Appendix A</t>
    </r>
  </si>
  <si>
    <t>Placeholder actual CPI▲►</t>
  </si>
  <si>
    <r>
      <rPr>
        <b/>
        <sz val="10"/>
        <color theme="1"/>
        <rFont val="Helvetica"/>
      </rPr>
      <t>Source</t>
    </r>
    <r>
      <rPr>
        <sz val="10"/>
        <color theme="1"/>
        <rFont val="Helvetica"/>
        <family val="2"/>
      </rPr>
      <t>: RBA statement on monetary policy, November 2021</t>
    </r>
  </si>
  <si>
    <t>◄ Does not include 30 September 2021 as outside of the 20 day averaging period</t>
  </si>
  <si>
    <t>Bloomberg BVAL data</t>
  </si>
  <si>
    <t>Thomson Reuters data</t>
  </si>
  <si>
    <t>Frontier Economics</t>
  </si>
  <si>
    <t>◄ Frontier Economics calculated the average annualised yield over the 20 business days from 1 October to 29 October 2021 using the approach included in the 2018 RORI</t>
  </si>
  <si>
    <t>Average yields</t>
  </si>
  <si>
    <t>October 2021</t>
  </si>
  <si>
    <t>Period Source Type</t>
  </si>
  <si>
    <t>Rate of Return Model - TransGrid (TGD)</t>
  </si>
  <si>
    <t>◄ FY23 is a placeholder based on current estimate for first year of the 2023-28 period.</t>
  </si>
  <si>
    <t>c-i-c</t>
  </si>
  <si>
    <t>TGD has not verified the inputs or the outputs of this model and makes no representation or warranty as to the completeness, accuracy, reliability or appropriateness of the model, its inputs and outputs (including any forward looking statements) or how it functions.  To the extent permitted by law, any person using or relying on this model or its outputs does so at their own risk and agrees that TGD will not be liable to any person for any loss or damage of any kind arising out of or in any way connected with the use of this model (including negligence).   The references to TGD in this disclaimer includes their respective directors, officers, employees, contractors, advisers or agents.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</si>
</sst>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0_);\(###0\);_(###0_)"/>
    <numFmt numFmtId="165" formatCode="_(#,##0.0_);\(#,##0.0\);_(&quot;-&quot;_)"/>
    <numFmt numFmtId="166" formatCode="_(#,##0.0\x_);\(#,##0.0\x\);_(&quot;-&quot;_)"/>
    <numFmt numFmtId="167" formatCode="_(#,##0.0%_);\(#,##0.0%\);_(&quot;-&quot;_)"/>
    <numFmt numFmtId="168" formatCode="_(&quot;$&quot;#,##0.00_);\(&quot;$&quot;#,##0.00\);_(&quot;-&quot;_)"/>
    <numFmt numFmtId="169" formatCode="_(#,##0_);\(#,##0\);_(&quot;-&quot;_)"/>
    <numFmt numFmtId="170" formatCode="_)d\-mmm\-yy_)"/>
    <numFmt numFmtId="171" formatCode="_(&quot;$&quot;#,##0.0_);\(&quot;$&quot;#,##0.0\);_(&quot;-&quot;_)"/>
    <numFmt numFmtId="172" formatCode="0.0"/>
    <numFmt numFmtId="173" formatCode="[Red]\●;[Red]\●;[Color10]\●"/>
    <numFmt numFmtId="174" formatCode="[Green]\●;[Red]\●;[Color16]\●"/>
    <numFmt numFmtId="175" formatCode="_(#,##0.000_);\(#,##0.000\);_(&quot;-&quot;_)"/>
    <numFmt numFmtId="176" formatCode="_(#,##0.00%_);\(#,##0.00%\);_(&quot;-&quot;_)"/>
    <numFmt numFmtId="177" formatCode="_-* #,##0_-;\-* #,##0_-;_-* &quot;-&quot;??_-;_-@_-"/>
  </numFmts>
  <fonts count="47" x14ac:knownFonts="1">
    <font>
      <sz val="8"/>
      <color rgb="FFFF0066"/>
      <name val="Helvetica"/>
      <family val="2"/>
    </font>
    <font>
      <b/>
      <sz val="9"/>
      <color theme="1"/>
      <name val="Helvetica"/>
      <family val="2"/>
    </font>
    <font>
      <sz val="8"/>
      <color theme="1"/>
      <name val="Helvetica"/>
      <family val="2"/>
    </font>
    <font>
      <b/>
      <sz val="8"/>
      <color theme="1"/>
      <name val="Helvetica"/>
      <family val="2"/>
    </font>
    <font>
      <b/>
      <sz val="11"/>
      <color theme="1"/>
      <name val="Calibri"/>
      <family val="2"/>
      <scheme val="minor"/>
    </font>
    <font>
      <sz val="8"/>
      <name val="Helvetica"/>
      <family val="2"/>
    </font>
    <font>
      <b/>
      <sz val="18"/>
      <color theme="3"/>
      <name val="Cambria"/>
      <family val="2"/>
      <scheme val="maj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u/>
      <sz val="8"/>
      <color theme="10"/>
      <name val="Helvetica"/>
      <family val="2"/>
    </font>
    <font>
      <b/>
      <sz val="15"/>
      <color theme="1"/>
      <name val="Helvetica"/>
      <family val="2"/>
    </font>
    <font>
      <i/>
      <sz val="8"/>
      <color rgb="FF92D050"/>
      <name val="Helvetica"/>
      <family val="2"/>
    </font>
    <font>
      <b/>
      <sz val="8"/>
      <color theme="0"/>
      <name val="Helvetica"/>
      <family val="2"/>
    </font>
    <font>
      <b/>
      <sz val="8"/>
      <color theme="4"/>
      <name val="Helvetica"/>
      <family val="2"/>
    </font>
    <font>
      <sz val="8"/>
      <color theme="4"/>
      <name val="Helvetica"/>
      <family val="2"/>
    </font>
    <font>
      <sz val="7"/>
      <color theme="4"/>
      <name val="Helvetica"/>
      <family val="2"/>
    </font>
    <font>
      <b/>
      <sz val="15"/>
      <color theme="4"/>
      <name val="Helvetica"/>
      <family val="2"/>
    </font>
    <font>
      <i/>
      <sz val="8"/>
      <color theme="6" tint="0.39994506668294322"/>
      <name val="Helvetica"/>
      <family val="2"/>
    </font>
    <font>
      <b/>
      <sz val="10"/>
      <color theme="1"/>
      <name val="Helvetica"/>
      <family val="2"/>
    </font>
    <font>
      <sz val="10"/>
      <color theme="1"/>
      <name val="Helvetica"/>
      <family val="2"/>
    </font>
    <font>
      <sz val="10"/>
      <color theme="4"/>
      <name val="Helvetica"/>
      <family val="2"/>
    </font>
    <font>
      <b/>
      <sz val="10"/>
      <color theme="4"/>
      <name val="Helvetica"/>
      <family val="2"/>
    </font>
    <font>
      <b/>
      <sz val="11"/>
      <color theme="1"/>
      <name val="Helvetica"/>
      <family val="2"/>
    </font>
    <font>
      <b/>
      <sz val="11"/>
      <color theme="4"/>
      <name val="Helvetica"/>
      <family val="2"/>
    </font>
    <font>
      <b/>
      <sz val="12"/>
      <color theme="0"/>
      <name val="Helvetica"/>
      <family val="2"/>
    </font>
    <font>
      <b/>
      <sz val="10"/>
      <color theme="5"/>
      <name val="Helvetica"/>
      <family val="2"/>
    </font>
    <font>
      <sz val="10"/>
      <name val="Helvetica"/>
      <family val="2"/>
    </font>
    <font>
      <b/>
      <sz val="10"/>
      <color theme="1"/>
      <name val="Helvetica"/>
    </font>
    <font>
      <b/>
      <sz val="10"/>
      <name val="Helvetica"/>
      <family val="2"/>
    </font>
    <font>
      <sz val="10"/>
      <color theme="1"/>
      <name val="Helvetica"/>
    </font>
    <font>
      <sz val="8"/>
      <color rgb="FFFF0066"/>
      <name val="Helvetica"/>
      <family val="2"/>
    </font>
    <font>
      <b/>
      <sz val="8"/>
      <color indexed="8"/>
      <name val="Arial"/>
      <family val="2"/>
    </font>
    <font>
      <i/>
      <sz val="8"/>
      <color indexed="8"/>
      <name val="Arial"/>
      <family val="2"/>
    </font>
    <font>
      <sz val="8"/>
      <color indexed="8"/>
      <name val="Arial"/>
      <family val="2"/>
    </font>
    <font>
      <b/>
      <sz val="9"/>
      <color indexed="81"/>
      <name val="Tahoma"/>
      <family val="2"/>
    </font>
    <font>
      <sz val="9"/>
      <color indexed="81"/>
      <name val="Tahoma"/>
      <family val="2"/>
    </font>
    <font>
      <sz val="10"/>
      <color rgb="FFFF0000"/>
      <name val="Helvetica"/>
      <family val="2"/>
    </font>
    <font>
      <i/>
      <sz val="8"/>
      <name val="Helvetica"/>
    </font>
    <font>
      <sz val="10"/>
      <color theme="4"/>
      <name val="Helvetica"/>
    </font>
  </fonts>
  <fills count="19">
    <fill>
      <patternFill patternType="none"/>
    </fill>
    <fill>
      <patternFill patternType="gray125"/>
    </fill>
    <fill>
      <patternFill patternType="solid">
        <fgColor theme="3" tint="0.79998168889431442"/>
        <bgColor indexed="64"/>
      </patternFill>
    </fill>
    <fill>
      <patternFill patternType="solid">
        <fgColor theme="0" tint="-0.149967955565050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bgColor indexed="64"/>
      </patternFill>
    </fill>
    <fill>
      <patternFill patternType="solid">
        <fgColor theme="4" tint="0.79998168889431442"/>
        <bgColor indexed="64"/>
      </patternFill>
    </fill>
    <fill>
      <patternFill patternType="solid">
        <fgColor theme="9" tint="-0.24994659260841701"/>
        <bgColor indexed="64"/>
      </patternFill>
    </fill>
    <fill>
      <patternFill patternType="solid">
        <fgColor theme="6" tint="-0.24994659260841701"/>
        <bgColor indexed="64"/>
      </patternFill>
    </fill>
    <fill>
      <patternFill patternType="solid">
        <fgColor theme="6" tint="0.39994506668294322"/>
        <bgColor indexed="64"/>
      </patternFill>
    </fill>
    <fill>
      <patternFill patternType="solid">
        <fgColor theme="6" tint="0.59996337778862885"/>
        <bgColor indexed="64"/>
      </patternFill>
    </fill>
    <fill>
      <patternFill patternType="lightUp"/>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right/>
      <top style="thin">
        <color auto="1"/>
      </top>
      <bottom/>
      <diagonal/>
    </border>
    <border>
      <left style="thin">
        <color theme="0"/>
      </left>
      <right style="thin">
        <color theme="0"/>
      </right>
      <top style="thin">
        <color theme="0"/>
      </top>
      <bottom style="thin">
        <color theme="0"/>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dotted">
        <color auto="1"/>
      </right>
      <top/>
      <bottom/>
      <diagonal/>
    </border>
    <border>
      <left/>
      <right style="dotted">
        <color auto="1"/>
      </right>
      <top/>
      <bottom style="thin">
        <color auto="1"/>
      </bottom>
      <diagonal/>
    </border>
    <border>
      <left/>
      <right style="hair">
        <color auto="1"/>
      </right>
      <top/>
      <bottom style="thin">
        <color auto="1"/>
      </bottom>
      <diagonal/>
    </border>
    <border>
      <left/>
      <right/>
      <top style="thin">
        <color auto="1"/>
      </top>
      <bottom style="thin">
        <color auto="1"/>
      </bottom>
      <diagonal/>
    </border>
    <border>
      <left style="medium">
        <color theme="5"/>
      </left>
      <right style="medium">
        <color theme="5"/>
      </right>
      <top style="medium">
        <color theme="5"/>
      </top>
      <bottom/>
      <diagonal/>
    </border>
    <border>
      <left style="medium">
        <color theme="5"/>
      </left>
      <right style="medium">
        <color theme="5"/>
      </right>
      <top/>
      <bottom/>
      <diagonal/>
    </border>
    <border>
      <left style="medium">
        <color theme="5"/>
      </left>
      <right style="medium">
        <color theme="5"/>
      </right>
      <top/>
      <bottom style="medium">
        <color theme="5"/>
      </bottom>
      <diagonal/>
    </border>
    <border>
      <left/>
      <right/>
      <top style="thin">
        <color theme="0"/>
      </top>
      <bottom/>
      <diagonal/>
    </border>
    <border>
      <left/>
      <right style="dotted">
        <color auto="1"/>
      </right>
      <top style="thin">
        <color auto="1"/>
      </top>
      <bottom/>
      <diagonal/>
    </border>
    <border>
      <left/>
      <right/>
      <top style="dotted">
        <color auto="1"/>
      </top>
      <bottom/>
      <diagonal/>
    </border>
    <border>
      <left style="dotted">
        <color auto="1"/>
      </left>
      <right/>
      <top/>
      <bottom style="dotted">
        <color auto="1"/>
      </bottom>
      <diagonal/>
    </border>
    <border>
      <left style="dotted">
        <color auto="1"/>
      </left>
      <right/>
      <top/>
      <bottom/>
      <diagonal/>
    </border>
  </borders>
  <cellStyleXfs count="57">
    <xf numFmtId="0" fontId="0" fillId="0" borderId="0"/>
    <xf numFmtId="168" fontId="2" fillId="0" borderId="0" applyFill="0" applyBorder="0" applyProtection="0">
      <alignment vertical="center"/>
    </xf>
    <xf numFmtId="0" fontId="6" fillId="0" borderId="0" applyNumberFormat="0" applyFill="0" applyBorder="0" applyAlignment="0" applyProtection="0"/>
    <xf numFmtId="0" fontId="32" fillId="11" borderId="0" applyBorder="0">
      <alignment horizontal="left" vertical="center"/>
    </xf>
    <xf numFmtId="0" fontId="1" fillId="3" borderId="0" applyProtection="0">
      <alignment vertical="center"/>
    </xf>
    <xf numFmtId="0" fontId="3" fillId="0" borderId="0" applyFill="0" applyProtection="0">
      <alignment vertical="center"/>
    </xf>
    <xf numFmtId="0" fontId="2" fillId="0" borderId="0" applyFill="0" applyBorder="0" applyProtection="0">
      <alignment vertical="center"/>
    </xf>
    <xf numFmtId="0" fontId="4" fillId="0" borderId="5" applyNumberFormat="0" applyFill="0" applyAlignment="0" applyProtection="0"/>
    <xf numFmtId="0" fontId="28" fillId="12" borderId="4">
      <alignment horizontal="left" vertical="center"/>
      <protection locked="0"/>
    </xf>
    <xf numFmtId="164" fontId="27" fillId="0" borderId="0" applyFill="0" applyBorder="0">
      <alignment horizontal="center" vertical="center"/>
    </xf>
    <xf numFmtId="164" fontId="28" fillId="2" borderId="4">
      <alignment horizontal="center" vertical="center"/>
      <protection locked="0"/>
    </xf>
    <xf numFmtId="170" fontId="27" fillId="0" borderId="0" applyFill="0" applyBorder="0">
      <alignment horizontal="center" vertical="center"/>
    </xf>
    <xf numFmtId="170" fontId="28" fillId="12" borderId="4">
      <alignment horizontal="center" vertical="center"/>
      <protection locked="0"/>
    </xf>
    <xf numFmtId="165" fontId="27" fillId="0" borderId="0" applyFill="0" applyBorder="0">
      <alignment horizontal="right" vertical="center"/>
    </xf>
    <xf numFmtId="165" fontId="28" fillId="12" borderId="4">
      <alignment horizontal="right" vertical="center"/>
      <protection locked="0"/>
    </xf>
    <xf numFmtId="167" fontId="27" fillId="0" borderId="0" applyFill="0" applyBorder="0">
      <alignment horizontal="right" vertical="center"/>
    </xf>
    <xf numFmtId="167" fontId="28" fillId="12" borderId="4">
      <alignment horizontal="right" vertical="center"/>
      <protection locked="0"/>
    </xf>
    <xf numFmtId="166" fontId="27" fillId="0" borderId="0" applyFill="0" applyBorder="0">
      <alignment horizontal="right" vertical="center"/>
    </xf>
    <xf numFmtId="166" fontId="28" fillId="12" borderId="4">
      <alignment horizontal="right" vertical="center"/>
      <protection locked="0"/>
    </xf>
    <xf numFmtId="168" fontId="28" fillId="12" borderId="4">
      <alignment horizontal="right" vertical="center"/>
      <protection locked="0"/>
    </xf>
    <xf numFmtId="0" fontId="24" fillId="0" borderId="0" applyFill="0" applyBorder="0">
      <alignment horizontal="left" vertical="center"/>
    </xf>
    <xf numFmtId="0" fontId="7" fillId="4" borderId="0" applyNumberFormat="0" applyBorder="0" applyAlignment="0" applyProtection="0"/>
    <xf numFmtId="0" fontId="8" fillId="5" borderId="0" applyNumberFormat="0" applyBorder="0" applyAlignment="0" applyProtection="0"/>
    <xf numFmtId="0" fontId="9" fillId="6" borderId="0" applyNumberFormat="0" applyBorder="0" applyAlignment="0" applyProtection="0"/>
    <xf numFmtId="0" fontId="10" fillId="7" borderId="6" applyNumberFormat="0" applyAlignment="0" applyProtection="0"/>
    <xf numFmtId="0" fontId="11" fillId="8" borderId="7" applyNumberFormat="0" applyAlignment="0" applyProtection="0"/>
    <xf numFmtId="0" fontId="12" fillId="8" borderId="6" applyNumberFormat="0" applyAlignment="0" applyProtection="0"/>
    <xf numFmtId="0" fontId="13" fillId="0" borderId="8" applyNumberFormat="0" applyFill="0" applyAlignment="0" applyProtection="0"/>
    <xf numFmtId="0" fontId="14" fillId="9" borderId="9" applyNumberFormat="0" applyAlignment="0" applyProtection="0"/>
    <xf numFmtId="0" fontId="15" fillId="0" borderId="0" applyNumberFormat="0" applyFill="0" applyBorder="0" applyAlignment="0" applyProtection="0"/>
    <xf numFmtId="0" fontId="2" fillId="10" borderId="10" applyNumberFormat="0" applyFont="0" applyAlignment="0" applyProtection="0"/>
    <xf numFmtId="0" fontId="16" fillId="0" borderId="0" applyNumberFormat="0" applyFill="0" applyBorder="0" applyAlignment="0" applyProtection="0"/>
    <xf numFmtId="0" fontId="17" fillId="0" borderId="0" applyNumberFormat="0" applyFill="0" applyBorder="0">
      <alignment horizontal="left" vertical="center"/>
    </xf>
    <xf numFmtId="0" fontId="18" fillId="0" borderId="0" applyFill="0" applyBorder="0">
      <alignment vertical="center"/>
    </xf>
    <xf numFmtId="0" fontId="29" fillId="0" borderId="0" applyFill="0" applyBorder="0">
      <alignment horizontal="left" vertical="center"/>
    </xf>
    <xf numFmtId="0" fontId="36" fillId="0" borderId="0" applyFill="0" applyBorder="0">
      <alignment horizontal="left" vertical="center"/>
    </xf>
    <xf numFmtId="0" fontId="28" fillId="0" borderId="0" applyFill="0" applyBorder="0">
      <alignment horizontal="left" vertical="center"/>
    </xf>
    <xf numFmtId="0" fontId="27" fillId="0" borderId="0" applyFill="0" applyBorder="0">
      <alignment vertical="center"/>
    </xf>
    <xf numFmtId="0" fontId="31" fillId="15" borderId="0" applyBorder="0">
      <alignment horizontal="left" vertical="center"/>
    </xf>
    <xf numFmtId="0" fontId="30" fillId="15" borderId="0" applyBorder="0">
      <alignment horizontal="left" vertical="center"/>
    </xf>
    <xf numFmtId="171" fontId="27" fillId="0" borderId="0" applyFill="0" applyBorder="0">
      <alignment horizontal="right" vertical="center"/>
    </xf>
    <xf numFmtId="0" fontId="23" fillId="0" borderId="0">
      <alignment horizontal="right" vertical="center"/>
    </xf>
    <xf numFmtId="0" fontId="20" fillId="13" borderId="0">
      <alignment horizontal="left" indent="3"/>
    </xf>
    <xf numFmtId="0" fontId="20" fillId="14" borderId="0">
      <alignment horizontal="left" indent="3"/>
    </xf>
    <xf numFmtId="173" fontId="5" fillId="0" borderId="0">
      <alignment horizontal="center" vertical="center"/>
    </xf>
    <xf numFmtId="174" fontId="22" fillId="12" borderId="4">
      <alignment horizontal="center" vertical="center"/>
      <protection locked="0"/>
    </xf>
    <xf numFmtId="174" fontId="5" fillId="0" borderId="0"/>
    <xf numFmtId="165" fontId="28" fillId="0" borderId="0" applyFill="0" applyBorder="0">
      <alignment horizontal="right" vertical="center"/>
    </xf>
    <xf numFmtId="170" fontId="28" fillId="0" borderId="0" applyFill="0" applyBorder="0">
      <alignment horizontal="center" vertical="center"/>
    </xf>
    <xf numFmtId="171" fontId="28" fillId="0" borderId="0" applyFill="0" applyBorder="0">
      <alignment horizontal="right" vertical="center"/>
    </xf>
    <xf numFmtId="166" fontId="28" fillId="0" borderId="0" applyFill="0" applyBorder="0">
      <alignment horizontal="right" vertical="center"/>
    </xf>
    <xf numFmtId="167" fontId="28" fillId="0" borderId="0" applyFill="0" applyBorder="0">
      <alignment horizontal="right" vertical="center"/>
    </xf>
    <xf numFmtId="164" fontId="28" fillId="0" borderId="0" applyFill="0" applyBorder="0">
      <alignment horizontal="center" vertical="center"/>
    </xf>
    <xf numFmtId="0" fontId="28" fillId="16" borderId="4">
      <alignment horizontal="center" vertical="center"/>
      <protection locked="0"/>
    </xf>
    <xf numFmtId="0" fontId="5" fillId="17" borderId="0"/>
    <xf numFmtId="165" fontId="34" fillId="3" borderId="4">
      <alignment horizontal="right" vertical="center"/>
      <protection locked="0"/>
    </xf>
    <xf numFmtId="9" fontId="38" fillId="0" borderId="0" applyFont="0" applyFill="0" applyBorder="0" applyAlignment="0" applyProtection="0"/>
  </cellStyleXfs>
  <cellXfs count="150">
    <xf numFmtId="0" fontId="0" fillId="0" borderId="0" xfId="0"/>
    <xf numFmtId="0" fontId="0" fillId="0" borderId="0" xfId="0" applyFont="1"/>
    <xf numFmtId="0" fontId="0" fillId="0" borderId="0" xfId="0" applyFont="1" applyFill="1"/>
    <xf numFmtId="0" fontId="0" fillId="0" borderId="0" xfId="0" applyFont="1" applyFill="1" applyAlignment="1">
      <alignment horizontal="left"/>
    </xf>
    <xf numFmtId="0" fontId="32" fillId="11" borderId="0" xfId="3">
      <alignment horizontal="left" vertical="center"/>
    </xf>
    <xf numFmtId="0" fontId="24" fillId="0" borderId="0" xfId="20">
      <alignment horizontal="left" vertical="center"/>
    </xf>
    <xf numFmtId="0" fontId="0" fillId="0" borderId="0" xfId="0" applyFont="1" applyFill="1"/>
    <xf numFmtId="0" fontId="0" fillId="0" borderId="0" xfId="0" applyFont="1"/>
    <xf numFmtId="0" fontId="29" fillId="0" borderId="0" xfId="34">
      <alignment horizontal="left" vertical="center"/>
    </xf>
    <xf numFmtId="0" fontId="0" fillId="0" borderId="0" xfId="0"/>
    <xf numFmtId="0" fontId="36" fillId="0" borderId="0" xfId="35" applyFill="1">
      <alignment horizontal="left" vertical="center"/>
    </xf>
    <xf numFmtId="0" fontId="28" fillId="0" borderId="0" xfId="36">
      <alignment horizontal="left" vertical="center"/>
    </xf>
    <xf numFmtId="0" fontId="27" fillId="0" borderId="0" xfId="37">
      <alignment vertical="center"/>
    </xf>
    <xf numFmtId="0" fontId="31" fillId="15" borderId="0" xfId="38">
      <alignment horizontal="left" vertical="center"/>
    </xf>
    <xf numFmtId="0" fontId="29" fillId="0" borderId="0" xfId="34" applyFill="1">
      <alignment horizontal="left" vertical="center"/>
    </xf>
    <xf numFmtId="0" fontId="27" fillId="0" borderId="0" xfId="37" applyFill="1">
      <alignment vertical="center"/>
    </xf>
    <xf numFmtId="0" fontId="28" fillId="0" borderId="0" xfId="36" applyFill="1">
      <alignment horizontal="left" vertical="center"/>
    </xf>
    <xf numFmtId="0" fontId="28" fillId="0" borderId="1" xfId="36" applyBorder="1" applyAlignment="1">
      <alignment horizontal="center" vertical="center"/>
    </xf>
    <xf numFmtId="0" fontId="19" fillId="0" borderId="0" xfId="37" applyFont="1" applyFill="1">
      <alignment vertical="center"/>
    </xf>
    <xf numFmtId="0" fontId="28" fillId="0" borderId="0" xfId="36" applyAlignment="1">
      <alignment horizontal="right" vertical="center"/>
    </xf>
    <xf numFmtId="0" fontId="29" fillId="0" borderId="0" xfId="34" applyAlignment="1">
      <alignment horizontal="center" vertical="center"/>
    </xf>
    <xf numFmtId="0" fontId="0" fillId="0" borderId="0" xfId="0" applyFont="1" applyAlignment="1">
      <alignment horizontal="center"/>
    </xf>
    <xf numFmtId="0" fontId="28" fillId="0" borderId="0" xfId="36" applyAlignment="1">
      <alignment horizontal="center" vertical="center"/>
    </xf>
    <xf numFmtId="4" fontId="0" fillId="0" borderId="0" xfId="0" applyNumberFormat="1" applyFont="1"/>
    <xf numFmtId="172" fontId="0" fillId="0" borderId="0" xfId="0" applyNumberFormat="1" applyFont="1"/>
    <xf numFmtId="0" fontId="32" fillId="11" borderId="0" xfId="3" applyFill="1">
      <alignment horizontal="left" vertical="center"/>
    </xf>
    <xf numFmtId="0" fontId="25" fillId="0" borderId="0" xfId="37" applyFont="1" applyFill="1">
      <alignment vertical="center"/>
    </xf>
    <xf numFmtId="169" fontId="27" fillId="0" borderId="0" xfId="13" applyNumberFormat="1">
      <alignment horizontal="right" vertical="center"/>
    </xf>
    <xf numFmtId="173" fontId="5" fillId="0" borderId="3" xfId="44" applyBorder="1" applyAlignment="1">
      <alignment horizontal="center"/>
    </xf>
    <xf numFmtId="0" fontId="27" fillId="0" borderId="3" xfId="37" applyBorder="1">
      <alignment vertical="center"/>
    </xf>
    <xf numFmtId="0" fontId="0" fillId="0" borderId="14" xfId="0" applyBorder="1"/>
    <xf numFmtId="0" fontId="0" fillId="0" borderId="3" xfId="0" applyBorder="1"/>
    <xf numFmtId="0" fontId="0" fillId="0" borderId="15" xfId="0" applyBorder="1"/>
    <xf numFmtId="0" fontId="0" fillId="0" borderId="12" xfId="0" applyBorder="1"/>
    <xf numFmtId="0" fontId="0" fillId="0" borderId="0" xfId="0" applyBorder="1"/>
    <xf numFmtId="0" fontId="0" fillId="0" borderId="11" xfId="0" applyBorder="1"/>
    <xf numFmtId="0" fontId="28" fillId="0" borderId="0" xfId="36" applyBorder="1">
      <alignment horizontal="left" vertical="center"/>
    </xf>
    <xf numFmtId="0" fontId="29" fillId="0" borderId="0" xfId="34" applyBorder="1" applyAlignment="1">
      <alignment horizontal="center" vertical="center"/>
    </xf>
    <xf numFmtId="0" fontId="36" fillId="0" borderId="0" xfId="35" applyBorder="1" applyAlignment="1">
      <alignment horizontal="center" vertical="center"/>
    </xf>
    <xf numFmtId="0" fontId="20" fillId="11" borderId="0" xfId="3" applyFont="1" applyBorder="1" applyAlignment="1">
      <alignment horizontal="center" vertical="center"/>
    </xf>
    <xf numFmtId="0" fontId="21" fillId="15" borderId="0" xfId="38" applyFont="1" applyBorder="1" applyAlignment="1">
      <alignment horizontal="center" vertical="center"/>
    </xf>
    <xf numFmtId="0" fontId="0" fillId="0" borderId="16" xfId="0" applyBorder="1"/>
    <xf numFmtId="0" fontId="0" fillId="0" borderId="2" xfId="0" applyBorder="1"/>
    <xf numFmtId="0" fontId="0" fillId="0" borderId="13" xfId="0" applyBorder="1"/>
    <xf numFmtId="0" fontId="28" fillId="12" borderId="4" xfId="8" applyBorder="1" applyAlignment="1">
      <alignment horizontal="center" vertical="center"/>
      <protection locked="0"/>
    </xf>
    <xf numFmtId="0" fontId="29" fillId="0" borderId="0" xfId="34" applyFill="1" applyBorder="1" applyAlignment="1">
      <alignment vertical="center"/>
    </xf>
    <xf numFmtId="0" fontId="26" fillId="0" borderId="0" xfId="3" applyFont="1" applyFill="1">
      <alignment horizontal="left" vertical="center"/>
    </xf>
    <xf numFmtId="0" fontId="33" fillId="0" borderId="0" xfId="0" applyFont="1" applyFill="1" applyAlignment="1">
      <alignment horizontal="center"/>
    </xf>
    <xf numFmtId="0" fontId="17" fillId="0" borderId="0" xfId="32" applyBorder="1">
      <alignment horizontal="left" vertical="center"/>
    </xf>
    <xf numFmtId="0" fontId="17" fillId="0" borderId="0" xfId="32">
      <alignment horizontal="left" vertical="center"/>
    </xf>
    <xf numFmtId="0" fontId="17" fillId="0" borderId="0" xfId="32" applyAlignment="1">
      <alignment horizontal="center" vertical="center"/>
    </xf>
    <xf numFmtId="0" fontId="5" fillId="17" borderId="0" xfId="54"/>
    <xf numFmtId="0" fontId="28" fillId="16" borderId="4" xfId="53">
      <alignment horizontal="center" vertical="center"/>
      <protection locked="0"/>
    </xf>
    <xf numFmtId="165" fontId="28" fillId="3" borderId="4" xfId="14" applyFill="1">
      <alignment horizontal="right" vertical="center"/>
      <protection locked="0"/>
    </xf>
    <xf numFmtId="0" fontId="0" fillId="0" borderId="0" xfId="0" applyFill="1"/>
    <xf numFmtId="0" fontId="17" fillId="0" borderId="0" xfId="32" applyFill="1">
      <alignment horizontal="left" vertical="center"/>
    </xf>
    <xf numFmtId="170" fontId="28" fillId="0" borderId="1" xfId="48" applyBorder="1">
      <alignment horizontal="center" vertical="center"/>
    </xf>
    <xf numFmtId="170" fontId="27" fillId="0" borderId="0" xfId="11" applyAlignment="1">
      <alignment horizontal="right" vertical="center"/>
    </xf>
    <xf numFmtId="0" fontId="36" fillId="0" borderId="0" xfId="35" applyAlignment="1">
      <alignment horizontal="right" vertical="center"/>
    </xf>
    <xf numFmtId="0" fontId="36" fillId="0" borderId="0" xfId="35" applyAlignment="1">
      <alignment horizontal="center" vertical="center"/>
    </xf>
    <xf numFmtId="170" fontId="27" fillId="0" borderId="0" xfId="11" applyAlignment="1">
      <alignment horizontal="center" vertical="center"/>
    </xf>
    <xf numFmtId="169" fontId="27" fillId="0" borderId="0" xfId="13" applyNumberFormat="1" applyAlignment="1">
      <alignment horizontal="center" vertical="center"/>
    </xf>
    <xf numFmtId="0" fontId="27" fillId="0" borderId="0" xfId="37" applyAlignment="1">
      <alignment horizontal="center" vertical="center"/>
    </xf>
    <xf numFmtId="0" fontId="36" fillId="0" borderId="2" xfId="35" applyBorder="1" applyAlignment="1">
      <alignment horizontal="center" vertical="center"/>
    </xf>
    <xf numFmtId="165" fontId="27" fillId="0" borderId="0" xfId="13" applyFill="1" applyAlignment="1">
      <alignment horizontal="center" vertical="center"/>
    </xf>
    <xf numFmtId="0" fontId="36" fillId="0" borderId="3" xfId="35" applyFill="1" applyBorder="1" applyAlignment="1">
      <alignment horizontal="center" vertical="center"/>
    </xf>
    <xf numFmtId="0" fontId="28" fillId="0" borderId="0" xfId="36" applyFill="1" applyAlignment="1">
      <alignment horizontal="center" vertical="center"/>
    </xf>
    <xf numFmtId="173" fontId="5" fillId="0" borderId="0" xfId="44" applyBorder="1" applyAlignment="1">
      <alignment horizontal="center" vertical="center"/>
    </xf>
    <xf numFmtId="0" fontId="36" fillId="0" borderId="0" xfId="35" applyAlignment="1">
      <alignment horizontal="center" vertical="center" wrapText="1"/>
    </xf>
    <xf numFmtId="0" fontId="36" fillId="0" borderId="2" xfId="35" applyBorder="1" applyAlignment="1">
      <alignment horizontal="center" vertical="center" wrapText="1"/>
    </xf>
    <xf numFmtId="0" fontId="36" fillId="0" borderId="2" xfId="35" applyBorder="1">
      <alignment horizontal="left" vertical="center"/>
    </xf>
    <xf numFmtId="0" fontId="36" fillId="0" borderId="3" xfId="35" applyFill="1" applyBorder="1">
      <alignment horizontal="left" vertical="center"/>
    </xf>
    <xf numFmtId="0" fontId="27" fillId="0" borderId="0" xfId="37" applyFill="1" applyAlignment="1">
      <alignment horizontal="center" vertical="center"/>
    </xf>
    <xf numFmtId="173" fontId="5" fillId="0" borderId="0" xfId="44" applyFill="1" applyBorder="1" applyAlignment="1">
      <alignment horizontal="center" vertical="center"/>
    </xf>
    <xf numFmtId="0" fontId="37" fillId="0" borderId="0" xfId="37" applyFont="1">
      <alignment vertical="center"/>
    </xf>
    <xf numFmtId="20" fontId="0" fillId="0" borderId="0" xfId="0" quotePrefix="1" applyNumberFormat="1"/>
    <xf numFmtId="0" fontId="0" fillId="0" borderId="17" xfId="0" applyFont="1" applyBorder="1"/>
    <xf numFmtId="0" fontId="36" fillId="0" borderId="18" xfId="35" applyBorder="1" applyAlignment="1">
      <alignment horizontal="center" vertical="center" wrapText="1"/>
    </xf>
    <xf numFmtId="0" fontId="0" fillId="0" borderId="0" xfId="0" applyFont="1" applyBorder="1"/>
    <xf numFmtId="176" fontId="28" fillId="3" borderId="4" xfId="16" applyNumberFormat="1" applyFill="1" applyBorder="1" applyAlignment="1">
      <alignment horizontal="center" vertical="center"/>
      <protection locked="0"/>
    </xf>
    <xf numFmtId="165" fontId="27" fillId="0" borderId="0" xfId="13" applyFill="1" applyBorder="1" applyAlignment="1">
      <alignment horizontal="center" vertical="center"/>
    </xf>
    <xf numFmtId="177" fontId="39" fillId="0" borderId="0" xfId="0" applyNumberFormat="1" applyFont="1"/>
    <xf numFmtId="177" fontId="40" fillId="0" borderId="0" xfId="0" applyNumberFormat="1" applyFont="1" applyAlignment="1">
      <alignment horizontal="center"/>
    </xf>
    <xf numFmtId="177" fontId="41" fillId="0" borderId="0" xfId="0" applyNumberFormat="1" applyFont="1"/>
    <xf numFmtId="177" fontId="40" fillId="0" borderId="0" xfId="0" applyNumberFormat="1" applyFont="1" applyAlignment="1">
      <alignment horizontal="left"/>
    </xf>
    <xf numFmtId="14" fontId="27" fillId="0" borderId="0" xfId="37" applyNumberFormat="1" applyAlignment="1">
      <alignment horizontal="left" vertical="center"/>
    </xf>
    <xf numFmtId="14" fontId="28" fillId="3" borderId="4" xfId="16" applyNumberFormat="1" applyFill="1" applyBorder="1" applyAlignment="1">
      <alignment horizontal="center" vertical="center"/>
      <protection locked="0"/>
    </xf>
    <xf numFmtId="0" fontId="27" fillId="0" borderId="0" xfId="37" applyAlignment="1">
      <alignment horizontal="left" vertical="center"/>
    </xf>
    <xf numFmtId="0" fontId="36" fillId="0" borderId="0" xfId="35" applyBorder="1">
      <alignment horizontal="left" vertical="center"/>
    </xf>
    <xf numFmtId="0" fontId="36" fillId="0" borderId="0" xfId="35" applyBorder="1" applyAlignment="1">
      <alignment horizontal="center" vertical="center" wrapText="1"/>
    </xf>
    <xf numFmtId="10" fontId="27" fillId="0" borderId="0" xfId="56" applyNumberFormat="1" applyFont="1" applyFill="1" applyAlignment="1">
      <alignment horizontal="center" vertical="center"/>
    </xf>
    <xf numFmtId="177" fontId="41" fillId="0" borderId="0" xfId="0" applyNumberFormat="1" applyFont="1" applyAlignment="1">
      <alignment horizontal="center"/>
    </xf>
    <xf numFmtId="177" fontId="41" fillId="0" borderId="0" xfId="0" applyNumberFormat="1" applyFont="1" applyBorder="1" applyAlignment="1">
      <alignment horizontal="center"/>
    </xf>
    <xf numFmtId="10" fontId="41" fillId="0" borderId="0" xfId="56" applyNumberFormat="1" applyFont="1"/>
    <xf numFmtId="10" fontId="27" fillId="0" borderId="0" xfId="56" applyNumberFormat="1" applyFont="1" applyFill="1" applyBorder="1" applyAlignment="1">
      <alignment horizontal="center" vertical="center"/>
    </xf>
    <xf numFmtId="14" fontId="27" fillId="0" borderId="0" xfId="13" applyNumberFormat="1" applyFill="1" applyBorder="1" applyAlignment="1">
      <alignment horizontal="center" vertical="center"/>
    </xf>
    <xf numFmtId="0" fontId="27" fillId="0" borderId="0" xfId="37" applyFill="1" applyAlignment="1">
      <alignment horizontal="left" vertical="center"/>
    </xf>
    <xf numFmtId="10" fontId="35" fillId="0" borderId="3" xfId="56" applyNumberFormat="1" applyFont="1" applyFill="1" applyBorder="1" applyAlignment="1">
      <alignment horizontal="center" vertical="center"/>
    </xf>
    <xf numFmtId="0" fontId="27" fillId="0" borderId="0" xfId="56" applyNumberFormat="1" applyFont="1" applyFill="1" applyBorder="1" applyAlignment="1">
      <alignment horizontal="center" vertical="center"/>
    </xf>
    <xf numFmtId="10" fontId="0" fillId="0" borderId="0" xfId="56" applyNumberFormat="1" applyFont="1"/>
    <xf numFmtId="10" fontId="0" fillId="0" borderId="0" xfId="56" applyNumberFormat="1" applyFont="1" applyFill="1"/>
    <xf numFmtId="0" fontId="44" fillId="0" borderId="0" xfId="36" applyFont="1" applyFill="1" applyBorder="1">
      <alignment horizontal="left" vertical="center"/>
    </xf>
    <xf numFmtId="0" fontId="36" fillId="0" borderId="2" xfId="35" applyBorder="1" applyAlignment="1">
      <alignment horizontal="center" vertical="center" wrapText="1"/>
    </xf>
    <xf numFmtId="0" fontId="36" fillId="0" borderId="2" xfId="35" applyBorder="1" applyAlignment="1">
      <alignment horizontal="center" vertical="center"/>
    </xf>
    <xf numFmtId="10" fontId="27" fillId="0" borderId="21" xfId="56" applyNumberFormat="1" applyFont="1" applyFill="1" applyBorder="1" applyAlignment="1">
      <alignment horizontal="center" vertical="center"/>
    </xf>
    <xf numFmtId="10" fontId="27" fillId="0" borderId="22" xfId="56" applyNumberFormat="1" applyFont="1" applyFill="1" applyBorder="1" applyAlignment="1">
      <alignment horizontal="center" vertical="center"/>
    </xf>
    <xf numFmtId="10" fontId="27" fillId="0" borderId="23" xfId="56" applyNumberFormat="1" applyFont="1" applyFill="1" applyBorder="1" applyAlignment="1">
      <alignment horizontal="center" vertical="center"/>
    </xf>
    <xf numFmtId="0" fontId="36" fillId="0" borderId="2" xfId="35" applyBorder="1" applyAlignment="1">
      <alignment horizontal="center" vertical="center"/>
    </xf>
    <xf numFmtId="10" fontId="0" fillId="0" borderId="0" xfId="0" applyNumberFormat="1" applyFont="1" applyFill="1"/>
    <xf numFmtId="0" fontId="36" fillId="0" borderId="2" xfId="35" applyBorder="1" applyAlignment="1">
      <alignment horizontal="center" vertical="center" wrapText="1"/>
    </xf>
    <xf numFmtId="0" fontId="36" fillId="0" borderId="2" xfId="35" applyBorder="1" applyAlignment="1">
      <alignment horizontal="center" vertical="center"/>
    </xf>
    <xf numFmtId="0" fontId="36" fillId="0" borderId="2" xfId="35" applyBorder="1" applyAlignment="1">
      <alignment horizontal="center" vertical="center" wrapText="1"/>
    </xf>
    <xf numFmtId="0" fontId="27" fillId="0" borderId="0" xfId="37" applyAlignment="1">
      <alignment horizontal="left" vertical="center" indent="2"/>
    </xf>
    <xf numFmtId="0" fontId="27" fillId="0" borderId="0" xfId="37" applyFill="1" applyAlignment="1">
      <alignment horizontal="left" vertical="center" indent="1"/>
    </xf>
    <xf numFmtId="10" fontId="35" fillId="0" borderId="25" xfId="56" applyNumberFormat="1" applyFont="1" applyFill="1" applyBorder="1" applyAlignment="1">
      <alignment horizontal="center" vertical="center"/>
    </xf>
    <xf numFmtId="0" fontId="27" fillId="0" borderId="26" xfId="37" applyFill="1" applyBorder="1" applyAlignment="1">
      <alignment horizontal="left" vertical="center" indent="1"/>
    </xf>
    <xf numFmtId="0" fontId="27" fillId="0" borderId="26" xfId="37" applyFill="1" applyBorder="1" applyAlignment="1">
      <alignment horizontal="center" vertical="center"/>
    </xf>
    <xf numFmtId="0" fontId="27" fillId="0" borderId="26" xfId="37" applyBorder="1" applyAlignment="1">
      <alignment horizontal="center" vertical="center"/>
    </xf>
    <xf numFmtId="10" fontId="27" fillId="0" borderId="26" xfId="56" applyNumberFormat="1" applyFont="1" applyFill="1" applyBorder="1" applyAlignment="1">
      <alignment horizontal="center" vertical="center"/>
    </xf>
    <xf numFmtId="10" fontId="27" fillId="0" borderId="28" xfId="56" applyNumberFormat="1" applyFont="1" applyFill="1" applyBorder="1" applyAlignment="1">
      <alignment horizontal="center" vertical="center"/>
    </xf>
    <xf numFmtId="10" fontId="27" fillId="0" borderId="27" xfId="56" applyNumberFormat="1" applyFont="1" applyFill="1" applyBorder="1" applyAlignment="1">
      <alignment horizontal="center" vertical="center"/>
    </xf>
    <xf numFmtId="175" fontId="28" fillId="3" borderId="4" xfId="16" applyNumberFormat="1" applyFill="1" applyBorder="1" applyAlignment="1">
      <alignment horizontal="center" vertical="center"/>
      <protection locked="0"/>
    </xf>
    <xf numFmtId="0" fontId="36" fillId="0" borderId="2" xfId="35" applyBorder="1" applyAlignment="1">
      <alignment horizontal="center" vertical="center" wrapText="1"/>
    </xf>
    <xf numFmtId="170" fontId="28" fillId="3" borderId="4" xfId="12" applyFill="1" applyAlignment="1">
      <alignment horizontal="left" vertical="center"/>
      <protection locked="0"/>
    </xf>
    <xf numFmtId="0" fontId="0" fillId="17" borderId="0" xfId="0" applyFont="1" applyFill="1"/>
    <xf numFmtId="0" fontId="44" fillId="17" borderId="24" xfId="37" applyFont="1" applyFill="1" applyBorder="1" applyAlignment="1">
      <alignment horizontal="center" vertical="center"/>
    </xf>
    <xf numFmtId="0" fontId="35" fillId="0" borderId="0" xfId="37" applyFont="1">
      <alignment vertical="center"/>
    </xf>
    <xf numFmtId="0" fontId="35" fillId="0" borderId="0" xfId="37" applyFont="1" applyFill="1" applyAlignment="1">
      <alignment horizontal="center" vertical="center"/>
    </xf>
    <xf numFmtId="0" fontId="35" fillId="0" borderId="0" xfId="37" applyFont="1" applyAlignment="1">
      <alignment horizontal="center" vertical="center"/>
    </xf>
    <xf numFmtId="176" fontId="35" fillId="0" borderId="0" xfId="15" applyNumberFormat="1" applyFont="1" applyAlignment="1">
      <alignment horizontal="center" vertical="center"/>
    </xf>
    <xf numFmtId="0" fontId="36" fillId="0" borderId="2" xfId="35" applyBorder="1" applyAlignment="1">
      <alignment horizontal="center" vertical="center" wrapText="1"/>
    </xf>
    <xf numFmtId="0" fontId="36" fillId="0" borderId="2" xfId="35" applyBorder="1" applyAlignment="1">
      <alignment horizontal="center" vertical="center"/>
    </xf>
    <xf numFmtId="14" fontId="27" fillId="0" borderId="0" xfId="37" applyNumberFormat="1" applyFill="1" applyAlignment="1">
      <alignment horizontal="left" vertical="center"/>
    </xf>
    <xf numFmtId="0" fontId="45" fillId="0" borderId="0" xfId="0" applyFont="1" applyAlignment="1">
      <alignment horizontal="center"/>
    </xf>
    <xf numFmtId="0" fontId="36" fillId="0" borderId="2" xfId="35" applyBorder="1" applyAlignment="1">
      <alignment horizontal="center" vertical="center" wrapText="1"/>
    </xf>
    <xf numFmtId="0" fontId="36" fillId="0" borderId="2" xfId="35" applyFill="1" applyBorder="1" applyAlignment="1">
      <alignment horizontal="center" vertical="center" wrapText="1"/>
    </xf>
    <xf numFmtId="0" fontId="36" fillId="0" borderId="19" xfId="35" applyFill="1" applyBorder="1" applyAlignment="1">
      <alignment horizontal="center" vertical="center" wrapText="1"/>
    </xf>
    <xf numFmtId="0" fontId="36" fillId="0" borderId="20" xfId="35" applyFill="1" applyBorder="1" applyAlignment="1">
      <alignment horizontal="center" vertical="center" wrapText="1"/>
    </xf>
    <xf numFmtId="0" fontId="5" fillId="0" borderId="0" xfId="0" applyFont="1" applyFill="1"/>
    <xf numFmtId="170" fontId="28" fillId="3" borderId="4" xfId="12" quotePrefix="1" applyFill="1" applyAlignment="1">
      <alignment horizontal="left" vertical="center"/>
      <protection locked="0"/>
    </xf>
    <xf numFmtId="0" fontId="5" fillId="0" borderId="0" xfId="0" applyFont="1" applyFill="1" applyAlignment="1">
      <alignment horizontal="right"/>
    </xf>
    <xf numFmtId="176" fontId="28" fillId="18" borderId="4" xfId="16" applyNumberFormat="1" applyFill="1" applyBorder="1" applyAlignment="1">
      <alignment horizontal="center" vertical="center"/>
      <protection locked="0"/>
    </xf>
    <xf numFmtId="10" fontId="27" fillId="18" borderId="0" xfId="56" applyNumberFormat="1" applyFont="1" applyFill="1" applyBorder="1" applyAlignment="1">
      <alignment horizontal="center" vertical="center"/>
    </xf>
    <xf numFmtId="0" fontId="36" fillId="0" borderId="2" xfId="35" applyBorder="1" applyAlignment="1">
      <alignment horizontal="center" vertical="center" wrapText="1"/>
    </xf>
    <xf numFmtId="0" fontId="36" fillId="0" borderId="19" xfId="35" applyBorder="1" applyAlignment="1">
      <alignment horizontal="center" vertical="center" wrapText="1"/>
    </xf>
    <xf numFmtId="0" fontId="27" fillId="0" borderId="24" xfId="37" applyBorder="1" applyAlignment="1">
      <alignment horizontal="center" vertical="center"/>
    </xf>
    <xf numFmtId="0" fontId="36" fillId="0" borderId="2" xfId="35" applyBorder="1" applyAlignment="1">
      <alignment horizontal="center" vertical="center"/>
    </xf>
    <xf numFmtId="0" fontId="36" fillId="0" borderId="0" xfId="35" applyBorder="1" applyAlignment="1">
      <alignment horizontal="center" vertical="center"/>
    </xf>
    <xf numFmtId="0" fontId="28" fillId="0" borderId="0" xfId="36" applyFill="1" applyAlignment="1">
      <alignment horizontal="left" vertical="top" wrapText="1"/>
    </xf>
    <xf numFmtId="0" fontId="46" fillId="18" borderId="0" xfId="34" applyFont="1" applyFill="1" applyAlignment="1">
      <alignment horizontal="left" vertical="center"/>
    </xf>
  </cellXfs>
  <cellStyles count="57">
    <cellStyle name="Bad" xfId="22" builtinId="27" hidden="1"/>
    <cellStyle name="Calculation" xfId="26" builtinId="22" hidden="1"/>
    <cellStyle name="Check Cell" xfId="28" builtinId="23" hidden="1"/>
    <cellStyle name="Check RedRedGreen" xfId="44"/>
    <cellStyle name="Currency" xfId="1" builtinId="4" hidden="1" customBuiltin="1"/>
    <cellStyle name="Currency" xfId="40"/>
    <cellStyle name="Currency Assumptions" xfId="19"/>
    <cellStyle name="Currency Input" xfId="49"/>
    <cellStyle name="Date" xfId="11"/>
    <cellStyle name="Date Assumptions" xfId="12"/>
    <cellStyle name="Date Input" xfId="48"/>
    <cellStyle name="Dropdown" xfId="53"/>
    <cellStyle name="Explanatory Text" xfId="31" builtinId="53" hidden="1"/>
    <cellStyle name="External Link" xfId="55"/>
    <cellStyle name="Good" xfId="21" builtinId="26" hidden="1"/>
    <cellStyle name="Heading 1" xfId="3" builtinId="16" customBuiltin="1"/>
    <cellStyle name="Heading 2" xfId="4" builtinId="17" hidden="1" customBuiltin="1"/>
    <cellStyle name="Heading 2 Input" xfId="38"/>
    <cellStyle name="Heading 2 Output" xfId="39"/>
    <cellStyle name="Heading 3" xfId="5" builtinId="18" hidden="1" customBuiltin="1"/>
    <cellStyle name="Heading 3 Input" xfId="34"/>
    <cellStyle name="Heading 3 Output" xfId="35"/>
    <cellStyle name="Heading 4" xfId="6" builtinId="19" hidden="1" customBuiltin="1"/>
    <cellStyle name="Heading 4 Assumptions" xfId="8"/>
    <cellStyle name="Heading 4 Input" xfId="36"/>
    <cellStyle name="Heading 4 Output" xfId="37"/>
    <cellStyle name="Hyperlink" xfId="32" builtinId="8" customBuiltin="1"/>
    <cellStyle name="Input" xfId="24" builtinId="20" hidden="1"/>
    <cellStyle name="Line Item Modifier" xfId="41"/>
    <cellStyle name="Linked Cell" xfId="27" builtinId="24" hidden="1"/>
    <cellStyle name="Multiple" xfId="17"/>
    <cellStyle name="Multiple Assumptions" xfId="18"/>
    <cellStyle name="Multiple Input" xfId="50"/>
    <cellStyle name="Neutral" xfId="23" builtinId="28" hidden="1"/>
    <cellStyle name="Normal" xfId="0" builtinId="0" customBuiltin="1"/>
    <cellStyle name="Not Applicable" xfId="54"/>
    <cellStyle name="Note" xfId="30" builtinId="10" hidden="1"/>
    <cellStyle name="Number" xfId="13"/>
    <cellStyle name="Number Assumptions" xfId="14"/>
    <cellStyle name="Number Input" xfId="47"/>
    <cellStyle name="Output" xfId="25" builtinId="21" hidden="1"/>
    <cellStyle name="Percent" xfId="56" builtinId="5"/>
    <cellStyle name="Percentage" xfId="15"/>
    <cellStyle name="Percentage Assumptions" xfId="16"/>
    <cellStyle name="Percentage Input" xfId="51"/>
    <cellStyle name="Sheet Title Input" xfId="20"/>
    <cellStyle name="Sheet Title Output" xfId="33"/>
    <cellStyle name="Table Header 1" xfId="42"/>
    <cellStyle name="Table Header 2" xfId="43"/>
    <cellStyle name="Title" xfId="2" builtinId="15" hidden="1"/>
    <cellStyle name="Total" xfId="7" builtinId="25" hidden="1"/>
    <cellStyle name="Trigger Assumption GreenRedGrey" xfId="45"/>
    <cellStyle name="Trigger GreenRedGrey" xfId="46"/>
    <cellStyle name="Warning Text" xfId="29" builtinId="11" hidden="1"/>
    <cellStyle name="Year" xfId="9"/>
    <cellStyle name="Year Assumptions" xfId="10"/>
    <cellStyle name="Year Input" xfId="52"/>
  </cellStyles>
  <dxfs count="10">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val="0"/>
        <i val="0"/>
        <color rgb="FF00B050"/>
      </font>
    </dxf>
    <dxf>
      <font>
        <b val="0"/>
        <i val="0"/>
        <color rgb="FF00B050"/>
      </font>
    </dxf>
  </dxfs>
  <tableStyles count="0" defaultTableStyle="TableStyleMedium2" defaultPivotStyle="PivotStyleLight16"/>
  <colors>
    <mruColors>
      <color rgb="FFFF0066"/>
      <color rgb="FF139C00"/>
      <color rgb="FF426286"/>
      <color rgb="FFCC990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5</xdr:row>
      <xdr:rowOff>0</xdr:rowOff>
    </xdr:from>
    <xdr:to>
      <xdr:col>4</xdr:col>
      <xdr:colOff>218158</xdr:colOff>
      <xdr:row>8</xdr:row>
      <xdr:rowOff>94952</xdr:rowOff>
    </xdr:to>
    <xdr:pic>
      <xdr:nvPicPr>
        <xdr:cNvPr id="2" name="Picture 1">
          <a:extLst>
            <a:ext uri="{FF2B5EF4-FFF2-40B4-BE49-F238E27FC236}">
              <a16:creationId xmlns:a16="http://schemas.microsoft.com/office/drawing/2014/main" id="{FC78D469-161E-4E0B-9F42-8B575C52C2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6775" y="809625"/>
          <a:ext cx="1283053" cy="5235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X34"/>
  <sheetViews>
    <sheetView showGridLines="0" tabSelected="1" zoomScaleNormal="100" workbookViewId="0">
      <selection activeCell="D35" sqref="D35"/>
    </sheetView>
  </sheetViews>
  <sheetFormatPr defaultColWidth="9.33203125" defaultRowHeight="11.25" x14ac:dyDescent="0.2"/>
  <cols>
    <col min="1" max="1" width="9.33203125" style="9"/>
    <col min="2" max="3" width="5.83203125" style="9" customWidth="1"/>
    <col min="4" max="4" width="12.83203125" style="9" customWidth="1"/>
    <col min="5" max="5" width="9.33203125" style="9"/>
    <col min="6" max="13" width="10.83203125" style="9" customWidth="1"/>
    <col min="14" max="16384" width="9.33203125" style="9"/>
  </cols>
  <sheetData>
    <row r="1" spans="2:15" ht="11.25" customHeight="1" x14ac:dyDescent="0.2"/>
    <row r="2" spans="2:15" ht="11.25" customHeight="1" x14ac:dyDescent="0.2"/>
    <row r="3" spans="2:15" s="7" customFormat="1" ht="19.5" x14ac:dyDescent="0.2">
      <c r="B3" s="5" t="s">
        <v>229</v>
      </c>
    </row>
    <row r="4" spans="2:15" ht="11.25" customHeight="1" x14ac:dyDescent="0.2"/>
    <row r="5" spans="2:15" ht="11.25" customHeight="1" x14ac:dyDescent="0.2">
      <c r="N5" s="75"/>
      <c r="O5" s="75"/>
    </row>
    <row r="6" spans="2:15" ht="11.25" customHeight="1" x14ac:dyDescent="0.2">
      <c r="C6" s="54"/>
      <c r="D6" s="54"/>
      <c r="E6" s="54"/>
      <c r="F6" s="54"/>
      <c r="G6" s="54"/>
      <c r="N6" s="75"/>
      <c r="O6" s="75"/>
    </row>
    <row r="7" spans="2:15" ht="11.25" customHeight="1" x14ac:dyDescent="0.2">
      <c r="C7" s="54"/>
      <c r="D7" s="54"/>
      <c r="E7" s="54"/>
      <c r="F7" s="54"/>
      <c r="G7" s="54"/>
      <c r="N7" s="75"/>
      <c r="O7" s="75"/>
    </row>
    <row r="8" spans="2:15" ht="11.25" customHeight="1" x14ac:dyDescent="0.2">
      <c r="C8" s="54"/>
      <c r="D8" s="54"/>
      <c r="E8" s="54"/>
      <c r="F8" s="54"/>
      <c r="G8" s="54"/>
    </row>
    <row r="9" spans="2:15" x14ac:dyDescent="0.2">
      <c r="C9" s="54"/>
      <c r="D9" s="54"/>
      <c r="E9" s="54"/>
      <c r="F9" s="54"/>
      <c r="G9" s="54"/>
    </row>
    <row r="11" spans="2:15" ht="12.75" x14ac:dyDescent="0.2">
      <c r="C11" s="45" t="s">
        <v>28</v>
      </c>
      <c r="E11" s="101"/>
      <c r="F11" s="16" t="s">
        <v>211</v>
      </c>
    </row>
    <row r="13" spans="2:15" ht="12.75" x14ac:dyDescent="0.2">
      <c r="C13" s="14" t="s">
        <v>29</v>
      </c>
    </row>
    <row r="14" spans="2:15" ht="12.75" x14ac:dyDescent="0.2">
      <c r="C14" s="16" t="s">
        <v>204</v>
      </c>
    </row>
    <row r="16" spans="2:15" ht="12.75" x14ac:dyDescent="0.2">
      <c r="C16" s="14" t="s">
        <v>36</v>
      </c>
    </row>
    <row r="18" spans="3:13" x14ac:dyDescent="0.2">
      <c r="C18" s="30"/>
      <c r="D18" s="31"/>
      <c r="E18" s="31"/>
      <c r="F18" s="31"/>
      <c r="G18" s="31"/>
      <c r="H18" s="31"/>
      <c r="I18" s="31"/>
      <c r="J18" s="31"/>
      <c r="K18" s="31"/>
      <c r="L18" s="31"/>
      <c r="M18" s="32"/>
    </row>
    <row r="19" spans="3:13" ht="12.75" x14ac:dyDescent="0.2">
      <c r="C19" s="33"/>
      <c r="D19" s="44" t="s">
        <v>14</v>
      </c>
      <c r="E19" s="34"/>
      <c r="F19" s="36" t="s">
        <v>25</v>
      </c>
      <c r="G19" s="34"/>
      <c r="H19" s="34"/>
      <c r="I19" s="34"/>
      <c r="J19" s="34"/>
      <c r="K19" s="34"/>
      <c r="L19" s="34"/>
      <c r="M19" s="35"/>
    </row>
    <row r="20" spans="3:13" ht="12.75" x14ac:dyDescent="0.2">
      <c r="C20" s="33"/>
      <c r="D20" s="52" t="s">
        <v>43</v>
      </c>
      <c r="E20" s="34"/>
      <c r="F20" s="36" t="s">
        <v>38</v>
      </c>
      <c r="G20" s="34"/>
      <c r="H20" s="34"/>
      <c r="I20" s="34"/>
      <c r="J20" s="34"/>
      <c r="K20" s="34"/>
      <c r="L20" s="34"/>
      <c r="M20" s="35"/>
    </row>
    <row r="21" spans="3:13" ht="12.75" x14ac:dyDescent="0.2">
      <c r="C21" s="33"/>
      <c r="D21" s="37" t="s">
        <v>20</v>
      </c>
      <c r="E21" s="34"/>
      <c r="F21" s="36" t="s">
        <v>22</v>
      </c>
      <c r="G21" s="34"/>
      <c r="H21" s="34"/>
      <c r="I21" s="34"/>
      <c r="J21" s="34"/>
      <c r="K21" s="34"/>
      <c r="L21" s="34"/>
      <c r="M21" s="35"/>
    </row>
    <row r="22" spans="3:13" ht="12.75" x14ac:dyDescent="0.2">
      <c r="C22" s="33"/>
      <c r="D22" s="38" t="s">
        <v>21</v>
      </c>
      <c r="E22" s="34"/>
      <c r="F22" s="36" t="s">
        <v>23</v>
      </c>
      <c r="G22" s="34"/>
      <c r="H22" s="34"/>
      <c r="I22" s="34"/>
      <c r="J22" s="34"/>
      <c r="K22" s="34"/>
      <c r="L22" s="34"/>
      <c r="M22" s="35"/>
    </row>
    <row r="23" spans="3:13" ht="12.75" x14ac:dyDescent="0.2">
      <c r="C23" s="33"/>
      <c r="D23" s="39" t="s">
        <v>5</v>
      </c>
      <c r="E23" s="34"/>
      <c r="F23" s="36" t="s">
        <v>26</v>
      </c>
      <c r="G23" s="34"/>
      <c r="H23" s="34"/>
      <c r="I23" s="34"/>
      <c r="J23" s="34"/>
      <c r="K23" s="34"/>
      <c r="L23" s="34"/>
      <c r="M23" s="35"/>
    </row>
    <row r="24" spans="3:13" ht="12.75" x14ac:dyDescent="0.2">
      <c r="C24" s="33"/>
      <c r="D24" s="40" t="s">
        <v>24</v>
      </c>
      <c r="E24" s="34"/>
      <c r="F24" s="36" t="s">
        <v>27</v>
      </c>
      <c r="G24" s="34"/>
      <c r="H24" s="34"/>
      <c r="I24" s="34"/>
      <c r="J24" s="34"/>
      <c r="K24" s="34"/>
      <c r="L24" s="34"/>
      <c r="M24" s="35"/>
    </row>
    <row r="25" spans="3:13" ht="12.75" x14ac:dyDescent="0.2">
      <c r="C25" s="33"/>
      <c r="D25" s="51"/>
      <c r="E25" s="34"/>
      <c r="F25" s="36" t="s">
        <v>37</v>
      </c>
      <c r="G25" s="34"/>
      <c r="H25" s="34"/>
      <c r="I25" s="34"/>
      <c r="J25" s="34"/>
      <c r="K25" s="34"/>
      <c r="L25" s="34"/>
      <c r="M25" s="35"/>
    </row>
    <row r="26" spans="3:13" ht="12.75" x14ac:dyDescent="0.2">
      <c r="C26" s="33"/>
      <c r="D26" s="50" t="s">
        <v>44</v>
      </c>
      <c r="E26" s="34"/>
      <c r="F26" s="36" t="s">
        <v>39</v>
      </c>
      <c r="G26" s="34"/>
      <c r="H26" s="34"/>
      <c r="I26" s="34"/>
      <c r="J26" s="34"/>
      <c r="K26" s="34"/>
      <c r="L26" s="34"/>
      <c r="M26" s="35"/>
    </row>
    <row r="27" spans="3:13" ht="12.75" x14ac:dyDescent="0.2">
      <c r="C27" s="33"/>
      <c r="D27" s="47" t="s">
        <v>7</v>
      </c>
      <c r="E27" s="34"/>
      <c r="F27" s="36" t="s">
        <v>40</v>
      </c>
      <c r="G27" s="34"/>
      <c r="H27" s="34"/>
      <c r="I27" s="34"/>
      <c r="J27" s="34"/>
      <c r="K27" s="34"/>
      <c r="L27" s="34"/>
      <c r="M27" s="35"/>
    </row>
    <row r="28" spans="3:13" ht="12.75" x14ac:dyDescent="0.2">
      <c r="C28" s="33"/>
      <c r="D28" s="47" t="s">
        <v>6</v>
      </c>
      <c r="E28" s="34"/>
      <c r="F28" s="36" t="s">
        <v>41</v>
      </c>
      <c r="G28" s="34"/>
      <c r="H28" s="34"/>
      <c r="I28" s="34"/>
      <c r="J28" s="34"/>
      <c r="K28" s="34"/>
      <c r="L28" s="34"/>
      <c r="M28" s="35"/>
    </row>
    <row r="29" spans="3:13" ht="12.75" x14ac:dyDescent="0.2">
      <c r="C29" s="33"/>
      <c r="D29" s="53"/>
      <c r="E29" s="34"/>
      <c r="F29" s="36" t="s">
        <v>42</v>
      </c>
      <c r="G29" s="34"/>
      <c r="H29" s="34"/>
      <c r="I29" s="34"/>
      <c r="J29" s="34"/>
      <c r="K29" s="34"/>
      <c r="L29" s="34"/>
      <c r="M29" s="35"/>
    </row>
    <row r="30" spans="3:13" x14ac:dyDescent="0.2">
      <c r="C30" s="41"/>
      <c r="D30" s="42"/>
      <c r="E30" s="42"/>
      <c r="F30" s="42"/>
      <c r="G30" s="42"/>
      <c r="H30" s="42"/>
      <c r="I30" s="42"/>
      <c r="J30" s="42"/>
      <c r="K30" s="42"/>
      <c r="L30" s="42"/>
      <c r="M30" s="43"/>
    </row>
    <row r="32" spans="3:13" ht="12.75" x14ac:dyDescent="0.2">
      <c r="C32" s="14" t="s">
        <v>96</v>
      </c>
      <c r="D32" s="48"/>
    </row>
    <row r="33" spans="3:24" ht="12.75" x14ac:dyDescent="0.2">
      <c r="C33" s="149" t="s">
        <v>231</v>
      </c>
      <c r="D33" s="149"/>
      <c r="E33" s="149"/>
      <c r="F33" s="149"/>
      <c r="G33" s="149"/>
      <c r="H33" s="149"/>
      <c r="I33" s="149"/>
      <c r="J33" s="149"/>
      <c r="K33" s="149"/>
      <c r="L33" s="149"/>
      <c r="M33" s="149"/>
      <c r="N33" s="149"/>
      <c r="O33" s="149"/>
      <c r="P33" s="149"/>
      <c r="Q33" s="149"/>
      <c r="R33" s="149"/>
      <c r="S33" s="149"/>
      <c r="T33" s="149"/>
      <c r="U33" s="149"/>
      <c r="V33" s="149"/>
      <c r="W33" s="149"/>
      <c r="X33" s="149"/>
    </row>
    <row r="34" spans="3:24" ht="81" customHeight="1" x14ac:dyDescent="0.2">
      <c r="C34" s="148" t="s">
        <v>232</v>
      </c>
      <c r="D34" s="148"/>
      <c r="E34" s="148"/>
      <c r="F34" s="148"/>
      <c r="G34" s="148"/>
      <c r="H34" s="148"/>
      <c r="I34" s="148"/>
      <c r="J34" s="148"/>
      <c r="K34" s="148"/>
      <c r="L34" s="148"/>
      <c r="M34" s="148"/>
      <c r="N34" s="148"/>
      <c r="O34" s="148"/>
      <c r="P34" s="148"/>
      <c r="Q34" s="148"/>
      <c r="R34" s="148"/>
      <c r="S34" s="148"/>
      <c r="T34" s="148"/>
      <c r="U34" s="148"/>
      <c r="V34" s="148"/>
      <c r="W34" s="148"/>
      <c r="X34" s="148"/>
    </row>
  </sheetData>
  <mergeCells count="2">
    <mergeCell ref="C34:X34"/>
    <mergeCell ref="C33:X33"/>
  </mergeCells>
  <conditionalFormatting sqref="D28">
    <cfRule type="cellIs" dxfId="9" priority="2" operator="equal">
      <formula>"Ok"</formula>
    </cfRule>
  </conditionalFormatting>
  <conditionalFormatting sqref="D27">
    <cfRule type="cellIs" dxfId="8" priority="1" operator="equal">
      <formula>"Ok"</formula>
    </cfRule>
  </conditionalFormatting>
  <pageMargins left="0.7" right="0.7" top="0.75" bottom="0.75" header="0.3" footer="0.3"/>
  <pageSetup paperSize="9" scale="7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zoomScaleNormal="100" workbookViewId="0">
      <pane xSplit="1" ySplit="4" topLeftCell="B5" activePane="bottomRight" state="frozen"/>
      <selection activeCell="C33" sqref="C33:X33"/>
      <selection pane="topRight" activeCell="C33" sqref="C33:X33"/>
      <selection pane="bottomLeft" activeCell="C33" sqref="C33:X33"/>
      <selection pane="bottomRight" activeCell="B5" sqref="B5"/>
    </sheetView>
  </sheetViews>
  <sheetFormatPr defaultColWidth="0" defaultRowHeight="11.25" x14ac:dyDescent="0.2"/>
  <cols>
    <col min="1" max="3" width="2.83203125" style="7" customWidth="1"/>
    <col min="4" max="4" width="43.83203125" style="7" customWidth="1"/>
    <col min="5" max="9" width="10.83203125" style="7" customWidth="1"/>
    <col min="10" max="15" width="10.83203125" style="7" hidden="1" customWidth="1"/>
    <col min="16" max="16384" width="9.33203125" style="7" hidden="1"/>
  </cols>
  <sheetData>
    <row r="1" spans="2:5" ht="19.5" x14ac:dyDescent="0.2">
      <c r="B1" s="5" t="s">
        <v>48</v>
      </c>
    </row>
    <row r="2" spans="2:5" x14ac:dyDescent="0.2">
      <c r="B2" s="18" t="str">
        <f>Title_Msg</f>
        <v>No Errors Found</v>
      </c>
    </row>
    <row r="3" spans="2:5" ht="12.75" x14ac:dyDescent="0.2">
      <c r="B3" s="55" t="s">
        <v>50</v>
      </c>
      <c r="C3" s="55"/>
      <c r="D3" s="55"/>
      <c r="E3" s="16"/>
    </row>
    <row r="4" spans="2:5" ht="12.75" x14ac:dyDescent="0.2">
      <c r="B4" s="46" t="str">
        <f>Model_Name</f>
        <v>Rate of Return Model - TransGrid (TGD)</v>
      </c>
    </row>
    <row r="6" spans="2:5" s="4" customFormat="1" ht="15.75" x14ac:dyDescent="0.2">
      <c r="B6" s="4" t="str">
        <f>B1</f>
        <v>Table of Contents</v>
      </c>
    </row>
    <row r="7" spans="2:5" s="6" customFormat="1" ht="4.5" customHeight="1" x14ac:dyDescent="0.2"/>
    <row r="8" spans="2:5" s="13" customFormat="1" ht="15" x14ac:dyDescent="0.2">
      <c r="C8" s="13" t="s">
        <v>185</v>
      </c>
    </row>
    <row r="10" spans="2:5" x14ac:dyDescent="0.2">
      <c r="D10" s="49" t="str">
        <f>Input_CPI!B1</f>
        <v>CPI inputs</v>
      </c>
    </row>
    <row r="11" spans="2:5" s="6" customFormat="1" ht="11.25" customHeight="1" x14ac:dyDescent="0.2">
      <c r="D11" s="55" t="str">
        <f>Input_Data!B1</f>
        <v>Rate of return inputs</v>
      </c>
    </row>
    <row r="12" spans="2:5" s="6" customFormat="1" ht="11.25" customHeight="1" x14ac:dyDescent="0.2">
      <c r="D12" s="55" t="str">
        <f>Calc_Returns!B1</f>
        <v>Rate of return calculations</v>
      </c>
    </row>
    <row r="13" spans="2:5" x14ac:dyDescent="0.2">
      <c r="D13" s="55" t="str">
        <f>Output_PTRM!$B$1</f>
        <v>Inputs to PTRM</v>
      </c>
    </row>
    <row r="15" spans="2:5" s="13" customFormat="1" ht="15" x14ac:dyDescent="0.2">
      <c r="C15" s="13" t="s">
        <v>49</v>
      </c>
    </row>
    <row r="17" spans="2:4" x14ac:dyDescent="0.2">
      <c r="D17" s="55" t="str">
        <f>Lookup!B1</f>
        <v>Model Lookups</v>
      </c>
    </row>
    <row r="18" spans="2:4" x14ac:dyDescent="0.2">
      <c r="D18" s="55" t="str">
        <f>Checks!B1</f>
        <v>Checks</v>
      </c>
    </row>
    <row r="20" spans="2:4" s="4" customFormat="1" ht="15.75" x14ac:dyDescent="0.2">
      <c r="B20" s="4" t="s">
        <v>32</v>
      </c>
    </row>
  </sheetData>
  <conditionalFormatting sqref="B2">
    <cfRule type="cellIs" dxfId="7" priority="1" operator="notEqual">
      <formula>"No Errors Found"</formula>
    </cfRule>
  </conditionalFormatting>
  <hyperlinks>
    <hyperlink ref="D17" location="Lookup!A1" display="Lookup!A1"/>
    <hyperlink ref="D18" location="Checks!A1" display="Checks!A1"/>
    <hyperlink ref="B3:D3" location="Cover!A1" display="Go to Cover Sheet"/>
    <hyperlink ref="D11" location="Input_Data!A1" display="Input_Data!A1"/>
    <hyperlink ref="D13" location="Output_PTRM!A1" display="Output_PTRM!A1"/>
    <hyperlink ref="C8" location="SC_General!A1" display="SC_General!A1"/>
    <hyperlink ref="D12" location="Calc_Returns!A1" display="Calc_Returns!A1"/>
    <hyperlink ref="D10" location="Input_CPI!A1" display="Input_CPI!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N38"/>
  <sheetViews>
    <sheetView showGridLines="0" zoomScaleNormal="100" workbookViewId="0">
      <pane xSplit="1" ySplit="10" topLeftCell="B11" activePane="bottomRight" state="frozen"/>
      <selection activeCell="C33" sqref="C33:X33"/>
      <selection pane="topRight" activeCell="C33" sqref="C33:X33"/>
      <selection pane="bottomLeft" activeCell="C33" sqref="C33:X33"/>
      <selection pane="bottomRight" activeCell="B11" sqref="B11"/>
    </sheetView>
  </sheetViews>
  <sheetFormatPr defaultColWidth="9.33203125" defaultRowHeight="11.25" outlineLevelRow="1" x14ac:dyDescent="0.2"/>
  <cols>
    <col min="1" max="1" width="3.33203125" style="7" customWidth="1"/>
    <col min="2" max="2" width="2.83203125" style="7" customWidth="1"/>
    <col min="3" max="3" width="5" style="7" customWidth="1"/>
    <col min="4" max="4" width="37.5" style="7" customWidth="1"/>
    <col min="5" max="8" width="14.6640625" style="7" customWidth="1"/>
    <col min="9" max="9" width="10.83203125" style="7" customWidth="1"/>
    <col min="10" max="14" width="12.83203125" style="7" customWidth="1"/>
    <col min="15" max="16384" width="9.33203125" style="7"/>
  </cols>
  <sheetData>
    <row r="1" spans="1:14" ht="19.5" x14ac:dyDescent="0.2">
      <c r="A1" s="67">
        <f>IF(SUM($A11:$A38)&gt;0,1,0)</f>
        <v>0</v>
      </c>
      <c r="B1" s="5" t="s">
        <v>206</v>
      </c>
    </row>
    <row r="2" spans="1:14" x14ac:dyDescent="0.2">
      <c r="B2" s="18" t="str">
        <f>Title_Msg</f>
        <v>No Errors Found</v>
      </c>
    </row>
    <row r="3" spans="1:14" x14ac:dyDescent="0.2">
      <c r="B3" s="55" t="str">
        <f>TOC!B1</f>
        <v>Table of Contents</v>
      </c>
      <c r="C3" s="49"/>
      <c r="D3" s="49"/>
      <c r="E3" s="49"/>
    </row>
    <row r="4" spans="1:14" ht="12.75" x14ac:dyDescent="0.2">
      <c r="B4" s="46" t="str">
        <f>Model_Name</f>
        <v>Rate of Return Model - TransGrid (TGD)</v>
      </c>
    </row>
    <row r="5" spans="1:14" ht="12.75" hidden="1" outlineLevel="1" x14ac:dyDescent="0.2">
      <c r="B5" s="15" t="str">
        <f>Lookup!B15</f>
        <v>Period Start Date</v>
      </c>
      <c r="J5" s="60">
        <f>Lookup!M15</f>
        <v>43282</v>
      </c>
      <c r="K5" s="60">
        <f>Lookup!N15</f>
        <v>43647</v>
      </c>
      <c r="L5" s="60">
        <f>Lookup!O15</f>
        <v>44013</v>
      </c>
      <c r="M5" s="60">
        <f>Lookup!P15</f>
        <v>44378</v>
      </c>
      <c r="N5" s="60">
        <f>Lookup!Q15</f>
        <v>44743</v>
      </c>
    </row>
    <row r="6" spans="1:14" ht="12.75" hidden="1" outlineLevel="1" x14ac:dyDescent="0.2">
      <c r="B6" s="15" t="str">
        <f>Lookup!B16</f>
        <v>Period End Date</v>
      </c>
      <c r="J6" s="60">
        <f>Lookup!M16</f>
        <v>43646</v>
      </c>
      <c r="K6" s="60">
        <f>Lookup!N16</f>
        <v>44012</v>
      </c>
      <c r="L6" s="60">
        <f>Lookup!O16</f>
        <v>44377</v>
      </c>
      <c r="M6" s="60">
        <f>Lookup!P16</f>
        <v>44742</v>
      </c>
      <c r="N6" s="60">
        <f>Lookup!Q16</f>
        <v>45107</v>
      </c>
    </row>
    <row r="7" spans="1:14" ht="12.75" hidden="1" outlineLevel="1" x14ac:dyDescent="0.2">
      <c r="B7" s="15" t="str">
        <f>Lookup!B17</f>
        <v>Period Counter</v>
      </c>
      <c r="J7" s="61">
        <f>Lookup!M17</f>
        <v>1</v>
      </c>
      <c r="K7" s="61">
        <f>Lookup!N17</f>
        <v>2</v>
      </c>
      <c r="L7" s="61">
        <f>Lookup!O17</f>
        <v>3</v>
      </c>
      <c r="M7" s="61">
        <f>Lookup!P17</f>
        <v>4</v>
      </c>
      <c r="N7" s="61">
        <f>Lookup!Q17</f>
        <v>5</v>
      </c>
    </row>
    <row r="8" spans="1:14" ht="12.75" hidden="1" outlineLevel="1" x14ac:dyDescent="0.2">
      <c r="B8" s="15" t="str">
        <f>Lookup!B18</f>
        <v>Year</v>
      </c>
      <c r="J8" s="62">
        <f>Lookup!M18</f>
        <v>2019</v>
      </c>
      <c r="K8" s="62">
        <f>Lookup!N18</f>
        <v>2020</v>
      </c>
      <c r="L8" s="62">
        <f>Lookup!O18</f>
        <v>2021</v>
      </c>
      <c r="M8" s="62">
        <f>Lookup!P18</f>
        <v>2022</v>
      </c>
      <c r="N8" s="62">
        <f>Lookup!Q18</f>
        <v>2023</v>
      </c>
    </row>
    <row r="9" spans="1:14" ht="12.75" hidden="1" outlineLevel="1" x14ac:dyDescent="0.2">
      <c r="B9" s="15" t="str">
        <f>Lookup!B19</f>
        <v>Period Type</v>
      </c>
      <c r="J9" s="62" t="str">
        <f>Lookup!M19</f>
        <v>Actual</v>
      </c>
      <c r="K9" s="62" t="str">
        <f>Lookup!N19</f>
        <v>Actual</v>
      </c>
      <c r="L9" s="62" t="str">
        <f>Lookup!O19</f>
        <v>Actual</v>
      </c>
      <c r="M9" s="62" t="str">
        <f>Lookup!P19</f>
        <v>Base Year</v>
      </c>
      <c r="N9" s="62" t="str">
        <f>Lookup!Q19</f>
        <v>Estimate</v>
      </c>
    </row>
    <row r="10" spans="1:14" ht="12.75" collapsed="1" x14ac:dyDescent="0.2">
      <c r="B10" s="10" t="str">
        <f>Lookup!B20</f>
        <v>Regulatory Year</v>
      </c>
      <c r="E10" s="59" t="str">
        <f>Lookup!E20</f>
        <v>Source</v>
      </c>
      <c r="F10" s="59" t="str">
        <f>Lookup!F20</f>
        <v>Unit</v>
      </c>
      <c r="G10" s="59" t="str">
        <f>Lookup!G20</f>
        <v>Basis</v>
      </c>
      <c r="H10" s="59" t="str">
        <f>Lookup!H20</f>
        <v>Timing</v>
      </c>
      <c r="I10" s="59" t="str">
        <f>Lookup!L20</f>
        <v>FY18</v>
      </c>
      <c r="J10" s="59" t="str">
        <f>Lookup!M20</f>
        <v>FY19</v>
      </c>
      <c r="K10" s="59" t="str">
        <f>Lookup!N20</f>
        <v>FY20</v>
      </c>
      <c r="L10" s="59" t="str">
        <f>Lookup!O20</f>
        <v>FY21</v>
      </c>
      <c r="M10" s="59" t="str">
        <f>Lookup!P20</f>
        <v>FY22</v>
      </c>
      <c r="N10" s="59" t="str">
        <f>Lookup!Q20</f>
        <v>FY23</v>
      </c>
    </row>
    <row r="12" spans="1:14" s="4" customFormat="1" ht="15.75" x14ac:dyDescent="0.2">
      <c r="B12" s="4" t="s">
        <v>207</v>
      </c>
    </row>
    <row r="13" spans="1:14" s="6" customFormat="1" ht="4.5" customHeight="1" x14ac:dyDescent="0.2"/>
    <row r="14" spans="1:14" s="13" customFormat="1" ht="15" x14ac:dyDescent="0.2">
      <c r="C14" s="13" t="s">
        <v>208</v>
      </c>
    </row>
    <row r="16" spans="1:14" ht="12.75" x14ac:dyDescent="0.2">
      <c r="D16" s="70" t="s">
        <v>102</v>
      </c>
      <c r="E16" s="122" t="str">
        <f>Lookup!E$20</f>
        <v>Source</v>
      </c>
      <c r="F16" s="122" t="str">
        <f>Lookup!F$20</f>
        <v>Unit</v>
      </c>
      <c r="G16" s="122" t="str">
        <f>Lookup!G$20</f>
        <v>Basis</v>
      </c>
      <c r="H16" s="122" t="str">
        <f>Lookup!H$20</f>
        <v>Timing</v>
      </c>
      <c r="I16" s="77" t="str">
        <f>I$10</f>
        <v>FY18</v>
      </c>
      <c r="J16" s="122" t="str">
        <f>J$10</f>
        <v>FY19</v>
      </c>
      <c r="K16" s="122" t="str">
        <f t="shared" ref="K16:N16" si="0">K$10</f>
        <v>FY20</v>
      </c>
      <c r="L16" s="122" t="str">
        <f t="shared" si="0"/>
        <v>FY21</v>
      </c>
      <c r="M16" s="122" t="str">
        <f t="shared" si="0"/>
        <v>FY22</v>
      </c>
      <c r="N16" s="77" t="str">
        <f t="shared" si="0"/>
        <v>FY23</v>
      </c>
    </row>
    <row r="17" spans="3:14" x14ac:dyDescent="0.2">
      <c r="I17" s="76"/>
      <c r="J17" s="78"/>
      <c r="K17" s="78"/>
      <c r="L17" s="78"/>
      <c r="M17" s="78"/>
      <c r="N17" s="76"/>
    </row>
    <row r="18" spans="3:14" ht="12.75" x14ac:dyDescent="0.2">
      <c r="D18" s="12" t="s">
        <v>60</v>
      </c>
      <c r="E18" s="72" t="s">
        <v>166</v>
      </c>
      <c r="F18" s="62" t="str">
        <f t="shared" ref="F18:F21" si="1">Percent</f>
        <v>Percent</v>
      </c>
      <c r="G18" s="62" t="str">
        <f t="shared" ref="G18:H21" si="2">NA</f>
        <v>N/A</v>
      </c>
      <c r="H18" s="62" t="str">
        <f t="shared" si="2"/>
        <v>N/A</v>
      </c>
      <c r="I18" s="79">
        <v>2.0776874435411097E-2</v>
      </c>
      <c r="J18" s="79">
        <v>1.5929203539823078E-2</v>
      </c>
      <c r="K18" s="79">
        <v>-3.4843205574912606E-3</v>
      </c>
      <c r="L18" s="79">
        <v>3.8461538461538325E-2</v>
      </c>
      <c r="M18" s="79"/>
      <c r="N18" s="79"/>
    </row>
    <row r="19" spans="3:14" ht="12.75" x14ac:dyDescent="0.2">
      <c r="D19" s="12" t="s">
        <v>61</v>
      </c>
      <c r="E19" s="72" t="s">
        <v>98</v>
      </c>
      <c r="F19" s="62" t="str">
        <f t="shared" si="1"/>
        <v>Percent</v>
      </c>
      <c r="G19" s="62" t="str">
        <f t="shared" si="2"/>
        <v>N/A</v>
      </c>
      <c r="H19" s="62" t="str">
        <f t="shared" si="2"/>
        <v>N/A</v>
      </c>
      <c r="I19" s="124"/>
      <c r="J19" s="124"/>
      <c r="K19" s="125"/>
      <c r="L19" s="125"/>
      <c r="M19" s="79">
        <v>2.75E-2</v>
      </c>
      <c r="N19" s="79">
        <v>2.2499999999999999E-2</v>
      </c>
    </row>
    <row r="21" spans="3:14" ht="12.75" x14ac:dyDescent="0.2">
      <c r="D21" s="126" t="str">
        <f>"Applied - "&amp;C14</f>
        <v>Applied - Unlagged - June to June</v>
      </c>
      <c r="E21" s="127" t="s">
        <v>89</v>
      </c>
      <c r="F21" s="128" t="str">
        <f t="shared" si="1"/>
        <v>Percent</v>
      </c>
      <c r="G21" s="128" t="str">
        <f t="shared" si="2"/>
        <v>N/A</v>
      </c>
      <c r="H21" s="128" t="str">
        <f t="shared" si="2"/>
        <v>N/A</v>
      </c>
      <c r="I21" s="129">
        <f>IF(ISBLANK(I18),I19,I18)</f>
        <v>2.0776874435411097E-2</v>
      </c>
      <c r="J21" s="129">
        <f t="shared" ref="J21:N21" si="3">IF(ISBLANK(J18),J19,J18)</f>
        <v>1.5929203539823078E-2</v>
      </c>
      <c r="K21" s="129">
        <f t="shared" si="3"/>
        <v>-3.4843205574912606E-3</v>
      </c>
      <c r="L21" s="129">
        <f t="shared" si="3"/>
        <v>3.8461538461538325E-2</v>
      </c>
      <c r="M21" s="129">
        <f t="shared" si="3"/>
        <v>2.75E-2</v>
      </c>
      <c r="N21" s="129">
        <f t="shared" si="3"/>
        <v>2.2499999999999999E-2</v>
      </c>
    </row>
    <row r="22" spans="3:14" ht="12.75" x14ac:dyDescent="0.2">
      <c r="D22" s="12"/>
      <c r="E22" s="72"/>
      <c r="F22" s="62"/>
      <c r="G22" s="62"/>
      <c r="H22" s="62"/>
    </row>
    <row r="23" spans="3:14" ht="12.75" x14ac:dyDescent="0.2">
      <c r="C23" s="74" t="s">
        <v>171</v>
      </c>
    </row>
    <row r="24" spans="3:14" ht="12.75" x14ac:dyDescent="0.2">
      <c r="C24" s="74" t="s">
        <v>218</v>
      </c>
    </row>
    <row r="26" spans="3:14" s="13" customFormat="1" ht="15" x14ac:dyDescent="0.2">
      <c r="C26" s="13" t="s">
        <v>209</v>
      </c>
    </row>
    <row r="28" spans="3:14" ht="12.75" x14ac:dyDescent="0.2">
      <c r="D28" s="70" t="s">
        <v>102</v>
      </c>
      <c r="E28" s="122" t="str">
        <f>Lookup!E$20</f>
        <v>Source</v>
      </c>
      <c r="F28" s="122" t="str">
        <f>Lookup!F$20</f>
        <v>Unit</v>
      </c>
      <c r="G28" s="122" t="str">
        <f>Lookup!G$20</f>
        <v>Basis</v>
      </c>
      <c r="H28" s="122" t="str">
        <f>Lookup!H$20</f>
        <v>Timing</v>
      </c>
      <c r="I28" s="77" t="str">
        <f>I$10</f>
        <v>FY18</v>
      </c>
      <c r="J28" s="122" t="str">
        <f>J$10</f>
        <v>FY19</v>
      </c>
      <c r="K28" s="122" t="str">
        <f t="shared" ref="K28:N28" si="4">K$10</f>
        <v>FY20</v>
      </c>
      <c r="L28" s="122" t="str">
        <f t="shared" si="4"/>
        <v>FY21</v>
      </c>
      <c r="M28" s="122" t="str">
        <f t="shared" si="4"/>
        <v>FY22</v>
      </c>
      <c r="N28" s="77" t="str">
        <f t="shared" si="4"/>
        <v>FY23</v>
      </c>
    </row>
    <row r="29" spans="3:14" x14ac:dyDescent="0.2">
      <c r="I29" s="76"/>
      <c r="J29" s="78"/>
      <c r="K29" s="78"/>
      <c r="L29" s="78"/>
      <c r="M29" s="78"/>
      <c r="N29" s="76"/>
    </row>
    <row r="30" spans="3:14" ht="12.75" x14ac:dyDescent="0.2">
      <c r="D30" s="12" t="s">
        <v>60</v>
      </c>
      <c r="E30" s="72" t="s">
        <v>166</v>
      </c>
      <c r="F30" s="62" t="str">
        <f t="shared" ref="F30:F33" si="5">Percent</f>
        <v>Percent</v>
      </c>
      <c r="G30" s="62" t="str">
        <f t="shared" ref="G30:H33" si="6">NA</f>
        <v>N/A</v>
      </c>
      <c r="H30" s="62" t="str">
        <f t="shared" si="6"/>
        <v>N/A</v>
      </c>
      <c r="I30" s="79">
        <v>1.9090909090909047E-2</v>
      </c>
      <c r="J30" s="79">
        <v>1.7841213202497874E-2</v>
      </c>
      <c r="K30" s="79">
        <v>1.8404907975460238E-2</v>
      </c>
      <c r="L30" s="79">
        <v>8.6058519793459354E-3</v>
      </c>
      <c r="M30" s="79"/>
      <c r="N30" s="79"/>
    </row>
    <row r="31" spans="3:14" ht="12.75" x14ac:dyDescent="0.2">
      <c r="D31" s="12" t="s">
        <v>61</v>
      </c>
      <c r="E31" s="72" t="s">
        <v>98</v>
      </c>
      <c r="F31" s="62" t="str">
        <f t="shared" si="5"/>
        <v>Percent</v>
      </c>
      <c r="G31" s="62" t="str">
        <f t="shared" si="6"/>
        <v>N/A</v>
      </c>
      <c r="H31" s="62" t="str">
        <f t="shared" si="6"/>
        <v>N/A</v>
      </c>
      <c r="I31" s="124"/>
      <c r="J31" s="124"/>
      <c r="K31" s="125"/>
      <c r="L31" s="125"/>
      <c r="M31" s="79">
        <v>3.2500000000000001E-2</v>
      </c>
      <c r="N31" s="79">
        <v>2.2499999999999999E-2</v>
      </c>
    </row>
    <row r="32" spans="3:14" x14ac:dyDescent="0.2">
      <c r="M32" s="133" t="s">
        <v>215</v>
      </c>
      <c r="N32" s="133" t="s">
        <v>216</v>
      </c>
    </row>
    <row r="33" spans="2:14" ht="12.75" x14ac:dyDescent="0.2">
      <c r="D33" s="126" t="str">
        <f>"Applied - "&amp;C26</f>
        <v>Applied - Lagged - Dec to Dec</v>
      </c>
      <c r="E33" s="127" t="s">
        <v>89</v>
      </c>
      <c r="F33" s="128" t="str">
        <f t="shared" si="5"/>
        <v>Percent</v>
      </c>
      <c r="G33" s="128" t="str">
        <f t="shared" si="6"/>
        <v>N/A</v>
      </c>
      <c r="H33" s="128" t="str">
        <f t="shared" si="6"/>
        <v>N/A</v>
      </c>
      <c r="I33" s="129">
        <f>IF(ISBLANK(I30),I31,I30)</f>
        <v>1.9090909090909047E-2</v>
      </c>
      <c r="J33" s="129">
        <f t="shared" ref="J33:N33" si="7">IF(ISBLANK(J30),J31,J30)</f>
        <v>1.7841213202497874E-2</v>
      </c>
      <c r="K33" s="129">
        <f t="shared" si="7"/>
        <v>1.8404907975460238E-2</v>
      </c>
      <c r="L33" s="129">
        <f t="shared" si="7"/>
        <v>8.6058519793459354E-3</v>
      </c>
      <c r="M33" s="129">
        <f t="shared" si="7"/>
        <v>3.2500000000000001E-2</v>
      </c>
      <c r="N33" s="129">
        <f t="shared" si="7"/>
        <v>2.2499999999999999E-2</v>
      </c>
    </row>
    <row r="34" spans="2:14" ht="12.75" x14ac:dyDescent="0.2">
      <c r="D34" s="12"/>
      <c r="E34" s="72"/>
      <c r="F34" s="62"/>
      <c r="G34" s="62"/>
      <c r="H34" s="62"/>
    </row>
    <row r="35" spans="2:14" ht="12.75" x14ac:dyDescent="0.2">
      <c r="C35" s="74" t="s">
        <v>210</v>
      </c>
    </row>
    <row r="36" spans="2:14" ht="12.75" x14ac:dyDescent="0.2">
      <c r="C36" s="74" t="s">
        <v>218</v>
      </c>
    </row>
    <row r="37" spans="2:14" s="6" customFormat="1" ht="11.25" customHeight="1" x14ac:dyDescent="0.2"/>
    <row r="38" spans="2:14" s="4" customFormat="1" ht="15.75" x14ac:dyDescent="0.2">
      <c r="B38" s="4" t="s">
        <v>32</v>
      </c>
    </row>
  </sheetData>
  <conditionalFormatting sqref="B2">
    <cfRule type="cellIs" dxfId="6" priority="1" operator="notEqual">
      <formula>"No Errors Found"</formula>
    </cfRule>
  </conditionalFormatting>
  <hyperlinks>
    <hyperlink ref="B3:E3" location="TOC!A1" display="TOC!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145"/>
  <sheetViews>
    <sheetView showGridLines="0" zoomScaleNormal="100" workbookViewId="0">
      <pane xSplit="1" ySplit="10" topLeftCell="B59" activePane="bottomRight" state="frozen"/>
      <selection activeCell="Q18" sqref="Q18"/>
      <selection pane="topRight" activeCell="Q18" sqref="Q18"/>
      <selection pane="bottomLeft" activeCell="Q18" sqref="Q18"/>
      <selection pane="bottomRight" activeCell="K65" sqref="J65:K84"/>
    </sheetView>
  </sheetViews>
  <sheetFormatPr defaultColWidth="9.33203125" defaultRowHeight="11.25" outlineLevelRow="1" x14ac:dyDescent="0.2"/>
  <cols>
    <col min="1" max="1" width="3.33203125" style="7" customWidth="1"/>
    <col min="2" max="2" width="2.83203125" style="7" customWidth="1"/>
    <col min="3" max="3" width="5" style="7" customWidth="1"/>
    <col min="4" max="4" width="37.1640625" style="7" customWidth="1"/>
    <col min="5" max="8" width="12.6640625" style="7" customWidth="1"/>
    <col min="9" max="9" width="10.83203125" style="7" customWidth="1"/>
    <col min="10" max="24" width="12.83203125" style="7" customWidth="1"/>
    <col min="25" max="28" width="12.5" style="7" bestFit="1" customWidth="1"/>
    <col min="29" max="16384" width="9.33203125" style="7"/>
  </cols>
  <sheetData>
    <row r="1" spans="1:23" ht="19.5" x14ac:dyDescent="0.2">
      <c r="A1" s="67">
        <f>IF(SUM($A11:$A145)&gt;0,1,0)</f>
        <v>0</v>
      </c>
      <c r="B1" s="5" t="s">
        <v>168</v>
      </c>
    </row>
    <row r="2" spans="1:23" x14ac:dyDescent="0.2">
      <c r="B2" s="18" t="str">
        <f>Title_Msg</f>
        <v>No Errors Found</v>
      </c>
    </row>
    <row r="3" spans="1:23" x14ac:dyDescent="0.2">
      <c r="B3" s="55" t="str">
        <f>TOC!B1</f>
        <v>Table of Contents</v>
      </c>
      <c r="C3" s="49"/>
      <c r="D3" s="49"/>
      <c r="E3" s="49"/>
    </row>
    <row r="4" spans="1:23" ht="12.75" x14ac:dyDescent="0.2">
      <c r="B4" s="46" t="str">
        <f>Model_Name</f>
        <v>Rate of Return Model - TransGrid (TGD)</v>
      </c>
    </row>
    <row r="5" spans="1:23" ht="12.75" hidden="1" outlineLevel="1" x14ac:dyDescent="0.2">
      <c r="B5" s="15" t="str">
        <f>Lookup!B15</f>
        <v>Period Start Date</v>
      </c>
      <c r="N5" s="60">
        <f>Lookup!M15</f>
        <v>43282</v>
      </c>
      <c r="O5" s="60">
        <f>Lookup!N15</f>
        <v>43647</v>
      </c>
      <c r="P5" s="60">
        <f>Lookup!O15</f>
        <v>44013</v>
      </c>
      <c r="Q5" s="60">
        <f>Lookup!P15</f>
        <v>44378</v>
      </c>
      <c r="R5" s="60">
        <f>Lookup!Q15</f>
        <v>44743</v>
      </c>
      <c r="S5" s="60">
        <f>Lookup!R15</f>
        <v>45108</v>
      </c>
      <c r="T5" s="60">
        <f>Lookup!S15</f>
        <v>45474</v>
      </c>
      <c r="U5" s="60">
        <f>Lookup!T15</f>
        <v>45839</v>
      </c>
      <c r="V5" s="60">
        <f>Lookup!U15</f>
        <v>46204</v>
      </c>
      <c r="W5" s="60">
        <f>Lookup!V15</f>
        <v>46569</v>
      </c>
    </row>
    <row r="6" spans="1:23" ht="12.75" hidden="1" outlineLevel="1" x14ac:dyDescent="0.2">
      <c r="B6" s="15" t="str">
        <f>Lookup!B16</f>
        <v>Period End Date</v>
      </c>
      <c r="N6" s="60">
        <f>Lookup!M16</f>
        <v>43646</v>
      </c>
      <c r="O6" s="60">
        <f>Lookup!N16</f>
        <v>44012</v>
      </c>
      <c r="P6" s="60">
        <f>Lookup!O16</f>
        <v>44377</v>
      </c>
      <c r="Q6" s="60">
        <f>Lookup!P16</f>
        <v>44742</v>
      </c>
      <c r="R6" s="60">
        <f>Lookup!Q16</f>
        <v>45107</v>
      </c>
      <c r="S6" s="60">
        <f>Lookup!R16</f>
        <v>45473</v>
      </c>
      <c r="T6" s="60">
        <f>Lookup!S16</f>
        <v>45838</v>
      </c>
      <c r="U6" s="60">
        <f>Lookup!T16</f>
        <v>46203</v>
      </c>
      <c r="V6" s="60">
        <f>Lookup!U16</f>
        <v>46568</v>
      </c>
      <c r="W6" s="60">
        <f>Lookup!V16</f>
        <v>46934</v>
      </c>
    </row>
    <row r="7" spans="1:23" ht="12.75" hidden="1" outlineLevel="1" x14ac:dyDescent="0.2">
      <c r="B7" s="15" t="str">
        <f>Lookup!B17</f>
        <v>Period Counter</v>
      </c>
      <c r="N7" s="61">
        <f>Lookup!M17</f>
        <v>1</v>
      </c>
      <c r="O7" s="61">
        <f>Lookup!N17</f>
        <v>2</v>
      </c>
      <c r="P7" s="61">
        <f>Lookup!O17</f>
        <v>3</v>
      </c>
      <c r="Q7" s="61">
        <f>Lookup!P17</f>
        <v>4</v>
      </c>
      <c r="R7" s="61">
        <f>Lookup!Q17</f>
        <v>5</v>
      </c>
      <c r="S7" s="61">
        <f>Lookup!R17</f>
        <v>6</v>
      </c>
      <c r="T7" s="61">
        <f>Lookup!S17</f>
        <v>7</v>
      </c>
      <c r="U7" s="61">
        <f>Lookup!T17</f>
        <v>8</v>
      </c>
      <c r="V7" s="61">
        <f>Lookup!U17</f>
        <v>9</v>
      </c>
      <c r="W7" s="61">
        <f>Lookup!V17</f>
        <v>10</v>
      </c>
    </row>
    <row r="8" spans="1:23" ht="12.75" hidden="1" outlineLevel="1" x14ac:dyDescent="0.2">
      <c r="B8" s="15" t="str">
        <f>Lookup!B18</f>
        <v>Year</v>
      </c>
      <c r="N8" s="62">
        <f>Lookup!M18</f>
        <v>2019</v>
      </c>
      <c r="O8" s="62">
        <f>Lookup!N18</f>
        <v>2020</v>
      </c>
      <c r="P8" s="62">
        <f>Lookup!O18</f>
        <v>2021</v>
      </c>
      <c r="Q8" s="62">
        <f>Lookup!P18</f>
        <v>2022</v>
      </c>
      <c r="R8" s="62">
        <f>Lookup!Q18</f>
        <v>2023</v>
      </c>
      <c r="S8" s="62">
        <f>Lookup!R18</f>
        <v>2024</v>
      </c>
      <c r="T8" s="62">
        <f>Lookup!S18</f>
        <v>2025</v>
      </c>
      <c r="U8" s="62">
        <f>Lookup!T18</f>
        <v>2026</v>
      </c>
      <c r="V8" s="62">
        <f>Lookup!U18</f>
        <v>2027</v>
      </c>
      <c r="W8" s="62">
        <f>Lookup!V18</f>
        <v>2028</v>
      </c>
    </row>
    <row r="9" spans="1:23" ht="12.75" hidden="1" outlineLevel="1" x14ac:dyDescent="0.2">
      <c r="B9" s="15" t="str">
        <f>Lookup!B19</f>
        <v>Period Type</v>
      </c>
      <c r="N9" s="62" t="str">
        <f>Lookup!M19</f>
        <v>Actual</v>
      </c>
      <c r="O9" s="62" t="str">
        <f>Lookup!N19</f>
        <v>Actual</v>
      </c>
      <c r="P9" s="62" t="str">
        <f>Lookup!O19</f>
        <v>Actual</v>
      </c>
      <c r="Q9" s="62" t="str">
        <f>Lookup!P19</f>
        <v>Base Year</v>
      </c>
      <c r="R9" s="62" t="str">
        <f>Lookup!Q19</f>
        <v>Estimate</v>
      </c>
      <c r="S9" s="62" t="str">
        <f>Lookup!R19</f>
        <v>Forecast</v>
      </c>
      <c r="T9" s="62" t="str">
        <f>Lookup!S19</f>
        <v>Forecast</v>
      </c>
      <c r="U9" s="62" t="str">
        <f>Lookup!T19</f>
        <v>Forecast</v>
      </c>
      <c r="V9" s="62" t="str">
        <f>Lookup!U19</f>
        <v>Forecast</v>
      </c>
      <c r="W9" s="62" t="str">
        <f>Lookup!V19</f>
        <v>Forecast</v>
      </c>
    </row>
    <row r="10" spans="1:23" ht="12.75" collapsed="1" x14ac:dyDescent="0.2">
      <c r="B10" s="10" t="str">
        <f>Lookup!B20</f>
        <v>Regulatory Year</v>
      </c>
      <c r="E10" s="59" t="str">
        <f>Lookup!E20</f>
        <v>Source</v>
      </c>
      <c r="F10" s="59" t="str">
        <f>Lookup!F20</f>
        <v>Unit</v>
      </c>
      <c r="G10" s="59" t="str">
        <f>Lookup!G20</f>
        <v>Basis</v>
      </c>
      <c r="H10" s="59" t="str">
        <f>Lookup!H20</f>
        <v>Timing</v>
      </c>
      <c r="I10" s="68"/>
      <c r="J10" s="59" t="str">
        <f>Lookup!I20</f>
        <v>FY15</v>
      </c>
      <c r="K10" s="59" t="str">
        <f>Lookup!J20</f>
        <v>FY16</v>
      </c>
      <c r="L10" s="59" t="str">
        <f>Lookup!K20</f>
        <v>FY17</v>
      </c>
      <c r="M10" s="59" t="str">
        <f>Lookup!L20</f>
        <v>FY18</v>
      </c>
      <c r="N10" s="59" t="str">
        <f>Lookup!M20</f>
        <v>FY19</v>
      </c>
      <c r="O10" s="59" t="str">
        <f>Lookup!N20</f>
        <v>FY20</v>
      </c>
      <c r="P10" s="59" t="str">
        <f>Lookup!O20</f>
        <v>FY21</v>
      </c>
      <c r="Q10" s="59" t="str">
        <f>Lookup!P20</f>
        <v>FY22</v>
      </c>
      <c r="R10" s="59" t="str">
        <f>Lookup!Q20</f>
        <v>FY23</v>
      </c>
      <c r="S10" s="59" t="str">
        <f>Lookup!R20</f>
        <v>FY24</v>
      </c>
      <c r="T10" s="59" t="str">
        <f>Lookup!S20</f>
        <v>FY25</v>
      </c>
      <c r="U10" s="59" t="str">
        <f>Lookup!T20</f>
        <v>FY26</v>
      </c>
      <c r="V10" s="59" t="str">
        <f>Lookup!U20</f>
        <v>FY27</v>
      </c>
      <c r="W10" s="59" t="str">
        <f>Lookup!V20</f>
        <v>FY28</v>
      </c>
    </row>
    <row r="12" spans="1:23" s="4" customFormat="1" ht="15.75" x14ac:dyDescent="0.2">
      <c r="B12" s="4" t="s">
        <v>97</v>
      </c>
    </row>
    <row r="13" spans="1:23" s="6" customFormat="1" ht="4.5" customHeight="1" x14ac:dyDescent="0.2"/>
    <row r="14" spans="1:23" s="13" customFormat="1" ht="15" x14ac:dyDescent="0.2">
      <c r="C14" s="13" t="s">
        <v>167</v>
      </c>
    </row>
    <row r="16" spans="1:23" ht="12.75" x14ac:dyDescent="0.2">
      <c r="D16" s="70" t="s">
        <v>102</v>
      </c>
      <c r="E16" s="69" t="str">
        <f>Lookup!E$20</f>
        <v>Source</v>
      </c>
      <c r="F16" s="69" t="str">
        <f>Lookup!F$20</f>
        <v>Unit</v>
      </c>
      <c r="G16" s="69" t="str">
        <f>Lookup!G$20</f>
        <v>Basis</v>
      </c>
      <c r="H16" s="69" t="str">
        <f>Lookup!H$20</f>
        <v>Timing</v>
      </c>
      <c r="I16" s="69"/>
      <c r="J16" s="130"/>
      <c r="K16" s="130"/>
      <c r="L16" s="130"/>
      <c r="M16" s="130"/>
      <c r="N16" s="69" t="str">
        <f>N$10</f>
        <v>FY19</v>
      </c>
      <c r="O16" s="69" t="str">
        <f t="shared" ref="O16:W16" si="0">O$10</f>
        <v>FY20</v>
      </c>
      <c r="P16" s="69" t="str">
        <f t="shared" si="0"/>
        <v>FY21</v>
      </c>
      <c r="Q16" s="69" t="str">
        <f t="shared" si="0"/>
        <v>FY22</v>
      </c>
      <c r="R16" s="77" t="str">
        <f t="shared" si="0"/>
        <v>FY23</v>
      </c>
      <c r="S16" s="69" t="str">
        <f t="shared" si="0"/>
        <v>FY24</v>
      </c>
      <c r="T16" s="69" t="str">
        <f t="shared" si="0"/>
        <v>FY25</v>
      </c>
      <c r="U16" s="69" t="str">
        <f t="shared" si="0"/>
        <v>FY26</v>
      </c>
      <c r="V16" s="69" t="str">
        <f t="shared" si="0"/>
        <v>FY27</v>
      </c>
      <c r="W16" s="69" t="str">
        <f t="shared" si="0"/>
        <v>FY28</v>
      </c>
    </row>
    <row r="17" spans="2:22" x14ac:dyDescent="0.2">
      <c r="N17" s="78"/>
      <c r="O17" s="78"/>
      <c r="P17" s="78"/>
      <c r="Q17" s="78"/>
      <c r="R17" s="76"/>
    </row>
    <row r="18" spans="2:22" ht="12.75" x14ac:dyDescent="0.2">
      <c r="D18" s="15" t="s">
        <v>165</v>
      </c>
      <c r="E18" s="72" t="s">
        <v>166</v>
      </c>
      <c r="F18" s="62" t="str">
        <f t="shared" ref="F18:F19" si="1">Percent</f>
        <v>Percent</v>
      </c>
      <c r="G18" s="62" t="str">
        <f t="shared" ref="G18:H19" si="2">NA</f>
        <v>N/A</v>
      </c>
      <c r="H18" s="62" t="str">
        <f t="shared" si="2"/>
        <v>N/A</v>
      </c>
      <c r="N18" s="79">
        <f>Input_CPI!J21</f>
        <v>1.5929203539823078E-2</v>
      </c>
      <c r="O18" s="79">
        <f>Input_CPI!K21</f>
        <v>-3.4843205574912606E-3</v>
      </c>
      <c r="P18" s="79">
        <f>Input_CPI!L21</f>
        <v>3.8461538461538325E-2</v>
      </c>
      <c r="Q18" s="79">
        <f>Input_CPI!M21</f>
        <v>2.75E-2</v>
      </c>
    </row>
    <row r="19" spans="2:22" ht="12.75" x14ac:dyDescent="0.2">
      <c r="D19" s="15" t="s">
        <v>130</v>
      </c>
      <c r="E19" s="72" t="s">
        <v>98</v>
      </c>
      <c r="F19" s="62" t="str">
        <f t="shared" si="1"/>
        <v>Percent</v>
      </c>
      <c r="G19" s="62" t="str">
        <f t="shared" si="2"/>
        <v>N/A</v>
      </c>
      <c r="H19" s="62" t="str">
        <f t="shared" si="2"/>
        <v>N/A</v>
      </c>
      <c r="Q19" s="140" t="s">
        <v>219</v>
      </c>
      <c r="R19" s="79">
        <f>Input_CPI!N21</f>
        <v>2.2499999999999999E-2</v>
      </c>
      <c r="S19" s="79">
        <f>R19</f>
        <v>2.2499999999999999E-2</v>
      </c>
      <c r="T19" s="79">
        <f>($V19-$S19)/3*1+$S19</f>
        <v>2.3333333333333334E-2</v>
      </c>
      <c r="U19" s="79">
        <f>($V19-$S19)/3*2+$S19</f>
        <v>2.4166666666666666E-2</v>
      </c>
      <c r="V19" s="79">
        <v>2.5000000000000001E-2</v>
      </c>
    </row>
    <row r="20" spans="2:22" ht="12.75" x14ac:dyDescent="0.2">
      <c r="R20" s="145" t="s">
        <v>186</v>
      </c>
      <c r="S20" s="145"/>
      <c r="T20" s="145" t="s">
        <v>187</v>
      </c>
      <c r="U20" s="145"/>
      <c r="V20" s="112" t="s">
        <v>188</v>
      </c>
    </row>
    <row r="22" spans="2:22" ht="12.75" x14ac:dyDescent="0.2">
      <c r="C22" s="74" t="s">
        <v>171</v>
      </c>
    </row>
    <row r="23" spans="2:22" ht="12.75" x14ac:dyDescent="0.2">
      <c r="C23" s="74" t="s">
        <v>220</v>
      </c>
    </row>
    <row r="26" spans="2:22" s="4" customFormat="1" ht="15.75" x14ac:dyDescent="0.2">
      <c r="B26" s="4" t="s">
        <v>129</v>
      </c>
    </row>
    <row r="27" spans="2:22" s="6" customFormat="1" ht="4.5" customHeight="1" x14ac:dyDescent="0.2"/>
    <row r="28" spans="2:22" s="13" customFormat="1" ht="15" x14ac:dyDescent="0.2">
      <c r="C28" s="13" t="s">
        <v>202</v>
      </c>
    </row>
    <row r="30" spans="2:22" s="6" customFormat="1" ht="26.65" customHeight="1" x14ac:dyDescent="0.2">
      <c r="D30" s="70" t="s">
        <v>103</v>
      </c>
      <c r="E30" s="69" t="s">
        <v>63</v>
      </c>
      <c r="F30" s="69" t="s">
        <v>64</v>
      </c>
      <c r="G30" s="69" t="s">
        <v>65</v>
      </c>
      <c r="H30" s="69" t="str">
        <f>Lookup!H$20</f>
        <v>Timing</v>
      </c>
      <c r="I30" s="82"/>
      <c r="J30" s="69" t="s">
        <v>104</v>
      </c>
      <c r="K30" s="83"/>
      <c r="L30" s="69" t="s">
        <v>105</v>
      </c>
      <c r="M30" s="82"/>
      <c r="N30" s="7"/>
      <c r="R30" s="7"/>
    </row>
    <row r="31" spans="2:22" s="6" customFormat="1" ht="11.25" customHeight="1" x14ac:dyDescent="0.2">
      <c r="D31" s="84"/>
      <c r="E31" s="82"/>
      <c r="F31" s="82"/>
      <c r="G31" s="82"/>
      <c r="H31" s="7"/>
      <c r="I31" s="82"/>
      <c r="J31" s="83"/>
      <c r="K31" s="83"/>
      <c r="L31" s="83"/>
      <c r="M31" s="82"/>
      <c r="N31" s="7"/>
      <c r="R31" s="7"/>
    </row>
    <row r="32" spans="2:22" ht="12.75" x14ac:dyDescent="0.2">
      <c r="D32" s="12" t="s">
        <v>106</v>
      </c>
      <c r="E32" s="72" t="s">
        <v>98</v>
      </c>
      <c r="F32" s="62" t="s">
        <v>1</v>
      </c>
      <c r="G32" s="62" t="str">
        <f t="shared" ref="G32:H33" si="3">NA</f>
        <v>N/A</v>
      </c>
      <c r="H32" s="62" t="str">
        <f t="shared" si="3"/>
        <v>N/A</v>
      </c>
      <c r="I32" s="82"/>
      <c r="J32" s="79" t="s">
        <v>212</v>
      </c>
      <c r="L32" s="79" t="s">
        <v>214</v>
      </c>
      <c r="M32" s="82"/>
    </row>
    <row r="33" spans="4:14" ht="12.75" x14ac:dyDescent="0.2">
      <c r="D33" s="12" t="s">
        <v>107</v>
      </c>
      <c r="E33" s="72" t="s">
        <v>98</v>
      </c>
      <c r="F33" s="62" t="s">
        <v>108</v>
      </c>
      <c r="G33" s="62" t="str">
        <f t="shared" si="3"/>
        <v>N/A</v>
      </c>
      <c r="H33" s="62" t="str">
        <f t="shared" si="3"/>
        <v>N/A</v>
      </c>
      <c r="I33" s="82"/>
      <c r="J33" s="86">
        <v>48020</v>
      </c>
      <c r="L33" s="86">
        <v>48173</v>
      </c>
      <c r="M33" s="82"/>
    </row>
    <row r="36" spans="4:14" s="6" customFormat="1" ht="26.65" customHeight="1" x14ac:dyDescent="0.2">
      <c r="D36" s="70" t="s">
        <v>109</v>
      </c>
      <c r="E36" s="69"/>
      <c r="F36" s="69"/>
      <c r="G36" s="69"/>
      <c r="H36" s="69"/>
      <c r="I36" s="82"/>
      <c r="J36" s="69" t="s">
        <v>144</v>
      </c>
      <c r="K36" s="83"/>
      <c r="L36" s="69" t="s">
        <v>144</v>
      </c>
      <c r="M36" s="82"/>
      <c r="N36" s="7"/>
    </row>
    <row r="38" spans="4:14" ht="12.75" x14ac:dyDescent="0.2">
      <c r="D38" s="123">
        <v>44469</v>
      </c>
      <c r="E38" s="72" t="s">
        <v>98</v>
      </c>
      <c r="F38" s="62" t="str">
        <f t="shared" ref="F38:F58" si="4">Percent</f>
        <v>Percent</v>
      </c>
      <c r="G38" s="62" t="str">
        <f t="shared" ref="G38:G58" si="5">Nominal</f>
        <v>Nominal</v>
      </c>
      <c r="H38" s="62" t="str">
        <f t="shared" ref="H38:H58" si="6">NA</f>
        <v>N/A</v>
      </c>
      <c r="I38" s="82"/>
      <c r="J38" s="79">
        <v>1.4450000000000001E-2</v>
      </c>
      <c r="K38" s="83"/>
      <c r="L38" s="79">
        <v>1.49E-2</v>
      </c>
      <c r="M38" s="82"/>
    </row>
    <row r="39" spans="4:14" ht="12.75" x14ac:dyDescent="0.2">
      <c r="D39" s="123">
        <v>44470</v>
      </c>
      <c r="E39" s="72" t="s">
        <v>98</v>
      </c>
      <c r="F39" s="62" t="str">
        <f t="shared" si="4"/>
        <v>Percent</v>
      </c>
      <c r="G39" s="62" t="str">
        <f t="shared" si="5"/>
        <v>Nominal</v>
      </c>
      <c r="H39" s="62" t="str">
        <f t="shared" si="6"/>
        <v>N/A</v>
      </c>
      <c r="I39" s="82"/>
      <c r="J39" s="79">
        <v>1.4450000000000001E-2</v>
      </c>
      <c r="K39" s="83"/>
      <c r="L39" s="79">
        <v>1.49E-2</v>
      </c>
      <c r="M39" s="82"/>
    </row>
    <row r="40" spans="4:14" ht="12.75" x14ac:dyDescent="0.2">
      <c r="D40" s="123">
        <v>44474</v>
      </c>
      <c r="E40" s="72" t="s">
        <v>98</v>
      </c>
      <c r="F40" s="62" t="str">
        <f t="shared" si="4"/>
        <v>Percent</v>
      </c>
      <c r="G40" s="62" t="str">
        <f t="shared" si="5"/>
        <v>Nominal</v>
      </c>
      <c r="H40" s="62" t="str">
        <f t="shared" si="6"/>
        <v>N/A</v>
      </c>
      <c r="I40" s="82"/>
      <c r="J40" s="79">
        <v>1.47E-2</v>
      </c>
      <c r="K40" s="83"/>
      <c r="L40" s="79">
        <v>1.5149999999999999E-2</v>
      </c>
      <c r="M40" s="82"/>
    </row>
    <row r="41" spans="4:14" ht="12.75" x14ac:dyDescent="0.2">
      <c r="D41" s="123">
        <v>44475</v>
      </c>
      <c r="E41" s="72" t="str">
        <f>E38</f>
        <v>RBA</v>
      </c>
      <c r="F41" s="62" t="str">
        <f t="shared" si="4"/>
        <v>Percent</v>
      </c>
      <c r="G41" s="62" t="str">
        <f t="shared" si="5"/>
        <v>Nominal</v>
      </c>
      <c r="H41" s="62" t="str">
        <f t="shared" si="6"/>
        <v>N/A</v>
      </c>
      <c r="I41" s="82"/>
      <c r="J41" s="79">
        <v>1.5650000000000001E-2</v>
      </c>
      <c r="K41" s="83"/>
      <c r="L41" s="79">
        <v>1.6049999999999998E-2</v>
      </c>
      <c r="M41" s="82"/>
    </row>
    <row r="42" spans="4:14" ht="12.75" x14ac:dyDescent="0.2">
      <c r="D42" s="123">
        <v>44476</v>
      </c>
      <c r="E42" s="72" t="str">
        <f t="shared" ref="E42:E57" si="7">E41</f>
        <v>RBA</v>
      </c>
      <c r="F42" s="62" t="str">
        <f t="shared" si="4"/>
        <v>Percent</v>
      </c>
      <c r="G42" s="62" t="str">
        <f t="shared" si="5"/>
        <v>Nominal</v>
      </c>
      <c r="H42" s="62" t="str">
        <f t="shared" si="6"/>
        <v>N/A</v>
      </c>
      <c r="I42" s="82"/>
      <c r="J42" s="79">
        <v>1.54E-2</v>
      </c>
      <c r="K42" s="83"/>
      <c r="L42" s="79">
        <v>1.585E-2</v>
      </c>
      <c r="M42" s="82"/>
    </row>
    <row r="43" spans="4:14" ht="12.75" x14ac:dyDescent="0.2">
      <c r="D43" s="123">
        <v>44477</v>
      </c>
      <c r="E43" s="72" t="str">
        <f t="shared" si="7"/>
        <v>RBA</v>
      </c>
      <c r="F43" s="62" t="str">
        <f t="shared" si="4"/>
        <v>Percent</v>
      </c>
      <c r="G43" s="62" t="str">
        <f t="shared" si="5"/>
        <v>Nominal</v>
      </c>
      <c r="H43" s="62" t="str">
        <f t="shared" si="6"/>
        <v>N/A</v>
      </c>
      <c r="I43" s="82"/>
      <c r="J43" s="79">
        <v>1.5949999999999999E-2</v>
      </c>
      <c r="K43" s="83"/>
      <c r="L43" s="79">
        <v>1.635E-2</v>
      </c>
      <c r="M43" s="82"/>
    </row>
    <row r="44" spans="4:14" ht="12.75" x14ac:dyDescent="0.2">
      <c r="D44" s="123">
        <v>44480</v>
      </c>
      <c r="E44" s="72" t="str">
        <f t="shared" si="7"/>
        <v>RBA</v>
      </c>
      <c r="F44" s="62" t="str">
        <f t="shared" si="4"/>
        <v>Percent</v>
      </c>
      <c r="G44" s="62" t="str">
        <f t="shared" si="5"/>
        <v>Nominal</v>
      </c>
      <c r="H44" s="62" t="str">
        <f t="shared" si="6"/>
        <v>N/A</v>
      </c>
      <c r="I44" s="82"/>
      <c r="J44" s="79">
        <v>1.67E-2</v>
      </c>
      <c r="K44" s="83"/>
      <c r="L44" s="79">
        <v>1.7150000000000002E-2</v>
      </c>
      <c r="M44" s="82"/>
    </row>
    <row r="45" spans="4:14" ht="12.75" x14ac:dyDescent="0.2">
      <c r="D45" s="123">
        <v>44481</v>
      </c>
      <c r="E45" s="72" t="str">
        <f t="shared" si="7"/>
        <v>RBA</v>
      </c>
      <c r="F45" s="62" t="str">
        <f t="shared" si="4"/>
        <v>Percent</v>
      </c>
      <c r="G45" s="62" t="str">
        <f t="shared" si="5"/>
        <v>Nominal</v>
      </c>
      <c r="H45" s="62" t="str">
        <f t="shared" si="6"/>
        <v>N/A</v>
      </c>
      <c r="I45" s="82"/>
      <c r="J45" s="79">
        <v>1.6750000000000001E-2</v>
      </c>
      <c r="K45" s="83"/>
      <c r="L45" s="79">
        <v>1.72E-2</v>
      </c>
      <c r="M45" s="82"/>
    </row>
    <row r="46" spans="4:14" ht="12.75" x14ac:dyDescent="0.2">
      <c r="D46" s="123">
        <v>44482</v>
      </c>
      <c r="E46" s="72" t="str">
        <f t="shared" si="7"/>
        <v>RBA</v>
      </c>
      <c r="F46" s="62" t="str">
        <f t="shared" si="4"/>
        <v>Percent</v>
      </c>
      <c r="G46" s="62" t="str">
        <f t="shared" si="5"/>
        <v>Nominal</v>
      </c>
      <c r="H46" s="62" t="str">
        <f t="shared" si="6"/>
        <v>N/A</v>
      </c>
      <c r="I46" s="82"/>
      <c r="J46" s="79">
        <v>1.6449999999999999E-2</v>
      </c>
      <c r="K46" s="83"/>
      <c r="L46" s="79">
        <v>1.6899999999999998E-2</v>
      </c>
      <c r="M46" s="82"/>
    </row>
    <row r="47" spans="4:14" ht="12.75" x14ac:dyDescent="0.2">
      <c r="D47" s="123">
        <v>44483</v>
      </c>
      <c r="E47" s="72" t="str">
        <f t="shared" si="7"/>
        <v>RBA</v>
      </c>
      <c r="F47" s="62" t="str">
        <f t="shared" si="4"/>
        <v>Percent</v>
      </c>
      <c r="G47" s="62" t="str">
        <f t="shared" si="5"/>
        <v>Nominal</v>
      </c>
      <c r="H47" s="62" t="str">
        <f t="shared" si="6"/>
        <v>N/A</v>
      </c>
      <c r="I47" s="82"/>
      <c r="J47" s="79">
        <v>1.585E-2</v>
      </c>
      <c r="K47" s="83"/>
      <c r="L47" s="79">
        <v>1.6250000000000001E-2</v>
      </c>
      <c r="M47" s="82"/>
    </row>
    <row r="48" spans="4:14" ht="12.75" x14ac:dyDescent="0.2">
      <c r="D48" s="123">
        <v>44484</v>
      </c>
      <c r="E48" s="72" t="str">
        <f t="shared" si="7"/>
        <v>RBA</v>
      </c>
      <c r="F48" s="62" t="str">
        <f t="shared" si="4"/>
        <v>Percent</v>
      </c>
      <c r="G48" s="62" t="str">
        <f t="shared" si="5"/>
        <v>Nominal</v>
      </c>
      <c r="H48" s="62" t="str">
        <f t="shared" si="6"/>
        <v>N/A</v>
      </c>
      <c r="I48" s="82"/>
      <c r="J48" s="79">
        <v>1.61E-2</v>
      </c>
      <c r="K48" s="83"/>
      <c r="L48" s="79">
        <v>1.6500000000000001E-2</v>
      </c>
      <c r="M48" s="82"/>
    </row>
    <row r="49" spans="3:16" ht="12.75" x14ac:dyDescent="0.2">
      <c r="D49" s="123">
        <v>44487</v>
      </c>
      <c r="E49" s="72" t="str">
        <f t="shared" si="7"/>
        <v>RBA</v>
      </c>
      <c r="F49" s="62" t="str">
        <f t="shared" si="4"/>
        <v>Percent</v>
      </c>
      <c r="G49" s="62" t="str">
        <f t="shared" si="5"/>
        <v>Nominal</v>
      </c>
      <c r="H49" s="62" t="str">
        <f t="shared" si="6"/>
        <v>N/A</v>
      </c>
      <c r="I49" s="82"/>
      <c r="J49" s="79">
        <v>1.7000000000000001E-2</v>
      </c>
      <c r="K49" s="83"/>
      <c r="L49" s="79">
        <v>1.745E-2</v>
      </c>
      <c r="M49" s="82"/>
    </row>
    <row r="50" spans="3:16" ht="12.75" x14ac:dyDescent="0.2">
      <c r="D50" s="123">
        <v>44488</v>
      </c>
      <c r="E50" s="72" t="str">
        <f t="shared" si="7"/>
        <v>RBA</v>
      </c>
      <c r="F50" s="62" t="str">
        <f t="shared" si="4"/>
        <v>Percent</v>
      </c>
      <c r="G50" s="62" t="str">
        <f t="shared" si="5"/>
        <v>Nominal</v>
      </c>
      <c r="H50" s="62" t="str">
        <f t="shared" si="6"/>
        <v>N/A</v>
      </c>
      <c r="I50" s="82"/>
      <c r="J50" s="79">
        <v>1.685E-2</v>
      </c>
      <c r="K50" s="83"/>
      <c r="L50" s="79">
        <v>1.7250000000000001E-2</v>
      </c>
      <c r="M50" s="82"/>
    </row>
    <row r="51" spans="3:16" ht="12.75" x14ac:dyDescent="0.2">
      <c r="D51" s="123">
        <v>44489</v>
      </c>
      <c r="E51" s="72" t="str">
        <f t="shared" si="7"/>
        <v>RBA</v>
      </c>
      <c r="F51" s="62" t="str">
        <f t="shared" si="4"/>
        <v>Percent</v>
      </c>
      <c r="G51" s="62" t="str">
        <f t="shared" si="5"/>
        <v>Nominal</v>
      </c>
      <c r="H51" s="62" t="str">
        <f t="shared" si="6"/>
        <v>N/A</v>
      </c>
      <c r="I51" s="82"/>
      <c r="J51" s="79">
        <v>1.7649999999999999E-2</v>
      </c>
      <c r="K51" s="83"/>
      <c r="L51" s="79">
        <v>1.8100000000000002E-2</v>
      </c>
      <c r="M51" s="82"/>
    </row>
    <row r="52" spans="3:16" ht="12.75" x14ac:dyDescent="0.2">
      <c r="D52" s="123">
        <v>44490</v>
      </c>
      <c r="E52" s="72" t="str">
        <f t="shared" si="7"/>
        <v>RBA</v>
      </c>
      <c r="F52" s="62" t="str">
        <f t="shared" si="4"/>
        <v>Percent</v>
      </c>
      <c r="G52" s="62" t="str">
        <f t="shared" si="5"/>
        <v>Nominal</v>
      </c>
      <c r="H52" s="62" t="str">
        <f t="shared" si="6"/>
        <v>N/A</v>
      </c>
      <c r="I52" s="82"/>
      <c r="J52" s="79">
        <v>1.7500000000000002E-2</v>
      </c>
      <c r="K52" s="83"/>
      <c r="L52" s="79">
        <v>1.7899999999999999E-2</v>
      </c>
      <c r="M52" s="82"/>
    </row>
    <row r="53" spans="3:16" ht="12.75" x14ac:dyDescent="0.2">
      <c r="D53" s="123">
        <v>44491</v>
      </c>
      <c r="E53" s="72" t="str">
        <f t="shared" si="7"/>
        <v>RBA</v>
      </c>
      <c r="F53" s="62" t="str">
        <f t="shared" si="4"/>
        <v>Percent</v>
      </c>
      <c r="G53" s="62" t="str">
        <f t="shared" si="5"/>
        <v>Nominal</v>
      </c>
      <c r="H53" s="62" t="str">
        <f t="shared" si="6"/>
        <v>N/A</v>
      </c>
      <c r="I53" s="82"/>
      <c r="J53" s="79">
        <v>1.7600000000000001E-2</v>
      </c>
      <c r="K53" s="83"/>
      <c r="L53" s="79">
        <v>1.8000000000000002E-2</v>
      </c>
      <c r="M53" s="82"/>
    </row>
    <row r="54" spans="3:16" ht="12.75" x14ac:dyDescent="0.2">
      <c r="D54" s="123">
        <v>44494</v>
      </c>
      <c r="E54" s="72" t="str">
        <f t="shared" si="7"/>
        <v>RBA</v>
      </c>
      <c r="F54" s="62" t="str">
        <f t="shared" si="4"/>
        <v>Percent</v>
      </c>
      <c r="G54" s="62" t="str">
        <f t="shared" si="5"/>
        <v>Nominal</v>
      </c>
      <c r="H54" s="62" t="str">
        <f t="shared" si="6"/>
        <v>N/A</v>
      </c>
      <c r="I54" s="82"/>
      <c r="J54" s="79">
        <v>1.745E-2</v>
      </c>
      <c r="K54" s="83"/>
      <c r="L54" s="79">
        <v>1.7849999999999998E-2</v>
      </c>
      <c r="M54" s="82"/>
    </row>
    <row r="55" spans="3:16" ht="12.75" x14ac:dyDescent="0.2">
      <c r="D55" s="123">
        <v>44495</v>
      </c>
      <c r="E55" s="72" t="str">
        <f t="shared" si="7"/>
        <v>RBA</v>
      </c>
      <c r="F55" s="62" t="str">
        <f t="shared" si="4"/>
        <v>Percent</v>
      </c>
      <c r="G55" s="62" t="str">
        <f t="shared" si="5"/>
        <v>Nominal</v>
      </c>
      <c r="H55" s="62" t="str">
        <f t="shared" si="6"/>
        <v>N/A</v>
      </c>
      <c r="I55" s="82"/>
      <c r="J55" s="79">
        <v>1.7649999999999999E-2</v>
      </c>
      <c r="K55" s="83"/>
      <c r="L55" s="79">
        <v>1.805E-2</v>
      </c>
      <c r="M55" s="82"/>
    </row>
    <row r="56" spans="3:16" ht="12.75" x14ac:dyDescent="0.2">
      <c r="D56" s="123">
        <v>44496</v>
      </c>
      <c r="E56" s="72" t="str">
        <f t="shared" si="7"/>
        <v>RBA</v>
      </c>
      <c r="F56" s="62" t="str">
        <f t="shared" si="4"/>
        <v>Percent</v>
      </c>
      <c r="G56" s="62" t="str">
        <f t="shared" si="5"/>
        <v>Nominal</v>
      </c>
      <c r="H56" s="62" t="str">
        <f t="shared" si="6"/>
        <v>N/A</v>
      </c>
      <c r="I56" s="82"/>
      <c r="J56" s="79">
        <v>1.77E-2</v>
      </c>
      <c r="K56" s="83"/>
      <c r="L56" s="79">
        <v>1.8100000000000002E-2</v>
      </c>
      <c r="M56" s="82"/>
    </row>
    <row r="57" spans="3:16" ht="12.75" x14ac:dyDescent="0.2">
      <c r="D57" s="123">
        <v>44497</v>
      </c>
      <c r="E57" s="72" t="str">
        <f t="shared" si="7"/>
        <v>RBA</v>
      </c>
      <c r="F57" s="62" t="str">
        <f t="shared" si="4"/>
        <v>Percent</v>
      </c>
      <c r="G57" s="62" t="str">
        <f t="shared" si="5"/>
        <v>Nominal</v>
      </c>
      <c r="H57" s="62" t="str">
        <f t="shared" si="6"/>
        <v>N/A</v>
      </c>
      <c r="I57" s="82"/>
      <c r="J57" s="79">
        <v>1.8000000000000002E-2</v>
      </c>
      <c r="K57" s="83"/>
      <c r="L57" s="79">
        <v>1.8349999999999998E-2</v>
      </c>
      <c r="M57" s="82"/>
    </row>
    <row r="58" spans="3:16" ht="12.75" x14ac:dyDescent="0.2">
      <c r="D58" s="123">
        <v>44498</v>
      </c>
      <c r="E58" s="72" t="str">
        <f>E57</f>
        <v>RBA</v>
      </c>
      <c r="F58" s="62" t="str">
        <f t="shared" si="4"/>
        <v>Percent</v>
      </c>
      <c r="G58" s="62" t="str">
        <f t="shared" si="5"/>
        <v>Nominal</v>
      </c>
      <c r="H58" s="62" t="str">
        <f t="shared" si="6"/>
        <v>N/A</v>
      </c>
      <c r="I58" s="82"/>
      <c r="J58" s="79">
        <v>2.0499999999999997E-2</v>
      </c>
      <c r="K58" s="83"/>
      <c r="L58" s="79">
        <v>2.0899999999999998E-2</v>
      </c>
      <c r="M58" s="82"/>
    </row>
    <row r="59" spans="3:16" s="6" customFormat="1" ht="11.25" customHeight="1" x14ac:dyDescent="0.2">
      <c r="N59" s="7"/>
      <c r="P59" s="83"/>
    </row>
    <row r="60" spans="3:16" s="6" customFormat="1" ht="11.25" customHeight="1" x14ac:dyDescent="0.2">
      <c r="N60" s="7"/>
    </row>
    <row r="61" spans="3:16" s="13" customFormat="1" ht="15" x14ac:dyDescent="0.2">
      <c r="C61" s="13" t="s">
        <v>222</v>
      </c>
    </row>
    <row r="63" spans="3:16" s="6" customFormat="1" ht="26.65" customHeight="1" x14ac:dyDescent="0.2">
      <c r="D63" s="70" t="s">
        <v>109</v>
      </c>
      <c r="E63" s="69" t="s">
        <v>63</v>
      </c>
      <c r="F63" s="69" t="s">
        <v>64</v>
      </c>
      <c r="G63" s="69" t="s">
        <v>65</v>
      </c>
      <c r="H63" s="69" t="str">
        <f>Lookup!H$20</f>
        <v>Timing</v>
      </c>
      <c r="I63" s="82"/>
      <c r="J63" s="102" t="s">
        <v>172</v>
      </c>
      <c r="K63" s="102" t="s">
        <v>173</v>
      </c>
      <c r="L63" s="82"/>
      <c r="M63" s="7"/>
      <c r="N63" s="7"/>
      <c r="O63" s="7"/>
      <c r="P63" s="7"/>
    </row>
    <row r="64" spans="3:16" s="6" customFormat="1" ht="11.25" customHeight="1" x14ac:dyDescent="0.2">
      <c r="D64" s="7"/>
      <c r="E64" s="7"/>
      <c r="F64" s="7"/>
      <c r="G64" s="7"/>
      <c r="H64" s="7"/>
      <c r="I64" s="7"/>
      <c r="J64" s="7"/>
      <c r="L64" s="7"/>
      <c r="M64" s="7"/>
      <c r="N64" s="7"/>
      <c r="O64" s="7"/>
    </row>
    <row r="65" spans="4:15" s="6" customFormat="1" ht="12.75" x14ac:dyDescent="0.2">
      <c r="D65" s="123">
        <v>44470</v>
      </c>
      <c r="E65" s="72" t="s">
        <v>182</v>
      </c>
      <c r="F65" s="62" t="str">
        <f t="shared" ref="F65:F84" si="8">Percent</f>
        <v>Percent</v>
      </c>
      <c r="G65" s="62" t="str">
        <f t="shared" ref="G65:G84" si="9">Nominal</f>
        <v>Nominal</v>
      </c>
      <c r="H65" s="62" t="str">
        <f t="shared" ref="H65:H84" si="10">NA</f>
        <v>N/A</v>
      </c>
      <c r="I65" s="82"/>
      <c r="J65" s="141" t="s">
        <v>231</v>
      </c>
      <c r="K65" s="141" t="s">
        <v>231</v>
      </c>
      <c r="L65" s="82"/>
      <c r="M65" s="7"/>
      <c r="N65" s="7"/>
      <c r="O65" s="7"/>
    </row>
    <row r="66" spans="4:15" s="6" customFormat="1" ht="12.75" x14ac:dyDescent="0.2">
      <c r="D66" s="123">
        <v>44474</v>
      </c>
      <c r="E66" s="72" t="str">
        <f>E65</f>
        <v>Bloomberg / Reuters</v>
      </c>
      <c r="F66" s="62" t="str">
        <f t="shared" si="8"/>
        <v>Percent</v>
      </c>
      <c r="G66" s="62" t="str">
        <f t="shared" si="9"/>
        <v>Nominal</v>
      </c>
      <c r="H66" s="62" t="str">
        <f t="shared" si="10"/>
        <v>N/A</v>
      </c>
      <c r="I66" s="82"/>
      <c r="J66" s="141" t="s">
        <v>231</v>
      </c>
      <c r="K66" s="141" t="s">
        <v>231</v>
      </c>
      <c r="L66" s="82"/>
      <c r="M66" s="7"/>
      <c r="N66" s="7"/>
      <c r="O66" s="7"/>
    </row>
    <row r="67" spans="4:15" s="6" customFormat="1" ht="12.75" x14ac:dyDescent="0.2">
      <c r="D67" s="123">
        <v>44475</v>
      </c>
      <c r="E67" s="72" t="str">
        <f t="shared" ref="E67:E84" si="11">E66</f>
        <v>Bloomberg / Reuters</v>
      </c>
      <c r="F67" s="62" t="str">
        <f t="shared" si="8"/>
        <v>Percent</v>
      </c>
      <c r="G67" s="62" t="str">
        <f t="shared" si="9"/>
        <v>Nominal</v>
      </c>
      <c r="H67" s="62" t="str">
        <f t="shared" si="10"/>
        <v>N/A</v>
      </c>
      <c r="I67" s="82"/>
      <c r="J67" s="141" t="s">
        <v>231</v>
      </c>
      <c r="K67" s="141" t="s">
        <v>231</v>
      </c>
      <c r="L67" s="82"/>
      <c r="M67" s="7"/>
      <c r="N67" s="7"/>
      <c r="O67" s="7"/>
    </row>
    <row r="68" spans="4:15" s="6" customFormat="1" ht="12.75" x14ac:dyDescent="0.2">
      <c r="D68" s="123">
        <v>44476</v>
      </c>
      <c r="E68" s="72" t="str">
        <f t="shared" si="11"/>
        <v>Bloomberg / Reuters</v>
      </c>
      <c r="F68" s="62" t="str">
        <f t="shared" si="8"/>
        <v>Percent</v>
      </c>
      <c r="G68" s="62" t="str">
        <f t="shared" si="9"/>
        <v>Nominal</v>
      </c>
      <c r="H68" s="62" t="str">
        <f t="shared" si="10"/>
        <v>N/A</v>
      </c>
      <c r="I68" s="82"/>
      <c r="J68" s="141" t="s">
        <v>231</v>
      </c>
      <c r="K68" s="141" t="s">
        <v>231</v>
      </c>
      <c r="L68" s="82"/>
      <c r="M68" s="7"/>
      <c r="N68" s="7"/>
      <c r="O68" s="7"/>
    </row>
    <row r="69" spans="4:15" s="6" customFormat="1" ht="12.75" x14ac:dyDescent="0.2">
      <c r="D69" s="123">
        <v>44477</v>
      </c>
      <c r="E69" s="72" t="str">
        <f t="shared" si="11"/>
        <v>Bloomberg / Reuters</v>
      </c>
      <c r="F69" s="62" t="str">
        <f t="shared" si="8"/>
        <v>Percent</v>
      </c>
      <c r="G69" s="62" t="str">
        <f t="shared" si="9"/>
        <v>Nominal</v>
      </c>
      <c r="H69" s="62" t="str">
        <f t="shared" si="10"/>
        <v>N/A</v>
      </c>
      <c r="I69" s="82"/>
      <c r="J69" s="141" t="s">
        <v>231</v>
      </c>
      <c r="K69" s="141" t="s">
        <v>231</v>
      </c>
      <c r="L69" s="82"/>
      <c r="M69" s="7"/>
      <c r="N69" s="7"/>
      <c r="O69" s="7"/>
    </row>
    <row r="70" spans="4:15" s="6" customFormat="1" ht="12.75" x14ac:dyDescent="0.2">
      <c r="D70" s="123">
        <v>44480</v>
      </c>
      <c r="E70" s="72" t="str">
        <f t="shared" si="11"/>
        <v>Bloomberg / Reuters</v>
      </c>
      <c r="F70" s="62" t="str">
        <f t="shared" si="8"/>
        <v>Percent</v>
      </c>
      <c r="G70" s="62" t="str">
        <f t="shared" si="9"/>
        <v>Nominal</v>
      </c>
      <c r="H70" s="62" t="str">
        <f t="shared" si="10"/>
        <v>N/A</v>
      </c>
      <c r="I70" s="82"/>
      <c r="J70" s="141" t="s">
        <v>231</v>
      </c>
      <c r="K70" s="141" t="s">
        <v>231</v>
      </c>
      <c r="L70" s="82"/>
      <c r="M70" s="7"/>
      <c r="N70" s="7"/>
      <c r="O70" s="7"/>
    </row>
    <row r="71" spans="4:15" s="6" customFormat="1" ht="12.75" x14ac:dyDescent="0.2">
      <c r="D71" s="123">
        <v>44481</v>
      </c>
      <c r="E71" s="72" t="str">
        <f t="shared" si="11"/>
        <v>Bloomberg / Reuters</v>
      </c>
      <c r="F71" s="62" t="str">
        <f t="shared" si="8"/>
        <v>Percent</v>
      </c>
      <c r="G71" s="62" t="str">
        <f t="shared" si="9"/>
        <v>Nominal</v>
      </c>
      <c r="H71" s="62" t="str">
        <f t="shared" si="10"/>
        <v>N/A</v>
      </c>
      <c r="I71" s="82"/>
      <c r="J71" s="141" t="s">
        <v>231</v>
      </c>
      <c r="K71" s="141" t="s">
        <v>231</v>
      </c>
      <c r="L71" s="82"/>
      <c r="M71" s="7"/>
      <c r="N71" s="7"/>
      <c r="O71" s="7"/>
    </row>
    <row r="72" spans="4:15" s="6" customFormat="1" ht="12.75" x14ac:dyDescent="0.2">
      <c r="D72" s="123">
        <v>44482</v>
      </c>
      <c r="E72" s="72" t="str">
        <f t="shared" si="11"/>
        <v>Bloomberg / Reuters</v>
      </c>
      <c r="F72" s="62" t="str">
        <f t="shared" si="8"/>
        <v>Percent</v>
      </c>
      <c r="G72" s="62" t="str">
        <f t="shared" si="9"/>
        <v>Nominal</v>
      </c>
      <c r="H72" s="62" t="str">
        <f t="shared" si="10"/>
        <v>N/A</v>
      </c>
      <c r="I72" s="82"/>
      <c r="J72" s="141" t="s">
        <v>231</v>
      </c>
      <c r="K72" s="141" t="s">
        <v>231</v>
      </c>
      <c r="L72" s="82"/>
      <c r="M72" s="7"/>
      <c r="N72" s="7"/>
      <c r="O72" s="7"/>
    </row>
    <row r="73" spans="4:15" s="6" customFormat="1" ht="12.75" x14ac:dyDescent="0.2">
      <c r="D73" s="123">
        <v>44483</v>
      </c>
      <c r="E73" s="72" t="str">
        <f t="shared" si="11"/>
        <v>Bloomberg / Reuters</v>
      </c>
      <c r="F73" s="62" t="str">
        <f t="shared" si="8"/>
        <v>Percent</v>
      </c>
      <c r="G73" s="62" t="str">
        <f t="shared" si="9"/>
        <v>Nominal</v>
      </c>
      <c r="H73" s="62" t="str">
        <f t="shared" si="10"/>
        <v>N/A</v>
      </c>
      <c r="I73" s="82"/>
      <c r="J73" s="141" t="s">
        <v>231</v>
      </c>
      <c r="K73" s="141" t="s">
        <v>231</v>
      </c>
      <c r="L73" s="82"/>
      <c r="M73" s="7"/>
      <c r="N73" s="7"/>
      <c r="O73" s="7"/>
    </row>
    <row r="74" spans="4:15" s="6" customFormat="1" ht="12.75" x14ac:dyDescent="0.2">
      <c r="D74" s="123">
        <v>44484</v>
      </c>
      <c r="E74" s="72" t="str">
        <f t="shared" si="11"/>
        <v>Bloomberg / Reuters</v>
      </c>
      <c r="F74" s="62" t="str">
        <f t="shared" si="8"/>
        <v>Percent</v>
      </c>
      <c r="G74" s="62" t="str">
        <f t="shared" si="9"/>
        <v>Nominal</v>
      </c>
      <c r="H74" s="62" t="str">
        <f t="shared" si="10"/>
        <v>N/A</v>
      </c>
      <c r="I74" s="82"/>
      <c r="J74" s="141" t="s">
        <v>231</v>
      </c>
      <c r="K74" s="141" t="s">
        <v>231</v>
      </c>
      <c r="L74" s="82"/>
      <c r="M74" s="7"/>
      <c r="N74" s="7"/>
      <c r="O74" s="7"/>
    </row>
    <row r="75" spans="4:15" s="6" customFormat="1" ht="12.75" x14ac:dyDescent="0.2">
      <c r="D75" s="123">
        <v>44487</v>
      </c>
      <c r="E75" s="72" t="str">
        <f t="shared" si="11"/>
        <v>Bloomberg / Reuters</v>
      </c>
      <c r="F75" s="62" t="str">
        <f t="shared" si="8"/>
        <v>Percent</v>
      </c>
      <c r="G75" s="62" t="str">
        <f t="shared" si="9"/>
        <v>Nominal</v>
      </c>
      <c r="H75" s="62" t="str">
        <f t="shared" si="10"/>
        <v>N/A</v>
      </c>
      <c r="I75" s="82"/>
      <c r="J75" s="141" t="s">
        <v>231</v>
      </c>
      <c r="K75" s="141" t="s">
        <v>231</v>
      </c>
      <c r="L75" s="82"/>
      <c r="M75" s="7"/>
      <c r="N75" s="7"/>
      <c r="O75" s="7"/>
    </row>
    <row r="76" spans="4:15" s="6" customFormat="1" ht="12.75" x14ac:dyDescent="0.2">
      <c r="D76" s="123">
        <v>44488</v>
      </c>
      <c r="E76" s="72" t="str">
        <f t="shared" si="11"/>
        <v>Bloomberg / Reuters</v>
      </c>
      <c r="F76" s="62" t="str">
        <f t="shared" si="8"/>
        <v>Percent</v>
      </c>
      <c r="G76" s="62" t="str">
        <f t="shared" si="9"/>
        <v>Nominal</v>
      </c>
      <c r="H76" s="62" t="str">
        <f t="shared" si="10"/>
        <v>N/A</v>
      </c>
      <c r="I76" s="82"/>
      <c r="J76" s="141" t="s">
        <v>231</v>
      </c>
      <c r="K76" s="141" t="s">
        <v>231</v>
      </c>
      <c r="L76" s="82"/>
      <c r="M76" s="7"/>
      <c r="N76" s="7"/>
      <c r="O76" s="7"/>
    </row>
    <row r="77" spans="4:15" s="6" customFormat="1" ht="12.75" x14ac:dyDescent="0.2">
      <c r="D77" s="123">
        <v>44489</v>
      </c>
      <c r="E77" s="72" t="str">
        <f t="shared" si="11"/>
        <v>Bloomberg / Reuters</v>
      </c>
      <c r="F77" s="62" t="str">
        <f t="shared" si="8"/>
        <v>Percent</v>
      </c>
      <c r="G77" s="62" t="str">
        <f t="shared" si="9"/>
        <v>Nominal</v>
      </c>
      <c r="H77" s="62" t="str">
        <f t="shared" si="10"/>
        <v>N/A</v>
      </c>
      <c r="I77" s="82"/>
      <c r="J77" s="141" t="s">
        <v>231</v>
      </c>
      <c r="K77" s="141" t="s">
        <v>231</v>
      </c>
      <c r="L77" s="82"/>
      <c r="M77" s="7"/>
      <c r="N77" s="7"/>
      <c r="O77" s="7"/>
    </row>
    <row r="78" spans="4:15" s="6" customFormat="1" ht="12.75" x14ac:dyDescent="0.2">
      <c r="D78" s="123">
        <v>44490</v>
      </c>
      <c r="E78" s="72" t="str">
        <f t="shared" si="11"/>
        <v>Bloomberg / Reuters</v>
      </c>
      <c r="F78" s="62" t="str">
        <f t="shared" si="8"/>
        <v>Percent</v>
      </c>
      <c r="G78" s="62" t="str">
        <f t="shared" si="9"/>
        <v>Nominal</v>
      </c>
      <c r="H78" s="62" t="str">
        <f t="shared" si="10"/>
        <v>N/A</v>
      </c>
      <c r="I78" s="82"/>
      <c r="J78" s="141" t="s">
        <v>231</v>
      </c>
      <c r="K78" s="141" t="s">
        <v>231</v>
      </c>
      <c r="L78" s="82"/>
      <c r="M78" s="7"/>
      <c r="N78" s="7"/>
      <c r="O78" s="7"/>
    </row>
    <row r="79" spans="4:15" s="6" customFormat="1" ht="12.75" x14ac:dyDescent="0.2">
      <c r="D79" s="123">
        <v>44491</v>
      </c>
      <c r="E79" s="72" t="str">
        <f t="shared" si="11"/>
        <v>Bloomberg / Reuters</v>
      </c>
      <c r="F79" s="62" t="str">
        <f t="shared" si="8"/>
        <v>Percent</v>
      </c>
      <c r="G79" s="62" t="str">
        <f t="shared" si="9"/>
        <v>Nominal</v>
      </c>
      <c r="H79" s="62" t="str">
        <f t="shared" si="10"/>
        <v>N/A</v>
      </c>
      <c r="I79" s="82"/>
      <c r="J79" s="141" t="s">
        <v>231</v>
      </c>
      <c r="K79" s="141" t="s">
        <v>231</v>
      </c>
      <c r="L79" s="82"/>
      <c r="M79" s="7"/>
      <c r="N79" s="7"/>
      <c r="O79" s="7"/>
    </row>
    <row r="80" spans="4:15" s="6" customFormat="1" ht="12.75" x14ac:dyDescent="0.2">
      <c r="D80" s="123">
        <v>44494</v>
      </c>
      <c r="E80" s="72" t="str">
        <f t="shared" si="11"/>
        <v>Bloomberg / Reuters</v>
      </c>
      <c r="F80" s="62" t="str">
        <f t="shared" si="8"/>
        <v>Percent</v>
      </c>
      <c r="G80" s="62" t="str">
        <f t="shared" si="9"/>
        <v>Nominal</v>
      </c>
      <c r="H80" s="62" t="str">
        <f t="shared" si="10"/>
        <v>N/A</v>
      </c>
      <c r="I80" s="82"/>
      <c r="J80" s="141" t="s">
        <v>231</v>
      </c>
      <c r="K80" s="141" t="s">
        <v>231</v>
      </c>
      <c r="L80" s="82"/>
      <c r="M80" s="7"/>
      <c r="N80" s="7"/>
      <c r="O80" s="7"/>
    </row>
    <row r="81" spans="3:27" s="6" customFormat="1" ht="12.75" x14ac:dyDescent="0.2">
      <c r="D81" s="123">
        <v>44495</v>
      </c>
      <c r="E81" s="72" t="str">
        <f t="shared" si="11"/>
        <v>Bloomberg / Reuters</v>
      </c>
      <c r="F81" s="62" t="str">
        <f t="shared" si="8"/>
        <v>Percent</v>
      </c>
      <c r="G81" s="62" t="str">
        <f t="shared" si="9"/>
        <v>Nominal</v>
      </c>
      <c r="H81" s="62" t="str">
        <f t="shared" si="10"/>
        <v>N/A</v>
      </c>
      <c r="I81" s="82"/>
      <c r="J81" s="141" t="s">
        <v>231</v>
      </c>
      <c r="K81" s="141" t="s">
        <v>231</v>
      </c>
      <c r="L81" s="82"/>
      <c r="M81" s="7"/>
      <c r="N81" s="7"/>
      <c r="O81" s="7"/>
    </row>
    <row r="82" spans="3:27" s="6" customFormat="1" ht="12.75" x14ac:dyDescent="0.2">
      <c r="D82" s="123">
        <v>44496</v>
      </c>
      <c r="E82" s="72" t="str">
        <f t="shared" si="11"/>
        <v>Bloomberg / Reuters</v>
      </c>
      <c r="F82" s="62" t="str">
        <f t="shared" si="8"/>
        <v>Percent</v>
      </c>
      <c r="G82" s="62" t="str">
        <f t="shared" si="9"/>
        <v>Nominal</v>
      </c>
      <c r="H82" s="62" t="str">
        <f t="shared" si="10"/>
        <v>N/A</v>
      </c>
      <c r="I82" s="82"/>
      <c r="J82" s="141" t="s">
        <v>231</v>
      </c>
      <c r="K82" s="141" t="s">
        <v>231</v>
      </c>
      <c r="L82" s="82"/>
      <c r="M82" s="7"/>
      <c r="N82" s="7"/>
      <c r="O82" s="7"/>
    </row>
    <row r="83" spans="3:27" s="6" customFormat="1" ht="12.75" x14ac:dyDescent="0.2">
      <c r="D83" s="123">
        <v>44497</v>
      </c>
      <c r="E83" s="72" t="str">
        <f t="shared" si="11"/>
        <v>Bloomberg / Reuters</v>
      </c>
      <c r="F83" s="62" t="str">
        <f t="shared" si="8"/>
        <v>Percent</v>
      </c>
      <c r="G83" s="62" t="str">
        <f t="shared" si="9"/>
        <v>Nominal</v>
      </c>
      <c r="H83" s="62" t="str">
        <f t="shared" si="10"/>
        <v>N/A</v>
      </c>
      <c r="I83" s="82"/>
      <c r="J83" s="141" t="s">
        <v>231</v>
      </c>
      <c r="K83" s="141" t="s">
        <v>231</v>
      </c>
      <c r="L83" s="82"/>
      <c r="M83" s="7"/>
      <c r="N83" s="7"/>
      <c r="O83" s="7"/>
    </row>
    <row r="84" spans="3:27" s="6" customFormat="1" ht="12.75" x14ac:dyDescent="0.2">
      <c r="D84" s="123">
        <v>44498</v>
      </c>
      <c r="E84" s="72" t="str">
        <f t="shared" si="11"/>
        <v>Bloomberg / Reuters</v>
      </c>
      <c r="F84" s="62" t="str">
        <f t="shared" si="8"/>
        <v>Percent</v>
      </c>
      <c r="G84" s="62" t="str">
        <f t="shared" si="9"/>
        <v>Nominal</v>
      </c>
      <c r="H84" s="62" t="str">
        <f t="shared" si="10"/>
        <v>N/A</v>
      </c>
      <c r="I84" s="82"/>
      <c r="J84" s="141" t="s">
        <v>231</v>
      </c>
      <c r="K84" s="141" t="s">
        <v>231</v>
      </c>
      <c r="L84" s="82"/>
      <c r="M84" s="7"/>
      <c r="N84" s="7"/>
      <c r="O84" s="7"/>
    </row>
    <row r="86" spans="3:27" s="6" customFormat="1" ht="11.25" customHeight="1" x14ac:dyDescent="0.2"/>
    <row r="87" spans="3:27" s="13" customFormat="1" ht="15" x14ac:dyDescent="0.2">
      <c r="C87" s="13" t="s">
        <v>223</v>
      </c>
    </row>
    <row r="89" spans="3:27" s="6" customFormat="1" ht="11.25" customHeight="1" x14ac:dyDescent="0.2">
      <c r="D89" s="70" t="s">
        <v>226</v>
      </c>
      <c r="E89" s="134" t="s">
        <v>63</v>
      </c>
      <c r="F89" s="134" t="s">
        <v>64</v>
      </c>
      <c r="G89" s="134" t="s">
        <v>65</v>
      </c>
      <c r="H89" s="134" t="str">
        <f>Lookup!H$20</f>
        <v>Timing</v>
      </c>
      <c r="J89" s="134" t="s">
        <v>172</v>
      </c>
      <c r="K89" s="134" t="s">
        <v>173</v>
      </c>
      <c r="L89" s="7"/>
    </row>
    <row r="90" spans="3:27" s="6" customFormat="1" ht="11.25" customHeight="1" x14ac:dyDescent="0.2"/>
    <row r="91" spans="3:27" s="6" customFormat="1" ht="11.25" customHeight="1" x14ac:dyDescent="0.2">
      <c r="D91" s="139" t="s">
        <v>227</v>
      </c>
      <c r="E91" s="72" t="s">
        <v>224</v>
      </c>
      <c r="F91" s="62" t="str">
        <f t="shared" ref="F91" si="12">Percent</f>
        <v>Percent</v>
      </c>
      <c r="G91" s="62" t="str">
        <f t="shared" ref="G91" si="13">Nominal</f>
        <v>Nominal</v>
      </c>
      <c r="H91" s="62" t="str">
        <f t="shared" ref="H91" si="14">NA</f>
        <v>N/A</v>
      </c>
      <c r="J91" s="79">
        <v>3.2925679999999999E-2</v>
      </c>
      <c r="K91" s="79">
        <v>2.9389914E-2</v>
      </c>
      <c r="L91" s="138" t="s">
        <v>225</v>
      </c>
    </row>
    <row r="92" spans="3:27" s="6" customFormat="1" ht="11.25" customHeight="1" x14ac:dyDescent="0.2"/>
    <row r="93" spans="3:27" s="6" customFormat="1" ht="11.25" customHeight="1" x14ac:dyDescent="0.2"/>
    <row r="94" spans="3:27" s="13" customFormat="1" ht="15" x14ac:dyDescent="0.2">
      <c r="C94" s="13" t="s">
        <v>126</v>
      </c>
    </row>
    <row r="96" spans="3:27" s="6" customFormat="1" ht="26.65" customHeight="1" x14ac:dyDescent="0.2">
      <c r="D96" s="88"/>
      <c r="E96" s="89"/>
      <c r="F96" s="89"/>
      <c r="G96" s="89"/>
      <c r="H96" s="89"/>
      <c r="I96" s="82"/>
      <c r="J96" s="143" t="s">
        <v>127</v>
      </c>
      <c r="K96" s="143"/>
      <c r="L96" s="144"/>
      <c r="M96" s="143" t="s">
        <v>128</v>
      </c>
      <c r="N96" s="143"/>
      <c r="O96" s="143"/>
      <c r="Q96" s="143" t="s">
        <v>183</v>
      </c>
      <c r="R96" s="143"/>
      <c r="S96" s="144"/>
      <c r="T96" s="143" t="s">
        <v>184</v>
      </c>
      <c r="U96" s="143"/>
      <c r="V96" s="143"/>
      <c r="AA96" s="7"/>
    </row>
    <row r="97" spans="2:27" s="6" customFormat="1" ht="26.65" customHeight="1" x14ac:dyDescent="0.2">
      <c r="D97" s="70" t="s">
        <v>155</v>
      </c>
      <c r="E97" s="69" t="s">
        <v>63</v>
      </c>
      <c r="F97" s="69" t="s">
        <v>64</v>
      </c>
      <c r="G97" s="69" t="s">
        <v>65</v>
      </c>
      <c r="H97" s="69" t="str">
        <f>Lookup!H$20</f>
        <v>Timing</v>
      </c>
      <c r="I97" s="82"/>
      <c r="J97" s="135" t="s">
        <v>110</v>
      </c>
      <c r="K97" s="135" t="s">
        <v>158</v>
      </c>
      <c r="L97" s="136" t="s">
        <v>159</v>
      </c>
      <c r="M97" s="135" t="s">
        <v>110</v>
      </c>
      <c r="N97" s="135" t="s">
        <v>158</v>
      </c>
      <c r="O97" s="137" t="s">
        <v>159</v>
      </c>
      <c r="Q97" s="135" t="s">
        <v>110</v>
      </c>
      <c r="R97" s="135" t="s">
        <v>158</v>
      </c>
      <c r="S97" s="136" t="s">
        <v>159</v>
      </c>
      <c r="T97" s="135" t="s">
        <v>110</v>
      </c>
      <c r="U97" s="135" t="s">
        <v>158</v>
      </c>
      <c r="V97" s="137" t="s">
        <v>159</v>
      </c>
      <c r="AA97" s="7"/>
    </row>
    <row r="98" spans="2:27" s="6" customFormat="1" ht="11.25" customHeight="1" x14ac:dyDescent="0.2">
      <c r="D98" s="7"/>
      <c r="E98" s="7"/>
      <c r="F98" s="7"/>
      <c r="G98" s="7"/>
      <c r="H98" s="7"/>
      <c r="I98" s="7"/>
      <c r="J98" s="7"/>
      <c r="K98" s="7"/>
      <c r="L98" s="7"/>
      <c r="M98" s="7"/>
    </row>
    <row r="99" spans="2:27" s="6" customFormat="1" ht="11.25" customHeight="1" x14ac:dyDescent="0.2">
      <c r="D99" s="132">
        <f>D38</f>
        <v>44469</v>
      </c>
      <c r="E99" s="72" t="s">
        <v>98</v>
      </c>
      <c r="F99" s="62" t="str">
        <f t="shared" ref="F99:F100" si="15">Percent</f>
        <v>Percent</v>
      </c>
      <c r="G99" s="62" t="s">
        <v>68</v>
      </c>
      <c r="H99" s="62" t="str">
        <f t="shared" ref="H99:H100" si="16">NA</f>
        <v>N/A</v>
      </c>
      <c r="I99" s="82"/>
      <c r="J99" s="79">
        <v>2.6600000000000002E-2</v>
      </c>
      <c r="K99" s="79">
        <v>1.3281999999999999E-2</v>
      </c>
      <c r="L99" s="121">
        <v>6.92</v>
      </c>
      <c r="M99" s="79">
        <v>3.1699999999999999E-2</v>
      </c>
      <c r="N99" s="79">
        <v>1.5288999999999999E-2</v>
      </c>
      <c r="O99" s="121">
        <v>9.01</v>
      </c>
      <c r="Q99" s="79">
        <v>2.4399999999999998E-2</v>
      </c>
      <c r="R99" s="79">
        <v>8.0450000000000001E-3</v>
      </c>
      <c r="S99" s="121">
        <v>6.72</v>
      </c>
      <c r="T99" s="79">
        <v>2.0299999999999999E-2</v>
      </c>
      <c r="U99" s="79">
        <v>6.9349999999999993E-3</v>
      </c>
      <c r="V99" s="121">
        <v>8.82</v>
      </c>
    </row>
    <row r="100" spans="2:27" s="6" customFormat="1" ht="11.25" customHeight="1" x14ac:dyDescent="0.2">
      <c r="D100" s="132">
        <f>D58</f>
        <v>44498</v>
      </c>
      <c r="E100" s="72" t="s">
        <v>98</v>
      </c>
      <c r="F100" s="62" t="str">
        <f t="shared" si="15"/>
        <v>Percent</v>
      </c>
      <c r="G100" s="62" t="s">
        <v>68</v>
      </c>
      <c r="H100" s="62" t="str">
        <f t="shared" si="16"/>
        <v>N/A</v>
      </c>
      <c r="I100" s="82"/>
      <c r="J100" s="79">
        <v>3.4099999999999998E-2</v>
      </c>
      <c r="K100" s="79">
        <v>1.4396000000000001E-2</v>
      </c>
      <c r="L100" s="121">
        <v>6.91</v>
      </c>
      <c r="M100" s="79">
        <v>3.8100000000000002E-2</v>
      </c>
      <c r="N100" s="79">
        <v>1.6480000000000002E-2</v>
      </c>
      <c r="O100" s="121">
        <v>9</v>
      </c>
      <c r="Q100" s="79">
        <v>3.15E-2</v>
      </c>
      <c r="R100" s="79">
        <v>9.9239999999999988E-3</v>
      </c>
      <c r="S100" s="121">
        <v>6.7</v>
      </c>
      <c r="T100" s="79">
        <v>2.81E-2</v>
      </c>
      <c r="U100" s="79">
        <v>8.379000000000001E-3</v>
      </c>
      <c r="V100" s="121">
        <v>8.7899999999999991</v>
      </c>
    </row>
    <row r="101" spans="2:27" s="6" customFormat="1" ht="11.25" customHeight="1" x14ac:dyDescent="0.2"/>
    <row r="102" spans="2:27" s="6" customFormat="1" ht="11.25" customHeight="1" x14ac:dyDescent="0.2"/>
    <row r="103" spans="2:27" s="4" customFormat="1" ht="15.75" x14ac:dyDescent="0.2">
      <c r="B103" s="4" t="s">
        <v>149</v>
      </c>
    </row>
    <row r="104" spans="2:27" s="6" customFormat="1" ht="4.5" customHeight="1" x14ac:dyDescent="0.2"/>
    <row r="105" spans="2:27" s="13" customFormat="1" ht="15" x14ac:dyDescent="0.2">
      <c r="C105" s="13" t="s">
        <v>199</v>
      </c>
    </row>
    <row r="107" spans="2:27" s="6" customFormat="1" ht="26.65" customHeight="1" x14ac:dyDescent="0.2">
      <c r="D107" s="70" t="s">
        <v>149</v>
      </c>
      <c r="E107" s="69" t="s">
        <v>63</v>
      </c>
      <c r="F107" s="69" t="s">
        <v>64</v>
      </c>
      <c r="G107" s="69" t="s">
        <v>65</v>
      </c>
      <c r="H107" s="69" t="str">
        <f>Lookup!H$20</f>
        <v>Timing</v>
      </c>
      <c r="I107" s="82"/>
      <c r="J107" s="130" t="str">
        <f t="shared" ref="J107:M107" si="17">J$10</f>
        <v>FY15</v>
      </c>
      <c r="K107" s="130" t="str">
        <f t="shared" si="17"/>
        <v>FY16</v>
      </c>
      <c r="L107" s="130" t="str">
        <f t="shared" si="17"/>
        <v>FY17</v>
      </c>
      <c r="M107" s="130" t="str">
        <f t="shared" si="17"/>
        <v>FY18</v>
      </c>
      <c r="N107" s="102" t="str">
        <f>N$10</f>
        <v>FY19</v>
      </c>
      <c r="O107" s="109" t="str">
        <f t="shared" ref="O107:R107" si="18">O$10</f>
        <v>FY20</v>
      </c>
      <c r="P107" s="109" t="str">
        <f t="shared" si="18"/>
        <v>FY21</v>
      </c>
      <c r="Q107" s="109" t="str">
        <f t="shared" si="18"/>
        <v>FY22</v>
      </c>
      <c r="R107" s="109" t="str">
        <f t="shared" si="18"/>
        <v>FY23</v>
      </c>
      <c r="S107" s="7"/>
      <c r="T107" s="7"/>
      <c r="U107" s="7"/>
      <c r="V107" s="7"/>
      <c r="W107" s="7"/>
    </row>
    <row r="108" spans="2:27" s="6" customFormat="1" ht="11.25" customHeight="1" x14ac:dyDescent="0.2">
      <c r="D108" s="7"/>
      <c r="E108" s="7"/>
      <c r="F108" s="7"/>
      <c r="G108" s="7"/>
      <c r="H108" s="7"/>
      <c r="I108" s="7"/>
      <c r="J108" s="7"/>
      <c r="K108" s="7"/>
      <c r="L108" s="7"/>
      <c r="M108" s="7"/>
      <c r="N108" s="7"/>
      <c r="O108" s="7"/>
      <c r="Q108" s="7"/>
      <c r="S108" s="7"/>
      <c r="T108" s="7"/>
      <c r="U108" s="7"/>
      <c r="V108" s="7"/>
      <c r="W108" s="7"/>
    </row>
    <row r="109" spans="2:27" s="6" customFormat="1" ht="11.25" customHeight="1" x14ac:dyDescent="0.2">
      <c r="D109" s="7"/>
      <c r="E109" s="7"/>
      <c r="F109" s="7"/>
      <c r="G109" s="7"/>
      <c r="H109" s="7"/>
      <c r="I109" s="7"/>
      <c r="J109" s="52" t="s">
        <v>60</v>
      </c>
      <c r="K109" s="52" t="s">
        <v>60</v>
      </c>
      <c r="L109" s="52" t="s">
        <v>60</v>
      </c>
      <c r="M109" s="52" t="s">
        <v>60</v>
      </c>
      <c r="N109" s="52" t="s">
        <v>60</v>
      </c>
      <c r="O109" s="52" t="s">
        <v>60</v>
      </c>
      <c r="P109" s="52" t="s">
        <v>60</v>
      </c>
      <c r="Q109" s="52" t="s">
        <v>60</v>
      </c>
      <c r="R109" s="52" t="s">
        <v>194</v>
      </c>
    </row>
    <row r="110" spans="2:27" s="6" customFormat="1" ht="11.25" customHeight="1" x14ac:dyDescent="0.2">
      <c r="D110" s="87" t="s">
        <v>200</v>
      </c>
      <c r="E110" s="72" t="s">
        <v>115</v>
      </c>
      <c r="F110" s="62" t="str">
        <f t="shared" ref="F110" si="19">Percent</f>
        <v>Percent</v>
      </c>
      <c r="G110" s="62" t="s">
        <v>68</v>
      </c>
      <c r="H110" s="62" t="str">
        <f t="shared" ref="H110" si="20">NA</f>
        <v>N/A</v>
      </c>
      <c r="I110" s="7"/>
      <c r="J110" s="79">
        <v>6.6704170078014297E-2</v>
      </c>
      <c r="K110" s="79">
        <v>5.1103191799745241E-2</v>
      </c>
      <c r="L110" s="79">
        <v>5.3087010023109421E-2</v>
      </c>
      <c r="M110" s="79">
        <v>4.8845079481608239E-2</v>
      </c>
      <c r="N110" s="79">
        <v>4.3655328304114394E-2</v>
      </c>
      <c r="O110" s="79">
        <v>4.6759251552633517E-2</v>
      </c>
      <c r="P110" s="79">
        <v>3.0984201853053034E-2</v>
      </c>
      <c r="Q110" s="79">
        <v>2.1424807723075256E-2</v>
      </c>
      <c r="R110" s="79">
        <f>Calc_Returns!J122</f>
        <v>3.1371681126837414E-2</v>
      </c>
      <c r="S110" s="138" t="s">
        <v>230</v>
      </c>
    </row>
    <row r="111" spans="2:27" x14ac:dyDescent="0.2">
      <c r="S111" s="6"/>
      <c r="T111" s="6"/>
      <c r="U111" s="6"/>
      <c r="V111" s="6"/>
      <c r="W111" s="6"/>
    </row>
    <row r="112" spans="2:27" x14ac:dyDescent="0.2">
      <c r="S112" s="6"/>
      <c r="T112" s="6"/>
      <c r="U112" s="6"/>
      <c r="V112" s="6"/>
      <c r="W112" s="6"/>
    </row>
    <row r="113" spans="2:23" s="13" customFormat="1" ht="15" x14ac:dyDescent="0.2">
      <c r="C113" s="13" t="s">
        <v>174</v>
      </c>
    </row>
    <row r="115" spans="2:23" s="6" customFormat="1" ht="26.65" customHeight="1" x14ac:dyDescent="0.2">
      <c r="D115" s="70" t="s">
        <v>113</v>
      </c>
      <c r="E115" s="109" t="s">
        <v>63</v>
      </c>
      <c r="F115" s="109" t="s">
        <v>64</v>
      </c>
      <c r="G115" s="109" t="s">
        <v>65</v>
      </c>
      <c r="H115" s="109" t="str">
        <f>Lookup!H$20</f>
        <v>Timing</v>
      </c>
      <c r="I115" s="82"/>
      <c r="J115" s="109" t="s">
        <v>112</v>
      </c>
      <c r="K115" s="83"/>
      <c r="L115" s="111" t="s">
        <v>172</v>
      </c>
      <c r="M115" s="111" t="s">
        <v>173</v>
      </c>
    </row>
    <row r="116" spans="2:23" s="6" customFormat="1" ht="11.25" customHeight="1" x14ac:dyDescent="0.2">
      <c r="D116" s="7"/>
      <c r="E116" s="7"/>
      <c r="F116" s="7"/>
      <c r="G116" s="7"/>
      <c r="H116" s="7"/>
      <c r="I116" s="7"/>
      <c r="J116" s="7"/>
    </row>
    <row r="117" spans="2:23" s="6" customFormat="1" ht="11.25" customHeight="1" x14ac:dyDescent="0.2">
      <c r="D117" s="87" t="s">
        <v>201</v>
      </c>
      <c r="E117" s="72" t="s">
        <v>115</v>
      </c>
      <c r="F117" s="62" t="str">
        <f t="shared" ref="F117" si="21">Percent</f>
        <v>Percent</v>
      </c>
      <c r="G117" s="62" t="s">
        <v>68</v>
      </c>
      <c r="H117" s="62" t="str">
        <f t="shared" ref="H117" si="22">NA</f>
        <v>N/A</v>
      </c>
      <c r="I117" s="82"/>
      <c r="J117" s="79">
        <v>0.1</v>
      </c>
    </row>
    <row r="118" spans="2:23" x14ac:dyDescent="0.2">
      <c r="S118" s="6"/>
      <c r="T118" s="6"/>
      <c r="U118" s="6"/>
      <c r="V118" s="6"/>
      <c r="W118" s="6"/>
    </row>
    <row r="119" spans="2:23" ht="12.75" x14ac:dyDescent="0.2">
      <c r="D119" s="87" t="s">
        <v>203</v>
      </c>
      <c r="E119" s="62" t="s">
        <v>115</v>
      </c>
      <c r="F119" s="62" t="str">
        <f t="shared" ref="F119" si="23">Percent</f>
        <v>Percent</v>
      </c>
      <c r="G119" s="62" t="s">
        <v>68</v>
      </c>
      <c r="H119" s="62" t="str">
        <f t="shared" ref="H119" si="24">NA</f>
        <v>N/A</v>
      </c>
      <c r="L119" s="79">
        <v>0.66666666666666663</v>
      </c>
      <c r="M119" s="79">
        <v>0.33333333333333331</v>
      </c>
      <c r="S119" s="6"/>
      <c r="T119" s="6"/>
      <c r="U119" s="6"/>
      <c r="V119" s="6"/>
      <c r="W119" s="6"/>
    </row>
    <row r="120" spans="2:23" x14ac:dyDescent="0.2">
      <c r="S120" s="6"/>
      <c r="T120" s="6"/>
      <c r="U120" s="6"/>
      <c r="V120" s="6"/>
      <c r="W120" s="6"/>
    </row>
    <row r="122" spans="2:23" s="4" customFormat="1" ht="15.75" x14ac:dyDescent="0.2">
      <c r="B122" s="4" t="s">
        <v>111</v>
      </c>
    </row>
    <row r="123" spans="2:23" s="6" customFormat="1" ht="4.5" customHeight="1" x14ac:dyDescent="0.2"/>
    <row r="124" spans="2:23" s="13" customFormat="1" ht="15" x14ac:dyDescent="0.2">
      <c r="C124" s="13" t="s">
        <v>119</v>
      </c>
    </row>
    <row r="125" spans="2:23" s="6" customFormat="1" ht="11.25" customHeight="1" x14ac:dyDescent="0.2"/>
    <row r="126" spans="2:23" s="6" customFormat="1" ht="26.65" customHeight="1" x14ac:dyDescent="0.2">
      <c r="D126" s="70" t="s">
        <v>113</v>
      </c>
      <c r="E126" s="69" t="s">
        <v>63</v>
      </c>
      <c r="F126" s="69" t="s">
        <v>64</v>
      </c>
      <c r="G126" s="69" t="s">
        <v>65</v>
      </c>
      <c r="H126" s="69" t="str">
        <f>Lookup!H$20</f>
        <v>Timing</v>
      </c>
      <c r="I126" s="82"/>
      <c r="J126" s="69" t="s">
        <v>112</v>
      </c>
      <c r="K126" s="82"/>
      <c r="L126" s="82"/>
      <c r="M126" s="82"/>
      <c r="O126" s="83"/>
    </row>
    <row r="127" spans="2:23" s="6" customFormat="1" ht="11.25" customHeight="1" x14ac:dyDescent="0.2">
      <c r="D127" s="7"/>
      <c r="E127" s="7"/>
      <c r="F127" s="7"/>
      <c r="G127" s="7"/>
      <c r="H127" s="7"/>
      <c r="I127" s="7"/>
      <c r="J127" s="7"/>
      <c r="K127" s="7"/>
      <c r="L127" s="7"/>
      <c r="M127" s="7"/>
    </row>
    <row r="128" spans="2:23" s="6" customFormat="1" ht="11.25" customHeight="1" x14ac:dyDescent="0.2">
      <c r="D128" s="87" t="s">
        <v>114</v>
      </c>
      <c r="E128" s="72" t="s">
        <v>115</v>
      </c>
      <c r="F128" s="62" t="str">
        <f t="shared" ref="F128:F142" si="25">Percent</f>
        <v>Percent</v>
      </c>
      <c r="G128" s="62" t="s">
        <v>68</v>
      </c>
      <c r="H128" s="62" t="str">
        <f t="shared" ref="H128:H142" si="26">NA</f>
        <v>N/A</v>
      </c>
      <c r="I128" s="82"/>
      <c r="J128" s="79">
        <v>6.0999999999999999E-2</v>
      </c>
      <c r="K128" s="82"/>
      <c r="L128" s="82"/>
      <c r="M128" s="82"/>
    </row>
    <row r="129" spans="3:15" s="6" customFormat="1" ht="11.25" customHeight="1" x14ac:dyDescent="0.2">
      <c r="D129" s="87" t="s">
        <v>116</v>
      </c>
      <c r="E129" s="72" t="s">
        <v>115</v>
      </c>
      <c r="F129" s="62" t="str">
        <f t="shared" si="25"/>
        <v>Percent</v>
      </c>
      <c r="G129" s="62" t="s">
        <v>68</v>
      </c>
      <c r="H129" s="62" t="str">
        <f t="shared" si="26"/>
        <v>N/A</v>
      </c>
      <c r="I129" s="82"/>
      <c r="J129" s="79">
        <v>0.6</v>
      </c>
      <c r="K129" s="82"/>
      <c r="L129" s="82"/>
      <c r="M129" s="82"/>
    </row>
    <row r="130" spans="3:15" s="6" customFormat="1" ht="11.25" customHeight="1" x14ac:dyDescent="0.2">
      <c r="D130" s="12" t="s">
        <v>125</v>
      </c>
      <c r="E130" s="72" t="s">
        <v>115</v>
      </c>
      <c r="F130" s="62" t="str">
        <f t="shared" si="25"/>
        <v>Percent</v>
      </c>
      <c r="G130" s="62" t="s">
        <v>68</v>
      </c>
      <c r="H130" s="62" t="str">
        <f t="shared" si="26"/>
        <v>N/A</v>
      </c>
      <c r="I130" s="82"/>
      <c r="J130" s="79">
        <v>0.58499999999999996</v>
      </c>
      <c r="K130" s="82"/>
      <c r="L130" s="82"/>
      <c r="M130" s="82"/>
    </row>
    <row r="131" spans="3:15" s="6" customFormat="1" ht="11.25" customHeight="1" x14ac:dyDescent="0.2">
      <c r="D131" s="12" t="s">
        <v>117</v>
      </c>
      <c r="E131" s="72" t="s">
        <v>115</v>
      </c>
      <c r="F131" s="62" t="str">
        <f t="shared" si="25"/>
        <v>Percent</v>
      </c>
      <c r="G131" s="62" t="s">
        <v>68</v>
      </c>
      <c r="H131" s="62" t="str">
        <f t="shared" si="26"/>
        <v>N/A</v>
      </c>
      <c r="I131" s="82"/>
      <c r="J131" s="79">
        <v>0.6</v>
      </c>
      <c r="K131" s="82"/>
      <c r="L131" s="82"/>
      <c r="M131" s="82"/>
    </row>
    <row r="132" spans="3:15" s="6" customFormat="1" ht="11.25" customHeight="1" x14ac:dyDescent="0.2"/>
    <row r="133" spans="3:15" s="6" customFormat="1" ht="11.25" customHeight="1" x14ac:dyDescent="0.2"/>
    <row r="134" spans="3:15" s="13" customFormat="1" ht="15" x14ac:dyDescent="0.2">
      <c r="C134" s="13" t="s">
        <v>120</v>
      </c>
    </row>
    <row r="135" spans="3:15" s="6" customFormat="1" ht="11.25" customHeight="1" x14ac:dyDescent="0.2"/>
    <row r="136" spans="3:15" s="6" customFormat="1" ht="26.65" customHeight="1" x14ac:dyDescent="0.2">
      <c r="D136" s="70" t="s">
        <v>113</v>
      </c>
      <c r="E136" s="69" t="s">
        <v>63</v>
      </c>
      <c r="F136" s="69" t="s">
        <v>64</v>
      </c>
      <c r="G136" s="69" t="s">
        <v>65</v>
      </c>
      <c r="H136" s="69" t="str">
        <f>Lookup!H$20</f>
        <v>Timing</v>
      </c>
      <c r="I136" s="82"/>
      <c r="J136" s="69" t="s">
        <v>112</v>
      </c>
      <c r="K136" s="82"/>
      <c r="L136" s="82"/>
      <c r="M136" s="82"/>
      <c r="O136" s="83"/>
    </row>
    <row r="137" spans="3:15" s="6" customFormat="1" ht="11.25" customHeight="1" x14ac:dyDescent="0.2">
      <c r="D137" s="7"/>
      <c r="E137" s="7"/>
      <c r="F137" s="7"/>
      <c r="G137" s="7"/>
      <c r="H137" s="7"/>
      <c r="I137" s="7"/>
      <c r="J137" s="7"/>
      <c r="K137" s="7"/>
      <c r="L137" s="7"/>
      <c r="M137" s="7"/>
    </row>
    <row r="138" spans="3:15" s="6" customFormat="1" ht="11.25" customHeight="1" x14ac:dyDescent="0.2">
      <c r="D138" s="12" t="s">
        <v>121</v>
      </c>
      <c r="E138" s="72" t="s">
        <v>115</v>
      </c>
      <c r="F138" s="62" t="str">
        <f t="shared" si="25"/>
        <v>Percent</v>
      </c>
      <c r="G138" s="62" t="s">
        <v>68</v>
      </c>
      <c r="H138" s="62" t="str">
        <f t="shared" si="26"/>
        <v>N/A</v>
      </c>
      <c r="I138" s="82"/>
      <c r="J138" s="79">
        <v>0.9</v>
      </c>
      <c r="K138" s="82"/>
      <c r="L138" s="82"/>
      <c r="M138" s="82"/>
    </row>
    <row r="139" spans="3:15" s="6" customFormat="1" ht="11.25" customHeight="1" x14ac:dyDescent="0.2">
      <c r="D139" s="12" t="s">
        <v>122</v>
      </c>
      <c r="E139" s="72" t="s">
        <v>115</v>
      </c>
      <c r="F139" s="62" t="str">
        <f t="shared" si="25"/>
        <v>Percent</v>
      </c>
      <c r="G139" s="62" t="s">
        <v>68</v>
      </c>
      <c r="H139" s="62" t="str">
        <f t="shared" si="26"/>
        <v>N/A</v>
      </c>
      <c r="I139" s="82"/>
      <c r="J139" s="79">
        <v>0.03</v>
      </c>
      <c r="K139" s="82"/>
      <c r="L139" s="82"/>
      <c r="M139" s="82"/>
    </row>
    <row r="140" spans="3:15" s="6" customFormat="1" ht="11.25" customHeight="1" x14ac:dyDescent="0.2">
      <c r="D140" s="12" t="s">
        <v>123</v>
      </c>
      <c r="E140" s="72" t="s">
        <v>115</v>
      </c>
      <c r="F140" s="62" t="str">
        <f t="shared" si="25"/>
        <v>Percent</v>
      </c>
      <c r="G140" s="62" t="s">
        <v>68</v>
      </c>
      <c r="H140" s="62" t="str">
        <f t="shared" si="26"/>
        <v>N/A</v>
      </c>
      <c r="I140" s="82"/>
      <c r="J140" s="79">
        <v>0.01</v>
      </c>
      <c r="K140" s="82"/>
      <c r="L140" s="82"/>
      <c r="M140" s="82"/>
    </row>
    <row r="141" spans="3:15" s="6" customFormat="1" ht="11.25" customHeight="1" x14ac:dyDescent="0.2">
      <c r="D141" s="12" t="s">
        <v>124</v>
      </c>
      <c r="E141" s="72" t="s">
        <v>115</v>
      </c>
      <c r="F141" s="62" t="str">
        <f t="shared" si="25"/>
        <v>Percent</v>
      </c>
      <c r="G141" s="62" t="s">
        <v>68</v>
      </c>
      <c r="H141" s="62" t="str">
        <f t="shared" si="26"/>
        <v>N/A</v>
      </c>
      <c r="I141" s="82"/>
      <c r="J141" s="79">
        <v>0.3</v>
      </c>
      <c r="K141" s="82"/>
      <c r="L141" s="82"/>
      <c r="M141" s="82"/>
    </row>
    <row r="142" spans="3:15" s="6" customFormat="1" ht="11.25" customHeight="1" x14ac:dyDescent="0.2">
      <c r="D142" s="12" t="s">
        <v>101</v>
      </c>
      <c r="E142" s="72" t="s">
        <v>217</v>
      </c>
      <c r="F142" s="62" t="str">
        <f t="shared" si="25"/>
        <v>Percent</v>
      </c>
      <c r="G142" s="62" t="s">
        <v>68</v>
      </c>
      <c r="H142" s="62" t="str">
        <f t="shared" si="26"/>
        <v>N/A</v>
      </c>
      <c r="I142" s="82"/>
      <c r="J142" s="79">
        <v>9.5100000000000002E-4</v>
      </c>
      <c r="K142" s="82"/>
      <c r="L142" s="82"/>
      <c r="M142" s="82"/>
    </row>
    <row r="143" spans="3:15" s="6" customFormat="1" ht="11.25" customHeight="1" x14ac:dyDescent="0.2"/>
    <row r="144" spans="3:15" s="6" customFormat="1" ht="11.25" customHeight="1" x14ac:dyDescent="0.2"/>
    <row r="145" spans="2:2" s="4" customFormat="1" ht="15.75" x14ac:dyDescent="0.2">
      <c r="B145" s="4" t="s">
        <v>32</v>
      </c>
    </row>
  </sheetData>
  <mergeCells count="6">
    <mergeCell ref="T96:V96"/>
    <mergeCell ref="J96:L96"/>
    <mergeCell ref="M96:O96"/>
    <mergeCell ref="R20:S20"/>
    <mergeCell ref="T20:U20"/>
    <mergeCell ref="Q96:S96"/>
  </mergeCells>
  <conditionalFormatting sqref="B2">
    <cfRule type="cellIs" dxfId="5" priority="1" operator="notEqual">
      <formula>"No Errors Found"</formula>
    </cfRule>
  </conditionalFormatting>
  <dataValidations count="1">
    <dataValidation type="list" allowBlank="1" showInputMessage="1" showErrorMessage="1" sqref="J109:R109">
      <formula1>LU_Source</formula1>
    </dataValidation>
  </dataValidations>
  <hyperlinks>
    <hyperlink ref="B3:E3" location="TOC!A1" display="TOC!A1"/>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E149"/>
  <sheetViews>
    <sheetView showGridLines="0" zoomScaleNormal="100" workbookViewId="0">
      <pane xSplit="1" ySplit="10" topLeftCell="B75" activePane="bottomRight" state="frozen"/>
      <selection activeCell="Q18" sqref="Q18"/>
      <selection pane="topRight" activeCell="Q18" sqref="Q18"/>
      <selection pane="bottomLeft" activeCell="Q18" sqref="Q18"/>
      <selection pane="bottomRight" activeCell="L89" sqref="L89"/>
    </sheetView>
  </sheetViews>
  <sheetFormatPr defaultColWidth="9.33203125" defaultRowHeight="11.25" outlineLevelRow="1" x14ac:dyDescent="0.2"/>
  <cols>
    <col min="1" max="1" width="3.33203125" style="7" customWidth="1"/>
    <col min="2" max="3" width="2.83203125" style="7" customWidth="1"/>
    <col min="4" max="4" width="25.83203125" style="7" customWidth="1"/>
    <col min="5" max="5" width="11.83203125" style="7" customWidth="1"/>
    <col min="6" max="6" width="9.1640625" style="7" customWidth="1"/>
    <col min="7" max="7" width="12" style="7" customWidth="1"/>
    <col min="8" max="8" width="10" style="7" customWidth="1"/>
    <col min="9" max="9" width="21.5" style="7" customWidth="1"/>
    <col min="10" max="13" width="13" style="7" customWidth="1"/>
    <col min="14" max="34" width="12.83203125" style="7" customWidth="1"/>
    <col min="35" max="16384" width="9.33203125" style="7"/>
  </cols>
  <sheetData>
    <row r="1" spans="1:23" ht="19.5" x14ac:dyDescent="0.2">
      <c r="A1" s="67">
        <f>IF(SUM($A11:$A11)&gt;0,1,0)</f>
        <v>0</v>
      </c>
      <c r="B1" s="5" t="s">
        <v>169</v>
      </c>
    </row>
    <row r="2" spans="1:23" x14ac:dyDescent="0.2">
      <c r="B2" s="18" t="str">
        <f>Title_Msg</f>
        <v>No Errors Found</v>
      </c>
    </row>
    <row r="3" spans="1:23" x14ac:dyDescent="0.2">
      <c r="B3" s="55" t="str">
        <f>TOC!B1</f>
        <v>Table of Contents</v>
      </c>
      <c r="C3" s="49"/>
      <c r="D3" s="49"/>
      <c r="E3" s="49"/>
    </row>
    <row r="4" spans="1:23" ht="12.75" x14ac:dyDescent="0.2">
      <c r="B4" s="46" t="str">
        <f>Model_Name</f>
        <v>Rate of Return Model - TransGrid (TGD)</v>
      </c>
    </row>
    <row r="5" spans="1:23" ht="12.75" hidden="1" outlineLevel="1" x14ac:dyDescent="0.2">
      <c r="B5" s="15" t="str">
        <f>Lookup!B15</f>
        <v>Period Start Date</v>
      </c>
      <c r="N5" s="60">
        <f>Lookup!M15</f>
        <v>43282</v>
      </c>
      <c r="O5" s="60">
        <f>Lookup!N15</f>
        <v>43647</v>
      </c>
      <c r="P5" s="60">
        <f>Lookup!O15</f>
        <v>44013</v>
      </c>
      <c r="Q5" s="60">
        <f>Lookup!P15</f>
        <v>44378</v>
      </c>
      <c r="R5" s="60">
        <f>Lookup!Q15</f>
        <v>44743</v>
      </c>
      <c r="S5" s="60">
        <f>Lookup!R15</f>
        <v>45108</v>
      </c>
      <c r="T5" s="60">
        <f>Lookup!S15</f>
        <v>45474</v>
      </c>
      <c r="U5" s="60">
        <f>Lookup!T15</f>
        <v>45839</v>
      </c>
      <c r="V5" s="60">
        <f>Lookup!U15</f>
        <v>46204</v>
      </c>
      <c r="W5" s="60">
        <f>Lookup!V15</f>
        <v>46569</v>
      </c>
    </row>
    <row r="6" spans="1:23" ht="12.75" hidden="1" outlineLevel="1" x14ac:dyDescent="0.2">
      <c r="B6" s="15" t="str">
        <f>Lookup!B16</f>
        <v>Period End Date</v>
      </c>
      <c r="N6" s="60">
        <f>Lookup!M16</f>
        <v>43646</v>
      </c>
      <c r="O6" s="60">
        <f>Lookup!N16</f>
        <v>44012</v>
      </c>
      <c r="P6" s="60">
        <f>Lookup!O16</f>
        <v>44377</v>
      </c>
      <c r="Q6" s="60">
        <f>Lookup!P16</f>
        <v>44742</v>
      </c>
      <c r="R6" s="60">
        <f>Lookup!Q16</f>
        <v>45107</v>
      </c>
      <c r="S6" s="60">
        <f>Lookup!R16</f>
        <v>45473</v>
      </c>
      <c r="T6" s="60">
        <f>Lookup!S16</f>
        <v>45838</v>
      </c>
      <c r="U6" s="60">
        <f>Lookup!T16</f>
        <v>46203</v>
      </c>
      <c r="V6" s="60">
        <f>Lookup!U16</f>
        <v>46568</v>
      </c>
      <c r="W6" s="60">
        <f>Lookup!V16</f>
        <v>46934</v>
      </c>
    </row>
    <row r="7" spans="1:23" ht="12.75" hidden="1" outlineLevel="1" x14ac:dyDescent="0.2">
      <c r="B7" s="15" t="str">
        <f>Lookup!B17</f>
        <v>Period Counter</v>
      </c>
      <c r="N7" s="61">
        <f>Lookup!M17</f>
        <v>1</v>
      </c>
      <c r="O7" s="61">
        <f>Lookup!N17</f>
        <v>2</v>
      </c>
      <c r="P7" s="61">
        <f>Lookup!O17</f>
        <v>3</v>
      </c>
      <c r="Q7" s="61">
        <f>Lookup!P17</f>
        <v>4</v>
      </c>
      <c r="R7" s="61">
        <f>Lookup!Q17</f>
        <v>5</v>
      </c>
      <c r="S7" s="61">
        <f>Lookup!R17</f>
        <v>6</v>
      </c>
      <c r="T7" s="61">
        <f>Lookup!S17</f>
        <v>7</v>
      </c>
      <c r="U7" s="61">
        <f>Lookup!T17</f>
        <v>8</v>
      </c>
      <c r="V7" s="61">
        <f>Lookup!U17</f>
        <v>9</v>
      </c>
      <c r="W7" s="61">
        <f>Lookup!V17</f>
        <v>10</v>
      </c>
    </row>
    <row r="8" spans="1:23" ht="12.75" hidden="1" outlineLevel="1" x14ac:dyDescent="0.2">
      <c r="B8" s="15" t="str">
        <f>Lookup!B18</f>
        <v>Year</v>
      </c>
      <c r="N8" s="62">
        <f>Lookup!M18</f>
        <v>2019</v>
      </c>
      <c r="O8" s="62">
        <f>Lookup!N18</f>
        <v>2020</v>
      </c>
      <c r="P8" s="62">
        <f>Lookup!O18</f>
        <v>2021</v>
      </c>
      <c r="Q8" s="62">
        <f>Lookup!P18</f>
        <v>2022</v>
      </c>
      <c r="R8" s="62">
        <f>Lookup!Q18</f>
        <v>2023</v>
      </c>
      <c r="S8" s="62">
        <f>Lookup!R18</f>
        <v>2024</v>
      </c>
      <c r="T8" s="62">
        <f>Lookup!S18</f>
        <v>2025</v>
      </c>
      <c r="U8" s="62">
        <f>Lookup!T18</f>
        <v>2026</v>
      </c>
      <c r="V8" s="62">
        <f>Lookup!U18</f>
        <v>2027</v>
      </c>
      <c r="W8" s="62">
        <f>Lookup!V18</f>
        <v>2028</v>
      </c>
    </row>
    <row r="9" spans="1:23" ht="12.75" collapsed="1" x14ac:dyDescent="0.2">
      <c r="B9" s="15" t="str">
        <f>Lookup!B19</f>
        <v>Period Type</v>
      </c>
      <c r="J9" s="62" t="str">
        <f>Lookup!I19</f>
        <v>Actual</v>
      </c>
      <c r="K9" s="62" t="str">
        <f>Lookup!J19</f>
        <v>Actual</v>
      </c>
      <c r="L9" s="62" t="str">
        <f>Lookup!K19</f>
        <v>Actual</v>
      </c>
      <c r="M9" s="62" t="str">
        <f>Lookup!L19</f>
        <v>Actual</v>
      </c>
      <c r="N9" s="62" t="str">
        <f>Lookup!M19</f>
        <v>Actual</v>
      </c>
      <c r="O9" s="62" t="str">
        <f>Lookup!N19</f>
        <v>Actual</v>
      </c>
      <c r="P9" s="62" t="str">
        <f>Lookup!O19</f>
        <v>Actual</v>
      </c>
      <c r="Q9" s="62" t="str">
        <f>Lookup!P19</f>
        <v>Base Year</v>
      </c>
      <c r="R9" s="62" t="str">
        <f>Lookup!Q19</f>
        <v>Estimate</v>
      </c>
      <c r="S9" s="62" t="str">
        <f>Lookup!R19</f>
        <v>Forecast</v>
      </c>
      <c r="T9" s="62" t="str">
        <f>Lookup!S19</f>
        <v>Forecast</v>
      </c>
      <c r="U9" s="62" t="str">
        <f>Lookup!T19</f>
        <v>Forecast</v>
      </c>
      <c r="V9" s="62" t="str">
        <f>Lookup!U19</f>
        <v>Forecast</v>
      </c>
      <c r="W9" s="62" t="str">
        <f>Lookup!V19</f>
        <v>Forecast</v>
      </c>
    </row>
    <row r="10" spans="1:23" ht="12.75" x14ac:dyDescent="0.2">
      <c r="B10" s="10" t="str">
        <f>Lookup!B20</f>
        <v>Regulatory Year</v>
      </c>
      <c r="E10" s="59" t="str">
        <f>Lookup!E20</f>
        <v>Source</v>
      </c>
      <c r="F10" s="59" t="str">
        <f>Lookup!F20</f>
        <v>Unit</v>
      </c>
      <c r="G10" s="59" t="str">
        <f>Lookup!G20</f>
        <v>Basis</v>
      </c>
      <c r="H10" s="59" t="str">
        <f>Lookup!H20</f>
        <v>Timing</v>
      </c>
      <c r="I10" s="59"/>
      <c r="J10" s="59" t="str">
        <f>Lookup!I20</f>
        <v>FY15</v>
      </c>
      <c r="K10" s="59" t="str">
        <f>Lookup!J20</f>
        <v>FY16</v>
      </c>
      <c r="L10" s="59" t="str">
        <f>Lookup!K20</f>
        <v>FY17</v>
      </c>
      <c r="M10" s="59" t="str">
        <f>Lookup!L20</f>
        <v>FY18</v>
      </c>
      <c r="N10" s="59" t="str">
        <f>Lookup!M20</f>
        <v>FY19</v>
      </c>
      <c r="O10" s="59" t="str">
        <f>Lookup!N20</f>
        <v>FY20</v>
      </c>
      <c r="P10" s="59" t="str">
        <f>Lookup!O20</f>
        <v>FY21</v>
      </c>
      <c r="Q10" s="59" t="str">
        <f>Lookup!P20</f>
        <v>FY22</v>
      </c>
      <c r="R10" s="59" t="str">
        <f>Lookup!Q20</f>
        <v>FY23</v>
      </c>
      <c r="S10" s="59" t="str">
        <f>Lookup!R20</f>
        <v>FY24</v>
      </c>
      <c r="T10" s="59" t="str">
        <f>Lookup!S20</f>
        <v>FY25</v>
      </c>
      <c r="U10" s="59" t="str">
        <f>Lookup!T20</f>
        <v>FY26</v>
      </c>
      <c r="V10" s="59" t="str">
        <f>Lookup!U20</f>
        <v>FY27</v>
      </c>
      <c r="W10" s="59" t="str">
        <f>Lookup!V20</f>
        <v>FY28</v>
      </c>
    </row>
    <row r="12" spans="1:23" s="4" customFormat="1" ht="15.75" x14ac:dyDescent="0.2">
      <c r="B12" s="4" t="s">
        <v>138</v>
      </c>
    </row>
    <row r="13" spans="1:23" s="6" customFormat="1" ht="4.5" customHeight="1" x14ac:dyDescent="0.2"/>
    <row r="14" spans="1:23" s="13" customFormat="1" ht="15" x14ac:dyDescent="0.2">
      <c r="C14" s="13" t="s">
        <v>139</v>
      </c>
    </row>
    <row r="15" spans="1:23" s="6" customFormat="1" ht="11.25" customHeight="1" x14ac:dyDescent="0.2"/>
    <row r="16" spans="1:23" s="83" customFormat="1" ht="12.75" x14ac:dyDescent="0.2">
      <c r="C16" s="7"/>
      <c r="D16" s="82"/>
      <c r="E16" s="82"/>
      <c r="F16" s="82"/>
      <c r="G16" s="82"/>
      <c r="H16" s="82"/>
      <c r="I16" s="6"/>
      <c r="J16" s="146" t="str">
        <f>Input_Data!J32</f>
        <v>TB157</v>
      </c>
      <c r="K16" s="146"/>
      <c r="L16" s="6"/>
      <c r="M16" s="146" t="str">
        <f>Input_Data!L32</f>
        <v>TB163</v>
      </c>
      <c r="N16" s="146"/>
      <c r="P16" s="146" t="s">
        <v>143</v>
      </c>
      <c r="Q16" s="146"/>
      <c r="R16" s="146"/>
    </row>
    <row r="17" spans="2:18" s="83" customFormat="1" ht="12.75" x14ac:dyDescent="0.2">
      <c r="C17" s="7"/>
      <c r="D17" s="70" t="s">
        <v>109</v>
      </c>
      <c r="E17" s="63" t="str">
        <f>Lookup!E$20</f>
        <v>Source</v>
      </c>
      <c r="F17" s="63" t="str">
        <f>Lookup!F$20</f>
        <v>Unit</v>
      </c>
      <c r="G17" s="63" t="str">
        <f>Lookup!G$20</f>
        <v>Basis</v>
      </c>
      <c r="H17" s="63" t="str">
        <f>Lookup!H$20</f>
        <v>Timing</v>
      </c>
      <c r="I17" s="6"/>
      <c r="J17" s="63" t="s">
        <v>108</v>
      </c>
      <c r="K17" s="63" t="s">
        <v>110</v>
      </c>
      <c r="L17" s="6"/>
      <c r="M17" s="63" t="s">
        <v>108</v>
      </c>
      <c r="N17" s="63" t="s">
        <v>110</v>
      </c>
      <c r="P17" s="63" t="s">
        <v>108</v>
      </c>
      <c r="Q17" s="63" t="s">
        <v>144</v>
      </c>
      <c r="R17" s="63" t="s">
        <v>145</v>
      </c>
    </row>
    <row r="18" spans="2:18" s="83" customFormat="1" x14ac:dyDescent="0.2">
      <c r="C18" s="7"/>
      <c r="D18" s="82"/>
      <c r="E18" s="82"/>
      <c r="F18" s="82"/>
      <c r="G18" s="82"/>
      <c r="H18" s="82"/>
      <c r="I18" s="6"/>
      <c r="J18" s="92"/>
      <c r="K18" s="92"/>
      <c r="L18" s="6"/>
      <c r="M18" s="92"/>
      <c r="N18" s="92"/>
      <c r="Q18" s="91"/>
      <c r="R18" s="91"/>
    </row>
    <row r="19" spans="2:18" s="83" customFormat="1" ht="13.5" thickBot="1" x14ac:dyDescent="0.25">
      <c r="B19" s="81"/>
      <c r="C19" s="7"/>
      <c r="D19" s="85">
        <f>Input_Data!D38</f>
        <v>44469</v>
      </c>
      <c r="E19" s="72" t="s">
        <v>89</v>
      </c>
      <c r="F19" s="62" t="str">
        <f t="shared" ref="F19:F39" si="0">Percent</f>
        <v>Percent</v>
      </c>
      <c r="G19" s="62" t="s">
        <v>68</v>
      </c>
      <c r="H19" s="62" t="str">
        <f t="shared" ref="H19:H41" si="1">NA</f>
        <v>N/A</v>
      </c>
      <c r="I19" s="82"/>
      <c r="J19" s="95">
        <f>Input_Data!J33</f>
        <v>48020</v>
      </c>
      <c r="K19" s="94">
        <f>Input_Data!J38</f>
        <v>1.4450000000000001E-2</v>
      </c>
      <c r="L19" s="82"/>
      <c r="M19" s="95">
        <f>Input_Data!L33</f>
        <v>48173</v>
      </c>
      <c r="N19" s="94">
        <f>Input_Data!L38</f>
        <v>1.49E-2</v>
      </c>
      <c r="P19" s="95">
        <f t="shared" ref="P19:P39" si="2">(DATE(YEAR(D19)+10,MONTH(D19),DAY(D19)))</f>
        <v>48121</v>
      </c>
      <c r="Q19" s="94">
        <f t="shared" ref="Q19:Q39" si="3">(P19-J19)/(M19-J19)*N19+(1-(P19-J19)/(M19-J19))*K19</f>
        <v>1.4747058823529412E-2</v>
      </c>
      <c r="R19" s="94">
        <f t="shared" ref="R19:R39" si="4">(1+Q19/2)^2-1</f>
        <v>1.4801427759515651E-2</v>
      </c>
    </row>
    <row r="20" spans="2:18" s="83" customFormat="1" ht="12.75" x14ac:dyDescent="0.2">
      <c r="B20" s="81"/>
      <c r="C20" s="7"/>
      <c r="D20" s="85">
        <f>Input_Data!D39</f>
        <v>44470</v>
      </c>
      <c r="E20" s="72" t="s">
        <v>89</v>
      </c>
      <c r="F20" s="62" t="str">
        <f t="shared" si="0"/>
        <v>Percent</v>
      </c>
      <c r="G20" s="62" t="s">
        <v>68</v>
      </c>
      <c r="H20" s="62" t="str">
        <f t="shared" si="1"/>
        <v>N/A</v>
      </c>
      <c r="I20" s="82"/>
      <c r="J20" s="95">
        <f t="shared" ref="J20:J22" si="5">J19</f>
        <v>48020</v>
      </c>
      <c r="K20" s="94">
        <f>Input_Data!J39</f>
        <v>1.4450000000000001E-2</v>
      </c>
      <c r="L20" s="82"/>
      <c r="M20" s="95">
        <f t="shared" ref="M20:M22" si="6">M19</f>
        <v>48173</v>
      </c>
      <c r="N20" s="94">
        <f>Input_Data!L39</f>
        <v>1.49E-2</v>
      </c>
      <c r="P20" s="95">
        <f t="shared" si="2"/>
        <v>48122</v>
      </c>
      <c r="Q20" s="94">
        <f t="shared" si="3"/>
        <v>1.4749999999999999E-2</v>
      </c>
      <c r="R20" s="104">
        <f t="shared" si="4"/>
        <v>1.4804390624999719E-2</v>
      </c>
    </row>
    <row r="21" spans="2:18" s="83" customFormat="1" ht="12.75" x14ac:dyDescent="0.2">
      <c r="B21" s="81"/>
      <c r="C21" s="7"/>
      <c r="D21" s="85">
        <f>Input_Data!D40</f>
        <v>44474</v>
      </c>
      <c r="E21" s="72" t="s">
        <v>89</v>
      </c>
      <c r="F21" s="62" t="str">
        <f t="shared" si="0"/>
        <v>Percent</v>
      </c>
      <c r="G21" s="62" t="s">
        <v>68</v>
      </c>
      <c r="H21" s="62" t="str">
        <f t="shared" si="1"/>
        <v>N/A</v>
      </c>
      <c r="I21" s="82"/>
      <c r="J21" s="95">
        <f t="shared" si="5"/>
        <v>48020</v>
      </c>
      <c r="K21" s="94">
        <f>Input_Data!J40</f>
        <v>1.47E-2</v>
      </c>
      <c r="L21" s="82"/>
      <c r="M21" s="95">
        <f t="shared" si="6"/>
        <v>48173</v>
      </c>
      <c r="N21" s="94">
        <f>Input_Data!L40</f>
        <v>1.5149999999999999E-2</v>
      </c>
      <c r="P21" s="95">
        <f t="shared" si="2"/>
        <v>48126</v>
      </c>
      <c r="Q21" s="94">
        <f t="shared" si="3"/>
        <v>1.5011764705882353E-2</v>
      </c>
      <c r="R21" s="105">
        <f t="shared" si="4"/>
        <v>1.5068102975778652E-2</v>
      </c>
    </row>
    <row r="22" spans="2:18" s="83" customFormat="1" ht="12.75" x14ac:dyDescent="0.2">
      <c r="B22" s="81"/>
      <c r="C22" s="7"/>
      <c r="D22" s="85">
        <f>Input_Data!D41</f>
        <v>44475</v>
      </c>
      <c r="E22" s="72" t="s">
        <v>89</v>
      </c>
      <c r="F22" s="62" t="str">
        <f t="shared" si="0"/>
        <v>Percent</v>
      </c>
      <c r="G22" s="62" t="s">
        <v>68</v>
      </c>
      <c r="H22" s="62" t="str">
        <f t="shared" si="1"/>
        <v>N/A</v>
      </c>
      <c r="I22" s="82"/>
      <c r="J22" s="95">
        <f t="shared" si="5"/>
        <v>48020</v>
      </c>
      <c r="K22" s="94">
        <f>Input_Data!J41</f>
        <v>1.5650000000000001E-2</v>
      </c>
      <c r="L22" s="82"/>
      <c r="M22" s="95">
        <f t="shared" si="6"/>
        <v>48173</v>
      </c>
      <c r="N22" s="94">
        <f>Input_Data!L41</f>
        <v>1.6049999999999998E-2</v>
      </c>
      <c r="P22" s="95">
        <f t="shared" si="2"/>
        <v>48127</v>
      </c>
      <c r="Q22" s="94">
        <f t="shared" si="3"/>
        <v>1.5929738562091504E-2</v>
      </c>
      <c r="R22" s="105">
        <f t="shared" si="4"/>
        <v>1.5993177704755501E-2</v>
      </c>
    </row>
    <row r="23" spans="2:18" s="83" customFormat="1" ht="12.75" x14ac:dyDescent="0.2">
      <c r="B23" s="81"/>
      <c r="C23" s="7"/>
      <c r="D23" s="85">
        <f>Input_Data!D42</f>
        <v>44476</v>
      </c>
      <c r="E23" s="72" t="s">
        <v>89</v>
      </c>
      <c r="F23" s="62" t="str">
        <f t="shared" si="0"/>
        <v>Percent</v>
      </c>
      <c r="G23" s="62" t="s">
        <v>68</v>
      </c>
      <c r="H23" s="62" t="str">
        <f t="shared" si="1"/>
        <v>N/A</v>
      </c>
      <c r="I23" s="82"/>
      <c r="J23" s="95">
        <f t="shared" ref="J23:J25" si="7">J22</f>
        <v>48020</v>
      </c>
      <c r="K23" s="94">
        <f>Input_Data!J42</f>
        <v>1.54E-2</v>
      </c>
      <c r="L23" s="82"/>
      <c r="M23" s="95">
        <f t="shared" ref="M23:M25" si="8">M22</f>
        <v>48173</v>
      </c>
      <c r="N23" s="94">
        <f>Input_Data!L42</f>
        <v>1.585E-2</v>
      </c>
      <c r="P23" s="95">
        <f t="shared" si="2"/>
        <v>48128</v>
      </c>
      <c r="Q23" s="94">
        <f t="shared" si="3"/>
        <v>1.5717647058823531E-2</v>
      </c>
      <c r="R23" s="105">
        <f t="shared" si="4"/>
        <v>1.5779408166089803E-2</v>
      </c>
    </row>
    <row r="24" spans="2:18" s="83" customFormat="1" ht="12.75" x14ac:dyDescent="0.2">
      <c r="B24" s="81"/>
      <c r="C24" s="7"/>
      <c r="D24" s="85">
        <f>Input_Data!D43</f>
        <v>44477</v>
      </c>
      <c r="E24" s="72" t="s">
        <v>89</v>
      </c>
      <c r="F24" s="62" t="str">
        <f t="shared" si="0"/>
        <v>Percent</v>
      </c>
      <c r="G24" s="62" t="s">
        <v>68</v>
      </c>
      <c r="H24" s="62" t="str">
        <f t="shared" si="1"/>
        <v>N/A</v>
      </c>
      <c r="I24" s="82"/>
      <c r="J24" s="95">
        <f t="shared" si="7"/>
        <v>48020</v>
      </c>
      <c r="K24" s="94">
        <f>Input_Data!J43</f>
        <v>1.5949999999999999E-2</v>
      </c>
      <c r="L24" s="82"/>
      <c r="M24" s="95">
        <f t="shared" si="8"/>
        <v>48173</v>
      </c>
      <c r="N24" s="94">
        <f>Input_Data!L43</f>
        <v>1.635E-2</v>
      </c>
      <c r="P24" s="95">
        <f t="shared" si="2"/>
        <v>48129</v>
      </c>
      <c r="Q24" s="94">
        <f t="shared" si="3"/>
        <v>1.6234967320261438E-2</v>
      </c>
      <c r="R24" s="105">
        <f t="shared" si="4"/>
        <v>1.6300860861234057E-2</v>
      </c>
    </row>
    <row r="25" spans="2:18" s="83" customFormat="1" ht="12.75" x14ac:dyDescent="0.2">
      <c r="B25" s="81"/>
      <c r="C25" s="7"/>
      <c r="D25" s="85">
        <f>Input_Data!D44</f>
        <v>44480</v>
      </c>
      <c r="E25" s="72" t="s">
        <v>89</v>
      </c>
      <c r="F25" s="62" t="str">
        <f t="shared" si="0"/>
        <v>Percent</v>
      </c>
      <c r="G25" s="62" t="s">
        <v>68</v>
      </c>
      <c r="H25" s="62" t="str">
        <f t="shared" si="1"/>
        <v>N/A</v>
      </c>
      <c r="I25" s="82"/>
      <c r="J25" s="95">
        <f t="shared" si="7"/>
        <v>48020</v>
      </c>
      <c r="K25" s="94">
        <f>Input_Data!J44</f>
        <v>1.67E-2</v>
      </c>
      <c r="L25" s="82"/>
      <c r="M25" s="95">
        <f t="shared" si="8"/>
        <v>48173</v>
      </c>
      <c r="N25" s="94">
        <f>Input_Data!L44</f>
        <v>1.7150000000000002E-2</v>
      </c>
      <c r="P25" s="95">
        <f t="shared" si="2"/>
        <v>48132</v>
      </c>
      <c r="Q25" s="94">
        <f t="shared" si="3"/>
        <v>1.7029411764705883E-2</v>
      </c>
      <c r="R25" s="105">
        <f t="shared" si="4"/>
        <v>1.7101911980968776E-2</v>
      </c>
    </row>
    <row r="26" spans="2:18" s="83" customFormat="1" ht="12.75" x14ac:dyDescent="0.2">
      <c r="B26" s="81"/>
      <c r="C26" s="7"/>
      <c r="D26" s="85">
        <f>Input_Data!D45</f>
        <v>44481</v>
      </c>
      <c r="E26" s="72" t="s">
        <v>89</v>
      </c>
      <c r="F26" s="62" t="str">
        <f t="shared" si="0"/>
        <v>Percent</v>
      </c>
      <c r="G26" s="62" t="s">
        <v>68</v>
      </c>
      <c r="H26" s="62" t="str">
        <f t="shared" si="1"/>
        <v>N/A</v>
      </c>
      <c r="I26" s="82"/>
      <c r="J26" s="95">
        <f t="shared" ref="J26:J38" si="9">J25</f>
        <v>48020</v>
      </c>
      <c r="K26" s="94">
        <f>Input_Data!J45</f>
        <v>1.6750000000000001E-2</v>
      </c>
      <c r="L26" s="82"/>
      <c r="M26" s="95">
        <f t="shared" ref="M26:M38" si="10">M25</f>
        <v>48173</v>
      </c>
      <c r="N26" s="94">
        <f>Input_Data!L45</f>
        <v>1.72E-2</v>
      </c>
      <c r="P26" s="95">
        <f t="shared" si="2"/>
        <v>48133</v>
      </c>
      <c r="Q26" s="94">
        <f t="shared" si="3"/>
        <v>1.7082352941176472E-2</v>
      </c>
      <c r="R26" s="105">
        <f t="shared" si="4"/>
        <v>1.7155304636678359E-2</v>
      </c>
    </row>
    <row r="27" spans="2:18" s="83" customFormat="1" ht="12.75" x14ac:dyDescent="0.2">
      <c r="B27" s="81"/>
      <c r="C27" s="7"/>
      <c r="D27" s="85">
        <f>Input_Data!D46</f>
        <v>44482</v>
      </c>
      <c r="E27" s="72" t="s">
        <v>89</v>
      </c>
      <c r="F27" s="62" t="str">
        <f t="shared" si="0"/>
        <v>Percent</v>
      </c>
      <c r="G27" s="62" t="s">
        <v>68</v>
      </c>
      <c r="H27" s="62" t="str">
        <f t="shared" si="1"/>
        <v>N/A</v>
      </c>
      <c r="I27" s="82"/>
      <c r="J27" s="95">
        <f t="shared" si="9"/>
        <v>48020</v>
      </c>
      <c r="K27" s="94">
        <f>Input_Data!J46</f>
        <v>1.6449999999999999E-2</v>
      </c>
      <c r="L27" s="82"/>
      <c r="M27" s="95">
        <f t="shared" si="10"/>
        <v>48173</v>
      </c>
      <c r="N27" s="94">
        <f>Input_Data!L46</f>
        <v>1.6899999999999998E-2</v>
      </c>
      <c r="P27" s="95">
        <f t="shared" si="2"/>
        <v>48134</v>
      </c>
      <c r="Q27" s="94">
        <f t="shared" si="3"/>
        <v>1.6785294117647058E-2</v>
      </c>
      <c r="R27" s="105">
        <f t="shared" si="4"/>
        <v>1.685573064230117E-2</v>
      </c>
    </row>
    <row r="28" spans="2:18" s="83" customFormat="1" ht="12.75" x14ac:dyDescent="0.2">
      <c r="B28" s="81"/>
      <c r="C28" s="7"/>
      <c r="D28" s="85">
        <f>Input_Data!D47</f>
        <v>44483</v>
      </c>
      <c r="E28" s="72" t="s">
        <v>89</v>
      </c>
      <c r="F28" s="62" t="str">
        <f t="shared" si="0"/>
        <v>Percent</v>
      </c>
      <c r="G28" s="62" t="s">
        <v>68</v>
      </c>
      <c r="H28" s="62" t="str">
        <f t="shared" si="1"/>
        <v>N/A</v>
      </c>
      <c r="I28" s="82"/>
      <c r="J28" s="95">
        <f t="shared" si="9"/>
        <v>48020</v>
      </c>
      <c r="K28" s="94">
        <f>Input_Data!J47</f>
        <v>1.585E-2</v>
      </c>
      <c r="L28" s="82"/>
      <c r="M28" s="95">
        <f t="shared" si="10"/>
        <v>48173</v>
      </c>
      <c r="N28" s="94">
        <f>Input_Data!L47</f>
        <v>1.6250000000000001E-2</v>
      </c>
      <c r="P28" s="95">
        <f t="shared" si="2"/>
        <v>48135</v>
      </c>
      <c r="Q28" s="94">
        <f t="shared" si="3"/>
        <v>1.615065359477124E-2</v>
      </c>
      <c r="R28" s="105">
        <f t="shared" si="4"/>
        <v>1.6215864497655774E-2</v>
      </c>
    </row>
    <row r="29" spans="2:18" s="83" customFormat="1" ht="12.75" x14ac:dyDescent="0.2">
      <c r="B29" s="81"/>
      <c r="C29" s="7"/>
      <c r="D29" s="85">
        <f>Input_Data!D48</f>
        <v>44484</v>
      </c>
      <c r="E29" s="72" t="s">
        <v>89</v>
      </c>
      <c r="F29" s="62" t="str">
        <f t="shared" si="0"/>
        <v>Percent</v>
      </c>
      <c r="G29" s="62" t="s">
        <v>68</v>
      </c>
      <c r="H29" s="62" t="str">
        <f t="shared" si="1"/>
        <v>N/A</v>
      </c>
      <c r="I29" s="82"/>
      <c r="J29" s="95">
        <f t="shared" si="9"/>
        <v>48020</v>
      </c>
      <c r="K29" s="94">
        <f>Input_Data!J48</f>
        <v>1.61E-2</v>
      </c>
      <c r="L29" s="82"/>
      <c r="M29" s="95">
        <f t="shared" si="10"/>
        <v>48173</v>
      </c>
      <c r="N29" s="94">
        <f>Input_Data!L48</f>
        <v>1.6500000000000001E-2</v>
      </c>
      <c r="P29" s="95">
        <f t="shared" si="2"/>
        <v>48136</v>
      </c>
      <c r="Q29" s="94">
        <f t="shared" si="3"/>
        <v>1.640326797385621E-2</v>
      </c>
      <c r="R29" s="105">
        <f t="shared" si="4"/>
        <v>1.6470534773912027E-2</v>
      </c>
    </row>
    <row r="30" spans="2:18" s="83" customFormat="1" ht="12.75" x14ac:dyDescent="0.2">
      <c r="B30" s="81"/>
      <c r="C30" s="7"/>
      <c r="D30" s="85">
        <f>Input_Data!D49</f>
        <v>44487</v>
      </c>
      <c r="E30" s="72" t="s">
        <v>89</v>
      </c>
      <c r="F30" s="62" t="str">
        <f t="shared" si="0"/>
        <v>Percent</v>
      </c>
      <c r="G30" s="62" t="s">
        <v>68</v>
      </c>
      <c r="H30" s="62" t="str">
        <f t="shared" si="1"/>
        <v>N/A</v>
      </c>
      <c r="I30" s="82"/>
      <c r="J30" s="95">
        <f t="shared" si="9"/>
        <v>48020</v>
      </c>
      <c r="K30" s="94">
        <f>Input_Data!J49</f>
        <v>1.7000000000000001E-2</v>
      </c>
      <c r="L30" s="82"/>
      <c r="M30" s="95">
        <f t="shared" si="10"/>
        <v>48173</v>
      </c>
      <c r="N30" s="94">
        <f>Input_Data!L49</f>
        <v>1.745E-2</v>
      </c>
      <c r="P30" s="95">
        <f t="shared" si="2"/>
        <v>48139</v>
      </c>
      <c r="Q30" s="94">
        <f t="shared" si="3"/>
        <v>1.7350000000000001E-2</v>
      </c>
      <c r="R30" s="105">
        <f t="shared" si="4"/>
        <v>1.742525562500008E-2</v>
      </c>
    </row>
    <row r="31" spans="2:18" s="83" customFormat="1" ht="12.75" x14ac:dyDescent="0.2">
      <c r="B31" s="81"/>
      <c r="C31" s="7"/>
      <c r="D31" s="85">
        <f>Input_Data!D50</f>
        <v>44488</v>
      </c>
      <c r="E31" s="72" t="s">
        <v>89</v>
      </c>
      <c r="F31" s="62" t="str">
        <f t="shared" si="0"/>
        <v>Percent</v>
      </c>
      <c r="G31" s="62" t="s">
        <v>68</v>
      </c>
      <c r="H31" s="62" t="str">
        <f t="shared" si="1"/>
        <v>N/A</v>
      </c>
      <c r="I31" s="82"/>
      <c r="J31" s="95">
        <f t="shared" si="9"/>
        <v>48020</v>
      </c>
      <c r="K31" s="94">
        <f>Input_Data!J50</f>
        <v>1.685E-2</v>
      </c>
      <c r="L31" s="82"/>
      <c r="M31" s="95">
        <f t="shared" si="10"/>
        <v>48173</v>
      </c>
      <c r="N31" s="94">
        <f>Input_Data!L50</f>
        <v>1.7250000000000001E-2</v>
      </c>
      <c r="P31" s="95">
        <f t="shared" si="2"/>
        <v>48140</v>
      </c>
      <c r="Q31" s="94">
        <f t="shared" si="3"/>
        <v>1.7163725490196079E-2</v>
      </c>
      <c r="R31" s="105">
        <f t="shared" si="4"/>
        <v>1.7237373858371763E-2</v>
      </c>
    </row>
    <row r="32" spans="2:18" s="83" customFormat="1" ht="12.75" x14ac:dyDescent="0.2">
      <c r="B32" s="81"/>
      <c r="C32" s="7"/>
      <c r="D32" s="85">
        <f>Input_Data!D51</f>
        <v>44489</v>
      </c>
      <c r="E32" s="72" t="s">
        <v>89</v>
      </c>
      <c r="F32" s="62" t="str">
        <f t="shared" si="0"/>
        <v>Percent</v>
      </c>
      <c r="G32" s="62" t="s">
        <v>68</v>
      </c>
      <c r="H32" s="62" t="str">
        <f t="shared" si="1"/>
        <v>N/A</v>
      </c>
      <c r="I32" s="82"/>
      <c r="J32" s="95">
        <f t="shared" si="9"/>
        <v>48020</v>
      </c>
      <c r="K32" s="94">
        <f>Input_Data!J51</f>
        <v>1.7649999999999999E-2</v>
      </c>
      <c r="L32" s="82"/>
      <c r="M32" s="95">
        <f t="shared" si="10"/>
        <v>48173</v>
      </c>
      <c r="N32" s="94">
        <f>Input_Data!L51</f>
        <v>1.8100000000000002E-2</v>
      </c>
      <c r="P32" s="95">
        <f t="shared" si="2"/>
        <v>48141</v>
      </c>
      <c r="Q32" s="94">
        <f t="shared" si="3"/>
        <v>1.8005882352941177E-2</v>
      </c>
      <c r="R32" s="105">
        <f t="shared" si="4"/>
        <v>1.8086935302767948E-2</v>
      </c>
    </row>
    <row r="33" spans="2:30" s="83" customFormat="1" ht="12.75" x14ac:dyDescent="0.2">
      <c r="B33" s="81"/>
      <c r="C33" s="7"/>
      <c r="D33" s="85">
        <f>Input_Data!D52</f>
        <v>44490</v>
      </c>
      <c r="E33" s="72" t="s">
        <v>89</v>
      </c>
      <c r="F33" s="62" t="str">
        <f t="shared" si="0"/>
        <v>Percent</v>
      </c>
      <c r="G33" s="62" t="s">
        <v>68</v>
      </c>
      <c r="H33" s="62" t="str">
        <f t="shared" si="1"/>
        <v>N/A</v>
      </c>
      <c r="I33" s="82"/>
      <c r="J33" s="95">
        <f t="shared" si="9"/>
        <v>48020</v>
      </c>
      <c r="K33" s="94">
        <f>Input_Data!J52</f>
        <v>1.7500000000000002E-2</v>
      </c>
      <c r="L33" s="82"/>
      <c r="M33" s="95">
        <f t="shared" si="10"/>
        <v>48173</v>
      </c>
      <c r="N33" s="94">
        <f>Input_Data!L52</f>
        <v>1.7899999999999999E-2</v>
      </c>
      <c r="P33" s="95">
        <f t="shared" si="2"/>
        <v>48142</v>
      </c>
      <c r="Q33" s="94">
        <f t="shared" si="3"/>
        <v>1.7818954248366013E-2</v>
      </c>
      <c r="R33" s="105">
        <f t="shared" si="4"/>
        <v>1.789833303099253E-2</v>
      </c>
    </row>
    <row r="34" spans="2:30" s="83" customFormat="1" ht="12.75" x14ac:dyDescent="0.2">
      <c r="B34" s="81"/>
      <c r="C34" s="7"/>
      <c r="D34" s="85">
        <f>Input_Data!D53</f>
        <v>44491</v>
      </c>
      <c r="E34" s="72" t="s">
        <v>89</v>
      </c>
      <c r="F34" s="62" t="str">
        <f t="shared" si="0"/>
        <v>Percent</v>
      </c>
      <c r="G34" s="62" t="s">
        <v>68</v>
      </c>
      <c r="H34" s="62" t="str">
        <f t="shared" si="1"/>
        <v>N/A</v>
      </c>
      <c r="I34" s="82"/>
      <c r="J34" s="95">
        <f t="shared" si="9"/>
        <v>48020</v>
      </c>
      <c r="K34" s="94">
        <f>Input_Data!J53</f>
        <v>1.7600000000000001E-2</v>
      </c>
      <c r="L34" s="82"/>
      <c r="M34" s="95">
        <f t="shared" si="10"/>
        <v>48173</v>
      </c>
      <c r="N34" s="94">
        <f>Input_Data!L53</f>
        <v>1.8000000000000002E-2</v>
      </c>
      <c r="P34" s="95">
        <f t="shared" si="2"/>
        <v>48143</v>
      </c>
      <c r="Q34" s="94">
        <f t="shared" si="3"/>
        <v>1.7921568627450982E-2</v>
      </c>
      <c r="R34" s="105">
        <f t="shared" si="4"/>
        <v>1.8001864282968238E-2</v>
      </c>
    </row>
    <row r="35" spans="2:30" s="83" customFormat="1" ht="12.75" x14ac:dyDescent="0.2">
      <c r="B35" s="81"/>
      <c r="C35" s="7"/>
      <c r="D35" s="85">
        <f>Input_Data!D54</f>
        <v>44494</v>
      </c>
      <c r="E35" s="72" t="s">
        <v>89</v>
      </c>
      <c r="F35" s="62" t="str">
        <f t="shared" si="0"/>
        <v>Percent</v>
      </c>
      <c r="G35" s="62" t="s">
        <v>68</v>
      </c>
      <c r="H35" s="62" t="str">
        <f t="shared" si="1"/>
        <v>N/A</v>
      </c>
      <c r="I35" s="82"/>
      <c r="J35" s="95">
        <f t="shared" si="9"/>
        <v>48020</v>
      </c>
      <c r="K35" s="94">
        <f>Input_Data!J54</f>
        <v>1.745E-2</v>
      </c>
      <c r="L35" s="82"/>
      <c r="M35" s="95">
        <f t="shared" si="10"/>
        <v>48173</v>
      </c>
      <c r="N35" s="94">
        <f>Input_Data!L54</f>
        <v>1.7849999999999998E-2</v>
      </c>
      <c r="P35" s="95">
        <f t="shared" si="2"/>
        <v>48146</v>
      </c>
      <c r="Q35" s="94">
        <f t="shared" si="3"/>
        <v>1.777941176470588E-2</v>
      </c>
      <c r="R35" s="105">
        <f t="shared" si="4"/>
        <v>1.7858438635380613E-2</v>
      </c>
    </row>
    <row r="36" spans="2:30" s="83" customFormat="1" ht="12.75" x14ac:dyDescent="0.2">
      <c r="B36" s="81"/>
      <c r="C36" s="7"/>
      <c r="D36" s="85">
        <f>Input_Data!D55</f>
        <v>44495</v>
      </c>
      <c r="E36" s="72" t="s">
        <v>89</v>
      </c>
      <c r="F36" s="62" t="str">
        <f t="shared" si="0"/>
        <v>Percent</v>
      </c>
      <c r="G36" s="62" t="s">
        <v>68</v>
      </c>
      <c r="H36" s="62" t="str">
        <f t="shared" si="1"/>
        <v>N/A</v>
      </c>
      <c r="I36" s="82"/>
      <c r="J36" s="95">
        <f t="shared" si="9"/>
        <v>48020</v>
      </c>
      <c r="K36" s="94">
        <f>Input_Data!J55</f>
        <v>1.7649999999999999E-2</v>
      </c>
      <c r="L36" s="82"/>
      <c r="M36" s="95">
        <f t="shared" si="10"/>
        <v>48173</v>
      </c>
      <c r="N36" s="94">
        <f>Input_Data!L55</f>
        <v>1.805E-2</v>
      </c>
      <c r="P36" s="95">
        <f t="shared" si="2"/>
        <v>48147</v>
      </c>
      <c r="Q36" s="94">
        <f t="shared" si="3"/>
        <v>1.7982026143790849E-2</v>
      </c>
      <c r="R36" s="105">
        <f t="shared" si="4"/>
        <v>1.8062864459849726E-2</v>
      </c>
    </row>
    <row r="37" spans="2:30" s="83" customFormat="1" ht="12.75" x14ac:dyDescent="0.2">
      <c r="B37" s="81"/>
      <c r="C37" s="7"/>
      <c r="D37" s="85">
        <f>Input_Data!D56</f>
        <v>44496</v>
      </c>
      <c r="E37" s="72" t="s">
        <v>89</v>
      </c>
      <c r="F37" s="62" t="str">
        <f t="shared" si="0"/>
        <v>Percent</v>
      </c>
      <c r="G37" s="62" t="s">
        <v>68</v>
      </c>
      <c r="H37" s="62" t="str">
        <f t="shared" si="1"/>
        <v>N/A</v>
      </c>
      <c r="I37" s="82"/>
      <c r="J37" s="95">
        <f t="shared" si="9"/>
        <v>48020</v>
      </c>
      <c r="K37" s="94">
        <f>Input_Data!J56</f>
        <v>1.77E-2</v>
      </c>
      <c r="L37" s="82"/>
      <c r="M37" s="95">
        <f t="shared" si="10"/>
        <v>48173</v>
      </c>
      <c r="N37" s="94">
        <f>Input_Data!L56</f>
        <v>1.8100000000000002E-2</v>
      </c>
      <c r="P37" s="95">
        <f t="shared" si="2"/>
        <v>48148</v>
      </c>
      <c r="Q37" s="94">
        <f t="shared" si="3"/>
        <v>1.8034640522875817E-2</v>
      </c>
      <c r="R37" s="105">
        <f t="shared" si="4"/>
        <v>1.8115952587573148E-2</v>
      </c>
    </row>
    <row r="38" spans="2:30" s="83" customFormat="1" ht="12.75" x14ac:dyDescent="0.2">
      <c r="B38" s="81"/>
      <c r="C38" s="7"/>
      <c r="D38" s="85">
        <f>Input_Data!D57</f>
        <v>44497</v>
      </c>
      <c r="E38" s="72" t="s">
        <v>89</v>
      </c>
      <c r="F38" s="62" t="str">
        <f t="shared" si="0"/>
        <v>Percent</v>
      </c>
      <c r="G38" s="62" t="s">
        <v>68</v>
      </c>
      <c r="H38" s="62" t="str">
        <f t="shared" si="1"/>
        <v>N/A</v>
      </c>
      <c r="I38" s="82"/>
      <c r="J38" s="95">
        <f t="shared" si="9"/>
        <v>48020</v>
      </c>
      <c r="K38" s="94">
        <f>Input_Data!J57</f>
        <v>1.8000000000000002E-2</v>
      </c>
      <c r="L38" s="82"/>
      <c r="M38" s="95">
        <f t="shared" si="10"/>
        <v>48173</v>
      </c>
      <c r="N38" s="94">
        <f>Input_Data!L57</f>
        <v>1.8349999999999998E-2</v>
      </c>
      <c r="P38" s="95">
        <f t="shared" si="2"/>
        <v>48149</v>
      </c>
      <c r="Q38" s="94">
        <f t="shared" si="3"/>
        <v>1.8295098039215685E-2</v>
      </c>
      <c r="R38" s="105">
        <f t="shared" si="4"/>
        <v>1.8378775692281746E-2</v>
      </c>
    </row>
    <row r="39" spans="2:30" s="83" customFormat="1" ht="13.5" thickBot="1" x14ac:dyDescent="0.25">
      <c r="B39" s="81"/>
      <c r="C39" s="7"/>
      <c r="D39" s="85">
        <f>Input_Data!D58</f>
        <v>44498</v>
      </c>
      <c r="E39" s="72" t="s">
        <v>89</v>
      </c>
      <c r="F39" s="62" t="str">
        <f t="shared" si="0"/>
        <v>Percent</v>
      </c>
      <c r="G39" s="62" t="s">
        <v>68</v>
      </c>
      <c r="H39" s="62" t="str">
        <f t="shared" si="1"/>
        <v>N/A</v>
      </c>
      <c r="I39" s="82"/>
      <c r="J39" s="95">
        <f>J38</f>
        <v>48020</v>
      </c>
      <c r="K39" s="94">
        <f>Input_Data!J58</f>
        <v>2.0499999999999997E-2</v>
      </c>
      <c r="L39" s="82"/>
      <c r="M39" s="95">
        <f>M38</f>
        <v>48173</v>
      </c>
      <c r="N39" s="94">
        <f>Input_Data!L58</f>
        <v>2.0899999999999998E-2</v>
      </c>
      <c r="P39" s="95">
        <f t="shared" si="2"/>
        <v>48150</v>
      </c>
      <c r="Q39" s="94">
        <f t="shared" si="3"/>
        <v>2.083986928104575E-2</v>
      </c>
      <c r="R39" s="106">
        <f t="shared" si="4"/>
        <v>2.0948444318958703E-2</v>
      </c>
    </row>
    <row r="40" spans="2:30" ht="12.75" x14ac:dyDescent="0.2">
      <c r="D40" s="15"/>
      <c r="E40" s="72"/>
      <c r="F40" s="72"/>
      <c r="G40" s="72"/>
      <c r="H40" s="72"/>
      <c r="I40" s="72"/>
      <c r="J40" s="72"/>
      <c r="K40" s="72"/>
      <c r="L40" s="72"/>
      <c r="M40" s="72"/>
      <c r="P40" s="80"/>
      <c r="Q40" s="64"/>
      <c r="R40" s="64"/>
    </row>
    <row r="41" spans="2:30" ht="12.75" x14ac:dyDescent="0.2">
      <c r="D41" s="71" t="s">
        <v>147</v>
      </c>
      <c r="E41" s="65" t="s">
        <v>89</v>
      </c>
      <c r="F41" s="65" t="str">
        <f>Percent</f>
        <v>Percent</v>
      </c>
      <c r="G41" s="65" t="s">
        <v>68</v>
      </c>
      <c r="H41" s="65" t="str">
        <f t="shared" si="1"/>
        <v>N/A</v>
      </c>
      <c r="I41" s="6"/>
      <c r="J41" s="6"/>
      <c r="K41" s="6"/>
      <c r="L41" s="6"/>
      <c r="N41" s="80"/>
      <c r="O41" s="80"/>
      <c r="P41" s="80"/>
      <c r="Q41" s="64"/>
      <c r="R41" s="97">
        <f>AVERAGE(R20:R39)</f>
        <v>1.7187976232925915E-2</v>
      </c>
      <c r="S41" s="96" t="s">
        <v>221</v>
      </c>
    </row>
    <row r="42" spans="2:30" ht="12.75" x14ac:dyDescent="0.2">
      <c r="D42" s="15"/>
      <c r="E42" s="72"/>
      <c r="F42" s="72"/>
      <c r="G42" s="72"/>
      <c r="H42" s="72"/>
      <c r="I42" s="72"/>
      <c r="J42" s="72"/>
      <c r="K42" s="72"/>
      <c r="L42" s="72"/>
      <c r="M42" s="72"/>
      <c r="N42" s="80"/>
      <c r="O42" s="80"/>
      <c r="P42" s="6"/>
      <c r="Q42" s="6"/>
      <c r="R42" s="80"/>
      <c r="S42" s="80"/>
      <c r="T42" s="80"/>
      <c r="U42" s="64"/>
      <c r="V42" s="64"/>
      <c r="W42" s="64"/>
    </row>
    <row r="43" spans="2:30" ht="12.75" x14ac:dyDescent="0.2">
      <c r="D43" s="15"/>
      <c r="E43" s="72"/>
      <c r="F43" s="72"/>
      <c r="G43" s="72"/>
      <c r="H43" s="72"/>
      <c r="I43" s="72"/>
      <c r="J43" s="72"/>
      <c r="K43" s="72"/>
      <c r="L43" s="72"/>
      <c r="M43" s="72"/>
      <c r="N43" s="80"/>
      <c r="O43" s="80"/>
      <c r="P43" s="80"/>
      <c r="Q43" s="80"/>
      <c r="R43" s="80"/>
      <c r="S43" s="80"/>
      <c r="T43" s="80"/>
      <c r="U43" s="64"/>
      <c r="V43" s="64"/>
      <c r="W43" s="64"/>
    </row>
    <row r="44" spans="2:30" s="13" customFormat="1" ht="15" x14ac:dyDescent="0.2">
      <c r="C44" s="13" t="s">
        <v>140</v>
      </c>
    </row>
    <row r="45" spans="2:30" s="6" customFormat="1" ht="11.25" customHeight="1" x14ac:dyDescent="0.2"/>
    <row r="46" spans="2:30" s="6" customFormat="1" ht="11.25" customHeight="1" x14ac:dyDescent="0.2">
      <c r="J46" s="146" t="s">
        <v>176</v>
      </c>
      <c r="K46" s="146"/>
      <c r="L46" s="146"/>
      <c r="M46" s="146"/>
      <c r="N46" s="146"/>
      <c r="P46" s="146" t="s">
        <v>177</v>
      </c>
      <c r="Q46" s="146"/>
      <c r="R46" s="146"/>
      <c r="S46" s="146"/>
      <c r="T46" s="146"/>
      <c r="V46" s="146" t="s">
        <v>157</v>
      </c>
      <c r="W46" s="146"/>
      <c r="X46" s="146"/>
      <c r="Z46" s="146" t="s">
        <v>178</v>
      </c>
      <c r="AA46" s="146"/>
      <c r="AB46" s="146"/>
      <c r="AD46" s="103" t="s">
        <v>179</v>
      </c>
    </row>
    <row r="47" spans="2:30" ht="38.25" x14ac:dyDescent="0.2">
      <c r="D47" s="70" t="s">
        <v>109</v>
      </c>
      <c r="E47" s="63" t="str">
        <f>Lookup!E$20</f>
        <v>Source</v>
      </c>
      <c r="F47" s="63" t="str">
        <f>Lookup!F$20</f>
        <v>Unit</v>
      </c>
      <c r="G47" s="63" t="str">
        <f>Lookup!G$20</f>
        <v>Basis</v>
      </c>
      <c r="H47" s="63" t="str">
        <f>Lookup!H$20</f>
        <v>Timing</v>
      </c>
      <c r="J47" s="69" t="s">
        <v>164</v>
      </c>
      <c r="K47" s="69" t="s">
        <v>160</v>
      </c>
      <c r="L47" s="69" t="s">
        <v>161</v>
      </c>
      <c r="M47" s="69" t="s">
        <v>162</v>
      </c>
      <c r="N47" s="69" t="s">
        <v>163</v>
      </c>
      <c r="P47" s="102" t="s">
        <v>164</v>
      </c>
      <c r="Q47" s="102" t="s">
        <v>160</v>
      </c>
      <c r="R47" s="102" t="s">
        <v>161</v>
      </c>
      <c r="S47" s="102" t="s">
        <v>162</v>
      </c>
      <c r="T47" s="102" t="s">
        <v>163</v>
      </c>
      <c r="V47" s="69" t="s">
        <v>156</v>
      </c>
      <c r="W47" s="69" t="s">
        <v>144</v>
      </c>
      <c r="X47" s="103" t="s">
        <v>145</v>
      </c>
      <c r="Z47" s="102" t="s">
        <v>156</v>
      </c>
      <c r="AA47" s="102" t="s">
        <v>144</v>
      </c>
      <c r="AB47" s="103" t="s">
        <v>145</v>
      </c>
      <c r="AD47" s="63" t="s">
        <v>145</v>
      </c>
    </row>
    <row r="48" spans="2:30" x14ac:dyDescent="0.2">
      <c r="AD48" s="91"/>
    </row>
    <row r="49" spans="4:30" ht="13.5" thickBot="1" x14ac:dyDescent="0.25">
      <c r="D49" s="85">
        <f t="shared" ref="D49:D69" si="11">D19</f>
        <v>44469</v>
      </c>
      <c r="E49" s="72" t="s">
        <v>89</v>
      </c>
      <c r="F49" s="62" t="str">
        <f t="shared" ref="F49:F69" si="12">Percent</f>
        <v>Percent</v>
      </c>
      <c r="G49" s="62" t="s">
        <v>68</v>
      </c>
      <c r="H49" s="62" t="str">
        <f t="shared" ref="H49:H69" si="13">NA</f>
        <v>N/A</v>
      </c>
      <c r="J49" s="94">
        <f>Input_Data!M99</f>
        <v>3.1699999999999999E-2</v>
      </c>
      <c r="K49" s="98">
        <f>10-Input_Data!O99</f>
        <v>0.99000000000000021</v>
      </c>
      <c r="L49" s="94">
        <f>(Input_Data!N99-Input_Data!K99)/(Input_Data!O99-Input_Data!L99)</f>
        <v>9.6028708133971306E-4</v>
      </c>
      <c r="M49" s="94">
        <f>J49+K49*L49</f>
        <v>3.2650684210526318E-2</v>
      </c>
      <c r="N49" s="94">
        <f>M49-Q19</f>
        <v>1.7903625386996906E-2</v>
      </c>
      <c r="P49" s="94">
        <f>Input_Data!T99</f>
        <v>2.0299999999999999E-2</v>
      </c>
      <c r="Q49" s="98">
        <f>10-Input_Data!V99</f>
        <v>1.1799999999999997</v>
      </c>
      <c r="R49" s="94">
        <f>(Input_Data!U99-Input_Data!R99)/(Input_Data!V99-Input_Data!S99)</f>
        <v>-5.2857142857142881E-4</v>
      </c>
      <c r="S49" s="94">
        <f>P49+Q49*R49</f>
        <v>1.9676285714285712E-2</v>
      </c>
      <c r="T49" s="94">
        <f>S49-Q19</f>
        <v>4.9292268907563004E-3</v>
      </c>
      <c r="V49" s="94">
        <f t="shared" ref="V49:V69" si="14">$N$49 + ($D49-$D$49)/($D$69-$D$49)*($N$69 - $N$49)</f>
        <v>1.7903625386996906E-2</v>
      </c>
      <c r="W49" s="94">
        <f t="shared" ref="W49:W69" si="15">V49+Q19</f>
        <v>3.2650684210526318E-2</v>
      </c>
      <c r="X49" s="94">
        <f>(1+W49/2)^2-1</f>
        <v>3.2917201005380203E-2</v>
      </c>
      <c r="Z49" s="94">
        <f t="shared" ref="Z49:Z69" si="16">$T$49 + ($D49-$D$49)/($D$69-$D$49)*($T$69 - $T$49)</f>
        <v>4.9292268907563004E-3</v>
      </c>
      <c r="AA49" s="94">
        <f t="shared" ref="AA49:AA69" si="17">Z49+Q19</f>
        <v>1.9676285714285712E-2</v>
      </c>
      <c r="AB49" s="94">
        <f>(1+AA49/2)^2-1</f>
        <v>1.9773074769163124E-2</v>
      </c>
      <c r="AD49" s="94">
        <f t="shared" ref="AD49:AD69" si="18">X49*BBB_Weight+AB49*A_Weight</f>
        <v>2.8535825593307841E-2</v>
      </c>
    </row>
    <row r="50" spans="4:30" ht="12.75" x14ac:dyDescent="0.2">
      <c r="D50" s="85">
        <f t="shared" si="11"/>
        <v>44470</v>
      </c>
      <c r="E50" s="72" t="s">
        <v>89</v>
      </c>
      <c r="F50" s="62" t="str">
        <f t="shared" si="12"/>
        <v>Percent</v>
      </c>
      <c r="G50" s="62" t="s">
        <v>68</v>
      </c>
      <c r="H50" s="62" t="str">
        <f t="shared" si="13"/>
        <v>N/A</v>
      </c>
      <c r="J50" s="51"/>
      <c r="K50" s="51"/>
      <c r="L50" s="51"/>
      <c r="M50" s="51"/>
      <c r="N50" s="51"/>
      <c r="P50" s="51"/>
      <c r="Q50" s="51"/>
      <c r="R50" s="51"/>
      <c r="S50" s="51"/>
      <c r="T50" s="51"/>
      <c r="V50" s="94">
        <f t="shared" si="14"/>
        <v>1.7915819680740363E-2</v>
      </c>
      <c r="W50" s="94">
        <f t="shared" si="15"/>
        <v>3.2665819680740366E-2</v>
      </c>
      <c r="X50" s="94">
        <f t="shared" ref="X50:X51" si="19">(1+W50/2)^2-1</f>
        <v>3.2932583624593947E-2</v>
      </c>
      <c r="Z50" s="94">
        <f t="shared" si="16"/>
        <v>4.9787589646869013E-3</v>
      </c>
      <c r="AA50" s="94">
        <f t="shared" si="17"/>
        <v>1.9728758964686899E-2</v>
      </c>
      <c r="AB50" s="94">
        <f t="shared" ref="AB50:AB51" si="20">(1+AA50/2)^2-1</f>
        <v>1.9826064947258581E-2</v>
      </c>
      <c r="AD50" s="104">
        <f t="shared" si="18"/>
        <v>2.8563744065482156E-2</v>
      </c>
    </row>
    <row r="51" spans="4:30" ht="12.75" x14ac:dyDescent="0.2">
      <c r="D51" s="85">
        <f t="shared" si="11"/>
        <v>44474</v>
      </c>
      <c r="E51" s="72" t="s">
        <v>89</v>
      </c>
      <c r="F51" s="62" t="str">
        <f t="shared" si="12"/>
        <v>Percent</v>
      </c>
      <c r="G51" s="62" t="s">
        <v>68</v>
      </c>
      <c r="H51" s="62" t="str">
        <f t="shared" si="13"/>
        <v>N/A</v>
      </c>
      <c r="J51" s="51"/>
      <c r="K51" s="51"/>
      <c r="L51" s="51"/>
      <c r="M51" s="51"/>
      <c r="N51" s="51"/>
      <c r="P51" s="51"/>
      <c r="Q51" s="51"/>
      <c r="R51" s="51"/>
      <c r="S51" s="51"/>
      <c r="T51" s="51"/>
      <c r="V51" s="94">
        <f t="shared" si="14"/>
        <v>1.7964596855714186E-2</v>
      </c>
      <c r="W51" s="94">
        <f t="shared" si="15"/>
        <v>3.2976361561596543E-2</v>
      </c>
      <c r="X51" s="94">
        <f t="shared" si="19"/>
        <v>3.3248221667056654E-2</v>
      </c>
      <c r="Z51" s="94">
        <f t="shared" si="16"/>
        <v>5.176887260409305E-3</v>
      </c>
      <c r="AA51" s="94">
        <f t="shared" si="17"/>
        <v>2.018865196629166E-2</v>
      </c>
      <c r="AB51" s="94">
        <f t="shared" si="20"/>
        <v>2.0290547383345681E-2</v>
      </c>
      <c r="AD51" s="105">
        <f t="shared" si="18"/>
        <v>2.8928996905819661E-2</v>
      </c>
    </row>
    <row r="52" spans="4:30" ht="12.75" x14ac:dyDescent="0.2">
      <c r="D52" s="85">
        <f t="shared" si="11"/>
        <v>44475</v>
      </c>
      <c r="E52" s="72" t="s">
        <v>89</v>
      </c>
      <c r="F52" s="62" t="str">
        <f t="shared" si="12"/>
        <v>Percent</v>
      </c>
      <c r="G52" s="62" t="s">
        <v>68</v>
      </c>
      <c r="H52" s="62" t="str">
        <f t="shared" si="13"/>
        <v>N/A</v>
      </c>
      <c r="J52" s="51"/>
      <c r="K52" s="51"/>
      <c r="L52" s="51"/>
      <c r="M52" s="51"/>
      <c r="N52" s="51"/>
      <c r="P52" s="51"/>
      <c r="Q52" s="51"/>
      <c r="R52" s="51"/>
      <c r="S52" s="51"/>
      <c r="T52" s="51"/>
      <c r="V52" s="94">
        <f t="shared" si="14"/>
        <v>1.797679114945764E-2</v>
      </c>
      <c r="W52" s="94">
        <f t="shared" si="15"/>
        <v>3.3906529711549144E-2</v>
      </c>
      <c r="X52" s="94">
        <f t="shared" ref="X52:X68" si="21">(1+W52/2)^2-1</f>
        <v>3.4193942900819341E-2</v>
      </c>
      <c r="Z52" s="94">
        <f t="shared" si="16"/>
        <v>5.226419334339906E-3</v>
      </c>
      <c r="AA52" s="94">
        <f t="shared" si="17"/>
        <v>2.115615789643141E-2</v>
      </c>
      <c r="AB52" s="94">
        <f t="shared" ref="AB52:AB62" si="22">(1+AA52/2)^2-1</f>
        <v>2.1268053650666197E-2</v>
      </c>
      <c r="AD52" s="105">
        <f t="shared" si="18"/>
        <v>2.988531315076829E-2</v>
      </c>
    </row>
    <row r="53" spans="4:30" ht="12.75" x14ac:dyDescent="0.2">
      <c r="D53" s="85">
        <f t="shared" si="11"/>
        <v>44476</v>
      </c>
      <c r="E53" s="72" t="s">
        <v>89</v>
      </c>
      <c r="F53" s="62" t="str">
        <f t="shared" si="12"/>
        <v>Percent</v>
      </c>
      <c r="G53" s="62" t="s">
        <v>68</v>
      </c>
      <c r="H53" s="62" t="str">
        <f t="shared" si="13"/>
        <v>N/A</v>
      </c>
      <c r="J53" s="51"/>
      <c r="K53" s="51"/>
      <c r="L53" s="51"/>
      <c r="M53" s="51"/>
      <c r="N53" s="51"/>
      <c r="P53" s="51"/>
      <c r="Q53" s="51"/>
      <c r="R53" s="51"/>
      <c r="S53" s="51"/>
      <c r="T53" s="51"/>
      <c r="V53" s="94">
        <f t="shared" si="14"/>
        <v>1.7988985443201096E-2</v>
      </c>
      <c r="W53" s="94">
        <f t="shared" si="15"/>
        <v>3.370663250202463E-2</v>
      </c>
      <c r="X53" s="94">
        <f t="shared" si="21"/>
        <v>3.3990666770681077E-2</v>
      </c>
      <c r="Z53" s="94">
        <f t="shared" si="16"/>
        <v>5.2759514082705069E-3</v>
      </c>
      <c r="AA53" s="94">
        <f t="shared" si="17"/>
        <v>2.0993598467094039E-2</v>
      </c>
      <c r="AB53" s="94">
        <f t="shared" si="22"/>
        <v>2.1103781261243348E-2</v>
      </c>
      <c r="AD53" s="105">
        <f t="shared" si="18"/>
        <v>2.9695038267535164E-2</v>
      </c>
    </row>
    <row r="54" spans="4:30" ht="12.75" x14ac:dyDescent="0.2">
      <c r="D54" s="85">
        <f t="shared" si="11"/>
        <v>44477</v>
      </c>
      <c r="E54" s="72" t="s">
        <v>89</v>
      </c>
      <c r="F54" s="62" t="str">
        <f t="shared" si="12"/>
        <v>Percent</v>
      </c>
      <c r="G54" s="62" t="s">
        <v>68</v>
      </c>
      <c r="H54" s="62" t="str">
        <f t="shared" si="13"/>
        <v>N/A</v>
      </c>
      <c r="J54" s="51"/>
      <c r="K54" s="51"/>
      <c r="L54" s="51"/>
      <c r="M54" s="51"/>
      <c r="N54" s="51"/>
      <c r="P54" s="51"/>
      <c r="Q54" s="51"/>
      <c r="R54" s="51"/>
      <c r="S54" s="51"/>
      <c r="T54" s="51"/>
      <c r="V54" s="94">
        <f t="shared" si="14"/>
        <v>1.8001179736944553E-2</v>
      </c>
      <c r="W54" s="94">
        <f t="shared" si="15"/>
        <v>3.4236147057205991E-2</v>
      </c>
      <c r="X54" s="94">
        <f t="shared" si="21"/>
        <v>3.4529175498536624E-2</v>
      </c>
      <c r="Z54" s="94">
        <f t="shared" si="16"/>
        <v>5.3254834822011069E-3</v>
      </c>
      <c r="AA54" s="94">
        <f t="shared" si="17"/>
        <v>2.1560450802462546E-2</v>
      </c>
      <c r="AB54" s="94">
        <f t="shared" si="22"/>
        <v>2.1676664062163953E-2</v>
      </c>
      <c r="AD54" s="105">
        <f t="shared" si="18"/>
        <v>3.0245005019745731E-2</v>
      </c>
    </row>
    <row r="55" spans="4:30" ht="12.75" x14ac:dyDescent="0.2">
      <c r="D55" s="85">
        <f t="shared" si="11"/>
        <v>44480</v>
      </c>
      <c r="E55" s="72" t="s">
        <v>89</v>
      </c>
      <c r="F55" s="62" t="str">
        <f t="shared" si="12"/>
        <v>Percent</v>
      </c>
      <c r="G55" s="62" t="s">
        <v>68</v>
      </c>
      <c r="H55" s="62" t="str">
        <f t="shared" si="13"/>
        <v>N/A</v>
      </c>
      <c r="J55" s="51"/>
      <c r="K55" s="51"/>
      <c r="L55" s="51"/>
      <c r="M55" s="51"/>
      <c r="N55" s="51"/>
      <c r="P55" s="51"/>
      <c r="Q55" s="51"/>
      <c r="R55" s="51"/>
      <c r="S55" s="51"/>
      <c r="T55" s="51"/>
      <c r="V55" s="94">
        <f t="shared" si="14"/>
        <v>1.803776261817492E-2</v>
      </c>
      <c r="W55" s="94">
        <f t="shared" si="15"/>
        <v>3.5067174382880803E-2</v>
      </c>
      <c r="X55" s="94">
        <f t="shared" si="21"/>
        <v>3.5374601062680533E-2</v>
      </c>
      <c r="Z55" s="94">
        <f t="shared" si="16"/>
        <v>5.4740797039929097E-3</v>
      </c>
      <c r="AA55" s="94">
        <f t="shared" si="17"/>
        <v>2.2503491468698792E-2</v>
      </c>
      <c r="AB55" s="94">
        <f t="shared" si="22"/>
        <v>2.2630093250769479E-2</v>
      </c>
      <c r="AD55" s="105">
        <f t="shared" si="18"/>
        <v>3.1126431792043514E-2</v>
      </c>
    </row>
    <row r="56" spans="4:30" ht="12.75" x14ac:dyDescent="0.2">
      <c r="D56" s="85">
        <f t="shared" si="11"/>
        <v>44481</v>
      </c>
      <c r="E56" s="72" t="s">
        <v>89</v>
      </c>
      <c r="F56" s="62" t="str">
        <f t="shared" si="12"/>
        <v>Percent</v>
      </c>
      <c r="G56" s="62" t="s">
        <v>68</v>
      </c>
      <c r="H56" s="62" t="str">
        <f t="shared" si="13"/>
        <v>N/A</v>
      </c>
      <c r="J56" s="51"/>
      <c r="K56" s="51"/>
      <c r="L56" s="51"/>
      <c r="M56" s="51"/>
      <c r="N56" s="51"/>
      <c r="P56" s="51"/>
      <c r="Q56" s="51"/>
      <c r="R56" s="51"/>
      <c r="S56" s="51"/>
      <c r="T56" s="51"/>
      <c r="V56" s="94">
        <f t="shared" si="14"/>
        <v>1.8049956911918377E-2</v>
      </c>
      <c r="W56" s="94">
        <f t="shared" si="15"/>
        <v>3.5132309853094845E-2</v>
      </c>
      <c r="X56" s="94">
        <f t="shared" si="21"/>
        <v>3.5440879651998047E-2</v>
      </c>
      <c r="Z56" s="94">
        <f t="shared" si="16"/>
        <v>5.5236117779235107E-3</v>
      </c>
      <c r="AA56" s="94">
        <f t="shared" si="17"/>
        <v>2.2605964719099984E-2</v>
      </c>
      <c r="AB56" s="94">
        <f t="shared" si="22"/>
        <v>2.2733722129320455E-2</v>
      </c>
      <c r="AD56" s="105">
        <f t="shared" si="18"/>
        <v>3.1205160477772182E-2</v>
      </c>
    </row>
    <row r="57" spans="4:30" ht="12.75" x14ac:dyDescent="0.2">
      <c r="D57" s="85">
        <f t="shared" si="11"/>
        <v>44482</v>
      </c>
      <c r="E57" s="72" t="s">
        <v>89</v>
      </c>
      <c r="F57" s="62" t="str">
        <f t="shared" si="12"/>
        <v>Percent</v>
      </c>
      <c r="G57" s="62" t="s">
        <v>68</v>
      </c>
      <c r="H57" s="62" t="str">
        <f t="shared" si="13"/>
        <v>N/A</v>
      </c>
      <c r="J57" s="51"/>
      <c r="K57" s="51"/>
      <c r="L57" s="51"/>
      <c r="M57" s="51"/>
      <c r="N57" s="51"/>
      <c r="P57" s="51"/>
      <c r="Q57" s="51"/>
      <c r="R57" s="51"/>
      <c r="S57" s="51"/>
      <c r="T57" s="51"/>
      <c r="V57" s="94">
        <f t="shared" si="14"/>
        <v>1.806215120566183E-2</v>
      </c>
      <c r="W57" s="94">
        <f t="shared" si="15"/>
        <v>3.4847445323308884E-2</v>
      </c>
      <c r="X57" s="94">
        <f t="shared" si="21"/>
        <v>3.515103143469922E-2</v>
      </c>
      <c r="Z57" s="94">
        <f t="shared" si="16"/>
        <v>5.5731438518541116E-3</v>
      </c>
      <c r="AA57" s="94">
        <f t="shared" si="17"/>
        <v>2.2358437969501169E-2</v>
      </c>
      <c r="AB57" s="94">
        <f t="shared" si="22"/>
        <v>2.2483412906610267E-2</v>
      </c>
      <c r="AD57" s="105">
        <f t="shared" si="18"/>
        <v>3.0928491925336234E-2</v>
      </c>
    </row>
    <row r="58" spans="4:30" ht="12.75" x14ac:dyDescent="0.2">
      <c r="D58" s="85">
        <f t="shared" si="11"/>
        <v>44483</v>
      </c>
      <c r="E58" s="72" t="s">
        <v>89</v>
      </c>
      <c r="F58" s="62" t="str">
        <f t="shared" si="12"/>
        <v>Percent</v>
      </c>
      <c r="G58" s="62" t="s">
        <v>68</v>
      </c>
      <c r="H58" s="62" t="str">
        <f t="shared" si="13"/>
        <v>N/A</v>
      </c>
      <c r="J58" s="51"/>
      <c r="K58" s="51"/>
      <c r="L58" s="51"/>
      <c r="M58" s="51"/>
      <c r="N58" s="51"/>
      <c r="P58" s="51"/>
      <c r="Q58" s="51"/>
      <c r="R58" s="51"/>
      <c r="S58" s="51"/>
      <c r="T58" s="51"/>
      <c r="V58" s="94">
        <f t="shared" si="14"/>
        <v>1.8074345499405287E-2</v>
      </c>
      <c r="W58" s="94">
        <f t="shared" si="15"/>
        <v>3.4224999094176527E-2</v>
      </c>
      <c r="X58" s="94">
        <f t="shared" si="21"/>
        <v>3.4517836734925478E-2</v>
      </c>
      <c r="Z58" s="94">
        <f t="shared" si="16"/>
        <v>5.6226759257847125E-3</v>
      </c>
      <c r="AA58" s="94">
        <f t="shared" si="17"/>
        <v>2.1773329520555953E-2</v>
      </c>
      <c r="AB58" s="94">
        <f t="shared" si="22"/>
        <v>2.1891848990158502E-2</v>
      </c>
      <c r="AD58" s="105">
        <f t="shared" si="18"/>
        <v>3.0309174153336484E-2</v>
      </c>
    </row>
    <row r="59" spans="4:30" ht="12.75" x14ac:dyDescent="0.2">
      <c r="D59" s="85">
        <f t="shared" si="11"/>
        <v>44484</v>
      </c>
      <c r="E59" s="72" t="s">
        <v>89</v>
      </c>
      <c r="F59" s="62" t="str">
        <f t="shared" si="12"/>
        <v>Percent</v>
      </c>
      <c r="G59" s="62" t="s">
        <v>68</v>
      </c>
      <c r="H59" s="62" t="str">
        <f t="shared" si="13"/>
        <v>N/A</v>
      </c>
      <c r="J59" s="51"/>
      <c r="K59" s="51"/>
      <c r="L59" s="51"/>
      <c r="M59" s="51"/>
      <c r="N59" s="51"/>
      <c r="P59" s="51"/>
      <c r="Q59" s="51"/>
      <c r="R59" s="51"/>
      <c r="S59" s="51"/>
      <c r="T59" s="51"/>
      <c r="V59" s="94">
        <f t="shared" si="14"/>
        <v>1.8086539793148743E-2</v>
      </c>
      <c r="W59" s="94">
        <f t="shared" si="15"/>
        <v>3.4489807767004957E-2</v>
      </c>
      <c r="X59" s="94">
        <f t="shared" si="21"/>
        <v>3.4787194476956218E-2</v>
      </c>
      <c r="Z59" s="94">
        <f t="shared" si="16"/>
        <v>5.6722079997153134E-3</v>
      </c>
      <c r="AA59" s="94">
        <f t="shared" si="17"/>
        <v>2.2075475973571523E-2</v>
      </c>
      <c r="AB59" s="94">
        <f t="shared" si="22"/>
        <v>2.2197307633436747E-2</v>
      </c>
      <c r="AD59" s="105">
        <f t="shared" si="18"/>
        <v>3.0590565529116393E-2</v>
      </c>
    </row>
    <row r="60" spans="4:30" ht="12.75" x14ac:dyDescent="0.2">
      <c r="D60" s="85">
        <f t="shared" si="11"/>
        <v>44487</v>
      </c>
      <c r="E60" s="72" t="s">
        <v>89</v>
      </c>
      <c r="F60" s="62" t="str">
        <f t="shared" si="12"/>
        <v>Percent</v>
      </c>
      <c r="G60" s="62" t="s">
        <v>68</v>
      </c>
      <c r="H60" s="62" t="str">
        <f t="shared" si="13"/>
        <v>N/A</v>
      </c>
      <c r="J60" s="51"/>
      <c r="K60" s="51"/>
      <c r="L60" s="51"/>
      <c r="M60" s="51"/>
      <c r="N60" s="51"/>
      <c r="P60" s="51"/>
      <c r="Q60" s="51"/>
      <c r="R60" s="51"/>
      <c r="S60" s="51"/>
      <c r="T60" s="51"/>
      <c r="V60" s="94">
        <f t="shared" si="14"/>
        <v>1.812312267437911E-2</v>
      </c>
      <c r="W60" s="94">
        <f t="shared" si="15"/>
        <v>3.5473122674379111E-2</v>
      </c>
      <c r="X60" s="94">
        <f t="shared" si="21"/>
        <v>3.578770828244715E-2</v>
      </c>
      <c r="Z60" s="94">
        <f t="shared" si="16"/>
        <v>5.8208042215071162E-3</v>
      </c>
      <c r="AA60" s="94">
        <f t="shared" si="17"/>
        <v>2.3170804221507118E-2</v>
      </c>
      <c r="AB60" s="94">
        <f t="shared" si="22"/>
        <v>2.330502576357496E-2</v>
      </c>
      <c r="AD60" s="105">
        <f t="shared" si="18"/>
        <v>3.1626814109489754E-2</v>
      </c>
    </row>
    <row r="61" spans="4:30" ht="12.75" x14ac:dyDescent="0.2">
      <c r="D61" s="85">
        <f t="shared" si="11"/>
        <v>44488</v>
      </c>
      <c r="E61" s="72" t="s">
        <v>89</v>
      </c>
      <c r="F61" s="62" t="str">
        <f t="shared" si="12"/>
        <v>Percent</v>
      </c>
      <c r="G61" s="62" t="s">
        <v>68</v>
      </c>
      <c r="H61" s="62" t="str">
        <f t="shared" si="13"/>
        <v>N/A</v>
      </c>
      <c r="J61" s="51"/>
      <c r="K61" s="51"/>
      <c r="L61" s="51"/>
      <c r="M61" s="51"/>
      <c r="N61" s="51"/>
      <c r="P61" s="51"/>
      <c r="Q61" s="51"/>
      <c r="R61" s="51"/>
      <c r="S61" s="51"/>
      <c r="T61" s="51"/>
      <c r="V61" s="94">
        <f t="shared" si="14"/>
        <v>1.8135316968122567E-2</v>
      </c>
      <c r="W61" s="94">
        <f t="shared" si="15"/>
        <v>3.529904245831865E-2</v>
      </c>
      <c r="X61" s="94">
        <f t="shared" si="21"/>
        <v>3.5610548057937397E-2</v>
      </c>
      <c r="Z61" s="94">
        <f t="shared" si="16"/>
        <v>5.8703362954377171E-3</v>
      </c>
      <c r="AA61" s="94">
        <f t="shared" si="17"/>
        <v>2.3034061785633796E-2</v>
      </c>
      <c r="AB61" s="94">
        <f t="shared" si="22"/>
        <v>2.3166703786219989E-2</v>
      </c>
      <c r="AD61" s="105">
        <f t="shared" si="18"/>
        <v>3.1462599967364925E-2</v>
      </c>
    </row>
    <row r="62" spans="4:30" ht="12.75" x14ac:dyDescent="0.2">
      <c r="D62" s="85">
        <f t="shared" si="11"/>
        <v>44489</v>
      </c>
      <c r="E62" s="72" t="s">
        <v>89</v>
      </c>
      <c r="F62" s="62" t="str">
        <f t="shared" si="12"/>
        <v>Percent</v>
      </c>
      <c r="G62" s="62" t="s">
        <v>68</v>
      </c>
      <c r="H62" s="62" t="str">
        <f t="shared" si="13"/>
        <v>N/A</v>
      </c>
      <c r="J62" s="51"/>
      <c r="K62" s="51"/>
      <c r="L62" s="51"/>
      <c r="M62" s="51"/>
      <c r="N62" s="51"/>
      <c r="P62" s="51"/>
      <c r="Q62" s="51"/>
      <c r="R62" s="51"/>
      <c r="S62" s="51"/>
      <c r="T62" s="51"/>
      <c r="V62" s="94">
        <f t="shared" si="14"/>
        <v>1.814751126186602E-2</v>
      </c>
      <c r="W62" s="94">
        <f t="shared" si="15"/>
        <v>3.6153393614807197E-2</v>
      </c>
      <c r="X62" s="94">
        <f t="shared" si="21"/>
        <v>3.6480160582273768E-2</v>
      </c>
      <c r="Z62" s="94">
        <f t="shared" si="16"/>
        <v>5.9198683693683181E-3</v>
      </c>
      <c r="AA62" s="94">
        <f t="shared" si="17"/>
        <v>2.3925750722309496E-2</v>
      </c>
      <c r="AB62" s="94">
        <f t="shared" si="22"/>
        <v>2.4068861109215911E-2</v>
      </c>
      <c r="AD62" s="105">
        <f t="shared" si="18"/>
        <v>3.2343060757921149E-2</v>
      </c>
    </row>
    <row r="63" spans="4:30" ht="12.75" x14ac:dyDescent="0.2">
      <c r="D63" s="85">
        <f t="shared" si="11"/>
        <v>44490</v>
      </c>
      <c r="E63" s="72" t="s">
        <v>89</v>
      </c>
      <c r="F63" s="62" t="str">
        <f t="shared" si="12"/>
        <v>Percent</v>
      </c>
      <c r="G63" s="62" t="s">
        <v>68</v>
      </c>
      <c r="H63" s="62" t="str">
        <f t="shared" si="13"/>
        <v>N/A</v>
      </c>
      <c r="J63" s="51"/>
      <c r="K63" s="51"/>
      <c r="L63" s="51"/>
      <c r="M63" s="51"/>
      <c r="N63" s="51"/>
      <c r="P63" s="51"/>
      <c r="Q63" s="51"/>
      <c r="R63" s="51"/>
      <c r="S63" s="51"/>
      <c r="T63" s="51"/>
      <c r="V63" s="94">
        <f t="shared" si="14"/>
        <v>1.8159705555609477E-2</v>
      </c>
      <c r="W63" s="94">
        <f t="shared" si="15"/>
        <v>3.5978659803975493E-2</v>
      </c>
      <c r="X63" s="94">
        <f t="shared" si="21"/>
        <v>3.6302275794298122E-2</v>
      </c>
      <c r="Z63" s="94">
        <f t="shared" si="16"/>
        <v>5.9694004432989181E-3</v>
      </c>
      <c r="AA63" s="94">
        <f t="shared" si="17"/>
        <v>2.3788354691664931E-2</v>
      </c>
      <c r="AB63" s="94">
        <f t="shared" ref="AB63:AB69" si="23">(1+AA63/2)^2-1</f>
        <v>2.3929826146399158E-2</v>
      </c>
      <c r="AD63" s="105">
        <f t="shared" si="18"/>
        <v>3.2178125911665134E-2</v>
      </c>
    </row>
    <row r="64" spans="4:30" ht="12.75" x14ac:dyDescent="0.2">
      <c r="D64" s="85">
        <f t="shared" si="11"/>
        <v>44491</v>
      </c>
      <c r="E64" s="72" t="s">
        <v>89</v>
      </c>
      <c r="F64" s="62" t="str">
        <f t="shared" si="12"/>
        <v>Percent</v>
      </c>
      <c r="G64" s="62" t="s">
        <v>68</v>
      </c>
      <c r="H64" s="62" t="str">
        <f t="shared" si="13"/>
        <v>N/A</v>
      </c>
      <c r="J64" s="51"/>
      <c r="K64" s="51"/>
      <c r="L64" s="51"/>
      <c r="M64" s="51"/>
      <c r="N64" s="51"/>
      <c r="P64" s="51"/>
      <c r="Q64" s="51"/>
      <c r="R64" s="51"/>
      <c r="S64" s="51"/>
      <c r="T64" s="51"/>
      <c r="V64" s="94">
        <f t="shared" si="14"/>
        <v>1.8171899849352934E-2</v>
      </c>
      <c r="W64" s="94">
        <f t="shared" si="15"/>
        <v>3.6093468476803919E-2</v>
      </c>
      <c r="X64" s="94">
        <f t="shared" si="21"/>
        <v>3.6419153093475209E-2</v>
      </c>
      <c r="Z64" s="94">
        <f t="shared" si="16"/>
        <v>6.018932517229519E-3</v>
      </c>
      <c r="AA64" s="94">
        <f t="shared" si="17"/>
        <v>2.39405011446805E-2</v>
      </c>
      <c r="AB64" s="94">
        <f t="shared" si="23"/>
        <v>2.408378804344502E-2</v>
      </c>
      <c r="AD64" s="105">
        <f t="shared" si="18"/>
        <v>3.2307364743465142E-2</v>
      </c>
    </row>
    <row r="65" spans="2:31" ht="12.75" x14ac:dyDescent="0.2">
      <c r="D65" s="85">
        <f t="shared" si="11"/>
        <v>44494</v>
      </c>
      <c r="E65" s="72" t="s">
        <v>89</v>
      </c>
      <c r="F65" s="62" t="str">
        <f t="shared" si="12"/>
        <v>Percent</v>
      </c>
      <c r="G65" s="62" t="s">
        <v>68</v>
      </c>
      <c r="H65" s="62" t="str">
        <f t="shared" si="13"/>
        <v>N/A</v>
      </c>
      <c r="J65" s="51"/>
      <c r="K65" s="51"/>
      <c r="L65" s="51"/>
      <c r="M65" s="51"/>
      <c r="N65" s="51"/>
      <c r="P65" s="51"/>
      <c r="Q65" s="51"/>
      <c r="R65" s="51"/>
      <c r="S65" s="51"/>
      <c r="T65" s="51"/>
      <c r="V65" s="94">
        <f t="shared" si="14"/>
        <v>1.82084827305833E-2</v>
      </c>
      <c r="W65" s="94">
        <f t="shared" si="15"/>
        <v>3.5987894495289177E-2</v>
      </c>
      <c r="X65" s="94">
        <f t="shared" si="21"/>
        <v>3.6311676632840406E-2</v>
      </c>
      <c r="Z65" s="94">
        <f t="shared" si="16"/>
        <v>6.1675287390213218E-3</v>
      </c>
      <c r="AA65" s="94">
        <f t="shared" si="17"/>
        <v>2.3946940503727202E-2</v>
      </c>
      <c r="AB65" s="94">
        <f t="shared" si="23"/>
        <v>2.4090304493599612E-2</v>
      </c>
      <c r="AD65" s="105">
        <f t="shared" si="18"/>
        <v>3.2237885919760137E-2</v>
      </c>
    </row>
    <row r="66" spans="2:31" ht="12.75" x14ac:dyDescent="0.2">
      <c r="D66" s="85">
        <f t="shared" si="11"/>
        <v>44495</v>
      </c>
      <c r="E66" s="72" t="s">
        <v>89</v>
      </c>
      <c r="F66" s="62" t="str">
        <f t="shared" si="12"/>
        <v>Percent</v>
      </c>
      <c r="G66" s="62" t="s">
        <v>68</v>
      </c>
      <c r="H66" s="62" t="str">
        <f t="shared" si="13"/>
        <v>N/A</v>
      </c>
      <c r="J66" s="51"/>
      <c r="K66" s="51"/>
      <c r="L66" s="51"/>
      <c r="M66" s="51"/>
      <c r="N66" s="51"/>
      <c r="P66" s="51"/>
      <c r="Q66" s="51"/>
      <c r="R66" s="51"/>
      <c r="S66" s="51"/>
      <c r="T66" s="51"/>
      <c r="V66" s="94">
        <f t="shared" si="14"/>
        <v>1.8220677024326757E-2</v>
      </c>
      <c r="W66" s="94">
        <f t="shared" si="15"/>
        <v>3.6202703168117606E-2</v>
      </c>
      <c r="X66" s="94">
        <f t="shared" si="21"/>
        <v>3.6530362097287439E-2</v>
      </c>
      <c r="Z66" s="94">
        <f t="shared" si="16"/>
        <v>6.2170608129519227E-3</v>
      </c>
      <c r="AA66" s="94">
        <f t="shared" si="17"/>
        <v>2.419908695674277E-2</v>
      </c>
      <c r="AB66" s="94">
        <f t="shared" si="23"/>
        <v>2.4345485909127662E-2</v>
      </c>
      <c r="AD66" s="105">
        <f t="shared" si="18"/>
        <v>3.246873670123418E-2</v>
      </c>
    </row>
    <row r="67" spans="2:31" ht="12.75" x14ac:dyDescent="0.2">
      <c r="D67" s="85">
        <f t="shared" si="11"/>
        <v>44496</v>
      </c>
      <c r="E67" s="72" t="s">
        <v>89</v>
      </c>
      <c r="F67" s="62" t="str">
        <f t="shared" si="12"/>
        <v>Percent</v>
      </c>
      <c r="G67" s="62" t="s">
        <v>68</v>
      </c>
      <c r="H67" s="62" t="str">
        <f t="shared" si="13"/>
        <v>N/A</v>
      </c>
      <c r="J67" s="51"/>
      <c r="K67" s="51"/>
      <c r="L67" s="51"/>
      <c r="M67" s="51"/>
      <c r="N67" s="51"/>
      <c r="P67" s="51"/>
      <c r="Q67" s="51"/>
      <c r="R67" s="51"/>
      <c r="S67" s="51"/>
      <c r="T67" s="51"/>
      <c r="V67" s="94">
        <f t="shared" si="14"/>
        <v>1.8232871318070214E-2</v>
      </c>
      <c r="W67" s="94">
        <f t="shared" si="15"/>
        <v>3.626751184094603E-2</v>
      </c>
      <c r="X67" s="94">
        <f t="shared" si="21"/>
        <v>3.659634494472952E-2</v>
      </c>
      <c r="Z67" s="94">
        <f t="shared" si="16"/>
        <v>6.2665928868825237E-3</v>
      </c>
      <c r="AA67" s="94">
        <f t="shared" si="17"/>
        <v>2.430123340975834E-2</v>
      </c>
      <c r="AB67" s="94">
        <f t="shared" si="23"/>
        <v>2.4448870896067509E-2</v>
      </c>
      <c r="AD67" s="105">
        <f t="shared" si="18"/>
        <v>3.2547186928508845E-2</v>
      </c>
    </row>
    <row r="68" spans="2:31" ht="12.75" x14ac:dyDescent="0.2">
      <c r="D68" s="85">
        <f t="shared" si="11"/>
        <v>44497</v>
      </c>
      <c r="E68" s="72" t="s">
        <v>89</v>
      </c>
      <c r="F68" s="62" t="str">
        <f t="shared" si="12"/>
        <v>Percent</v>
      </c>
      <c r="G68" s="62" t="s">
        <v>68</v>
      </c>
      <c r="H68" s="62" t="str">
        <f t="shared" si="13"/>
        <v>N/A</v>
      </c>
      <c r="J68" s="51"/>
      <c r="K68" s="51"/>
      <c r="L68" s="51"/>
      <c r="M68" s="51"/>
      <c r="N68" s="51"/>
      <c r="P68" s="51"/>
      <c r="Q68" s="51"/>
      <c r="R68" s="51"/>
      <c r="S68" s="51"/>
      <c r="T68" s="51"/>
      <c r="V68" s="94">
        <f t="shared" si="14"/>
        <v>1.8245065611813667E-2</v>
      </c>
      <c r="W68" s="94">
        <f t="shared" si="15"/>
        <v>3.6540163651029356E-2</v>
      </c>
      <c r="X68" s="94">
        <f t="shared" si="21"/>
        <v>3.6873959540940193E-2</v>
      </c>
      <c r="Z68" s="94">
        <f t="shared" si="16"/>
        <v>6.3161249608131246E-3</v>
      </c>
      <c r="AA68" s="94">
        <f t="shared" si="17"/>
        <v>2.4611223000028812E-2</v>
      </c>
      <c r="AB68" s="94">
        <f t="shared" si="23"/>
        <v>2.4762651074418107E-2</v>
      </c>
      <c r="AD68" s="105">
        <f t="shared" si="18"/>
        <v>3.2836856718766162E-2</v>
      </c>
    </row>
    <row r="69" spans="2:31" ht="13.5" thickBot="1" x14ac:dyDescent="0.25">
      <c r="D69" s="85">
        <f t="shared" si="11"/>
        <v>44498</v>
      </c>
      <c r="E69" s="72" t="s">
        <v>89</v>
      </c>
      <c r="F69" s="62" t="str">
        <f t="shared" si="12"/>
        <v>Percent</v>
      </c>
      <c r="G69" s="62" t="s">
        <v>68</v>
      </c>
      <c r="H69" s="62" t="str">
        <f t="shared" si="13"/>
        <v>N/A</v>
      </c>
      <c r="J69" s="94">
        <f>Input_Data!M100</f>
        <v>3.8100000000000002E-2</v>
      </c>
      <c r="K69" s="98">
        <f>10-Input_Data!O100</f>
        <v>1</v>
      </c>
      <c r="L69" s="94">
        <f>(Input_Data!N100-Input_Data!K100)/(Input_Data!O100-Input_Data!L100)</f>
        <v>9.971291866028712E-4</v>
      </c>
      <c r="M69" s="94">
        <f>J69+K69*L69</f>
        <v>3.9097129186602873E-2</v>
      </c>
      <c r="N69" s="94">
        <f>M69-Q39</f>
        <v>1.8257259905557124E-2</v>
      </c>
      <c r="P69" s="94">
        <f>Input_Data!T100</f>
        <v>2.81E-2</v>
      </c>
      <c r="Q69" s="98">
        <f>10-Input_Data!V100</f>
        <v>1.2100000000000009</v>
      </c>
      <c r="R69" s="94">
        <f>(Input_Data!U100-Input_Data!R100)/(Input_Data!V100-Input_Data!S100)</f>
        <v>-7.3923444976076484E-4</v>
      </c>
      <c r="S69" s="94">
        <f>P69+Q69*R69</f>
        <v>2.7205526315789475E-2</v>
      </c>
      <c r="T69" s="94">
        <f>S69-Q39</f>
        <v>6.3656570347437255E-3</v>
      </c>
      <c r="V69" s="94">
        <f t="shared" si="14"/>
        <v>1.8257259905557124E-2</v>
      </c>
      <c r="W69" s="94">
        <f t="shared" si="15"/>
        <v>3.9097129186602873E-2</v>
      </c>
      <c r="X69" s="94">
        <f>(1+W69/2)^2-1</f>
        <v>3.9479275564261229E-2</v>
      </c>
      <c r="Z69" s="94">
        <f t="shared" si="16"/>
        <v>6.3656570347437255E-3</v>
      </c>
      <c r="AA69" s="94">
        <f t="shared" si="17"/>
        <v>2.7205526315789475E-2</v>
      </c>
      <c r="AB69" s="94">
        <f t="shared" si="23"/>
        <v>2.7390561481319242E-2</v>
      </c>
      <c r="AD69" s="106">
        <f t="shared" si="18"/>
        <v>3.5449704203280565E-2</v>
      </c>
    </row>
    <row r="70" spans="2:31" x14ac:dyDescent="0.2">
      <c r="AD70" s="91"/>
    </row>
    <row r="71" spans="2:31" ht="12.75" x14ac:dyDescent="0.2">
      <c r="D71" s="71" t="s">
        <v>149</v>
      </c>
      <c r="E71" s="65" t="s">
        <v>89</v>
      </c>
      <c r="F71" s="65" t="s">
        <v>146</v>
      </c>
      <c r="G71" s="65" t="s">
        <v>68</v>
      </c>
      <c r="H71" s="65" t="str">
        <f t="shared" ref="H71" si="24">NA</f>
        <v>N/A</v>
      </c>
      <c r="AD71" s="97">
        <f>AVERAGE(AD50:AD69)</f>
        <v>3.1346812862420588E-2</v>
      </c>
      <c r="AE71" s="96" t="s">
        <v>221</v>
      </c>
    </row>
    <row r="73" spans="2:31" x14ac:dyDescent="0.2">
      <c r="I73" s="6"/>
      <c r="J73" s="6"/>
      <c r="K73" s="6"/>
      <c r="L73" s="6"/>
      <c r="M73" s="6"/>
    </row>
    <row r="74" spans="2:31" s="13" customFormat="1" ht="15" x14ac:dyDescent="0.2">
      <c r="C74" s="13" t="s">
        <v>141</v>
      </c>
    </row>
    <row r="75" spans="2:31" s="6" customFormat="1" ht="11.25" customHeight="1" x14ac:dyDescent="0.2"/>
    <row r="76" spans="2:31" s="6" customFormat="1" ht="11.25" customHeight="1" x14ac:dyDescent="0.2">
      <c r="J76" s="147" t="s">
        <v>144</v>
      </c>
      <c r="K76" s="147"/>
      <c r="M76" s="147" t="s">
        <v>145</v>
      </c>
      <c r="N76" s="147"/>
      <c r="O76" s="147"/>
    </row>
    <row r="77" spans="2:31" s="83" customFormat="1" ht="12.75" x14ac:dyDescent="0.2">
      <c r="C77" s="7"/>
      <c r="D77" s="70" t="s">
        <v>109</v>
      </c>
      <c r="E77" s="63" t="str">
        <f>Lookup!E$20</f>
        <v>Source</v>
      </c>
      <c r="F77" s="63" t="str">
        <f>Lookup!F$20</f>
        <v>Unit</v>
      </c>
      <c r="G77" s="63" t="str">
        <f>Lookup!G$20</f>
        <v>Basis</v>
      </c>
      <c r="H77" s="63" t="str">
        <f>Lookup!H$20</f>
        <v>Timing</v>
      </c>
      <c r="I77" s="6"/>
      <c r="J77" s="63" t="s">
        <v>172</v>
      </c>
      <c r="K77" s="103" t="s">
        <v>173</v>
      </c>
      <c r="L77" s="6"/>
      <c r="M77" s="103" t="s">
        <v>172</v>
      </c>
      <c r="N77" s="103" t="s">
        <v>173</v>
      </c>
      <c r="O77" s="63" t="s">
        <v>175</v>
      </c>
      <c r="T77" s="6"/>
      <c r="U77" s="6"/>
      <c r="V77" s="6"/>
    </row>
    <row r="78" spans="2:31" s="83" customFormat="1" x14ac:dyDescent="0.2">
      <c r="C78" s="7"/>
      <c r="D78" s="82"/>
      <c r="E78" s="82"/>
      <c r="F78" s="82"/>
      <c r="G78" s="82"/>
      <c r="H78" s="82"/>
      <c r="I78" s="6"/>
      <c r="J78" s="92"/>
      <c r="L78" s="6"/>
      <c r="O78" s="91"/>
      <c r="T78" s="6"/>
      <c r="U78" s="6"/>
      <c r="V78" s="6"/>
    </row>
    <row r="79" spans="2:31" s="83" customFormat="1" ht="12.75" x14ac:dyDescent="0.2">
      <c r="C79" s="7"/>
      <c r="D79" s="85">
        <f>Input_Data!D65</f>
        <v>44470</v>
      </c>
      <c r="E79" s="72" t="s">
        <v>89</v>
      </c>
      <c r="F79" s="62" t="str">
        <f t="shared" ref="F79:F98" si="25">Percent</f>
        <v>Percent</v>
      </c>
      <c r="G79" s="62" t="s">
        <v>68</v>
      </c>
      <c r="H79" s="62" t="str">
        <f t="shared" ref="H79:H100" si="26">NA</f>
        <v>N/A</v>
      </c>
      <c r="I79" s="82"/>
      <c r="J79" s="142" t="s">
        <v>231</v>
      </c>
      <c r="K79" s="142" t="s">
        <v>231</v>
      </c>
      <c r="L79" s="82"/>
      <c r="M79" s="142" t="s">
        <v>231</v>
      </c>
      <c r="N79" s="142" t="s">
        <v>231</v>
      </c>
      <c r="O79" s="142" t="s">
        <v>231</v>
      </c>
      <c r="T79" s="6"/>
      <c r="U79" s="6"/>
      <c r="V79" s="6"/>
    </row>
    <row r="80" spans="2:31" s="83" customFormat="1" ht="12.75" x14ac:dyDescent="0.2">
      <c r="B80" s="81"/>
      <c r="C80" s="7"/>
      <c r="D80" s="85">
        <f>Input_Data!D66</f>
        <v>44474</v>
      </c>
      <c r="E80" s="72" t="s">
        <v>89</v>
      </c>
      <c r="F80" s="62" t="str">
        <f t="shared" si="25"/>
        <v>Percent</v>
      </c>
      <c r="G80" s="62" t="s">
        <v>68</v>
      </c>
      <c r="H80" s="62" t="str">
        <f t="shared" si="26"/>
        <v>N/A</v>
      </c>
      <c r="I80" s="82"/>
      <c r="J80" s="142" t="s">
        <v>231</v>
      </c>
      <c r="K80" s="142" t="s">
        <v>231</v>
      </c>
      <c r="L80" s="82"/>
      <c r="M80" s="142" t="s">
        <v>231</v>
      </c>
      <c r="N80" s="142" t="s">
        <v>231</v>
      </c>
      <c r="O80" s="142" t="s">
        <v>231</v>
      </c>
      <c r="T80" s="6"/>
      <c r="U80" s="6"/>
      <c r="V80" s="6"/>
    </row>
    <row r="81" spans="2:22" s="83" customFormat="1" ht="12.75" x14ac:dyDescent="0.2">
      <c r="B81" s="81"/>
      <c r="C81" s="7"/>
      <c r="D81" s="85">
        <f>Input_Data!D67</f>
        <v>44475</v>
      </c>
      <c r="E81" s="72" t="s">
        <v>89</v>
      </c>
      <c r="F81" s="62" t="str">
        <f t="shared" si="25"/>
        <v>Percent</v>
      </c>
      <c r="G81" s="62" t="s">
        <v>68</v>
      </c>
      <c r="H81" s="62" t="str">
        <f t="shared" si="26"/>
        <v>N/A</v>
      </c>
      <c r="I81" s="82"/>
      <c r="J81" s="142" t="s">
        <v>231</v>
      </c>
      <c r="K81" s="142" t="s">
        <v>231</v>
      </c>
      <c r="L81" s="82"/>
      <c r="M81" s="142" t="s">
        <v>231</v>
      </c>
      <c r="N81" s="142" t="s">
        <v>231</v>
      </c>
      <c r="O81" s="142" t="s">
        <v>231</v>
      </c>
      <c r="T81" s="6"/>
      <c r="U81" s="6"/>
      <c r="V81" s="6"/>
    </row>
    <row r="82" spans="2:22" s="83" customFormat="1" ht="12.75" x14ac:dyDescent="0.2">
      <c r="B82" s="81"/>
      <c r="C82" s="7"/>
      <c r="D82" s="85">
        <f>Input_Data!D68</f>
        <v>44476</v>
      </c>
      <c r="E82" s="72" t="s">
        <v>89</v>
      </c>
      <c r="F82" s="62" t="str">
        <f t="shared" si="25"/>
        <v>Percent</v>
      </c>
      <c r="G82" s="62" t="s">
        <v>68</v>
      </c>
      <c r="H82" s="62" t="str">
        <f t="shared" si="26"/>
        <v>N/A</v>
      </c>
      <c r="I82" s="82"/>
      <c r="J82" s="142" t="s">
        <v>231</v>
      </c>
      <c r="K82" s="142" t="s">
        <v>231</v>
      </c>
      <c r="L82" s="82"/>
      <c r="M82" s="142" t="s">
        <v>231</v>
      </c>
      <c r="N82" s="142" t="s">
        <v>231</v>
      </c>
      <c r="O82" s="142" t="s">
        <v>231</v>
      </c>
      <c r="T82" s="6"/>
      <c r="U82" s="6"/>
      <c r="V82" s="6"/>
    </row>
    <row r="83" spans="2:22" s="83" customFormat="1" ht="12.75" x14ac:dyDescent="0.2">
      <c r="B83" s="81"/>
      <c r="C83" s="7"/>
      <c r="D83" s="85">
        <f>Input_Data!D69</f>
        <v>44477</v>
      </c>
      <c r="E83" s="72" t="s">
        <v>89</v>
      </c>
      <c r="F83" s="62" t="str">
        <f t="shared" si="25"/>
        <v>Percent</v>
      </c>
      <c r="G83" s="62" t="s">
        <v>68</v>
      </c>
      <c r="H83" s="62" t="str">
        <f t="shared" si="26"/>
        <v>N/A</v>
      </c>
      <c r="I83" s="82"/>
      <c r="J83" s="142" t="s">
        <v>231</v>
      </c>
      <c r="K83" s="142" t="s">
        <v>231</v>
      </c>
      <c r="L83" s="82"/>
      <c r="M83" s="142" t="s">
        <v>231</v>
      </c>
      <c r="N83" s="142" t="s">
        <v>231</v>
      </c>
      <c r="O83" s="142" t="s">
        <v>231</v>
      </c>
      <c r="T83" s="6"/>
      <c r="U83" s="6"/>
      <c r="V83" s="6"/>
    </row>
    <row r="84" spans="2:22" s="83" customFormat="1" ht="12.75" x14ac:dyDescent="0.2">
      <c r="B84" s="81"/>
      <c r="C84" s="7"/>
      <c r="D84" s="85">
        <f>Input_Data!D70</f>
        <v>44480</v>
      </c>
      <c r="E84" s="72" t="s">
        <v>89</v>
      </c>
      <c r="F84" s="62" t="str">
        <f t="shared" si="25"/>
        <v>Percent</v>
      </c>
      <c r="G84" s="62" t="s">
        <v>68</v>
      </c>
      <c r="H84" s="62" t="str">
        <f t="shared" si="26"/>
        <v>N/A</v>
      </c>
      <c r="I84" s="82"/>
      <c r="J84" s="142" t="s">
        <v>231</v>
      </c>
      <c r="K84" s="142" t="s">
        <v>231</v>
      </c>
      <c r="L84" s="82"/>
      <c r="M84" s="142" t="s">
        <v>231</v>
      </c>
      <c r="N84" s="142" t="s">
        <v>231</v>
      </c>
      <c r="O84" s="142" t="s">
        <v>231</v>
      </c>
      <c r="T84" s="6"/>
      <c r="U84" s="6"/>
      <c r="V84" s="6"/>
    </row>
    <row r="85" spans="2:22" s="83" customFormat="1" ht="12.75" x14ac:dyDescent="0.2">
      <c r="B85" s="81"/>
      <c r="C85" s="7"/>
      <c r="D85" s="85">
        <f>Input_Data!D71</f>
        <v>44481</v>
      </c>
      <c r="E85" s="72" t="s">
        <v>89</v>
      </c>
      <c r="F85" s="62" t="str">
        <f t="shared" si="25"/>
        <v>Percent</v>
      </c>
      <c r="G85" s="62" t="s">
        <v>68</v>
      </c>
      <c r="H85" s="62" t="str">
        <f t="shared" si="26"/>
        <v>N/A</v>
      </c>
      <c r="I85" s="82"/>
      <c r="J85" s="142" t="s">
        <v>231</v>
      </c>
      <c r="K85" s="142" t="s">
        <v>231</v>
      </c>
      <c r="L85" s="82"/>
      <c r="M85" s="142" t="s">
        <v>231</v>
      </c>
      <c r="N85" s="142" t="s">
        <v>231</v>
      </c>
      <c r="O85" s="142" t="s">
        <v>231</v>
      </c>
      <c r="T85" s="6"/>
      <c r="U85" s="6"/>
      <c r="V85" s="6"/>
    </row>
    <row r="86" spans="2:22" s="83" customFormat="1" ht="12.75" x14ac:dyDescent="0.2">
      <c r="B86" s="81"/>
      <c r="C86" s="7"/>
      <c r="D86" s="85">
        <f>Input_Data!D72</f>
        <v>44482</v>
      </c>
      <c r="E86" s="72" t="s">
        <v>89</v>
      </c>
      <c r="F86" s="62" t="str">
        <f t="shared" si="25"/>
        <v>Percent</v>
      </c>
      <c r="G86" s="62" t="s">
        <v>68</v>
      </c>
      <c r="H86" s="62" t="str">
        <f t="shared" si="26"/>
        <v>N/A</v>
      </c>
      <c r="I86" s="82"/>
      <c r="J86" s="142" t="s">
        <v>231</v>
      </c>
      <c r="K86" s="142" t="s">
        <v>231</v>
      </c>
      <c r="L86" s="82"/>
      <c r="M86" s="142" t="s">
        <v>231</v>
      </c>
      <c r="N86" s="142" t="s">
        <v>231</v>
      </c>
      <c r="O86" s="142" t="s">
        <v>231</v>
      </c>
      <c r="T86" s="6"/>
      <c r="U86" s="6"/>
      <c r="V86" s="6"/>
    </row>
    <row r="87" spans="2:22" s="83" customFormat="1" ht="12.75" x14ac:dyDescent="0.2">
      <c r="B87" s="81"/>
      <c r="C87" s="7"/>
      <c r="D87" s="85">
        <f>Input_Data!D73</f>
        <v>44483</v>
      </c>
      <c r="E87" s="72" t="s">
        <v>89</v>
      </c>
      <c r="F87" s="62" t="str">
        <f t="shared" si="25"/>
        <v>Percent</v>
      </c>
      <c r="G87" s="62" t="s">
        <v>68</v>
      </c>
      <c r="H87" s="62" t="str">
        <f t="shared" si="26"/>
        <v>N/A</v>
      </c>
      <c r="I87" s="82"/>
      <c r="J87" s="142" t="s">
        <v>231</v>
      </c>
      <c r="K87" s="142" t="s">
        <v>231</v>
      </c>
      <c r="L87" s="82"/>
      <c r="M87" s="142" t="s">
        <v>231</v>
      </c>
      <c r="N87" s="142" t="s">
        <v>231</v>
      </c>
      <c r="O87" s="142" t="s">
        <v>231</v>
      </c>
      <c r="T87" s="6"/>
      <c r="U87" s="6"/>
      <c r="V87" s="6"/>
    </row>
    <row r="88" spans="2:22" s="83" customFormat="1" ht="12.75" x14ac:dyDescent="0.2">
      <c r="B88" s="81"/>
      <c r="C88" s="7"/>
      <c r="D88" s="85">
        <f>Input_Data!D74</f>
        <v>44484</v>
      </c>
      <c r="E88" s="72" t="s">
        <v>89</v>
      </c>
      <c r="F88" s="62" t="str">
        <f t="shared" si="25"/>
        <v>Percent</v>
      </c>
      <c r="G88" s="62" t="s">
        <v>68</v>
      </c>
      <c r="H88" s="62" t="str">
        <f t="shared" si="26"/>
        <v>N/A</v>
      </c>
      <c r="I88" s="82"/>
      <c r="J88" s="142" t="s">
        <v>231</v>
      </c>
      <c r="K88" s="142" t="s">
        <v>231</v>
      </c>
      <c r="L88" s="82"/>
      <c r="M88" s="142" t="s">
        <v>231</v>
      </c>
      <c r="N88" s="142" t="s">
        <v>231</v>
      </c>
      <c r="O88" s="142" t="s">
        <v>231</v>
      </c>
      <c r="T88" s="6"/>
      <c r="U88" s="6"/>
      <c r="V88" s="6"/>
    </row>
    <row r="89" spans="2:22" s="83" customFormat="1" ht="12.75" x14ac:dyDescent="0.2">
      <c r="B89" s="81"/>
      <c r="C89" s="7"/>
      <c r="D89" s="85">
        <f>Input_Data!D75</f>
        <v>44487</v>
      </c>
      <c r="E89" s="72" t="s">
        <v>89</v>
      </c>
      <c r="F89" s="62" t="str">
        <f t="shared" si="25"/>
        <v>Percent</v>
      </c>
      <c r="G89" s="62" t="s">
        <v>68</v>
      </c>
      <c r="H89" s="62" t="str">
        <f t="shared" si="26"/>
        <v>N/A</v>
      </c>
      <c r="I89" s="82"/>
      <c r="J89" s="142" t="s">
        <v>231</v>
      </c>
      <c r="K89" s="142" t="s">
        <v>231</v>
      </c>
      <c r="L89" s="82"/>
      <c r="M89" s="142" t="s">
        <v>231</v>
      </c>
      <c r="N89" s="142" t="s">
        <v>231</v>
      </c>
      <c r="O89" s="142" t="s">
        <v>231</v>
      </c>
      <c r="T89" s="6"/>
      <c r="U89" s="6"/>
      <c r="V89" s="6"/>
    </row>
    <row r="90" spans="2:22" s="83" customFormat="1" ht="12.75" x14ac:dyDescent="0.2">
      <c r="B90" s="81"/>
      <c r="C90" s="7"/>
      <c r="D90" s="85">
        <f>Input_Data!D76</f>
        <v>44488</v>
      </c>
      <c r="E90" s="72" t="s">
        <v>89</v>
      </c>
      <c r="F90" s="62" t="str">
        <f t="shared" si="25"/>
        <v>Percent</v>
      </c>
      <c r="G90" s="62" t="s">
        <v>68</v>
      </c>
      <c r="H90" s="62" t="str">
        <f t="shared" si="26"/>
        <v>N/A</v>
      </c>
      <c r="I90" s="82"/>
      <c r="J90" s="142" t="s">
        <v>231</v>
      </c>
      <c r="K90" s="142" t="s">
        <v>231</v>
      </c>
      <c r="L90" s="82"/>
      <c r="M90" s="142" t="s">
        <v>231</v>
      </c>
      <c r="N90" s="142" t="s">
        <v>231</v>
      </c>
      <c r="O90" s="142" t="s">
        <v>231</v>
      </c>
      <c r="T90" s="6"/>
      <c r="U90" s="6"/>
      <c r="V90" s="6"/>
    </row>
    <row r="91" spans="2:22" s="83" customFormat="1" ht="12.75" x14ac:dyDescent="0.2">
      <c r="B91" s="81"/>
      <c r="C91" s="7"/>
      <c r="D91" s="85">
        <f>Input_Data!D77</f>
        <v>44489</v>
      </c>
      <c r="E91" s="72" t="s">
        <v>89</v>
      </c>
      <c r="F91" s="62" t="str">
        <f t="shared" si="25"/>
        <v>Percent</v>
      </c>
      <c r="G91" s="62" t="s">
        <v>68</v>
      </c>
      <c r="H91" s="62" t="str">
        <f t="shared" si="26"/>
        <v>N/A</v>
      </c>
      <c r="I91" s="82"/>
      <c r="J91" s="142" t="s">
        <v>231</v>
      </c>
      <c r="K91" s="142" t="s">
        <v>231</v>
      </c>
      <c r="L91" s="82"/>
      <c r="M91" s="142" t="s">
        <v>231</v>
      </c>
      <c r="N91" s="142" t="s">
        <v>231</v>
      </c>
      <c r="O91" s="142" t="s">
        <v>231</v>
      </c>
      <c r="T91" s="6"/>
      <c r="U91" s="6"/>
      <c r="V91" s="6"/>
    </row>
    <row r="92" spans="2:22" s="83" customFormat="1" ht="12.75" x14ac:dyDescent="0.2">
      <c r="B92" s="81"/>
      <c r="C92" s="7"/>
      <c r="D92" s="85">
        <f>Input_Data!D78</f>
        <v>44490</v>
      </c>
      <c r="E92" s="72" t="s">
        <v>89</v>
      </c>
      <c r="F92" s="62" t="str">
        <f t="shared" si="25"/>
        <v>Percent</v>
      </c>
      <c r="G92" s="62" t="s">
        <v>68</v>
      </c>
      <c r="H92" s="62" t="str">
        <f t="shared" si="26"/>
        <v>N/A</v>
      </c>
      <c r="I92" s="82"/>
      <c r="J92" s="142" t="s">
        <v>231</v>
      </c>
      <c r="K92" s="142" t="s">
        <v>231</v>
      </c>
      <c r="L92" s="82"/>
      <c r="M92" s="142" t="s">
        <v>231</v>
      </c>
      <c r="N92" s="142" t="s">
        <v>231</v>
      </c>
      <c r="O92" s="142" t="s">
        <v>231</v>
      </c>
      <c r="T92" s="6"/>
      <c r="U92" s="6"/>
      <c r="V92" s="6"/>
    </row>
    <row r="93" spans="2:22" s="83" customFormat="1" ht="12.75" x14ac:dyDescent="0.2">
      <c r="B93" s="81"/>
      <c r="C93" s="7"/>
      <c r="D93" s="85">
        <f>Input_Data!D79</f>
        <v>44491</v>
      </c>
      <c r="E93" s="72" t="s">
        <v>89</v>
      </c>
      <c r="F93" s="62" t="str">
        <f t="shared" si="25"/>
        <v>Percent</v>
      </c>
      <c r="G93" s="62" t="s">
        <v>68</v>
      </c>
      <c r="H93" s="62" t="str">
        <f t="shared" si="26"/>
        <v>N/A</v>
      </c>
      <c r="I93" s="82"/>
      <c r="J93" s="142" t="s">
        <v>231</v>
      </c>
      <c r="K93" s="142" t="s">
        <v>231</v>
      </c>
      <c r="L93" s="82"/>
      <c r="M93" s="142" t="s">
        <v>231</v>
      </c>
      <c r="N93" s="142" t="s">
        <v>231</v>
      </c>
      <c r="O93" s="142" t="s">
        <v>231</v>
      </c>
      <c r="T93" s="6"/>
      <c r="U93" s="6"/>
      <c r="V93" s="6"/>
    </row>
    <row r="94" spans="2:22" s="83" customFormat="1" ht="12.75" x14ac:dyDescent="0.2">
      <c r="B94" s="81"/>
      <c r="C94" s="7"/>
      <c r="D94" s="85">
        <f>Input_Data!D80</f>
        <v>44494</v>
      </c>
      <c r="E94" s="72" t="s">
        <v>89</v>
      </c>
      <c r="F94" s="62" t="str">
        <f t="shared" si="25"/>
        <v>Percent</v>
      </c>
      <c r="G94" s="62" t="s">
        <v>68</v>
      </c>
      <c r="H94" s="62" t="str">
        <f t="shared" si="26"/>
        <v>N/A</v>
      </c>
      <c r="I94" s="82"/>
      <c r="J94" s="142" t="s">
        <v>231</v>
      </c>
      <c r="K94" s="142" t="s">
        <v>231</v>
      </c>
      <c r="L94" s="82"/>
      <c r="M94" s="142" t="s">
        <v>231</v>
      </c>
      <c r="N94" s="142" t="s">
        <v>231</v>
      </c>
      <c r="O94" s="142" t="s">
        <v>231</v>
      </c>
      <c r="T94" s="6"/>
      <c r="U94" s="6"/>
      <c r="V94" s="6"/>
    </row>
    <row r="95" spans="2:22" s="83" customFormat="1" ht="12.75" x14ac:dyDescent="0.2">
      <c r="B95" s="81"/>
      <c r="C95" s="7"/>
      <c r="D95" s="85">
        <f>Input_Data!D81</f>
        <v>44495</v>
      </c>
      <c r="E95" s="72" t="s">
        <v>89</v>
      </c>
      <c r="F95" s="62" t="str">
        <f t="shared" si="25"/>
        <v>Percent</v>
      </c>
      <c r="G95" s="62" t="s">
        <v>68</v>
      </c>
      <c r="H95" s="62" t="str">
        <f t="shared" si="26"/>
        <v>N/A</v>
      </c>
      <c r="I95" s="82"/>
      <c r="J95" s="142" t="s">
        <v>231</v>
      </c>
      <c r="K95" s="142" t="s">
        <v>231</v>
      </c>
      <c r="L95" s="82"/>
      <c r="M95" s="142" t="s">
        <v>231</v>
      </c>
      <c r="N95" s="142" t="s">
        <v>231</v>
      </c>
      <c r="O95" s="142" t="s">
        <v>231</v>
      </c>
      <c r="T95" s="6"/>
      <c r="U95" s="6"/>
      <c r="V95" s="6"/>
    </row>
    <row r="96" spans="2:22" s="83" customFormat="1" ht="12.75" x14ac:dyDescent="0.2">
      <c r="B96" s="81"/>
      <c r="C96" s="7"/>
      <c r="D96" s="85">
        <f>Input_Data!D82</f>
        <v>44496</v>
      </c>
      <c r="E96" s="72" t="s">
        <v>89</v>
      </c>
      <c r="F96" s="62" t="str">
        <f t="shared" si="25"/>
        <v>Percent</v>
      </c>
      <c r="G96" s="62" t="s">
        <v>68</v>
      </c>
      <c r="H96" s="62" t="str">
        <f t="shared" si="26"/>
        <v>N/A</v>
      </c>
      <c r="I96" s="82"/>
      <c r="J96" s="142" t="s">
        <v>231</v>
      </c>
      <c r="K96" s="142" t="s">
        <v>231</v>
      </c>
      <c r="L96" s="82"/>
      <c r="M96" s="142" t="s">
        <v>231</v>
      </c>
      <c r="N96" s="142" t="s">
        <v>231</v>
      </c>
      <c r="O96" s="142" t="s">
        <v>231</v>
      </c>
      <c r="T96" s="6"/>
      <c r="U96" s="6"/>
      <c r="V96" s="6"/>
    </row>
    <row r="97" spans="2:28" s="83" customFormat="1" ht="12.75" x14ac:dyDescent="0.2">
      <c r="B97" s="81"/>
      <c r="C97" s="7"/>
      <c r="D97" s="85">
        <f>Input_Data!D83</f>
        <v>44497</v>
      </c>
      <c r="E97" s="72" t="s">
        <v>89</v>
      </c>
      <c r="F97" s="62" t="str">
        <f t="shared" si="25"/>
        <v>Percent</v>
      </c>
      <c r="G97" s="62" t="s">
        <v>68</v>
      </c>
      <c r="H97" s="62" t="str">
        <f t="shared" si="26"/>
        <v>N/A</v>
      </c>
      <c r="I97" s="82"/>
      <c r="J97" s="142" t="s">
        <v>231</v>
      </c>
      <c r="K97" s="142" t="s">
        <v>231</v>
      </c>
      <c r="L97" s="82"/>
      <c r="M97" s="142" t="s">
        <v>231</v>
      </c>
      <c r="N97" s="142" t="s">
        <v>231</v>
      </c>
      <c r="O97" s="142" t="s">
        <v>231</v>
      </c>
      <c r="T97" s="6"/>
      <c r="U97" s="6"/>
      <c r="V97" s="6"/>
    </row>
    <row r="98" spans="2:28" s="83" customFormat="1" ht="12.75" x14ac:dyDescent="0.2">
      <c r="B98" s="81"/>
      <c r="C98" s="7"/>
      <c r="D98" s="85">
        <f>Input_Data!D84</f>
        <v>44498</v>
      </c>
      <c r="E98" s="72" t="s">
        <v>89</v>
      </c>
      <c r="F98" s="62" t="str">
        <f t="shared" si="25"/>
        <v>Percent</v>
      </c>
      <c r="G98" s="62" t="s">
        <v>68</v>
      </c>
      <c r="H98" s="62" t="str">
        <f t="shared" si="26"/>
        <v>N/A</v>
      </c>
      <c r="I98" s="82"/>
      <c r="J98" s="142" t="s">
        <v>231</v>
      </c>
      <c r="K98" s="142" t="s">
        <v>231</v>
      </c>
      <c r="L98" s="82"/>
      <c r="M98" s="142" t="s">
        <v>231</v>
      </c>
      <c r="N98" s="142" t="s">
        <v>231</v>
      </c>
      <c r="O98" s="142" t="s">
        <v>231</v>
      </c>
      <c r="T98" s="6"/>
      <c r="U98" s="6"/>
      <c r="V98" s="6"/>
    </row>
    <row r="99" spans="2:28" ht="12.75" x14ac:dyDescent="0.2">
      <c r="D99" s="15"/>
      <c r="E99" s="72"/>
      <c r="F99" s="72"/>
      <c r="G99" s="72"/>
      <c r="H99" s="72"/>
      <c r="I99" s="72"/>
      <c r="J99" s="72"/>
      <c r="K99" s="72"/>
      <c r="L99" s="72"/>
      <c r="T99" s="6"/>
      <c r="U99" s="6"/>
      <c r="V99" s="6"/>
      <c r="W99" s="83"/>
      <c r="X99" s="93"/>
      <c r="Y99" s="83"/>
      <c r="Z99" s="83"/>
      <c r="AA99" s="83"/>
      <c r="AB99" s="83"/>
    </row>
    <row r="100" spans="2:28" ht="12.75" x14ac:dyDescent="0.2">
      <c r="D100" s="71" t="s">
        <v>149</v>
      </c>
      <c r="E100" s="65" t="s">
        <v>89</v>
      </c>
      <c r="F100" s="65" t="s">
        <v>146</v>
      </c>
      <c r="G100" s="65" t="s">
        <v>68</v>
      </c>
      <c r="H100" s="65" t="str">
        <f t="shared" si="26"/>
        <v>N/A</v>
      </c>
      <c r="I100" s="6"/>
      <c r="J100" s="6"/>
      <c r="K100" s="6"/>
      <c r="L100" s="6"/>
      <c r="O100" s="97">
        <v>3.1021139184758333E-2</v>
      </c>
      <c r="T100" s="6"/>
      <c r="U100" s="83"/>
      <c r="V100" s="91"/>
      <c r="W100" s="91"/>
      <c r="X100" s="83"/>
      <c r="Y100" s="83"/>
      <c r="Z100" s="83"/>
      <c r="AA100" s="83"/>
      <c r="AB100" s="83"/>
    </row>
    <row r="103" spans="2:28" s="13" customFormat="1" ht="15" x14ac:dyDescent="0.2">
      <c r="C103" s="13" t="s">
        <v>181</v>
      </c>
    </row>
    <row r="104" spans="2:28" s="6" customFormat="1" ht="11.25" customHeight="1" x14ac:dyDescent="0.2"/>
    <row r="105" spans="2:28" s="6" customFormat="1" ht="11.25" customHeight="1" x14ac:dyDescent="0.2">
      <c r="J105" s="147" t="s">
        <v>145</v>
      </c>
      <c r="K105" s="147"/>
      <c r="L105" s="147"/>
    </row>
    <row r="106" spans="2:28" s="83" customFormat="1" ht="12.75" x14ac:dyDescent="0.2">
      <c r="C106" s="7"/>
      <c r="D106" s="70" t="s">
        <v>226</v>
      </c>
      <c r="E106" s="107" t="str">
        <f>Lookup!E$20</f>
        <v>Source</v>
      </c>
      <c r="F106" s="107" t="str">
        <f>Lookup!F$20</f>
        <v>Unit</v>
      </c>
      <c r="G106" s="107" t="str">
        <f>Lookup!G$20</f>
        <v>Basis</v>
      </c>
      <c r="H106" s="107" t="str">
        <f>Lookup!H$20</f>
        <v>Timing</v>
      </c>
      <c r="I106" s="6"/>
      <c r="J106" s="107" t="s">
        <v>172</v>
      </c>
      <c r="K106" s="107" t="s">
        <v>173</v>
      </c>
      <c r="L106" s="107" t="s">
        <v>175</v>
      </c>
      <c r="T106" s="6"/>
      <c r="U106" s="6"/>
      <c r="V106" s="6"/>
    </row>
    <row r="107" spans="2:28" s="83" customFormat="1" x14ac:dyDescent="0.2">
      <c r="C107" s="7"/>
      <c r="D107" s="82"/>
      <c r="E107" s="82"/>
      <c r="F107" s="82"/>
      <c r="G107" s="82"/>
      <c r="H107" s="82"/>
      <c r="I107" s="6"/>
      <c r="L107" s="91"/>
      <c r="T107" s="6"/>
      <c r="U107" s="6"/>
      <c r="V107" s="6"/>
    </row>
    <row r="108" spans="2:28" s="83" customFormat="1" ht="12.75" x14ac:dyDescent="0.2">
      <c r="C108" s="7"/>
      <c r="D108" s="85" t="str">
        <f>Input_Data!D91</f>
        <v>October 2021</v>
      </c>
      <c r="E108" s="72" t="s">
        <v>89</v>
      </c>
      <c r="F108" s="62" t="str">
        <f t="shared" ref="F108" si="27">Percent</f>
        <v>Percent</v>
      </c>
      <c r="G108" s="62" t="s">
        <v>68</v>
      </c>
      <c r="H108" s="62" t="str">
        <f t="shared" ref="H108:H110" si="28">NA</f>
        <v>N/A</v>
      </c>
      <c r="I108" s="82"/>
      <c r="J108" s="94">
        <f>Input_Data!J91</f>
        <v>3.2925679999999999E-2</v>
      </c>
      <c r="K108" s="94">
        <f>Input_Data!K91</f>
        <v>2.9389914E-2</v>
      </c>
      <c r="L108" s="91"/>
      <c r="T108" s="6"/>
      <c r="U108" s="6"/>
      <c r="V108" s="6"/>
    </row>
    <row r="110" spans="2:28" s="83" customFormat="1" ht="12.75" x14ac:dyDescent="0.2">
      <c r="B110" s="81"/>
      <c r="C110" s="7"/>
      <c r="D110" s="71" t="s">
        <v>149</v>
      </c>
      <c r="E110" s="65" t="s">
        <v>89</v>
      </c>
      <c r="F110" s="65" t="s">
        <v>146</v>
      </c>
      <c r="G110" s="65" t="s">
        <v>68</v>
      </c>
      <c r="H110" s="65" t="str">
        <f t="shared" si="28"/>
        <v>N/A</v>
      </c>
      <c r="I110" s="82"/>
      <c r="J110" s="7"/>
      <c r="K110" s="7"/>
      <c r="L110" s="97">
        <f>J108*BBB_Weight+K108*A_Weight</f>
        <v>3.1747091333333331E-2</v>
      </c>
      <c r="T110" s="6"/>
      <c r="U110" s="6"/>
      <c r="V110" s="6"/>
    </row>
    <row r="113" spans="2:23" s="13" customFormat="1" ht="15" x14ac:dyDescent="0.2">
      <c r="C113" s="13" t="s">
        <v>142</v>
      </c>
    </row>
    <row r="114" spans="2:23" s="6" customFormat="1" ht="11.25" customHeight="1" x14ac:dyDescent="0.2"/>
    <row r="115" spans="2:23" ht="12.75" x14ac:dyDescent="0.2">
      <c r="D115" s="70" t="s">
        <v>112</v>
      </c>
      <c r="E115" s="63" t="str">
        <f>Lookup!E$20</f>
        <v>Source</v>
      </c>
      <c r="F115" s="63" t="str">
        <f>Lookup!F$20</f>
        <v>Unit</v>
      </c>
      <c r="G115" s="63" t="str">
        <f>Lookup!G$20</f>
        <v>Basis</v>
      </c>
      <c r="H115" s="63" t="str">
        <f>Lookup!H$20</f>
        <v>Timing</v>
      </c>
      <c r="I115" s="6"/>
      <c r="J115" s="63" t="s">
        <v>154</v>
      </c>
      <c r="K115" s="6"/>
      <c r="L115" s="6"/>
      <c r="M115" s="6"/>
      <c r="O115" s="6"/>
      <c r="P115" s="6"/>
      <c r="Q115" s="6"/>
      <c r="R115" s="6"/>
      <c r="S115" s="6"/>
      <c r="T115" s="6"/>
      <c r="U115" s="6"/>
      <c r="V115" s="6"/>
      <c r="W115" s="6"/>
    </row>
    <row r="116" spans="2:23" x14ac:dyDescent="0.2">
      <c r="I116" s="6"/>
      <c r="J116" s="78"/>
      <c r="K116" s="6"/>
      <c r="L116" s="6"/>
      <c r="M116" s="6"/>
      <c r="O116" s="6"/>
      <c r="P116" s="6"/>
      <c r="Q116" s="6"/>
      <c r="R116" s="6"/>
      <c r="S116" s="6"/>
      <c r="T116" s="6"/>
      <c r="U116" s="6"/>
      <c r="V116" s="6"/>
      <c r="W116" s="6"/>
    </row>
    <row r="117" spans="2:23" ht="12.75" x14ac:dyDescent="0.2">
      <c r="I117" s="6"/>
      <c r="J117" s="52" t="s">
        <v>194</v>
      </c>
      <c r="K117" s="6"/>
      <c r="L117" s="6"/>
      <c r="M117" s="6"/>
      <c r="O117" s="6"/>
      <c r="P117" s="6"/>
      <c r="Q117" s="6"/>
      <c r="R117" s="6"/>
      <c r="S117" s="6"/>
      <c r="T117" s="6"/>
      <c r="U117" s="6"/>
      <c r="V117" s="6"/>
      <c r="W117" s="6"/>
    </row>
    <row r="118" spans="2:23" ht="12.75" x14ac:dyDescent="0.2">
      <c r="D118" s="15" t="s">
        <v>151</v>
      </c>
      <c r="E118" s="72" t="s">
        <v>89</v>
      </c>
      <c r="F118" s="62" t="str">
        <f t="shared" ref="F118:F120" si="29">Percent</f>
        <v>Percent</v>
      </c>
      <c r="G118" s="62" t="s">
        <v>68</v>
      </c>
      <c r="H118" s="62" t="str">
        <f t="shared" ref="H118:H120" si="30">NA</f>
        <v>N/A</v>
      </c>
      <c r="I118" s="6"/>
      <c r="J118" s="94">
        <f>AD71</f>
        <v>3.1346812862420588E-2</v>
      </c>
      <c r="K118" s="6"/>
      <c r="L118" s="6"/>
      <c r="M118" s="6"/>
      <c r="O118" s="6"/>
      <c r="P118" s="6"/>
      <c r="Q118" s="108"/>
      <c r="R118" s="6"/>
      <c r="S118" s="6"/>
      <c r="T118" s="6"/>
      <c r="U118" s="6"/>
      <c r="V118" s="6"/>
      <c r="W118" s="6"/>
    </row>
    <row r="119" spans="2:23" ht="12.75" x14ac:dyDescent="0.2">
      <c r="D119" s="15" t="s">
        <v>152</v>
      </c>
      <c r="E119" s="72" t="s">
        <v>89</v>
      </c>
      <c r="F119" s="62" t="str">
        <f t="shared" si="29"/>
        <v>Percent</v>
      </c>
      <c r="G119" s="62" t="s">
        <v>68</v>
      </c>
      <c r="H119" s="62" t="str">
        <f t="shared" si="30"/>
        <v>N/A</v>
      </c>
      <c r="I119" s="6"/>
      <c r="J119" s="94">
        <f>O100</f>
        <v>3.1021139184758333E-2</v>
      </c>
      <c r="K119" s="6"/>
      <c r="L119" s="6"/>
      <c r="M119" s="6"/>
      <c r="O119" s="6"/>
      <c r="P119" s="6"/>
      <c r="Q119" s="108"/>
      <c r="R119" s="6"/>
      <c r="S119" s="6"/>
      <c r="T119" s="6"/>
      <c r="U119" s="6"/>
      <c r="V119" s="6"/>
      <c r="W119" s="6"/>
    </row>
    <row r="120" spans="2:23" ht="12.75" x14ac:dyDescent="0.2">
      <c r="D120" s="15" t="s">
        <v>180</v>
      </c>
      <c r="E120" s="72" t="s">
        <v>89</v>
      </c>
      <c r="F120" s="62" t="str">
        <f t="shared" si="29"/>
        <v>Percent</v>
      </c>
      <c r="G120" s="62" t="s">
        <v>68</v>
      </c>
      <c r="H120" s="62" t="str">
        <f t="shared" si="30"/>
        <v>N/A</v>
      </c>
      <c r="I120" s="6"/>
      <c r="J120" s="94">
        <f>L110</f>
        <v>3.1747091333333331E-2</v>
      </c>
      <c r="K120" s="6"/>
      <c r="L120" s="6"/>
      <c r="M120" s="6"/>
      <c r="O120" s="6"/>
      <c r="P120" s="6"/>
      <c r="Q120" s="108"/>
      <c r="R120" s="6"/>
      <c r="S120" s="6"/>
      <c r="T120" s="6"/>
      <c r="U120" s="6"/>
      <c r="V120" s="6"/>
      <c r="W120" s="6"/>
    </row>
    <row r="121" spans="2:23" x14ac:dyDescent="0.2">
      <c r="I121" s="6"/>
      <c r="J121" s="78"/>
      <c r="K121" s="6"/>
      <c r="L121" s="6"/>
      <c r="M121" s="6"/>
      <c r="O121" s="6"/>
      <c r="P121" s="6"/>
      <c r="Q121" s="6"/>
      <c r="R121" s="6"/>
      <c r="S121" s="6"/>
      <c r="T121" s="6"/>
      <c r="U121" s="6"/>
      <c r="V121" s="6"/>
      <c r="W121" s="6"/>
    </row>
    <row r="122" spans="2:23" ht="12.75" x14ac:dyDescent="0.2">
      <c r="D122" s="71" t="s">
        <v>153</v>
      </c>
      <c r="E122" s="65" t="s">
        <v>89</v>
      </c>
      <c r="F122" s="65" t="str">
        <f>Percent</f>
        <v>Percent</v>
      </c>
      <c r="G122" s="65" t="s">
        <v>68</v>
      </c>
      <c r="H122" s="65" t="str">
        <f t="shared" ref="H122" si="31">NA</f>
        <v>N/A</v>
      </c>
      <c r="I122" s="6"/>
      <c r="J122" s="97">
        <f>AVERAGE(J118:J120)</f>
        <v>3.1371681126837414E-2</v>
      </c>
      <c r="K122" s="6"/>
      <c r="L122" s="6"/>
      <c r="M122" s="6"/>
      <c r="O122" s="6"/>
      <c r="P122" s="6"/>
      <c r="Q122" s="6"/>
      <c r="R122" s="6"/>
      <c r="S122" s="6"/>
      <c r="T122" s="6"/>
      <c r="U122" s="6"/>
      <c r="V122" s="6"/>
      <c r="W122" s="6"/>
    </row>
    <row r="125" spans="2:23" s="4" customFormat="1" ht="15.75" x14ac:dyDescent="0.2">
      <c r="B125" s="4" t="s">
        <v>195</v>
      </c>
    </row>
    <row r="127" spans="2:23" ht="12.75" x14ac:dyDescent="0.2">
      <c r="D127" s="70" t="s">
        <v>189</v>
      </c>
      <c r="E127" s="110" t="str">
        <f>Lookup!E$20</f>
        <v>Source</v>
      </c>
      <c r="F127" s="110" t="str">
        <f>Lookup!F$20</f>
        <v>Unit</v>
      </c>
      <c r="G127" s="110" t="str">
        <f>Lookup!G$20</f>
        <v>Basis</v>
      </c>
      <c r="H127" s="110" t="str">
        <f>Lookup!H$20</f>
        <v>Timing</v>
      </c>
      <c r="J127" s="131" t="str">
        <f t="shared" ref="J127:M127" si="32">J$10</f>
        <v>FY15</v>
      </c>
      <c r="K127" s="131" t="str">
        <f t="shared" si="32"/>
        <v>FY16</v>
      </c>
      <c r="L127" s="131" t="str">
        <f t="shared" si="32"/>
        <v>FY17</v>
      </c>
      <c r="M127" s="131" t="str">
        <f t="shared" si="32"/>
        <v>FY18</v>
      </c>
      <c r="N127" s="110" t="str">
        <f>N$10</f>
        <v>FY19</v>
      </c>
      <c r="O127" s="110" t="str">
        <f t="shared" ref="O127:W127" si="33">O$10</f>
        <v>FY20</v>
      </c>
      <c r="P127" s="110" t="str">
        <f t="shared" si="33"/>
        <v>FY21</v>
      </c>
      <c r="Q127" s="110" t="str">
        <f t="shared" si="33"/>
        <v>FY22</v>
      </c>
      <c r="R127" s="110" t="str">
        <f t="shared" si="33"/>
        <v>FY23</v>
      </c>
      <c r="S127" s="110" t="str">
        <f t="shared" si="33"/>
        <v>FY24</v>
      </c>
      <c r="T127" s="110" t="str">
        <f t="shared" si="33"/>
        <v>FY25</v>
      </c>
      <c r="U127" s="110" t="str">
        <f t="shared" si="33"/>
        <v>FY26</v>
      </c>
      <c r="V127" s="110" t="str">
        <f t="shared" si="33"/>
        <v>FY27</v>
      </c>
      <c r="W127" s="110" t="str">
        <f t="shared" si="33"/>
        <v>FY28</v>
      </c>
    </row>
    <row r="129" spans="2:23" ht="12.75" x14ac:dyDescent="0.2">
      <c r="D129" s="15" t="s">
        <v>190</v>
      </c>
    </row>
    <row r="130" spans="2:23" ht="12.75" x14ac:dyDescent="0.2">
      <c r="D130" s="113" t="str">
        <f>Lookup!D71</f>
        <v>Actual</v>
      </c>
      <c r="E130" s="72" t="s">
        <v>89</v>
      </c>
      <c r="F130" s="62" t="str">
        <f t="shared" ref="F130:F132" si="34">Percent</f>
        <v>Percent</v>
      </c>
      <c r="G130" s="62" t="s">
        <v>68</v>
      </c>
      <c r="H130" s="62" t="str">
        <f t="shared" ref="H130:H132" si="35">NA</f>
        <v>N/A</v>
      </c>
      <c r="J130" s="94">
        <f>IF(Input_Data!J$109=Lookup!$D71,Input_Data!J$110,"")</f>
        <v>6.6704170078014297E-2</v>
      </c>
      <c r="K130" s="94">
        <f>IF(Input_Data!K$109=Lookup!$D71,Input_Data!K$110,"")</f>
        <v>5.1103191799745241E-2</v>
      </c>
      <c r="L130" s="94">
        <f>IF(Input_Data!L$109=Lookup!$D71,Input_Data!L$110,"")</f>
        <v>5.3087010023109421E-2</v>
      </c>
      <c r="M130" s="94">
        <f>IF(Input_Data!M$109=Lookup!$D71,Input_Data!M$110,"")</f>
        <v>4.8845079481608239E-2</v>
      </c>
      <c r="N130" s="94">
        <f>IF(Input_Data!N$109=Lookup!$D71,Input_Data!N$110,"")</f>
        <v>4.3655328304114394E-2</v>
      </c>
      <c r="O130" s="94">
        <f>IF(Input_Data!O$109=Lookup!$D71,Input_Data!O$110,"")</f>
        <v>4.6759251552633517E-2</v>
      </c>
      <c r="P130" s="94">
        <f>IF(Input_Data!P$109=Lookup!$D71,Input_Data!P$110,"")</f>
        <v>3.0984201853053034E-2</v>
      </c>
      <c r="Q130" s="94">
        <f>IF(Input_Data!Q$109=Lookup!$D71,Input_Data!Q$110,"")</f>
        <v>2.1424807723075256E-2</v>
      </c>
      <c r="R130" s="94" t="str">
        <f>IF(Input_Data!R$109=Lookup!$D71,Input_Data!R$110,"")</f>
        <v/>
      </c>
      <c r="S130" s="119" t="str">
        <f>IF($J$117=Lookup!$D71,$J$122,"")</f>
        <v/>
      </c>
      <c r="T130" s="51"/>
      <c r="U130" s="51"/>
      <c r="V130" s="51"/>
      <c r="W130" s="51"/>
    </row>
    <row r="131" spans="2:23" ht="12.75" x14ac:dyDescent="0.2">
      <c r="D131" s="113" t="str">
        <f>Lookup!D72</f>
        <v>Estimated</v>
      </c>
      <c r="E131" s="72" t="s">
        <v>89</v>
      </c>
      <c r="F131" s="62" t="str">
        <f t="shared" si="34"/>
        <v>Percent</v>
      </c>
      <c r="G131" s="62" t="s">
        <v>68</v>
      </c>
      <c r="H131" s="62" t="str">
        <f t="shared" si="35"/>
        <v>N/A</v>
      </c>
      <c r="J131" s="94" t="str">
        <f>IF(Input_Data!J$109=Lookup!$D72,Input_Data!J$110,"")</f>
        <v/>
      </c>
      <c r="K131" s="94" t="str">
        <f>IF(Input_Data!K$109=Lookup!$D72,Input_Data!K$110,"")</f>
        <v/>
      </c>
      <c r="L131" s="94" t="str">
        <f>IF(Input_Data!L$109=Lookup!$D72,Input_Data!L$110,"")</f>
        <v/>
      </c>
      <c r="M131" s="94" t="str">
        <f>IF(Input_Data!M$109=Lookup!$D72,Input_Data!M$110,"")</f>
        <v/>
      </c>
      <c r="N131" s="94" t="str">
        <f>IF(Input_Data!N$109=Lookup!$D72,Input_Data!N$110,"")</f>
        <v/>
      </c>
      <c r="O131" s="94" t="str">
        <f>IF(Input_Data!O$109=Lookup!$D72,Input_Data!O$110,"")</f>
        <v/>
      </c>
      <c r="P131" s="94" t="str">
        <f>IF(Input_Data!P$109=Lookup!$D72,Input_Data!P$110,"")</f>
        <v/>
      </c>
      <c r="Q131" s="94" t="str">
        <f>IF(Input_Data!Q$109=Lookup!$D72,Input_Data!Q$110,"")</f>
        <v/>
      </c>
      <c r="R131" s="94">
        <f>IF(Input_Data!R$109=Lookup!$D72,Input_Data!R$110,"")</f>
        <v>3.1371681126837414E-2</v>
      </c>
      <c r="S131" s="120">
        <f>IF($J$117=Lookup!$D72,$J$122,"")</f>
        <v>3.1371681126837414E-2</v>
      </c>
      <c r="T131" s="51"/>
      <c r="U131" s="51"/>
      <c r="V131" s="51"/>
      <c r="W131" s="51"/>
    </row>
    <row r="132" spans="2:23" ht="12.75" x14ac:dyDescent="0.2">
      <c r="D132" s="115" t="s">
        <v>191</v>
      </c>
      <c r="E132" s="116" t="s">
        <v>89</v>
      </c>
      <c r="F132" s="117" t="str">
        <f t="shared" si="34"/>
        <v>Percent</v>
      </c>
      <c r="G132" s="117" t="s">
        <v>68</v>
      </c>
      <c r="H132" s="117" t="str">
        <f t="shared" si="35"/>
        <v>N/A</v>
      </c>
      <c r="J132" s="118">
        <f t="shared" ref="J132:M132" si="36">IF(ISNUMBER(J130),J130,IF(ISNUMBER(J131),J131,""))</f>
        <v>6.6704170078014297E-2</v>
      </c>
      <c r="K132" s="118">
        <f t="shared" si="36"/>
        <v>5.1103191799745241E-2</v>
      </c>
      <c r="L132" s="118">
        <f t="shared" si="36"/>
        <v>5.3087010023109421E-2</v>
      </c>
      <c r="M132" s="118">
        <f t="shared" si="36"/>
        <v>4.8845079481608239E-2</v>
      </c>
      <c r="N132" s="118">
        <f>IF(ISNUMBER(N130),N130,IF(ISNUMBER(N131),N131,""))</f>
        <v>4.3655328304114394E-2</v>
      </c>
      <c r="O132" s="118">
        <f t="shared" ref="O132:W132" si="37">IF(ISNUMBER(O130),O130,IF(ISNUMBER(O131),O131,""))</f>
        <v>4.6759251552633517E-2</v>
      </c>
      <c r="P132" s="118">
        <f t="shared" si="37"/>
        <v>3.0984201853053034E-2</v>
      </c>
      <c r="Q132" s="118">
        <f t="shared" si="37"/>
        <v>2.1424807723075256E-2</v>
      </c>
      <c r="R132" s="118">
        <f t="shared" si="37"/>
        <v>3.1371681126837414E-2</v>
      </c>
      <c r="S132" s="118">
        <f t="shared" si="37"/>
        <v>3.1371681126837414E-2</v>
      </c>
      <c r="T132" s="118" t="str">
        <f t="shared" si="37"/>
        <v/>
      </c>
      <c r="U132" s="118" t="str">
        <f t="shared" si="37"/>
        <v/>
      </c>
      <c r="V132" s="118" t="str">
        <f t="shared" si="37"/>
        <v/>
      </c>
      <c r="W132" s="118" t="str">
        <f t="shared" si="37"/>
        <v/>
      </c>
    </row>
    <row r="134" spans="2:23" ht="12.75" x14ac:dyDescent="0.2">
      <c r="D134" s="15" t="s">
        <v>174</v>
      </c>
    </row>
    <row r="135" spans="2:23" ht="12.75" x14ac:dyDescent="0.2">
      <c r="D135" s="113" t="s">
        <v>192</v>
      </c>
      <c r="E135" s="72" t="s">
        <v>89</v>
      </c>
      <c r="F135" s="62" t="str">
        <f t="shared" ref="F135" si="38">Percent</f>
        <v>Percent</v>
      </c>
      <c r="G135" s="62" t="str">
        <f t="shared" ref="G135:H135" si="39">NA</f>
        <v>N/A</v>
      </c>
      <c r="H135" s="62" t="str">
        <f t="shared" si="39"/>
        <v>N/A</v>
      </c>
      <c r="J135" s="51"/>
      <c r="K135" s="94">
        <f t="shared" ref="K135:N135" si="40">Weight_New_Debt</f>
        <v>0.1</v>
      </c>
      <c r="L135" s="94">
        <f t="shared" si="40"/>
        <v>0.1</v>
      </c>
      <c r="M135" s="94">
        <f t="shared" si="40"/>
        <v>0.1</v>
      </c>
      <c r="N135" s="94">
        <f t="shared" si="40"/>
        <v>0.1</v>
      </c>
      <c r="O135" s="94">
        <f t="shared" ref="O135:W135" si="41">Weight_New_Debt</f>
        <v>0.1</v>
      </c>
      <c r="P135" s="94">
        <f t="shared" si="41"/>
        <v>0.1</v>
      </c>
      <c r="Q135" s="94">
        <f t="shared" si="41"/>
        <v>0.1</v>
      </c>
      <c r="R135" s="94">
        <f t="shared" si="41"/>
        <v>0.1</v>
      </c>
      <c r="S135" s="94">
        <f t="shared" si="41"/>
        <v>0.1</v>
      </c>
      <c r="T135" s="94">
        <f t="shared" si="41"/>
        <v>0.1</v>
      </c>
      <c r="U135" s="94">
        <f t="shared" si="41"/>
        <v>0.1</v>
      </c>
      <c r="V135" s="94">
        <f t="shared" si="41"/>
        <v>0.1</v>
      </c>
      <c r="W135" s="94">
        <f t="shared" si="41"/>
        <v>0.1</v>
      </c>
    </row>
    <row r="137" spans="2:23" ht="12.75" x14ac:dyDescent="0.2">
      <c r="D137" s="71" t="s">
        <v>193</v>
      </c>
      <c r="E137" s="65" t="s">
        <v>89</v>
      </c>
      <c r="F137" s="65" t="str">
        <f t="shared" ref="F137" si="42">Percent</f>
        <v>Percent</v>
      </c>
      <c r="G137" s="65" t="s">
        <v>68</v>
      </c>
      <c r="H137" s="65" t="str">
        <f t="shared" ref="H137" si="43">NA</f>
        <v>N/A</v>
      </c>
      <c r="J137" s="114">
        <f>IFERROR($J$132,"")</f>
        <v>6.6704170078014297E-2</v>
      </c>
      <c r="K137" s="97">
        <f t="shared" ref="K137:S137" si="44">IFERROR(J137+(K$132-$J$132)*K135,J137)</f>
        <v>6.5144072250187396E-2</v>
      </c>
      <c r="L137" s="97">
        <f t="shared" si="44"/>
        <v>6.3782356244696914E-2</v>
      </c>
      <c r="M137" s="97">
        <f t="shared" si="44"/>
        <v>6.1996447185056307E-2</v>
      </c>
      <c r="N137" s="97">
        <f t="shared" si="44"/>
        <v>5.9691563007666315E-2</v>
      </c>
      <c r="O137" s="97">
        <f t="shared" si="44"/>
        <v>5.7697071155128239E-2</v>
      </c>
      <c r="P137" s="97">
        <f t="shared" si="44"/>
        <v>5.4125074332632112E-2</v>
      </c>
      <c r="Q137" s="97">
        <f t="shared" si="44"/>
        <v>4.9597138097138206E-2</v>
      </c>
      <c r="R137" s="97">
        <f t="shared" si="44"/>
        <v>4.6063889202020515E-2</v>
      </c>
      <c r="S137" s="114">
        <f t="shared" si="44"/>
        <v>4.2530640306902824E-2</v>
      </c>
      <c r="T137" s="97">
        <f>IFERROR(S137+(T$132-J$132)*T135,S137)</f>
        <v>4.2530640306902824E-2</v>
      </c>
      <c r="U137" s="97">
        <f t="shared" ref="U137:W137" si="45">IFERROR(T137+(U$132-K$132)*U135,T137)</f>
        <v>4.2530640306902824E-2</v>
      </c>
      <c r="V137" s="97">
        <f t="shared" si="45"/>
        <v>4.2530640306902824E-2</v>
      </c>
      <c r="W137" s="97">
        <f t="shared" si="45"/>
        <v>4.2530640306902824E-2</v>
      </c>
    </row>
    <row r="140" spans="2:23" s="4" customFormat="1" ht="15.75" x14ac:dyDescent="0.2">
      <c r="B140" s="4" t="s">
        <v>148</v>
      </c>
    </row>
    <row r="141" spans="2:23" s="6" customFormat="1" ht="11.25" customHeight="1" x14ac:dyDescent="0.2"/>
    <row r="142" spans="2:23" ht="12.75" x14ac:dyDescent="0.2">
      <c r="D142" s="70" t="s">
        <v>88</v>
      </c>
      <c r="E142" s="63" t="str">
        <f>Lookup!E$20</f>
        <v>Source</v>
      </c>
      <c r="F142" s="63" t="str">
        <f>Lookup!F$20</f>
        <v>Unit</v>
      </c>
      <c r="G142" s="63" t="str">
        <f>Lookup!G$20</f>
        <v>Basis</v>
      </c>
      <c r="H142" s="63" t="str">
        <f>Lookup!H$20</f>
        <v>Timing</v>
      </c>
      <c r="I142" s="6"/>
      <c r="J142" s="6"/>
      <c r="K142" s="6"/>
      <c r="L142" s="6"/>
      <c r="M142" s="6"/>
      <c r="N142" s="6"/>
      <c r="O142" s="6"/>
      <c r="P142" s="6"/>
      <c r="Q142" s="6"/>
      <c r="R142" s="6"/>
      <c r="S142" s="63" t="str">
        <f>S10</f>
        <v>FY24</v>
      </c>
      <c r="T142" s="110" t="str">
        <f>T10</f>
        <v>FY25</v>
      </c>
      <c r="U142" s="110" t="str">
        <f>U10</f>
        <v>FY26</v>
      </c>
      <c r="V142" s="110" t="str">
        <f>V10</f>
        <v>FY27</v>
      </c>
      <c r="W142" s="110" t="str">
        <f>W10</f>
        <v>FY28</v>
      </c>
    </row>
    <row r="143" spans="2:23" x14ac:dyDescent="0.2">
      <c r="I143" s="6"/>
      <c r="J143" s="6"/>
      <c r="K143" s="6"/>
      <c r="L143" s="6"/>
      <c r="M143" s="6"/>
      <c r="N143" s="6"/>
      <c r="O143" s="6"/>
      <c r="P143" s="6"/>
      <c r="Q143" s="6"/>
      <c r="R143" s="6"/>
      <c r="T143" s="6"/>
      <c r="U143" s="100"/>
      <c r="V143" s="6"/>
      <c r="W143" s="6"/>
    </row>
    <row r="144" spans="2:23" ht="12.75" x14ac:dyDescent="0.2">
      <c r="D144" s="15" t="s">
        <v>130</v>
      </c>
      <c r="E144" s="72" t="s">
        <v>89</v>
      </c>
      <c r="F144" s="62" t="str">
        <f t="shared" ref="F144:F145" si="46">Percent</f>
        <v>Percent</v>
      </c>
      <c r="G144" s="62" t="s">
        <v>68</v>
      </c>
      <c r="H144" s="62" t="str">
        <f t="shared" ref="H144:H146" si="47">NA</f>
        <v>N/A</v>
      </c>
      <c r="I144" s="6"/>
      <c r="J144" s="6"/>
      <c r="K144" s="6"/>
      <c r="L144" s="6"/>
      <c r="M144" s="6"/>
      <c r="N144" s="6"/>
      <c r="O144" s="6"/>
      <c r="P144" s="6"/>
      <c r="Q144" s="6"/>
      <c r="R144" s="6"/>
      <c r="S144" s="90">
        <f t="array" ref="S144">GEOMEAN(1+Input_Data!R19:V19)-1</f>
        <v>2.349953872603594E-2</v>
      </c>
      <c r="T144" s="51"/>
      <c r="U144" s="51"/>
      <c r="V144" s="51"/>
      <c r="W144" s="51"/>
    </row>
    <row r="145" spans="2:23" ht="12.75" x14ac:dyDescent="0.2">
      <c r="D145" s="15" t="s">
        <v>118</v>
      </c>
      <c r="E145" s="72" t="s">
        <v>89</v>
      </c>
      <c r="F145" s="62" t="str">
        <f t="shared" si="46"/>
        <v>Percent</v>
      </c>
      <c r="G145" s="62" t="s">
        <v>68</v>
      </c>
      <c r="H145" s="62" t="str">
        <f t="shared" si="47"/>
        <v>N/A</v>
      </c>
      <c r="I145" s="6"/>
      <c r="J145" s="6"/>
      <c r="K145" s="6"/>
      <c r="L145" s="6"/>
      <c r="M145" s="6"/>
      <c r="N145" s="6"/>
      <c r="O145" s="6"/>
      <c r="P145" s="6"/>
      <c r="Q145" s="6"/>
      <c r="R145" s="6"/>
      <c r="S145" s="90">
        <f>RFR+MRP*Beta</f>
        <v>5.3787976232925916E-2</v>
      </c>
      <c r="T145" s="51"/>
      <c r="U145" s="51"/>
      <c r="V145" s="51"/>
      <c r="W145" s="51"/>
    </row>
    <row r="146" spans="2:23" ht="12.75" x14ac:dyDescent="0.2">
      <c r="D146" s="15" t="s">
        <v>149</v>
      </c>
      <c r="E146" s="72" t="s">
        <v>89</v>
      </c>
      <c r="F146" s="72" t="str">
        <f>Dollars</f>
        <v>Dollars</v>
      </c>
      <c r="G146" s="62" t="s">
        <v>68</v>
      </c>
      <c r="H146" s="62" t="str">
        <f t="shared" si="47"/>
        <v>N/A</v>
      </c>
      <c r="I146" s="6"/>
      <c r="J146" s="6"/>
      <c r="K146" s="6"/>
      <c r="L146" s="6"/>
      <c r="M146" s="6"/>
      <c r="N146" s="6"/>
      <c r="O146" s="6"/>
      <c r="P146" s="6"/>
      <c r="Q146" s="6"/>
      <c r="R146" s="6"/>
      <c r="S146" s="90">
        <f>S137</f>
        <v>4.2530640306902824E-2</v>
      </c>
      <c r="T146" s="90">
        <f t="shared" ref="T146:W146" si="48">T137</f>
        <v>4.2530640306902824E-2</v>
      </c>
      <c r="U146" s="90">
        <f t="shared" si="48"/>
        <v>4.2530640306902824E-2</v>
      </c>
      <c r="V146" s="90">
        <f t="shared" si="48"/>
        <v>4.2530640306902824E-2</v>
      </c>
      <c r="W146" s="90">
        <f t="shared" si="48"/>
        <v>4.2530640306902824E-2</v>
      </c>
    </row>
    <row r="147" spans="2:23" s="6" customFormat="1" ht="11.25" customHeight="1" x14ac:dyDescent="0.2"/>
    <row r="148" spans="2:23" x14ac:dyDescent="0.2">
      <c r="S148" s="99"/>
    </row>
    <row r="149" spans="2:23" s="4" customFormat="1" ht="15.75" x14ac:dyDescent="0.2">
      <c r="B149" s="4" t="s">
        <v>32</v>
      </c>
    </row>
  </sheetData>
  <mergeCells count="10">
    <mergeCell ref="Z46:AB46"/>
    <mergeCell ref="V46:X46"/>
    <mergeCell ref="J46:N46"/>
    <mergeCell ref="J105:L105"/>
    <mergeCell ref="J16:K16"/>
    <mergeCell ref="M16:N16"/>
    <mergeCell ref="P16:R16"/>
    <mergeCell ref="J76:K76"/>
    <mergeCell ref="M76:O76"/>
    <mergeCell ref="P46:T46"/>
  </mergeCells>
  <conditionalFormatting sqref="B2">
    <cfRule type="cellIs" dxfId="4" priority="1" operator="notEqual">
      <formula>"No Errors Found"</formula>
    </cfRule>
  </conditionalFormatting>
  <dataValidations count="1">
    <dataValidation type="list" allowBlank="1" showInputMessage="1" showErrorMessage="1" sqref="J117">
      <formula1>LU_Source</formula1>
    </dataValidation>
  </dataValidations>
  <hyperlinks>
    <hyperlink ref="B3:E3" location="TOC!A1" display="TOC!A1"/>
  </hyperlink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S40"/>
  <sheetViews>
    <sheetView showGridLines="0" zoomScaleNormal="100" workbookViewId="0">
      <pane xSplit="1" ySplit="10" topLeftCell="B11" activePane="bottomRight" state="frozen"/>
      <selection activeCell="C33" sqref="C33:X33"/>
      <selection pane="topRight" activeCell="C33" sqref="C33:X33"/>
      <selection pane="bottomLeft" activeCell="C33" sqref="C33:X33"/>
      <selection pane="bottomRight" activeCell="N25" sqref="N25"/>
    </sheetView>
  </sheetViews>
  <sheetFormatPr defaultColWidth="9.33203125" defaultRowHeight="11.25" outlineLevelRow="1" x14ac:dyDescent="0.2"/>
  <cols>
    <col min="1" max="1" width="3.33203125" style="7" customWidth="1"/>
    <col min="2" max="3" width="2.83203125" style="7" customWidth="1"/>
    <col min="4" max="4" width="45.1640625" style="7" customWidth="1"/>
    <col min="5" max="5" width="11.83203125" style="7" customWidth="1"/>
    <col min="6" max="6" width="9.1640625" style="7" customWidth="1"/>
    <col min="7" max="7" width="12" style="7" customWidth="1"/>
    <col min="8" max="8" width="10" style="7" customWidth="1"/>
    <col min="9" max="9" width="5.5" style="7" customWidth="1"/>
    <col min="10" max="19" width="12.83203125" style="7" customWidth="1"/>
    <col min="20" max="20" width="10.83203125" style="7" customWidth="1"/>
    <col min="21" max="16384" width="9.33203125" style="7"/>
  </cols>
  <sheetData>
    <row r="1" spans="1:19" ht="19.5" x14ac:dyDescent="0.2">
      <c r="A1" s="67">
        <f>IF(SUM($A11:$A40)&gt;0,1,0)</f>
        <v>0</v>
      </c>
      <c r="B1" s="5" t="s">
        <v>170</v>
      </c>
    </row>
    <row r="2" spans="1:19" x14ac:dyDescent="0.2">
      <c r="B2" s="18" t="str">
        <f>Title_Msg</f>
        <v>No Errors Found</v>
      </c>
    </row>
    <row r="3" spans="1:19" x14ac:dyDescent="0.2">
      <c r="B3" s="55" t="str">
        <f>TOC!B1</f>
        <v>Table of Contents</v>
      </c>
      <c r="C3" s="49"/>
      <c r="D3" s="49"/>
      <c r="E3" s="49"/>
    </row>
    <row r="4" spans="1:19" ht="12.75" x14ac:dyDescent="0.2">
      <c r="B4" s="46" t="str">
        <f>Model_Name</f>
        <v>Rate of Return Model - TransGrid (TGD)</v>
      </c>
    </row>
    <row r="5" spans="1:19" ht="12.75" hidden="1" outlineLevel="1" x14ac:dyDescent="0.2">
      <c r="B5" s="15" t="str">
        <f>Lookup!B15</f>
        <v>Period Start Date</v>
      </c>
      <c r="J5" s="60">
        <f>Lookup!M15</f>
        <v>43282</v>
      </c>
      <c r="K5" s="60">
        <f>Lookup!N15</f>
        <v>43647</v>
      </c>
      <c r="L5" s="60">
        <f>Lookup!O15</f>
        <v>44013</v>
      </c>
      <c r="M5" s="60">
        <f>Lookup!P15</f>
        <v>44378</v>
      </c>
      <c r="N5" s="60">
        <f>Lookup!Q15</f>
        <v>44743</v>
      </c>
      <c r="O5" s="60">
        <f>Lookup!R15</f>
        <v>45108</v>
      </c>
      <c r="P5" s="60">
        <f>Lookup!S15</f>
        <v>45474</v>
      </c>
      <c r="Q5" s="60">
        <f>Lookup!T15</f>
        <v>45839</v>
      </c>
      <c r="R5" s="60">
        <f>Lookup!U15</f>
        <v>46204</v>
      </c>
      <c r="S5" s="60">
        <f>Lookup!V15</f>
        <v>46569</v>
      </c>
    </row>
    <row r="6" spans="1:19" ht="12.75" hidden="1" outlineLevel="1" x14ac:dyDescent="0.2">
      <c r="B6" s="15" t="str">
        <f>Lookup!B16</f>
        <v>Period End Date</v>
      </c>
      <c r="J6" s="60">
        <f>Lookup!M16</f>
        <v>43646</v>
      </c>
      <c r="K6" s="60">
        <f>Lookup!N16</f>
        <v>44012</v>
      </c>
      <c r="L6" s="60">
        <f>Lookup!O16</f>
        <v>44377</v>
      </c>
      <c r="M6" s="60">
        <f>Lookup!P16</f>
        <v>44742</v>
      </c>
      <c r="N6" s="60">
        <f>Lookup!Q16</f>
        <v>45107</v>
      </c>
      <c r="O6" s="60">
        <f>Lookup!R16</f>
        <v>45473</v>
      </c>
      <c r="P6" s="60">
        <f>Lookup!S16</f>
        <v>45838</v>
      </c>
      <c r="Q6" s="60">
        <f>Lookup!T16</f>
        <v>46203</v>
      </c>
      <c r="R6" s="60">
        <f>Lookup!U16</f>
        <v>46568</v>
      </c>
      <c r="S6" s="60">
        <f>Lookup!V16</f>
        <v>46934</v>
      </c>
    </row>
    <row r="7" spans="1:19" ht="12.75" hidden="1" outlineLevel="1" x14ac:dyDescent="0.2">
      <c r="B7" s="15" t="str">
        <f>Lookup!B17</f>
        <v>Period Counter</v>
      </c>
      <c r="J7" s="61">
        <f>Lookup!M17</f>
        <v>1</v>
      </c>
      <c r="K7" s="61">
        <f>Lookup!N17</f>
        <v>2</v>
      </c>
      <c r="L7" s="61">
        <f>Lookup!O17</f>
        <v>3</v>
      </c>
      <c r="M7" s="61">
        <f>Lookup!P17</f>
        <v>4</v>
      </c>
      <c r="N7" s="61">
        <f>Lookup!Q17</f>
        <v>5</v>
      </c>
      <c r="O7" s="61">
        <f>Lookup!R17</f>
        <v>6</v>
      </c>
      <c r="P7" s="61">
        <f>Lookup!S17</f>
        <v>7</v>
      </c>
      <c r="Q7" s="61">
        <f>Lookup!T17</f>
        <v>8</v>
      </c>
      <c r="R7" s="61">
        <f>Lookup!U17</f>
        <v>9</v>
      </c>
      <c r="S7" s="61">
        <f>Lookup!V17</f>
        <v>10</v>
      </c>
    </row>
    <row r="8" spans="1:19" ht="12.75" hidden="1" outlineLevel="1" x14ac:dyDescent="0.2">
      <c r="B8" s="15" t="str">
        <f>Lookup!B18</f>
        <v>Year</v>
      </c>
      <c r="J8" s="62">
        <f>Lookup!M18</f>
        <v>2019</v>
      </c>
      <c r="K8" s="62">
        <f>Lookup!N18</f>
        <v>2020</v>
      </c>
      <c r="L8" s="62">
        <f>Lookup!O18</f>
        <v>2021</v>
      </c>
      <c r="M8" s="62">
        <f>Lookup!P18</f>
        <v>2022</v>
      </c>
      <c r="N8" s="62">
        <f>Lookup!Q18</f>
        <v>2023</v>
      </c>
      <c r="O8" s="62">
        <f>Lookup!R18</f>
        <v>2024</v>
      </c>
      <c r="P8" s="62">
        <f>Lookup!S18</f>
        <v>2025</v>
      </c>
      <c r="Q8" s="62">
        <f>Lookup!T18</f>
        <v>2026</v>
      </c>
      <c r="R8" s="62">
        <f>Lookup!U18</f>
        <v>2027</v>
      </c>
      <c r="S8" s="62">
        <f>Lookup!V18</f>
        <v>2028</v>
      </c>
    </row>
    <row r="9" spans="1:19" ht="12.75" hidden="1" outlineLevel="1" x14ac:dyDescent="0.2">
      <c r="B9" s="15" t="str">
        <f>Lookup!B19</f>
        <v>Period Type</v>
      </c>
      <c r="J9" s="62" t="str">
        <f>Lookup!M19</f>
        <v>Actual</v>
      </c>
      <c r="K9" s="62" t="str">
        <f>Lookup!N19</f>
        <v>Actual</v>
      </c>
      <c r="L9" s="62" t="str">
        <f>Lookup!O19</f>
        <v>Actual</v>
      </c>
      <c r="M9" s="62" t="str">
        <f>Lookup!P19</f>
        <v>Base Year</v>
      </c>
      <c r="N9" s="62" t="str">
        <f>Lookup!Q19</f>
        <v>Estimate</v>
      </c>
      <c r="O9" s="62" t="str">
        <f>Lookup!R19</f>
        <v>Forecast</v>
      </c>
      <c r="P9" s="62" t="str">
        <f>Lookup!S19</f>
        <v>Forecast</v>
      </c>
      <c r="Q9" s="62" t="str">
        <f>Lookup!T19</f>
        <v>Forecast</v>
      </c>
      <c r="R9" s="62" t="str">
        <f>Lookup!U19</f>
        <v>Forecast</v>
      </c>
      <c r="S9" s="62" t="str">
        <f>Lookup!V19</f>
        <v>Forecast</v>
      </c>
    </row>
    <row r="10" spans="1:19" ht="12.75" collapsed="1" x14ac:dyDescent="0.2">
      <c r="B10" s="10" t="str">
        <f>Lookup!B20</f>
        <v>Regulatory Year</v>
      </c>
      <c r="E10" s="59" t="str">
        <f>Lookup!E20</f>
        <v>Source</v>
      </c>
      <c r="F10" s="59" t="str">
        <f>Lookup!F20</f>
        <v>Unit</v>
      </c>
      <c r="G10" s="59" t="str">
        <f>Lookup!G20</f>
        <v>Basis</v>
      </c>
      <c r="H10" s="59" t="str">
        <f>Lookup!H20</f>
        <v>Timing</v>
      </c>
      <c r="I10" s="59"/>
      <c r="J10" s="59" t="str">
        <f>Lookup!M20</f>
        <v>FY19</v>
      </c>
      <c r="K10" s="59" t="str">
        <f>Lookup!N20</f>
        <v>FY20</v>
      </c>
      <c r="L10" s="59" t="str">
        <f>Lookup!O20</f>
        <v>FY21</v>
      </c>
      <c r="M10" s="59" t="str">
        <f>Lookup!P20</f>
        <v>FY22</v>
      </c>
      <c r="N10" s="59" t="str">
        <f>Lookup!Q20</f>
        <v>FY23</v>
      </c>
      <c r="O10" s="59" t="str">
        <f>Lookup!R20</f>
        <v>FY24</v>
      </c>
      <c r="P10" s="59" t="str">
        <f>Lookup!S20</f>
        <v>FY25</v>
      </c>
      <c r="Q10" s="59" t="str">
        <f>Lookup!T20</f>
        <v>FY26</v>
      </c>
      <c r="R10" s="59" t="str">
        <f>Lookup!U20</f>
        <v>FY27</v>
      </c>
      <c r="S10" s="59" t="str">
        <f>Lookup!V20</f>
        <v>FY28</v>
      </c>
    </row>
    <row r="12" spans="1:19" s="4" customFormat="1" ht="15.75" x14ac:dyDescent="0.2">
      <c r="B12" s="4" t="s">
        <v>131</v>
      </c>
    </row>
    <row r="13" spans="1:19" s="6" customFormat="1" ht="4.5" customHeight="1" x14ac:dyDescent="0.2"/>
    <row r="14" spans="1:19" s="13" customFormat="1" ht="15" x14ac:dyDescent="0.2">
      <c r="C14" s="13" t="s">
        <v>132</v>
      </c>
    </row>
    <row r="15" spans="1:19" s="6" customFormat="1" ht="11.25" customHeight="1" x14ac:dyDescent="0.2"/>
    <row r="16" spans="1:19" ht="12.75" x14ac:dyDescent="0.2">
      <c r="D16" s="70" t="s">
        <v>88</v>
      </c>
      <c r="E16" s="63" t="str">
        <f>Lookup!E$20</f>
        <v>Source</v>
      </c>
      <c r="F16" s="63" t="str">
        <f>Lookup!F$20</f>
        <v>Unit</v>
      </c>
      <c r="G16" s="63" t="str">
        <f>Lookup!G$20</f>
        <v>Basis</v>
      </c>
      <c r="H16" s="63" t="str">
        <f>Lookup!H$20</f>
        <v>Timing</v>
      </c>
      <c r="I16" s="6"/>
      <c r="J16" s="6"/>
      <c r="K16" s="6"/>
      <c r="L16" s="6"/>
      <c r="M16" s="6"/>
      <c r="N16" s="6"/>
      <c r="O16" s="131" t="str">
        <f>O$10</f>
        <v>FY24</v>
      </c>
      <c r="P16" s="131" t="str">
        <f t="shared" ref="P16:S16" si="0">P$10</f>
        <v>FY25</v>
      </c>
      <c r="Q16" s="131" t="str">
        <f t="shared" si="0"/>
        <v>FY26</v>
      </c>
      <c r="R16" s="131" t="str">
        <f t="shared" si="0"/>
        <v>FY27</v>
      </c>
      <c r="S16" s="131" t="str">
        <f t="shared" si="0"/>
        <v>FY28</v>
      </c>
    </row>
    <row r="17" spans="3:19" x14ac:dyDescent="0.2">
      <c r="I17" s="6"/>
      <c r="J17" s="6"/>
      <c r="K17" s="6"/>
      <c r="L17" s="6"/>
      <c r="M17" s="6"/>
      <c r="N17" s="6"/>
    </row>
    <row r="18" spans="3:19" ht="12.75" x14ac:dyDescent="0.2">
      <c r="D18" s="15" t="s">
        <v>134</v>
      </c>
      <c r="E18" s="72" t="s">
        <v>89</v>
      </c>
      <c r="F18" s="72" t="str">
        <f>Percent</f>
        <v>Percent</v>
      </c>
      <c r="G18" s="72" t="str">
        <f>Nominal</f>
        <v>Nominal</v>
      </c>
      <c r="H18" s="72" t="str">
        <f>NA</f>
        <v>N/A</v>
      </c>
      <c r="I18" s="6"/>
      <c r="J18" s="6"/>
      <c r="K18" s="6"/>
      <c r="L18" s="6"/>
      <c r="M18" s="6"/>
      <c r="N18" s="6"/>
      <c r="O18" s="90">
        <f>Input_Data!R19</f>
        <v>2.2499999999999999E-2</v>
      </c>
      <c r="P18" s="90">
        <f>Input_Data!S19</f>
        <v>2.2499999999999999E-2</v>
      </c>
      <c r="Q18" s="90">
        <f>Input_Data!T19</f>
        <v>2.3333333333333334E-2</v>
      </c>
      <c r="R18" s="90">
        <f>Input_Data!U19</f>
        <v>2.4166666666666666E-2</v>
      </c>
      <c r="S18" s="90">
        <f>Input_Data!V19</f>
        <v>2.5000000000000001E-2</v>
      </c>
    </row>
    <row r="19" spans="3:19" ht="12.75" customHeight="1" x14ac:dyDescent="0.2">
      <c r="I19" s="6"/>
      <c r="J19" s="6"/>
      <c r="K19" s="6"/>
      <c r="L19" s="6"/>
      <c r="M19" s="6"/>
      <c r="N19" s="6"/>
    </row>
    <row r="20" spans="3:19" ht="12.75" x14ac:dyDescent="0.2">
      <c r="D20" s="15" t="s">
        <v>135</v>
      </c>
      <c r="E20" s="72" t="s">
        <v>89</v>
      </c>
      <c r="F20" s="72" t="str">
        <f>Percent</f>
        <v>Percent</v>
      </c>
      <c r="G20" s="72" t="str">
        <f>Nominal</f>
        <v>Nominal</v>
      </c>
      <c r="H20" s="72" t="str">
        <f>NA</f>
        <v>N/A</v>
      </c>
      <c r="I20" s="6"/>
      <c r="J20" s="6"/>
      <c r="K20" s="6"/>
      <c r="L20" s="6"/>
      <c r="M20" s="6"/>
      <c r="N20" s="6"/>
      <c r="O20" s="90">
        <f>ROE</f>
        <v>5.3787976232925916E-2</v>
      </c>
      <c r="P20" s="51"/>
      <c r="Q20" s="51"/>
      <c r="R20" s="51"/>
      <c r="S20" s="51"/>
    </row>
    <row r="21" spans="3:19" ht="12.75" x14ac:dyDescent="0.2">
      <c r="D21" s="15" t="s">
        <v>136</v>
      </c>
      <c r="E21" s="72" t="s">
        <v>89</v>
      </c>
      <c r="F21" s="72" t="str">
        <f>Percent</f>
        <v>Percent</v>
      </c>
      <c r="G21" s="72" t="str">
        <f>Nominal</f>
        <v>Nominal</v>
      </c>
      <c r="H21" s="72" t="str">
        <f>NA</f>
        <v>N/A</v>
      </c>
      <c r="I21" s="6"/>
      <c r="J21" s="6"/>
      <c r="K21" s="6"/>
      <c r="L21" s="6"/>
      <c r="M21" s="6"/>
      <c r="N21" s="6"/>
      <c r="O21" s="90">
        <f>Input_Data!J130</f>
        <v>0.58499999999999996</v>
      </c>
      <c r="P21" s="51"/>
      <c r="Q21" s="51"/>
      <c r="R21" s="51"/>
      <c r="S21" s="51"/>
    </row>
    <row r="22" spans="3:19" ht="12.75" x14ac:dyDescent="0.2">
      <c r="D22" s="15" t="s">
        <v>137</v>
      </c>
      <c r="E22" s="72" t="s">
        <v>89</v>
      </c>
      <c r="F22" s="72" t="str">
        <f>Percent</f>
        <v>Percent</v>
      </c>
      <c r="G22" s="72" t="str">
        <f>Nominal</f>
        <v>Nominal</v>
      </c>
      <c r="H22" s="72" t="str">
        <f>NA</f>
        <v>N/A</v>
      </c>
      <c r="I22" s="6"/>
      <c r="J22" s="6"/>
      <c r="K22" s="6"/>
      <c r="L22" s="6"/>
      <c r="M22" s="6"/>
      <c r="N22" s="6"/>
      <c r="O22" s="90">
        <f>Input_Data!J131</f>
        <v>0.6</v>
      </c>
      <c r="P22" s="51"/>
      <c r="Q22" s="51"/>
      <c r="R22" s="51"/>
      <c r="S22" s="51"/>
    </row>
    <row r="23" spans="3:19" x14ac:dyDescent="0.2">
      <c r="I23" s="6"/>
      <c r="J23" s="6"/>
      <c r="K23" s="6"/>
      <c r="L23" s="6"/>
      <c r="M23" s="6"/>
      <c r="N23" s="6"/>
    </row>
    <row r="24" spans="3:19" s="6" customFormat="1" ht="11.25" customHeight="1" x14ac:dyDescent="0.2">
      <c r="D24" s="15" t="s">
        <v>150</v>
      </c>
      <c r="E24" s="72" t="s">
        <v>89</v>
      </c>
      <c r="F24" s="72" t="str">
        <f>Percent</f>
        <v>Percent</v>
      </c>
      <c r="G24" s="72" t="str">
        <f>Nominal</f>
        <v>Nominal</v>
      </c>
      <c r="H24" s="72" t="str">
        <f>NA</f>
        <v>N/A</v>
      </c>
      <c r="O24" s="90">
        <f>Calc_Returns!S146</f>
        <v>4.2530640306902824E-2</v>
      </c>
      <c r="P24" s="90">
        <f>Calc_Returns!T146</f>
        <v>4.2530640306902824E-2</v>
      </c>
      <c r="Q24" s="90">
        <f>Calc_Returns!U146</f>
        <v>4.2530640306902824E-2</v>
      </c>
      <c r="R24" s="90">
        <f>Calc_Returns!V146</f>
        <v>4.2530640306902824E-2</v>
      </c>
      <c r="S24" s="90">
        <f>Calc_Returns!W146</f>
        <v>4.2530640306902824E-2</v>
      </c>
    </row>
    <row r="25" spans="3:19" s="6" customFormat="1" ht="11.25" customHeight="1" x14ac:dyDescent="0.2">
      <c r="L25" s="10"/>
    </row>
    <row r="26" spans="3:19" ht="12.75" x14ac:dyDescent="0.2">
      <c r="D26" s="15" t="s">
        <v>213</v>
      </c>
      <c r="E26" s="72" t="s">
        <v>89</v>
      </c>
      <c r="F26" s="72" t="str">
        <f>Percent</f>
        <v>Percent</v>
      </c>
      <c r="G26" s="72" t="str">
        <f>Nominal</f>
        <v>Nominal</v>
      </c>
      <c r="H26" s="72" t="str">
        <f>NA</f>
        <v>N/A</v>
      </c>
      <c r="I26" s="6"/>
      <c r="J26" s="6"/>
      <c r="K26" s="6"/>
      <c r="L26" s="6"/>
      <c r="M26" s="6"/>
      <c r="N26" s="6"/>
      <c r="O26" s="90">
        <f>$O$20*(1-$O$22)+O24*$O$22</f>
        <v>4.7033574677312062E-2</v>
      </c>
      <c r="P26" s="90">
        <f t="shared" ref="P26:S26" si="1">$O$20*(1-$O$22)+P24*$O$22</f>
        <v>4.7033574677312062E-2</v>
      </c>
      <c r="Q26" s="90">
        <f t="shared" si="1"/>
        <v>4.7033574677312062E-2</v>
      </c>
      <c r="R26" s="90">
        <f t="shared" si="1"/>
        <v>4.7033574677312062E-2</v>
      </c>
      <c r="S26" s="90">
        <f t="shared" si="1"/>
        <v>4.7033574677312062E-2</v>
      </c>
    </row>
    <row r="27" spans="3:19" x14ac:dyDescent="0.2">
      <c r="I27" s="6"/>
      <c r="J27" s="6"/>
      <c r="K27" s="6"/>
      <c r="L27" s="6"/>
      <c r="M27" s="6"/>
      <c r="N27" s="6"/>
    </row>
    <row r="28" spans="3:19" s="6" customFormat="1" ht="11.25" customHeight="1" x14ac:dyDescent="0.2">
      <c r="L28" s="10"/>
    </row>
    <row r="29" spans="3:19" s="13" customFormat="1" ht="15" x14ac:dyDescent="0.2">
      <c r="C29" s="13" t="s">
        <v>133</v>
      </c>
    </row>
    <row r="30" spans="3:19" s="6" customFormat="1" ht="11.25" customHeight="1" x14ac:dyDescent="0.2"/>
    <row r="31" spans="3:19" ht="12.75" x14ac:dyDescent="0.2">
      <c r="D31" s="70" t="s">
        <v>88</v>
      </c>
      <c r="E31" s="63" t="str">
        <f>Lookup!E$20</f>
        <v>Source</v>
      </c>
      <c r="F31" s="63" t="str">
        <f>Lookup!F$20</f>
        <v>Unit</v>
      </c>
      <c r="G31" s="63" t="str">
        <f>Lookup!G$20</f>
        <v>Basis</v>
      </c>
      <c r="H31" s="63" t="str">
        <f>Lookup!H$20</f>
        <v>Timing</v>
      </c>
      <c r="I31" s="6"/>
      <c r="O31" s="63" t="str">
        <f>O$10&amp;" - "&amp;S$10</f>
        <v>FY24 - FY28</v>
      </c>
    </row>
    <row r="32" spans="3:19" s="6" customFormat="1" ht="11.25" customHeight="1" x14ac:dyDescent="0.2"/>
    <row r="33" spans="2:15" ht="12.75" x14ac:dyDescent="0.2">
      <c r="D33" s="15" t="s">
        <v>121</v>
      </c>
      <c r="E33" s="72" t="s">
        <v>89</v>
      </c>
      <c r="F33" s="72" t="str">
        <f>Percent</f>
        <v>Percent</v>
      </c>
      <c r="G33" s="72" t="str">
        <f>Nominal</f>
        <v>Nominal</v>
      </c>
      <c r="H33" s="72" t="str">
        <f>NA</f>
        <v>N/A</v>
      </c>
      <c r="I33" s="6"/>
      <c r="O33" s="90">
        <f>Input_Data!J138</f>
        <v>0.9</v>
      </c>
    </row>
    <row r="34" spans="2:15" ht="12.75" x14ac:dyDescent="0.2">
      <c r="D34" s="15" t="s">
        <v>122</v>
      </c>
      <c r="E34" s="72" t="s">
        <v>89</v>
      </c>
      <c r="F34" s="72" t="str">
        <f>Percent</f>
        <v>Percent</v>
      </c>
      <c r="G34" s="72" t="str">
        <f>Nominal</f>
        <v>Nominal</v>
      </c>
      <c r="H34" s="72" t="str">
        <f>NA</f>
        <v>N/A</v>
      </c>
      <c r="I34" s="6"/>
      <c r="O34" s="90">
        <f>Input_Data!J139</f>
        <v>0.03</v>
      </c>
    </row>
    <row r="35" spans="2:15" ht="12.75" x14ac:dyDescent="0.2">
      <c r="D35" s="15" t="s">
        <v>123</v>
      </c>
      <c r="E35" s="72" t="s">
        <v>89</v>
      </c>
      <c r="F35" s="72" t="str">
        <f>Percent</f>
        <v>Percent</v>
      </c>
      <c r="G35" s="72" t="str">
        <f>Nominal</f>
        <v>Nominal</v>
      </c>
      <c r="H35" s="72" t="str">
        <f>NA</f>
        <v>N/A</v>
      </c>
      <c r="I35" s="6"/>
      <c r="O35" s="90">
        <f>Input_Data!J140</f>
        <v>0.01</v>
      </c>
    </row>
    <row r="36" spans="2:15" ht="12.75" x14ac:dyDescent="0.2">
      <c r="D36" s="15" t="s">
        <v>124</v>
      </c>
      <c r="E36" s="72" t="s">
        <v>89</v>
      </c>
      <c r="F36" s="72" t="str">
        <f>Percent</f>
        <v>Percent</v>
      </c>
      <c r="G36" s="72" t="str">
        <f>Nominal</f>
        <v>Nominal</v>
      </c>
      <c r="H36" s="72" t="str">
        <f>NA</f>
        <v>N/A</v>
      </c>
      <c r="I36" s="6"/>
      <c r="O36" s="90">
        <f>Input_Data!J141</f>
        <v>0.3</v>
      </c>
    </row>
    <row r="37" spans="2:15" ht="12.75" x14ac:dyDescent="0.2">
      <c r="D37" s="15" t="s">
        <v>101</v>
      </c>
      <c r="E37" s="72" t="s">
        <v>89</v>
      </c>
      <c r="F37" s="72" t="str">
        <f>Percent</f>
        <v>Percent</v>
      </c>
      <c r="G37" s="72" t="str">
        <f>Nominal</f>
        <v>Nominal</v>
      </c>
      <c r="H37" s="72" t="str">
        <f>NA</f>
        <v>N/A</v>
      </c>
      <c r="I37" s="6"/>
      <c r="O37" s="90">
        <f>Input_Data!J142</f>
        <v>9.5100000000000002E-4</v>
      </c>
    </row>
    <row r="40" spans="2:15" s="4" customFormat="1" ht="15.75" x14ac:dyDescent="0.2">
      <c r="B40" s="4" t="s">
        <v>32</v>
      </c>
    </row>
  </sheetData>
  <conditionalFormatting sqref="B2">
    <cfRule type="cellIs" dxfId="3" priority="1" operator="notEqual">
      <formula>"No Errors Found"</formula>
    </cfRule>
  </conditionalFormatting>
  <hyperlinks>
    <hyperlink ref="B3:E3" location="TOC!A1" display="TOC!A1"/>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V74"/>
  <sheetViews>
    <sheetView showGridLines="0" zoomScaleNormal="100" workbookViewId="0">
      <pane xSplit="1" ySplit="4" topLeftCell="B5" activePane="bottomRight" state="frozen"/>
      <selection activeCell="C33" sqref="C33:X33"/>
      <selection pane="topRight" activeCell="C33" sqref="C33:X33"/>
      <selection pane="bottomLeft" activeCell="C33" sqref="C33:X33"/>
      <selection pane="bottomRight" activeCell="B5" sqref="B5"/>
    </sheetView>
  </sheetViews>
  <sheetFormatPr defaultColWidth="9.33203125" defaultRowHeight="11.25" outlineLevelRow="1" x14ac:dyDescent="0.2"/>
  <cols>
    <col min="1" max="3" width="2.83203125" style="1" customWidth="1"/>
    <col min="4" max="4" width="34" style="1" customWidth="1"/>
    <col min="5" max="8" width="20.6640625" style="1" customWidth="1"/>
    <col min="9" max="11" width="10.83203125" style="7" customWidth="1"/>
    <col min="12" max="12" width="10.83203125" style="1" customWidth="1"/>
    <col min="13" max="22" width="12.6640625" style="1" customWidth="1"/>
    <col min="23" max="16384" width="9.33203125" style="1"/>
  </cols>
  <sheetData>
    <row r="1" spans="2:22" ht="19.5" x14ac:dyDescent="0.2">
      <c r="B1" s="5" t="s">
        <v>45</v>
      </c>
    </row>
    <row r="2" spans="2:22" x14ac:dyDescent="0.2">
      <c r="B2" s="18" t="str">
        <f>Title_Msg</f>
        <v>No Errors Found</v>
      </c>
    </row>
    <row r="3" spans="2:22" s="7" customFormat="1" x14ac:dyDescent="0.2">
      <c r="B3" s="55" t="str">
        <f>TOC!B1</f>
        <v>Table of Contents</v>
      </c>
      <c r="C3" s="49"/>
      <c r="D3" s="49"/>
      <c r="E3" s="49"/>
    </row>
    <row r="4" spans="2:22" s="7" customFormat="1" ht="12.75" x14ac:dyDescent="0.2">
      <c r="B4" s="46" t="str">
        <f>Model_Name</f>
        <v>Rate of Return Model - TransGrid (TGD)</v>
      </c>
    </row>
    <row r="5" spans="2:22" s="7" customFormat="1" x14ac:dyDescent="0.2"/>
    <row r="6" spans="2:22" s="4" customFormat="1" ht="15.75" x14ac:dyDescent="0.2">
      <c r="B6" s="4" t="s">
        <v>30</v>
      </c>
    </row>
    <row r="7" spans="2:22" s="2" customFormat="1" ht="6.75" customHeight="1" x14ac:dyDescent="0.2">
      <c r="I7" s="6"/>
      <c r="J7" s="6"/>
      <c r="K7" s="6"/>
    </row>
    <row r="8" spans="2:22" s="13" customFormat="1" ht="15" x14ac:dyDescent="0.2">
      <c r="C8" s="13" t="s">
        <v>55</v>
      </c>
    </row>
    <row r="9" spans="2:22" s="2" customFormat="1" x14ac:dyDescent="0.2">
      <c r="D9" s="3"/>
      <c r="I9" s="6"/>
      <c r="J9" s="6"/>
      <c r="K9" s="6"/>
    </row>
    <row r="10" spans="2:22" s="6" customFormat="1" ht="12.75" x14ac:dyDescent="0.2">
      <c r="D10" s="16" t="s">
        <v>54</v>
      </c>
      <c r="E10" s="56">
        <v>43282</v>
      </c>
    </row>
    <row r="11" spans="2:22" s="7" customFormat="1" ht="12.75" x14ac:dyDescent="0.2">
      <c r="D11" s="16" t="s">
        <v>57</v>
      </c>
      <c r="E11" s="17">
        <v>2023</v>
      </c>
      <c r="O11" s="23"/>
      <c r="P11" s="24"/>
      <c r="Q11" s="24"/>
      <c r="R11" s="24"/>
    </row>
    <row r="12" spans="2:22" s="7" customFormat="1" x14ac:dyDescent="0.2">
      <c r="O12" s="23"/>
      <c r="P12" s="24"/>
      <c r="Q12" s="24"/>
      <c r="R12" s="24"/>
    </row>
    <row r="13" spans="2:22" s="13" customFormat="1" ht="15" x14ac:dyDescent="0.2">
      <c r="C13" s="13" t="s">
        <v>56</v>
      </c>
    </row>
    <row r="14" spans="2:22" s="7" customFormat="1" x14ac:dyDescent="0.2">
      <c r="O14" s="23"/>
      <c r="P14" s="24"/>
      <c r="Q14" s="24"/>
      <c r="R14" s="24"/>
    </row>
    <row r="15" spans="2:22" s="7" customFormat="1" ht="12.75" outlineLevel="1" x14ac:dyDescent="0.2">
      <c r="B15" s="16" t="s">
        <v>52</v>
      </c>
      <c r="M15" s="57">
        <f>IF(M17=1,Model_Start_Date,L16+1)</f>
        <v>43282</v>
      </c>
      <c r="N15" s="57">
        <f t="shared" ref="N15:V15" si="0">IF(N17=1,Model_Start_Date,M16+1)</f>
        <v>43647</v>
      </c>
      <c r="O15" s="57">
        <f t="shared" si="0"/>
        <v>44013</v>
      </c>
      <c r="P15" s="57">
        <f t="shared" si="0"/>
        <v>44378</v>
      </c>
      <c r="Q15" s="57">
        <f t="shared" si="0"/>
        <v>44743</v>
      </c>
      <c r="R15" s="57">
        <f t="shared" si="0"/>
        <v>45108</v>
      </c>
      <c r="S15" s="57">
        <f t="shared" si="0"/>
        <v>45474</v>
      </c>
      <c r="T15" s="57">
        <f t="shared" si="0"/>
        <v>45839</v>
      </c>
      <c r="U15" s="57">
        <f t="shared" si="0"/>
        <v>46204</v>
      </c>
      <c r="V15" s="57">
        <f t="shared" si="0"/>
        <v>46569</v>
      </c>
    </row>
    <row r="16" spans="2:22" s="7" customFormat="1" ht="12.75" outlineLevel="1" x14ac:dyDescent="0.2">
      <c r="B16" s="16" t="s">
        <v>53</v>
      </c>
      <c r="M16" s="57">
        <f t="shared" ref="M16:V16" si="1">EOMONTH(M15,Mths_In_Yr-1)</f>
        <v>43646</v>
      </c>
      <c r="N16" s="57">
        <f t="shared" si="1"/>
        <v>44012</v>
      </c>
      <c r="O16" s="57">
        <f t="shared" si="1"/>
        <v>44377</v>
      </c>
      <c r="P16" s="57">
        <f t="shared" si="1"/>
        <v>44742</v>
      </c>
      <c r="Q16" s="57">
        <f t="shared" si="1"/>
        <v>45107</v>
      </c>
      <c r="R16" s="57">
        <f t="shared" si="1"/>
        <v>45473</v>
      </c>
      <c r="S16" s="57">
        <f t="shared" si="1"/>
        <v>45838</v>
      </c>
      <c r="T16" s="57">
        <f t="shared" si="1"/>
        <v>46203</v>
      </c>
      <c r="U16" s="57">
        <f t="shared" si="1"/>
        <v>46568</v>
      </c>
      <c r="V16" s="57">
        <f t="shared" si="1"/>
        <v>46934</v>
      </c>
    </row>
    <row r="17" spans="2:22" s="7" customFormat="1" ht="12.75" outlineLevel="1" x14ac:dyDescent="0.2">
      <c r="B17" s="16" t="s">
        <v>51</v>
      </c>
      <c r="M17" s="27">
        <f>N(L17)+1</f>
        <v>1</v>
      </c>
      <c r="N17" s="27">
        <f t="shared" ref="N17:V17" si="2">N(M17)+1</f>
        <v>2</v>
      </c>
      <c r="O17" s="27">
        <f t="shared" si="2"/>
        <v>3</v>
      </c>
      <c r="P17" s="27">
        <f t="shared" si="2"/>
        <v>4</v>
      </c>
      <c r="Q17" s="27">
        <f t="shared" si="2"/>
        <v>5</v>
      </c>
      <c r="R17" s="27">
        <f t="shared" si="2"/>
        <v>6</v>
      </c>
      <c r="S17" s="27">
        <f t="shared" si="2"/>
        <v>7</v>
      </c>
      <c r="T17" s="27">
        <f t="shared" si="2"/>
        <v>8</v>
      </c>
      <c r="U17" s="27">
        <f t="shared" si="2"/>
        <v>9</v>
      </c>
      <c r="V17" s="27">
        <f t="shared" si="2"/>
        <v>10</v>
      </c>
    </row>
    <row r="18" spans="2:22" s="7" customFormat="1" ht="12.75" outlineLevel="1" x14ac:dyDescent="0.2">
      <c r="B18" s="16" t="s">
        <v>58</v>
      </c>
      <c r="M18" s="12">
        <f>YEAR(M16)</f>
        <v>2019</v>
      </c>
      <c r="N18" s="12">
        <f t="shared" ref="N18:V18" si="3">YEAR(N16)</f>
        <v>2020</v>
      </c>
      <c r="O18" s="12">
        <f t="shared" si="3"/>
        <v>2021</v>
      </c>
      <c r="P18" s="12">
        <f t="shared" si="3"/>
        <v>2022</v>
      </c>
      <c r="Q18" s="12">
        <f t="shared" si="3"/>
        <v>2023</v>
      </c>
      <c r="R18" s="12">
        <f t="shared" si="3"/>
        <v>2024</v>
      </c>
      <c r="S18" s="12">
        <f t="shared" si="3"/>
        <v>2025</v>
      </c>
      <c r="T18" s="12">
        <f t="shared" si="3"/>
        <v>2026</v>
      </c>
      <c r="U18" s="12">
        <f t="shared" si="3"/>
        <v>2027</v>
      </c>
      <c r="V18" s="12">
        <f t="shared" si="3"/>
        <v>2028</v>
      </c>
    </row>
    <row r="19" spans="2:22" s="7" customFormat="1" ht="12.75" outlineLevel="1" x14ac:dyDescent="0.2">
      <c r="B19" s="16" t="s">
        <v>59</v>
      </c>
      <c r="I19" s="19" t="s">
        <v>60</v>
      </c>
      <c r="J19" s="19" t="s">
        <v>60</v>
      </c>
      <c r="K19" s="19" t="s">
        <v>60</v>
      </c>
      <c r="L19" s="19" t="s">
        <v>60</v>
      </c>
      <c r="M19" s="19" t="s">
        <v>60</v>
      </c>
      <c r="N19" s="19" t="s">
        <v>60</v>
      </c>
      <c r="O19" s="19" t="s">
        <v>60</v>
      </c>
      <c r="P19" s="19" t="s">
        <v>57</v>
      </c>
      <c r="Q19" s="19" t="s">
        <v>205</v>
      </c>
      <c r="R19" s="19" t="s">
        <v>61</v>
      </c>
      <c r="S19" s="19" t="s">
        <v>61</v>
      </c>
      <c r="T19" s="19" t="s">
        <v>61</v>
      </c>
      <c r="U19" s="19" t="s">
        <v>61</v>
      </c>
      <c r="V19" s="19" t="s">
        <v>61</v>
      </c>
    </row>
    <row r="20" spans="2:22" s="7" customFormat="1" ht="12.75" x14ac:dyDescent="0.2">
      <c r="B20" s="14" t="s">
        <v>62</v>
      </c>
      <c r="E20" s="20" t="s">
        <v>63</v>
      </c>
      <c r="F20" s="20" t="s">
        <v>64</v>
      </c>
      <c r="G20" s="20" t="s">
        <v>65</v>
      </c>
      <c r="H20" s="20" t="s">
        <v>66</v>
      </c>
      <c r="I20" s="58" t="str">
        <f t="shared" ref="I20:J20" si="4">"FY"&amp;RIGHT(J20,2)-1</f>
        <v>FY15</v>
      </c>
      <c r="J20" s="58" t="str">
        <f t="shared" si="4"/>
        <v>FY16</v>
      </c>
      <c r="K20" s="58" t="str">
        <f>"FY"&amp;RIGHT(L20,2)-1</f>
        <v>FY17</v>
      </c>
      <c r="L20" s="58" t="str">
        <f>"FY"&amp;RIGHT(M18,2)-1</f>
        <v>FY18</v>
      </c>
      <c r="M20" s="58" t="str">
        <f>"FY"&amp;RIGHT(M18,2)</f>
        <v>FY19</v>
      </c>
      <c r="N20" s="58" t="str">
        <f t="shared" ref="N20:V20" si="5">"FY"&amp;RIGHT(N18,2)</f>
        <v>FY20</v>
      </c>
      <c r="O20" s="58" t="str">
        <f t="shared" si="5"/>
        <v>FY21</v>
      </c>
      <c r="P20" s="58" t="str">
        <f t="shared" si="5"/>
        <v>FY22</v>
      </c>
      <c r="Q20" s="58" t="str">
        <f t="shared" si="5"/>
        <v>FY23</v>
      </c>
      <c r="R20" s="58" t="str">
        <f t="shared" si="5"/>
        <v>FY24</v>
      </c>
      <c r="S20" s="58" t="str">
        <f t="shared" si="5"/>
        <v>FY25</v>
      </c>
      <c r="T20" s="58" t="str">
        <f t="shared" si="5"/>
        <v>FY26</v>
      </c>
      <c r="U20" s="58" t="str">
        <f t="shared" si="5"/>
        <v>FY27</v>
      </c>
      <c r="V20" s="58" t="str">
        <f t="shared" si="5"/>
        <v>FY28</v>
      </c>
    </row>
    <row r="21" spans="2:22" s="7" customFormat="1" x14ac:dyDescent="0.2">
      <c r="O21" s="23"/>
      <c r="P21" s="24"/>
      <c r="Q21" s="24"/>
      <c r="R21" s="24"/>
    </row>
    <row r="22" spans="2:22" s="4" customFormat="1" ht="15.75" x14ac:dyDescent="0.2">
      <c r="B22" s="4" t="s">
        <v>45</v>
      </c>
    </row>
    <row r="23" spans="2:22" s="7" customFormat="1" x14ac:dyDescent="0.2">
      <c r="O23" s="23"/>
      <c r="P23" s="24"/>
      <c r="Q23" s="24"/>
      <c r="R23" s="24"/>
    </row>
    <row r="24" spans="2:22" ht="12.75" x14ac:dyDescent="0.2">
      <c r="C24" s="8" t="s">
        <v>0</v>
      </c>
      <c r="E24" s="20" t="s">
        <v>1</v>
      </c>
    </row>
    <row r="25" spans="2:22" x14ac:dyDescent="0.2">
      <c r="E25" s="21"/>
    </row>
    <row r="26" spans="2:22" ht="12.75" x14ac:dyDescent="0.2">
      <c r="D26" s="17">
        <v>1</v>
      </c>
      <c r="E26" s="22" t="s">
        <v>2</v>
      </c>
    </row>
    <row r="27" spans="2:22" ht="12.75" x14ac:dyDescent="0.2">
      <c r="D27" s="17">
        <v>3</v>
      </c>
      <c r="E27" s="22" t="s">
        <v>3</v>
      </c>
    </row>
    <row r="28" spans="2:22" s="7" customFormat="1" ht="12.75" x14ac:dyDescent="0.2">
      <c r="D28" s="17">
        <v>4</v>
      </c>
      <c r="E28" s="22" t="s">
        <v>33</v>
      </c>
    </row>
    <row r="29" spans="2:22" ht="12.75" x14ac:dyDescent="0.2">
      <c r="D29" s="17">
        <v>12</v>
      </c>
      <c r="E29" s="22" t="s">
        <v>4</v>
      </c>
    </row>
    <row r="30" spans="2:22" s="7" customFormat="1" ht="12.75" x14ac:dyDescent="0.2">
      <c r="D30" s="17">
        <v>7</v>
      </c>
      <c r="E30" s="22" t="s">
        <v>13</v>
      </c>
    </row>
    <row r="31" spans="2:22" s="7" customFormat="1" ht="12.75" x14ac:dyDescent="0.2">
      <c r="D31" s="17">
        <v>365</v>
      </c>
      <c r="E31" s="22" t="s">
        <v>46</v>
      </c>
    </row>
    <row r="32" spans="2:22" s="7" customFormat="1" ht="12.75" x14ac:dyDescent="0.2">
      <c r="D32" s="17">
        <v>0.5</v>
      </c>
      <c r="E32" s="22" t="s">
        <v>8</v>
      </c>
    </row>
    <row r="33" spans="3:5" ht="12.75" x14ac:dyDescent="0.2">
      <c r="D33" s="17" t="s">
        <v>6</v>
      </c>
      <c r="E33" s="22" t="s">
        <v>6</v>
      </c>
    </row>
    <row r="34" spans="3:5" s="7" customFormat="1" ht="12.75" x14ac:dyDescent="0.2">
      <c r="D34" s="17" t="s">
        <v>34</v>
      </c>
      <c r="E34" s="22" t="s">
        <v>35</v>
      </c>
    </row>
    <row r="35" spans="3:5" ht="12.75" x14ac:dyDescent="0.2">
      <c r="D35" s="17" t="s">
        <v>7</v>
      </c>
      <c r="E35" s="22" t="s">
        <v>7</v>
      </c>
    </row>
    <row r="36" spans="3:5" x14ac:dyDescent="0.2">
      <c r="E36" s="21"/>
    </row>
    <row r="37" spans="3:5" s="7" customFormat="1" ht="12.75" x14ac:dyDescent="0.2">
      <c r="C37" s="8" t="s">
        <v>0</v>
      </c>
      <c r="E37" s="20" t="s">
        <v>1</v>
      </c>
    </row>
    <row r="38" spans="3:5" s="7" customFormat="1" ht="12.75" x14ac:dyDescent="0.2">
      <c r="E38" s="22" t="s">
        <v>11</v>
      </c>
    </row>
    <row r="39" spans="3:5" s="7" customFormat="1" ht="12.75" x14ac:dyDescent="0.2">
      <c r="D39" s="17" t="s">
        <v>9</v>
      </c>
      <c r="E39" s="22" t="s">
        <v>9</v>
      </c>
    </row>
    <row r="40" spans="3:5" s="7" customFormat="1" ht="12.75" x14ac:dyDescent="0.2">
      <c r="D40" s="17" t="s">
        <v>10</v>
      </c>
      <c r="E40" s="22" t="s">
        <v>10</v>
      </c>
    </row>
    <row r="41" spans="3:5" s="7" customFormat="1" x14ac:dyDescent="0.2">
      <c r="E41" s="21"/>
    </row>
    <row r="42" spans="3:5" s="7" customFormat="1" ht="12.75" x14ac:dyDescent="0.2">
      <c r="C42" s="8" t="s">
        <v>71</v>
      </c>
      <c r="E42" s="20" t="s">
        <v>1</v>
      </c>
    </row>
    <row r="43" spans="3:5" s="7" customFormat="1" ht="12.75" x14ac:dyDescent="0.2">
      <c r="E43" s="22" t="s">
        <v>79</v>
      </c>
    </row>
    <row r="44" spans="3:5" s="7" customFormat="1" ht="12.75" x14ac:dyDescent="0.2">
      <c r="D44" s="17" t="s">
        <v>72</v>
      </c>
      <c r="E44" s="22" t="s">
        <v>72</v>
      </c>
    </row>
    <row r="45" spans="3:5" s="7" customFormat="1" ht="12.75" x14ac:dyDescent="0.2">
      <c r="D45" s="17" t="s">
        <v>73</v>
      </c>
      <c r="E45" s="22" t="s">
        <v>73</v>
      </c>
    </row>
    <row r="46" spans="3:5" s="7" customFormat="1" ht="12.75" x14ac:dyDescent="0.2">
      <c r="D46" s="17" t="s">
        <v>75</v>
      </c>
      <c r="E46" s="22" t="s">
        <v>77</v>
      </c>
    </row>
    <row r="47" spans="3:5" s="7" customFormat="1" ht="12.75" x14ac:dyDescent="0.2">
      <c r="D47" s="17" t="s">
        <v>76</v>
      </c>
      <c r="E47" s="22" t="s">
        <v>78</v>
      </c>
    </row>
    <row r="48" spans="3:5" s="7" customFormat="1" ht="12.75" x14ac:dyDescent="0.2">
      <c r="D48" s="17" t="s">
        <v>74</v>
      </c>
      <c r="E48" s="22" t="s">
        <v>74</v>
      </c>
    </row>
    <row r="49" spans="3:6" s="7" customFormat="1" ht="12.75" x14ac:dyDescent="0.2">
      <c r="D49" s="17" t="s">
        <v>93</v>
      </c>
      <c r="E49" s="22" t="s">
        <v>93</v>
      </c>
    </row>
    <row r="50" spans="3:6" s="7" customFormat="1" ht="12.75" x14ac:dyDescent="0.2">
      <c r="D50" s="17" t="s">
        <v>91</v>
      </c>
      <c r="E50" s="22" t="s">
        <v>196</v>
      </c>
    </row>
    <row r="51" spans="3:6" s="7" customFormat="1" ht="12.75" x14ac:dyDescent="0.2">
      <c r="D51" s="17" t="s">
        <v>92</v>
      </c>
      <c r="E51" s="22" t="s">
        <v>197</v>
      </c>
    </row>
    <row r="52" spans="3:6" s="7" customFormat="1" ht="12.75" x14ac:dyDescent="0.2">
      <c r="D52" s="17" t="s">
        <v>94</v>
      </c>
      <c r="E52" s="66" t="s">
        <v>95</v>
      </c>
    </row>
    <row r="53" spans="3:6" s="7" customFormat="1" ht="12.75" x14ac:dyDescent="0.2">
      <c r="D53" s="17" t="str">
        <f>NA</f>
        <v>N/A</v>
      </c>
      <c r="E53" s="22" t="s">
        <v>90</v>
      </c>
    </row>
    <row r="54" spans="3:6" s="7" customFormat="1" x14ac:dyDescent="0.2">
      <c r="E54" s="21"/>
    </row>
    <row r="55" spans="3:6" s="7" customFormat="1" ht="12.75" x14ac:dyDescent="0.2">
      <c r="C55" s="8" t="s">
        <v>65</v>
      </c>
      <c r="E55" s="20" t="s">
        <v>1</v>
      </c>
    </row>
    <row r="56" spans="3:6" s="7" customFormat="1" ht="12.75" x14ac:dyDescent="0.2">
      <c r="E56" s="22" t="s">
        <v>70</v>
      </c>
    </row>
    <row r="57" spans="3:6" s="7" customFormat="1" ht="12.75" x14ac:dyDescent="0.2">
      <c r="D57" s="17" t="s">
        <v>67</v>
      </c>
      <c r="E57" s="22" t="s">
        <v>69</v>
      </c>
    </row>
    <row r="58" spans="3:6" s="7" customFormat="1" ht="12.75" x14ac:dyDescent="0.2">
      <c r="D58" s="17" t="s">
        <v>99</v>
      </c>
      <c r="E58" s="22" t="s">
        <v>100</v>
      </c>
    </row>
    <row r="59" spans="3:6" s="7" customFormat="1" ht="12.75" x14ac:dyDescent="0.2">
      <c r="D59" s="17" t="str">
        <f>NA</f>
        <v>N/A</v>
      </c>
      <c r="E59" s="22" t="s">
        <v>90</v>
      </c>
    </row>
    <row r="60" spans="3:6" s="7" customFormat="1" ht="12.75" x14ac:dyDescent="0.2">
      <c r="D60" s="17" t="s">
        <v>68</v>
      </c>
      <c r="E60" s="22" t="s">
        <v>68</v>
      </c>
    </row>
    <row r="61" spans="3:6" s="7" customFormat="1" x14ac:dyDescent="0.2">
      <c r="E61" s="21"/>
    </row>
    <row r="62" spans="3:6" s="7" customFormat="1" ht="12.75" x14ac:dyDescent="0.2">
      <c r="C62" s="8" t="s">
        <v>66</v>
      </c>
      <c r="E62" s="20"/>
      <c r="F62" s="20" t="s">
        <v>1</v>
      </c>
    </row>
    <row r="63" spans="3:6" s="7" customFormat="1" ht="12.75" x14ac:dyDescent="0.2">
      <c r="D63" s="22" t="s">
        <v>83</v>
      </c>
      <c r="E63" s="22" t="s">
        <v>84</v>
      </c>
    </row>
    <row r="64" spans="3:6" s="7" customFormat="1" ht="12.75" x14ac:dyDescent="0.2">
      <c r="D64" s="17" t="s">
        <v>80</v>
      </c>
      <c r="E64" s="17">
        <v>0</v>
      </c>
      <c r="F64" s="22" t="s">
        <v>87</v>
      </c>
    </row>
    <row r="65" spans="2:6" s="7" customFormat="1" ht="12.75" x14ac:dyDescent="0.2">
      <c r="D65" s="17" t="s">
        <v>81</v>
      </c>
      <c r="E65" s="17">
        <v>0.5</v>
      </c>
      <c r="F65" s="22" t="s">
        <v>86</v>
      </c>
    </row>
    <row r="66" spans="2:6" s="7" customFormat="1" ht="12.75" x14ac:dyDescent="0.2">
      <c r="D66" s="17" t="s">
        <v>82</v>
      </c>
      <c r="E66" s="17">
        <v>1</v>
      </c>
      <c r="F66" s="22" t="s">
        <v>85</v>
      </c>
    </row>
    <row r="67" spans="2:6" s="7" customFormat="1" ht="12.75" x14ac:dyDescent="0.2">
      <c r="D67" s="17" t="str">
        <f>NA</f>
        <v>N/A</v>
      </c>
      <c r="E67" s="17" t="str">
        <f>NA</f>
        <v>N/A</v>
      </c>
      <c r="F67" s="22"/>
    </row>
    <row r="68" spans="2:6" s="7" customFormat="1" x14ac:dyDescent="0.2">
      <c r="E68" s="21"/>
    </row>
    <row r="69" spans="2:6" ht="12.75" x14ac:dyDescent="0.2">
      <c r="C69" s="8" t="s">
        <v>228</v>
      </c>
      <c r="D69" s="7"/>
      <c r="E69" s="20" t="s">
        <v>1</v>
      </c>
    </row>
    <row r="70" spans="2:6" ht="12.75" x14ac:dyDescent="0.2">
      <c r="C70" s="7"/>
      <c r="D70" s="7"/>
      <c r="E70" s="22" t="s">
        <v>198</v>
      </c>
    </row>
    <row r="71" spans="2:6" ht="12.75" x14ac:dyDescent="0.2">
      <c r="C71" s="7"/>
      <c r="D71" s="17" t="s">
        <v>60</v>
      </c>
      <c r="E71" s="7"/>
    </row>
    <row r="72" spans="2:6" s="7" customFormat="1" ht="12.75" x14ac:dyDescent="0.2">
      <c r="D72" s="17" t="s">
        <v>194</v>
      </c>
    </row>
    <row r="74" spans="2:6" s="4" customFormat="1" ht="15.75" x14ac:dyDescent="0.2">
      <c r="B74" s="4" t="s">
        <v>32</v>
      </c>
    </row>
  </sheetData>
  <conditionalFormatting sqref="B2">
    <cfRule type="cellIs" dxfId="2" priority="1" operator="notEqual">
      <formula>"No Errors Found"</formula>
    </cfRule>
  </conditionalFormatting>
  <hyperlinks>
    <hyperlink ref="B3:E3" location="TOC!A1" display="TOC!A1"/>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zoomScaleNormal="100" workbookViewId="0">
      <pane xSplit="1" ySplit="4" topLeftCell="B5" activePane="bottomRight" state="frozen"/>
      <selection activeCell="C33" sqref="C33:X33"/>
      <selection pane="topRight" activeCell="C33" sqref="C33:X33"/>
      <selection pane="bottomLeft" activeCell="C33" sqref="C33:X33"/>
      <selection pane="bottomRight" activeCell="B5" sqref="B5"/>
    </sheetView>
  </sheetViews>
  <sheetFormatPr defaultRowHeight="11.25" x14ac:dyDescent="0.2"/>
  <cols>
    <col min="1" max="3" width="2.83203125" customWidth="1"/>
    <col min="4" max="4" width="65" customWidth="1"/>
    <col min="5" max="7" width="3.83203125" customWidth="1"/>
  </cols>
  <sheetData>
    <row r="1" spans="1:9" ht="19.5" x14ac:dyDescent="0.2">
      <c r="A1" s="7"/>
      <c r="B1" s="5" t="s">
        <v>15</v>
      </c>
      <c r="C1" s="7"/>
      <c r="D1" s="7"/>
      <c r="E1" s="7"/>
      <c r="F1" s="7"/>
      <c r="G1" s="7"/>
      <c r="H1" s="7"/>
      <c r="I1" s="7"/>
    </row>
    <row r="2" spans="1:9" s="9" customFormat="1" x14ac:dyDescent="0.2">
      <c r="A2" s="7"/>
      <c r="B2" s="18" t="str">
        <f>Title_Msg</f>
        <v>No Errors Found</v>
      </c>
      <c r="C2" s="7"/>
      <c r="D2" s="7"/>
      <c r="E2" s="7"/>
      <c r="F2" s="7"/>
      <c r="G2" s="7"/>
      <c r="H2" s="7"/>
      <c r="I2" s="7"/>
    </row>
    <row r="3" spans="1:9" s="7" customFormat="1" x14ac:dyDescent="0.2">
      <c r="B3" s="55" t="str">
        <f>TOC!B1</f>
        <v>Table of Contents</v>
      </c>
      <c r="C3" s="49"/>
      <c r="D3" s="49"/>
      <c r="E3" s="49"/>
    </row>
    <row r="4" spans="1:9" s="7" customFormat="1" ht="12.75" x14ac:dyDescent="0.2">
      <c r="B4" s="46" t="str">
        <f>Model_Name</f>
        <v>Rate of Return Model - TransGrid (TGD)</v>
      </c>
    </row>
    <row r="5" spans="1:9" s="9" customFormat="1" x14ac:dyDescent="0.2">
      <c r="A5" s="7"/>
      <c r="B5" s="18"/>
      <c r="C5" s="7"/>
      <c r="D5" s="7"/>
      <c r="E5" s="7"/>
      <c r="F5" s="7"/>
      <c r="G5" s="7"/>
      <c r="H5" s="7"/>
      <c r="I5" s="7"/>
    </row>
    <row r="6" spans="1:9" s="25" customFormat="1" ht="15.75" x14ac:dyDescent="0.2">
      <c r="B6" s="4" t="s">
        <v>17</v>
      </c>
    </row>
    <row r="7" spans="1:9" s="9" customFormat="1" x14ac:dyDescent="0.2"/>
    <row r="8" spans="1:9" s="9" customFormat="1" ht="12.75" x14ac:dyDescent="0.2">
      <c r="A8" s="7"/>
      <c r="D8" s="11" t="s">
        <v>16</v>
      </c>
      <c r="E8" s="7"/>
      <c r="F8" s="7"/>
      <c r="G8" s="7"/>
      <c r="H8" s="12" t="str">
        <f>IF(H23=0,"No Errors Found","Errors Found")</f>
        <v>No Errors Found</v>
      </c>
      <c r="I8" s="7"/>
    </row>
    <row r="9" spans="1:9" s="9" customFormat="1" ht="12.75" x14ac:dyDescent="0.2">
      <c r="A9" s="7"/>
      <c r="D9" s="11" t="s">
        <v>18</v>
      </c>
      <c r="E9" s="7"/>
      <c r="F9" s="7"/>
      <c r="G9" s="7"/>
      <c r="H9" s="11"/>
      <c r="I9" s="7"/>
    </row>
    <row r="10" spans="1:9" s="9" customFormat="1" ht="12.75" x14ac:dyDescent="0.2">
      <c r="A10" s="7"/>
      <c r="D10" s="11" t="s">
        <v>19</v>
      </c>
      <c r="E10" s="7"/>
      <c r="F10" s="7"/>
      <c r="G10" s="7"/>
      <c r="H10" s="29" t="str">
        <f>H8&amp;IF(H9="","",", " &amp;H9)</f>
        <v>No Errors Found</v>
      </c>
      <c r="I10" s="7"/>
    </row>
    <row r="11" spans="1:9" s="9" customFormat="1" x14ac:dyDescent="0.2"/>
    <row r="12" spans="1:9" s="25" customFormat="1" ht="15.75" x14ac:dyDescent="0.2">
      <c r="B12" s="4" t="s">
        <v>31</v>
      </c>
    </row>
    <row r="13" spans="1:9" s="9" customFormat="1" x14ac:dyDescent="0.2"/>
    <row r="14" spans="1:9" s="13" customFormat="1" ht="15" x14ac:dyDescent="0.2">
      <c r="C14" s="13" t="s">
        <v>12</v>
      </c>
    </row>
    <row r="15" spans="1:9" s="9" customFormat="1" ht="4.1500000000000004" customHeight="1" x14ac:dyDescent="0.2">
      <c r="A15" s="7"/>
      <c r="B15" s="26"/>
      <c r="C15" s="7"/>
      <c r="D15" s="7"/>
      <c r="E15" s="7"/>
      <c r="F15" s="7"/>
      <c r="G15" s="7"/>
      <c r="H15" s="7"/>
      <c r="I15" s="7"/>
    </row>
    <row r="16" spans="1:9" s="9" customFormat="1" x14ac:dyDescent="0.2"/>
    <row r="17" spans="1:9" s="9" customFormat="1" ht="4.1500000000000004" customHeight="1" x14ac:dyDescent="0.2">
      <c r="A17" s="7"/>
      <c r="B17" s="26"/>
      <c r="C17" s="7"/>
      <c r="D17" s="7"/>
      <c r="E17" s="7"/>
      <c r="F17" s="7"/>
      <c r="G17" s="7"/>
      <c r="H17" s="7"/>
      <c r="I17" s="7"/>
    </row>
    <row r="18" spans="1:9" s="9" customFormat="1" ht="12.75" x14ac:dyDescent="0.2">
      <c r="A18" s="7"/>
      <c r="D18" s="11" t="str">
        <f>Input_CPI!$B$1</f>
        <v>CPI inputs</v>
      </c>
      <c r="E18" s="7"/>
      <c r="F18" s="7"/>
      <c r="G18" s="7"/>
      <c r="H18" s="73">
        <f>Input_CPI!$A$1</f>
        <v>0</v>
      </c>
      <c r="I18" s="7"/>
    </row>
    <row r="19" spans="1:9" ht="12.75" x14ac:dyDescent="0.2">
      <c r="A19" s="7"/>
      <c r="D19" s="11" t="str">
        <f>Input_Data!$B$1</f>
        <v>Rate of return inputs</v>
      </c>
      <c r="E19" s="7"/>
      <c r="F19" s="7"/>
      <c r="G19" s="7"/>
      <c r="H19" s="73">
        <f>Input_Data!$A$1</f>
        <v>0</v>
      </c>
      <c r="I19" s="7"/>
    </row>
    <row r="20" spans="1:9" s="9" customFormat="1" ht="12.75" x14ac:dyDescent="0.2">
      <c r="D20" s="11" t="str">
        <f>Output_PTRM!$B$1</f>
        <v>Inputs to PTRM</v>
      </c>
      <c r="E20" s="7"/>
      <c r="F20" s="7"/>
      <c r="G20" s="7"/>
      <c r="H20" s="73">
        <f>Output_PTRM!$A$1</f>
        <v>0</v>
      </c>
    </row>
    <row r="21" spans="1:9" ht="12.75" x14ac:dyDescent="0.2">
      <c r="C21" s="9"/>
      <c r="D21" s="11" t="str">
        <f>Output_PTRM!$B$1</f>
        <v>Inputs to PTRM</v>
      </c>
      <c r="E21" s="7"/>
      <c r="F21" s="7"/>
      <c r="G21" s="7"/>
      <c r="H21" s="73">
        <f>Output_PTRM!A1</f>
        <v>0</v>
      </c>
    </row>
    <row r="22" spans="1:9" s="9" customFormat="1" x14ac:dyDescent="0.2"/>
    <row r="23" spans="1:9" ht="12.75" x14ac:dyDescent="0.2">
      <c r="C23" s="14" t="s">
        <v>47</v>
      </c>
      <c r="H23" s="28">
        <f>IF(SUM(H18:H21)=0,0,1)</f>
        <v>0</v>
      </c>
    </row>
    <row r="24" spans="1:9" s="9" customFormat="1" x14ac:dyDescent="0.2"/>
    <row r="25" spans="1:9" s="25" customFormat="1" ht="15.75" x14ac:dyDescent="0.2">
      <c r="B25" s="25" t="s">
        <v>32</v>
      </c>
    </row>
  </sheetData>
  <conditionalFormatting sqref="B2 B5">
    <cfRule type="cellIs" dxfId="1" priority="21" operator="notEqual">
      <formula>"No Errors Found"</formula>
    </cfRule>
  </conditionalFormatting>
  <conditionalFormatting sqref="B15 B17">
    <cfRule type="cellIs" dxfId="0" priority="16" operator="notEqual">
      <formula>"No Errors Found"</formula>
    </cfRule>
  </conditionalFormatting>
  <hyperlinks>
    <hyperlink ref="B3:E3" location="TOC!A1" display="TOC!A1"/>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6EA8250C83EF049A6081B6ABE2EC208" ma:contentTypeVersion="9" ma:contentTypeDescription="Create a new document." ma:contentTypeScope="" ma:versionID="5899300b55b32bfc167ba1cf97f31b4a">
  <xsd:schema xmlns:xsd="http://www.w3.org/2001/XMLSchema" xmlns:xs="http://www.w3.org/2001/XMLSchema" xmlns:p="http://schemas.microsoft.com/office/2006/metadata/properties" xmlns:ns2="219a03a1-7fe7-42f3-bdad-55ca8d66a738" xmlns:ns3="4eb6023d-658b-4527-be73-24b0518f0bf9" xmlns:ns4="97db55b7-6849-467b-a514-00ca68ee4ee0" targetNamespace="http://schemas.microsoft.com/office/2006/metadata/properties" ma:root="true" ma:fieldsID="968fcfc8334bfb21df38a6431dff2315" ns2:_="" ns3:_="" ns4:_="">
    <xsd:import namespace="219a03a1-7fe7-42f3-bdad-55ca8d66a738"/>
    <xsd:import namespace="4eb6023d-658b-4527-be73-24b0518f0bf9"/>
    <xsd:import namespace="97db55b7-6849-467b-a514-00ca68ee4ee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9a03a1-7fe7-42f3-bdad-55ca8d66a7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b6023d-658b-4527-be73-24b0518f0bf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7db55b7-6849-467b-a514-00ca68ee4ee0" elementFormDefault="qualified">
    <xsd:import namespace="http://schemas.microsoft.com/office/2006/documentManagement/types"/>
    <xsd:import namespace="http://schemas.microsoft.com/office/infopath/2007/PartnerControls"/>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D09A08-6893-45D3-8277-59D54DC068B4}">
  <ds:schemaRefs>
    <ds:schemaRef ds:uri="http://schemas.microsoft.com/PowerBIAddIn"/>
  </ds:schemaRefs>
</ds:datastoreItem>
</file>

<file path=customXml/itemProps2.xml><?xml version="1.0" encoding="utf-8"?>
<ds:datastoreItem xmlns:ds="http://schemas.openxmlformats.org/officeDocument/2006/customXml" ds:itemID="{1997CDD1-FCE8-40FA-A22B-39998E6D97A8}">
  <ds:schemaRefs>
    <ds:schemaRef ds:uri="http://purl.org/dc/terms/"/>
    <ds:schemaRef ds:uri="97db55b7-6849-467b-a514-00ca68ee4ee0"/>
    <ds:schemaRef ds:uri="http://schemas.microsoft.com/office/2006/documentManagement/types"/>
    <ds:schemaRef ds:uri="4eb6023d-658b-4527-be73-24b0518f0bf9"/>
    <ds:schemaRef ds:uri="http://schemas.openxmlformats.org/package/2006/metadata/core-properties"/>
    <ds:schemaRef ds:uri="http://purl.org/dc/elements/1.1/"/>
    <ds:schemaRef ds:uri="219a03a1-7fe7-42f3-bdad-55ca8d66a738"/>
    <ds:schemaRef ds:uri="http://schemas.microsoft.com/office/infopath/2007/PartnerControl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EFD6E205-E654-4E92-8767-D660CD3139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9a03a1-7fe7-42f3-bdad-55ca8d66a738"/>
    <ds:schemaRef ds:uri="4eb6023d-658b-4527-be73-24b0518f0bf9"/>
    <ds:schemaRef ds:uri="97db55b7-6849-467b-a514-00ca68ee4e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A4CC24A-A301-4156-98D3-737AA101AD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8</vt:i4>
      </vt:variant>
      <vt:variant>
        <vt:lpstr>Named Ranges</vt:lpstr>
      </vt:variant>
      <vt:variant>
        <vt:i4>46</vt:i4>
      </vt:variant>
    </vt:vector>
  </HeadingPairs>
  <TitlesOfParts>
    <vt:vector size="54" baseType="lpstr">
      <vt:lpstr>Cover</vt:lpstr>
      <vt:lpstr>TOC</vt:lpstr>
      <vt:lpstr>Input_CPI</vt:lpstr>
      <vt:lpstr>Input_Data</vt:lpstr>
      <vt:lpstr>Calc_Returns</vt:lpstr>
      <vt:lpstr>Output_PTRM</vt:lpstr>
      <vt:lpstr>Lookup</vt:lpstr>
      <vt:lpstr>Checks</vt:lpstr>
      <vt:lpstr>A_Weight</vt:lpstr>
      <vt:lpstr>Base_Year</vt:lpstr>
      <vt:lpstr>BBB_Weight</vt:lpstr>
      <vt:lpstr>Beta</vt:lpstr>
      <vt:lpstr>Days_In_Wk</vt:lpstr>
      <vt:lpstr>Days_In_Yr</vt:lpstr>
      <vt:lpstr>Dollars</vt:lpstr>
      <vt:lpstr>End_year</vt:lpstr>
      <vt:lpstr>Error</vt:lpstr>
      <vt:lpstr>Factor</vt:lpstr>
      <vt:lpstr>Gamma</vt:lpstr>
      <vt:lpstr>Half</vt:lpstr>
      <vt:lpstr>Inflation</vt:lpstr>
      <vt:lpstr>Kilometres</vt:lpstr>
      <vt:lpstr>Leverage</vt:lpstr>
      <vt:lpstr>LU_Basis</vt:lpstr>
      <vt:lpstr>LU_Source</vt:lpstr>
      <vt:lpstr>LU_Timing</vt:lpstr>
      <vt:lpstr>LU_Timing_Value</vt:lpstr>
      <vt:lpstr>LU_Units</vt:lpstr>
      <vt:lpstr>Mid_year</vt:lpstr>
      <vt:lpstr>Millions</vt:lpstr>
      <vt:lpstr>Model_Name</vt:lpstr>
      <vt:lpstr>Model_Start_Date</vt:lpstr>
      <vt:lpstr>MRP</vt:lpstr>
      <vt:lpstr>Mths_In_Mth</vt:lpstr>
      <vt:lpstr>Mths_In_Qtr</vt:lpstr>
      <vt:lpstr>Mths_In_Yr</vt:lpstr>
      <vt:lpstr>NA</vt:lpstr>
      <vt:lpstr>No</vt:lpstr>
      <vt:lpstr>Nominal</vt:lpstr>
      <vt:lpstr>Number</vt:lpstr>
      <vt:lpstr>Ok</vt:lpstr>
      <vt:lpstr>Percent</vt:lpstr>
      <vt:lpstr>Qtrs_In_Yr</vt:lpstr>
      <vt:lpstr>Real2018</vt:lpstr>
      <vt:lpstr>Real2019</vt:lpstr>
      <vt:lpstr>RFR</vt:lpstr>
      <vt:lpstr>ROD</vt:lpstr>
      <vt:lpstr>ROE</vt:lpstr>
      <vt:lpstr>Start_year</vt:lpstr>
      <vt:lpstr>Thousands</vt:lpstr>
      <vt:lpstr>Title_Msg</vt:lpstr>
      <vt:lpstr>Weight_New_Debt</vt:lpstr>
      <vt:lpstr>Yes</vt:lpstr>
      <vt:lpstr>Yes_No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Power and Water Corporation</dc:creator>
  <cp:lastModifiedBy>Robert Alcaro</cp:lastModifiedBy>
  <cp:lastPrinted>2013-05-06T05:05:19Z</cp:lastPrinted>
  <dcterms:created xsi:type="dcterms:W3CDTF">2012-02-19T06:14:59Z</dcterms:created>
  <dcterms:modified xsi:type="dcterms:W3CDTF">2022-02-16T04:45:51Z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0x01010006EA8250C83EF049A6081B6ABE2EC208</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ies>
</file>