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64011"/>
  <bookViews>
    <workbookView xWindow="-120" yWindow="-120" windowWidth="29040" windowHeight="16440" tabRatio="761" firstSheet="1" activeTab="1"/>
  </bookViews>
  <sheets>
    <sheet name="TRACK" sheetId="103" state="hidden" r:id="rId1"/>
    <sheet name="Overview" sheetId="45" r:id="rId2"/>
    <sheet name="Key assumptions" sheetId="48" r:id="rId3"/>
    <sheet name="s2. Historical Indirect Capex" sheetId="62" r:id="rId4"/>
    <sheet name="s3. VNI Summary forecast" sheetId="19" r:id="rId5"/>
    <sheet name="s4. Works Delivery" sheetId="23" r:id="rId6"/>
    <sheet name="Works Delivery Res Cost" sheetId="34" r:id="rId7"/>
    <sheet name="Works Delivery Labour FTEs" sheetId="97" r:id="rId8"/>
    <sheet name="Works Delivery Labour Hrs" sheetId="98" r:id="rId9"/>
    <sheet name="s5. Project Development" sheetId="53" r:id="rId10"/>
    <sheet name="PD-Labour(&amp;related)" sheetId="54" r:id="rId11"/>
    <sheet name="PD - LabourHours" sheetId="102" r:id="rId12"/>
    <sheet name="PD-NonLabour" sheetId="55" r:id="rId13"/>
    <sheet name="s6.1 Land &amp; Environment" sheetId="57" r:id="rId14"/>
    <sheet name="L&amp;E-NonLabour " sheetId="59" r:id="rId15"/>
    <sheet name="s6.2 Stakeholder &amp; Comm Egmt" sheetId="41" r:id="rId16"/>
    <sheet name="SHC-Labour(&amp;related)" sheetId="60" r:id="rId17"/>
    <sheet name="s6.3. Insurance" sheetId="56" r:id="rId18"/>
  </sheets>
  <definedNames>
    <definedName name="_xlnm._FilterDatabase" localSheetId="10" hidden="1">'PD-Labour(&amp;related)'!#REF!</definedName>
    <definedName name="_xlnm._FilterDatabase" localSheetId="12" hidden="1">'PD-NonLabour'!#REF!</definedName>
    <definedName name="_xlnm._FilterDatabase" localSheetId="6" hidden="1">'Works Delivery Res Cost'!#REF!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62" l="1"/>
  <c r="J15" i="62"/>
  <c r="J10" i="62"/>
  <c r="J9" i="62"/>
  <c r="C35" i="103" l="1"/>
  <c r="D22" i="103"/>
  <c r="D19" i="103"/>
  <c r="D20" i="103" s="1"/>
  <c r="E13" i="62"/>
  <c r="J13" i="62" s="1"/>
  <c r="J12" i="62" s="1"/>
  <c r="C19" i="103"/>
  <c r="D13" i="62"/>
  <c r="C12" i="48" l="1"/>
  <c r="D12" i="48" s="1"/>
  <c r="D63" i="48"/>
  <c r="D58" i="48"/>
  <c r="E58" i="48" s="1"/>
  <c r="F58" i="48" s="1"/>
  <c r="G58" i="48" s="1"/>
  <c r="H58" i="48" s="1"/>
  <c r="D57" i="48"/>
  <c r="E57" i="48" s="1"/>
  <c r="F57" i="48" l="1"/>
  <c r="G57" i="48" s="1"/>
  <c r="H57" i="48" s="1"/>
  <c r="E63" i="48"/>
  <c r="C11" i="48" s="1"/>
  <c r="D10" i="103"/>
  <c r="D11" i="103"/>
  <c r="D12" i="103"/>
  <c r="D13" i="103"/>
  <c r="D9" i="103"/>
  <c r="O15" i="62" l="1"/>
  <c r="T15" i="62" s="1"/>
  <c r="O14" i="62"/>
  <c r="T14" i="62" s="1"/>
  <c r="O13" i="62"/>
  <c r="T13" i="62" s="1"/>
  <c r="O10" i="62"/>
  <c r="T10" i="62" s="1"/>
  <c r="O9" i="62"/>
  <c r="T9" i="62" s="1"/>
  <c r="J6" i="62"/>
  <c r="O6" i="62" s="1"/>
  <c r="D15" i="62"/>
  <c r="D14" i="62"/>
  <c r="E12" i="62"/>
  <c r="O12" i="62" s="1"/>
  <c r="F15" i="62"/>
  <c r="F14" i="62"/>
  <c r="F6" i="62"/>
  <c r="F10" i="62"/>
  <c r="E8" i="62"/>
  <c r="J8" i="62" s="1"/>
  <c r="D9" i="62"/>
  <c r="F9" i="62" s="1"/>
  <c r="D6" i="62"/>
  <c r="J17" i="62" l="1"/>
  <c r="O8" i="62"/>
  <c r="F83" i="19"/>
  <c r="T6" i="62"/>
  <c r="E17" i="62"/>
  <c r="O17" i="62"/>
  <c r="T12" i="62"/>
  <c r="T17" i="62"/>
  <c r="F85" i="19"/>
  <c r="F8" i="62"/>
  <c r="F84" i="19" l="1"/>
  <c r="T8" i="62"/>
  <c r="R4" i="56"/>
  <c r="C13" i="103"/>
  <c r="E7" i="103"/>
  <c r="D8" i="103" s="1"/>
  <c r="O70" i="19" l="1"/>
  <c r="V70" i="19" s="1"/>
  <c r="D68" i="19"/>
  <c r="D72" i="19" s="1"/>
  <c r="I60" i="19"/>
  <c r="K71" i="19"/>
  <c r="R71" i="19" s="1"/>
  <c r="M70" i="19"/>
  <c r="T70" i="19" s="1"/>
  <c r="L70" i="19"/>
  <c r="S70" i="19" s="1"/>
  <c r="K70" i="19"/>
  <c r="R70" i="19" s="1"/>
  <c r="K69" i="19"/>
  <c r="R69" i="19" s="1"/>
  <c r="K67" i="19"/>
  <c r="R67" i="19" s="1"/>
  <c r="K66" i="19"/>
  <c r="R66" i="19" s="1"/>
  <c r="O60" i="19"/>
  <c r="V60" i="19" s="1"/>
  <c r="N60" i="19"/>
  <c r="M60" i="19"/>
  <c r="T60" i="19" s="1"/>
  <c r="L60" i="19"/>
  <c r="S60" i="19" s="1"/>
  <c r="K60" i="19"/>
  <c r="O51" i="19"/>
  <c r="N51" i="19"/>
  <c r="U51" i="19" s="1"/>
  <c r="M51" i="19"/>
  <c r="T51" i="19" s="1"/>
  <c r="L51" i="19"/>
  <c r="S51" i="19" s="1"/>
  <c r="K51" i="19"/>
  <c r="R51" i="19" s="1"/>
  <c r="I51" i="19"/>
  <c r="D59" i="19"/>
  <c r="D63" i="19" s="1"/>
  <c r="D50" i="19"/>
  <c r="D54" i="19" s="1"/>
  <c r="D75" i="19" s="1"/>
  <c r="O62" i="19"/>
  <c r="V62" i="19" s="1"/>
  <c r="N62" i="19"/>
  <c r="U62" i="19" s="1"/>
  <c r="M62" i="19"/>
  <c r="T62" i="19" s="1"/>
  <c r="L62" i="19"/>
  <c r="S62" i="19" s="1"/>
  <c r="K62" i="19"/>
  <c r="K61" i="19"/>
  <c r="R61" i="19" s="1"/>
  <c r="K58" i="19"/>
  <c r="R58" i="19" s="1"/>
  <c r="K57" i="19"/>
  <c r="R57" i="19" s="1"/>
  <c r="I62" i="19"/>
  <c r="O84" i="19"/>
  <c r="V84" i="19" s="1"/>
  <c r="N84" i="19"/>
  <c r="U84" i="19" s="1"/>
  <c r="M84" i="19"/>
  <c r="T84" i="19" s="1"/>
  <c r="D19" i="19"/>
  <c r="O85" i="19"/>
  <c r="V85" i="19" s="1"/>
  <c r="N85" i="19"/>
  <c r="U85" i="19" s="1"/>
  <c r="M85" i="19"/>
  <c r="F86" i="19"/>
  <c r="F94" i="19" s="1"/>
  <c r="G86" i="19"/>
  <c r="G94" i="19" s="1"/>
  <c r="H86" i="19"/>
  <c r="H94" i="19" s="1"/>
  <c r="O83" i="19"/>
  <c r="V83" i="19" s="1"/>
  <c r="N83" i="19"/>
  <c r="U83" i="19" s="1"/>
  <c r="M83" i="19"/>
  <c r="T83" i="19" s="1"/>
  <c r="D39" i="19"/>
  <c r="K48" i="19"/>
  <c r="R48" i="19" s="1"/>
  <c r="K49" i="19"/>
  <c r="R49" i="19" s="1"/>
  <c r="K52" i="19"/>
  <c r="K53" i="19"/>
  <c r="R53" i="19" s="1"/>
  <c r="I53" i="19"/>
  <c r="O53" i="19"/>
  <c r="V53" i="19" s="1"/>
  <c r="N53" i="19"/>
  <c r="U53" i="19" s="1"/>
  <c r="M53" i="19"/>
  <c r="T53" i="19" s="1"/>
  <c r="L53" i="19"/>
  <c r="D95" i="19" l="1"/>
  <c r="R68" i="19"/>
  <c r="R72" i="19" s="1"/>
  <c r="K50" i="19"/>
  <c r="P60" i="19"/>
  <c r="N70" i="19"/>
  <c r="I70" i="19"/>
  <c r="R60" i="19"/>
  <c r="V51" i="19"/>
  <c r="W51" i="19" s="1"/>
  <c r="P51" i="19"/>
  <c r="K59" i="19"/>
  <c r="K63" i="19" s="1"/>
  <c r="U60" i="19"/>
  <c r="K68" i="19"/>
  <c r="P62" i="19"/>
  <c r="R62" i="19"/>
  <c r="M86" i="19"/>
  <c r="M94" i="19" s="1"/>
  <c r="V86" i="19"/>
  <c r="V94" i="19" s="1"/>
  <c r="U86" i="19"/>
  <c r="U94" i="19" s="1"/>
  <c r="N86" i="19"/>
  <c r="N94" i="19" s="1"/>
  <c r="O86" i="19"/>
  <c r="O94" i="19" s="1"/>
  <c r="T85" i="19"/>
  <c r="T86" i="19" s="1"/>
  <c r="T94" i="19" s="1"/>
  <c r="P53" i="19"/>
  <c r="R52" i="19"/>
  <c r="R50" i="19" s="1"/>
  <c r="K54" i="19"/>
  <c r="S53" i="19"/>
  <c r="W53" i="19" s="1"/>
  <c r="C21" i="48"/>
  <c r="D17" i="48" s="1"/>
  <c r="W60" i="19" l="1"/>
  <c r="U70" i="19"/>
  <c r="P70" i="19"/>
  <c r="R59" i="19"/>
  <c r="R63" i="19" s="1"/>
  <c r="R54" i="19"/>
  <c r="K72" i="19"/>
  <c r="K95" i="19" s="1"/>
  <c r="W62" i="19"/>
  <c r="R95" i="19" l="1"/>
  <c r="R75" i="19"/>
  <c r="K75" i="19"/>
  <c r="W70" i="19"/>
  <c r="C13" i="62"/>
  <c r="F13" i="62" s="1"/>
  <c r="I6" i="62" l="1"/>
  <c r="H6" i="62"/>
  <c r="I15" i="62"/>
  <c r="H15" i="62"/>
  <c r="M15" i="62" s="1"/>
  <c r="R15" i="62" s="1"/>
  <c r="I14" i="62"/>
  <c r="H14" i="62"/>
  <c r="M14" i="62" s="1"/>
  <c r="R14" i="62" s="1"/>
  <c r="I13" i="62"/>
  <c r="H13" i="62"/>
  <c r="M13" i="62" s="1"/>
  <c r="R13" i="62" s="1"/>
  <c r="H9" i="62"/>
  <c r="H10" i="62"/>
  <c r="I9" i="62"/>
  <c r="N9" i="62" s="1"/>
  <c r="I10" i="62"/>
  <c r="N10" i="62" s="1"/>
  <c r="AX4" i="56"/>
  <c r="AX5" i="56" s="1"/>
  <c r="BB4" i="56"/>
  <c r="BB5" i="56" s="1"/>
  <c r="BF4" i="56"/>
  <c r="BF5" i="56" s="1"/>
  <c r="R5" i="56"/>
  <c r="AQ4" i="56"/>
  <c r="AQ5" i="56" s="1"/>
  <c r="AS4" i="56"/>
  <c r="AS5" i="56" s="1"/>
  <c r="AU4" i="56"/>
  <c r="AU5" i="56" s="1"/>
  <c r="T4" i="56"/>
  <c r="C8" i="62"/>
  <c r="D8" i="62"/>
  <c r="C12" i="62"/>
  <c r="D12" i="62"/>
  <c r="Q4" i="56"/>
  <c r="Q5" i="56" s="1"/>
  <c r="D19" i="48"/>
  <c r="P4" i="56"/>
  <c r="P5" i="56" s="1"/>
  <c r="T5" i="56"/>
  <c r="D10" i="48"/>
  <c r="D11" i="48"/>
  <c r="D18" i="48"/>
  <c r="D20" i="48"/>
  <c r="S10" i="62" l="1"/>
  <c r="S9" i="62"/>
  <c r="M10" i="62"/>
  <c r="R10" i="62" s="1"/>
  <c r="K10" i="62"/>
  <c r="M9" i="62"/>
  <c r="R9" i="62" s="1"/>
  <c r="K9" i="62"/>
  <c r="F12" i="62"/>
  <c r="K13" i="62"/>
  <c r="M6" i="62"/>
  <c r="R6" i="62" s="1"/>
  <c r="K6" i="62"/>
  <c r="N15" i="62"/>
  <c r="S15" i="62" s="1"/>
  <c r="K15" i="62"/>
  <c r="N14" i="62"/>
  <c r="K14" i="62"/>
  <c r="AE4" i="56"/>
  <c r="AE5" i="56" s="1"/>
  <c r="I12" i="62"/>
  <c r="N13" i="62"/>
  <c r="N6" i="62"/>
  <c r="N8" i="62"/>
  <c r="I8" i="62"/>
  <c r="AI4" i="56"/>
  <c r="AI5" i="56" s="1"/>
  <c r="AG4" i="56"/>
  <c r="AG5" i="56" s="1"/>
  <c r="AA4" i="56"/>
  <c r="AA5" i="56" s="1"/>
  <c r="Y4" i="56"/>
  <c r="Y5" i="56" s="1"/>
  <c r="AO4" i="56"/>
  <c r="AO5" i="56" s="1"/>
  <c r="AM4" i="56"/>
  <c r="AM5" i="56" s="1"/>
  <c r="V4" i="56"/>
  <c r="V5" i="56" s="1"/>
  <c r="AC4" i="56"/>
  <c r="AC5" i="56" s="1"/>
  <c r="AK4" i="56"/>
  <c r="AK5" i="56" s="1"/>
  <c r="U4" i="56"/>
  <c r="U5" i="56" s="1"/>
  <c r="AF4" i="56"/>
  <c r="AF5" i="56" s="1"/>
  <c r="AB4" i="56"/>
  <c r="AB5" i="56" s="1"/>
  <c r="X4" i="56"/>
  <c r="X5" i="56" s="1"/>
  <c r="AR4" i="56"/>
  <c r="AR5" i="56" s="1"/>
  <c r="AN4" i="56"/>
  <c r="AN5" i="56" s="1"/>
  <c r="AJ4" i="56"/>
  <c r="AJ5" i="56" s="1"/>
  <c r="BE4" i="56"/>
  <c r="BE5" i="56" s="1"/>
  <c r="BA4" i="56"/>
  <c r="BA5" i="56" s="1"/>
  <c r="AW4" i="56"/>
  <c r="AW5" i="56" s="1"/>
  <c r="BD4" i="56"/>
  <c r="BD5" i="56" s="1"/>
  <c r="AZ4" i="56"/>
  <c r="AZ5" i="56" s="1"/>
  <c r="AV4" i="56"/>
  <c r="AV5" i="56" s="1"/>
  <c r="W4" i="56"/>
  <c r="W5" i="56" s="1"/>
  <c r="AH4" i="56"/>
  <c r="AH5" i="56" s="1"/>
  <c r="AD4" i="56"/>
  <c r="AD5" i="56" s="1"/>
  <c r="Z4" i="56"/>
  <c r="Z5" i="56" s="1"/>
  <c r="AT4" i="56"/>
  <c r="AT5" i="56" s="1"/>
  <c r="AP4" i="56"/>
  <c r="AP5" i="56" s="1"/>
  <c r="AL4" i="56"/>
  <c r="AL5" i="56" s="1"/>
  <c r="BG4" i="56"/>
  <c r="BG5" i="56" s="1"/>
  <c r="BC4" i="56"/>
  <c r="BC5" i="56" s="1"/>
  <c r="AY4" i="56"/>
  <c r="AY5" i="56" s="1"/>
  <c r="D17" i="62"/>
  <c r="C17" i="62"/>
  <c r="F17" i="62" s="1"/>
  <c r="D35" i="103" s="1"/>
  <c r="M12" i="62"/>
  <c r="H12" i="62"/>
  <c r="H8" i="62"/>
  <c r="K12" i="62" l="1"/>
  <c r="D85" i="19"/>
  <c r="K85" i="19" s="1"/>
  <c r="R12" i="62"/>
  <c r="P13" i="62"/>
  <c r="U13" i="62" s="1"/>
  <c r="S13" i="62"/>
  <c r="M8" i="62"/>
  <c r="M17" i="62" s="1"/>
  <c r="R17" i="62" s="1"/>
  <c r="E84" i="19"/>
  <c r="L84" i="19" s="1"/>
  <c r="S8" i="62"/>
  <c r="P9" i="62"/>
  <c r="P14" i="62"/>
  <c r="U14" i="62" s="1"/>
  <c r="S14" i="62"/>
  <c r="E83" i="19"/>
  <c r="I83" i="19" s="1"/>
  <c r="S6" i="62"/>
  <c r="K8" i="62"/>
  <c r="P10" i="62"/>
  <c r="U10" i="62" s="1"/>
  <c r="N12" i="62"/>
  <c r="S12" i="62" s="1"/>
  <c r="P15" i="62"/>
  <c r="U15" i="62" s="1"/>
  <c r="P6" i="62"/>
  <c r="U6" i="62" s="1"/>
  <c r="I17" i="62"/>
  <c r="L83" i="19"/>
  <c r="S83" i="19" s="1"/>
  <c r="G69" i="19"/>
  <c r="R85" i="19"/>
  <c r="D83" i="19"/>
  <c r="N17" i="62"/>
  <c r="S17" i="62" s="1"/>
  <c r="BI4" i="56"/>
  <c r="BO4" i="56" s="1"/>
  <c r="BK4" i="56"/>
  <c r="BK5" i="56" s="1"/>
  <c r="G18" i="19" s="1"/>
  <c r="BJ4" i="56"/>
  <c r="BP4" i="56" s="1"/>
  <c r="BP5" i="56" s="1"/>
  <c r="BL4" i="56"/>
  <c r="H17" i="62"/>
  <c r="D84" i="19" l="1"/>
  <c r="R8" i="62"/>
  <c r="S84" i="19"/>
  <c r="P8" i="62"/>
  <c r="U8" i="62" s="1"/>
  <c r="U9" i="62"/>
  <c r="I84" i="19"/>
  <c r="P17" i="62"/>
  <c r="E85" i="19"/>
  <c r="P12" i="62"/>
  <c r="U12" i="62" s="1"/>
  <c r="K17" i="62"/>
  <c r="BI5" i="56"/>
  <c r="E18" i="19" s="1"/>
  <c r="N69" i="19"/>
  <c r="H69" i="19"/>
  <c r="F38" i="19"/>
  <c r="F71" i="19"/>
  <c r="M71" i="19" s="1"/>
  <c r="T71" i="19" s="1"/>
  <c r="K83" i="19"/>
  <c r="D86" i="19"/>
  <c r="BJ5" i="56"/>
  <c r="F18" i="19" s="1"/>
  <c r="BM4" i="56"/>
  <c r="BM5" i="56" s="1"/>
  <c r="D8" i="19" s="1"/>
  <c r="BQ4" i="56"/>
  <c r="BQ5" i="56" s="1"/>
  <c r="BR4" i="56"/>
  <c r="BR5" i="56" s="1"/>
  <c r="BL5" i="56"/>
  <c r="H18" i="19" s="1"/>
  <c r="BO5" i="56"/>
  <c r="K84" i="19" l="1"/>
  <c r="P84" i="19" s="1"/>
  <c r="U17" i="62"/>
  <c r="H16" i="103"/>
  <c r="L85" i="19"/>
  <c r="E86" i="19"/>
  <c r="E94" i="19" s="1"/>
  <c r="I85" i="19"/>
  <c r="F66" i="19"/>
  <c r="M66" i="19" s="1"/>
  <c r="T66" i="19" s="1"/>
  <c r="E66" i="19"/>
  <c r="L66" i="19" s="1"/>
  <c r="S66" i="19" s="1"/>
  <c r="H66" i="19"/>
  <c r="O66" i="19" s="1"/>
  <c r="G66" i="19"/>
  <c r="N66" i="19" s="1"/>
  <c r="G38" i="19"/>
  <c r="G71" i="19"/>
  <c r="E38" i="19"/>
  <c r="E71" i="19"/>
  <c r="H38" i="19"/>
  <c r="H71" i="19"/>
  <c r="O71" i="19" s="1"/>
  <c r="V71" i="19" s="1"/>
  <c r="O69" i="19"/>
  <c r="F69" i="19"/>
  <c r="U69" i="19"/>
  <c r="I18" i="19"/>
  <c r="D94" i="19"/>
  <c r="R83" i="19"/>
  <c r="K86" i="19"/>
  <c r="K94" i="19" s="1"/>
  <c r="P83" i="19"/>
  <c r="BS4" i="56"/>
  <c r="BS5" i="56" s="1"/>
  <c r="D28" i="19" s="1"/>
  <c r="H67" i="19"/>
  <c r="O67" i="19" s="1"/>
  <c r="V67" i="19" s="1"/>
  <c r="G67" i="19"/>
  <c r="N67" i="19" s="1"/>
  <c r="U67" i="19" s="1"/>
  <c r="F67" i="19"/>
  <c r="M67" i="19" s="1"/>
  <c r="T67" i="19" s="1"/>
  <c r="R84" i="19" l="1"/>
  <c r="W84" i="19" s="1"/>
  <c r="I86" i="19"/>
  <c r="S85" i="19"/>
  <c r="P85" i="19"/>
  <c r="L86" i="19"/>
  <c r="L94" i="19" s="1"/>
  <c r="V66" i="19"/>
  <c r="I38" i="19"/>
  <c r="I66" i="19"/>
  <c r="U66" i="19"/>
  <c r="E69" i="19"/>
  <c r="M69" i="19"/>
  <c r="F68" i="19"/>
  <c r="F72" i="19" s="1"/>
  <c r="L71" i="19"/>
  <c r="I71" i="19"/>
  <c r="H68" i="19"/>
  <c r="H72" i="19" s="1"/>
  <c r="V69" i="19"/>
  <c r="V68" i="19" s="1"/>
  <c r="O68" i="19"/>
  <c r="O72" i="19" s="1"/>
  <c r="N71" i="19"/>
  <c r="G68" i="19"/>
  <c r="G72" i="19" s="1"/>
  <c r="P66" i="19"/>
  <c r="D96" i="19"/>
  <c r="I94" i="19"/>
  <c r="P86" i="19"/>
  <c r="W83" i="19"/>
  <c r="H52" i="19"/>
  <c r="H50" i="19" s="1"/>
  <c r="H17" i="19"/>
  <c r="G16" i="19"/>
  <c r="F16" i="19"/>
  <c r="E67" i="19"/>
  <c r="H13" i="19"/>
  <c r="G48" i="19"/>
  <c r="F48" i="19"/>
  <c r="H48" i="19"/>
  <c r="R86" i="19" l="1"/>
  <c r="R94" i="19" s="1"/>
  <c r="W85" i="19"/>
  <c r="S86" i="19"/>
  <c r="S94" i="19" s="1"/>
  <c r="V72" i="19"/>
  <c r="W66" i="19"/>
  <c r="G61" i="19"/>
  <c r="F61" i="19"/>
  <c r="F59" i="19" s="1"/>
  <c r="S71" i="19"/>
  <c r="P71" i="19"/>
  <c r="U71" i="19"/>
  <c r="U68" i="19" s="1"/>
  <c r="U72" i="19" s="1"/>
  <c r="N68" i="19"/>
  <c r="N72" i="19" s="1"/>
  <c r="L67" i="19"/>
  <c r="I67" i="19"/>
  <c r="T69" i="19"/>
  <c r="T68" i="19" s="1"/>
  <c r="T72" i="19" s="1"/>
  <c r="M68" i="19"/>
  <c r="M72" i="19" s="1"/>
  <c r="L69" i="19"/>
  <c r="S69" i="19" s="1"/>
  <c r="E68" i="19"/>
  <c r="I69" i="19"/>
  <c r="W94" i="19"/>
  <c r="R96" i="19"/>
  <c r="K96" i="19"/>
  <c r="P94" i="19"/>
  <c r="O52" i="19"/>
  <c r="O50" i="19" s="1"/>
  <c r="N48" i="19"/>
  <c r="O48" i="19"/>
  <c r="V48" i="19" s="1"/>
  <c r="M48" i="19"/>
  <c r="T48" i="19" s="1"/>
  <c r="F17" i="19"/>
  <c r="F15" i="19" s="1"/>
  <c r="G17" i="19"/>
  <c r="G15" i="19" s="1"/>
  <c r="H16" i="19"/>
  <c r="H15" i="19" s="1"/>
  <c r="D6" i="19"/>
  <c r="E48" i="19"/>
  <c r="I48" i="19" s="1"/>
  <c r="W86" i="19" l="1"/>
  <c r="G59" i="19"/>
  <c r="N61" i="19"/>
  <c r="N59" i="19" s="1"/>
  <c r="M61" i="19"/>
  <c r="T61" i="19" s="1"/>
  <c r="T59" i="19" s="1"/>
  <c r="S68" i="19"/>
  <c r="W68" i="19" s="1"/>
  <c r="W69" i="19"/>
  <c r="G58" i="19"/>
  <c r="N58" i="19" s="1"/>
  <c r="U58" i="19" s="1"/>
  <c r="S67" i="19"/>
  <c r="W67" i="19" s="1"/>
  <c r="P67" i="19"/>
  <c r="E72" i="19"/>
  <c r="I72" i="19" s="1"/>
  <c r="I68" i="19"/>
  <c r="P69" i="19"/>
  <c r="L68" i="19"/>
  <c r="W71" i="19"/>
  <c r="H37" i="19"/>
  <c r="H61" i="19"/>
  <c r="M59" i="19"/>
  <c r="V52" i="19"/>
  <c r="V50" i="19" s="1"/>
  <c r="D7" i="19"/>
  <c r="L48" i="19"/>
  <c r="P48" i="19" s="1"/>
  <c r="U48" i="19"/>
  <c r="E17" i="19"/>
  <c r="I17" i="19" s="1"/>
  <c r="G36" i="19"/>
  <c r="H36" i="19"/>
  <c r="D26" i="19"/>
  <c r="H14" i="19"/>
  <c r="H19" i="19" s="1"/>
  <c r="U61" i="19" l="1"/>
  <c r="U59" i="19" s="1"/>
  <c r="E61" i="19"/>
  <c r="L61" i="19" s="1"/>
  <c r="F58" i="19"/>
  <c r="M58" i="19" s="1"/>
  <c r="T58" i="19" s="1"/>
  <c r="H58" i="19"/>
  <c r="O58" i="19" s="1"/>
  <c r="V58" i="19" s="1"/>
  <c r="H35" i="19"/>
  <c r="H33" i="19"/>
  <c r="H57" i="19"/>
  <c r="O57" i="19" s="1"/>
  <c r="V57" i="19" s="1"/>
  <c r="L72" i="19"/>
  <c r="P72" i="19" s="1"/>
  <c r="P68" i="19"/>
  <c r="S72" i="19"/>
  <c r="W72" i="19" s="1"/>
  <c r="O61" i="19"/>
  <c r="O59" i="19" s="1"/>
  <c r="H59" i="19"/>
  <c r="S48" i="19"/>
  <c r="W48" i="19" s="1"/>
  <c r="F36" i="19"/>
  <c r="G52" i="19"/>
  <c r="G50" i="19" s="1"/>
  <c r="G37" i="19"/>
  <c r="G35" i="19" s="1"/>
  <c r="F52" i="19"/>
  <c r="F50" i="19" s="1"/>
  <c r="F37" i="19"/>
  <c r="E16" i="19"/>
  <c r="G14" i="19"/>
  <c r="E13" i="19"/>
  <c r="F13" i="19"/>
  <c r="G13" i="19" l="1"/>
  <c r="I13" i="19" s="1"/>
  <c r="S61" i="19"/>
  <c r="S59" i="19" s="1"/>
  <c r="I61" i="19"/>
  <c r="E59" i="19"/>
  <c r="I59" i="19" s="1"/>
  <c r="V61" i="19"/>
  <c r="V59" i="19" s="1"/>
  <c r="V63" i="19" s="1"/>
  <c r="H63" i="19"/>
  <c r="O63" i="19"/>
  <c r="F33" i="19"/>
  <c r="F57" i="19"/>
  <c r="L59" i="19"/>
  <c r="P61" i="19"/>
  <c r="I16" i="19"/>
  <c r="N52" i="19"/>
  <c r="N50" i="19" s="1"/>
  <c r="M52" i="19"/>
  <c r="M50" i="19" s="1"/>
  <c r="F35" i="19"/>
  <c r="E15" i="19"/>
  <c r="I15" i="19" s="1"/>
  <c r="E52" i="19"/>
  <c r="E37" i="19"/>
  <c r="I37" i="19" s="1"/>
  <c r="D5" i="19"/>
  <c r="E14" i="19"/>
  <c r="F14" i="19"/>
  <c r="F19" i="19" s="1"/>
  <c r="D4" i="19"/>
  <c r="G19" i="19" l="1"/>
  <c r="W61" i="19"/>
  <c r="E58" i="19"/>
  <c r="L58" i="19" s="1"/>
  <c r="M57" i="19"/>
  <c r="M63" i="19" s="1"/>
  <c r="F63" i="19"/>
  <c r="E33" i="19"/>
  <c r="E57" i="19"/>
  <c r="P59" i="19"/>
  <c r="W59" i="19"/>
  <c r="I52" i="19"/>
  <c r="E50" i="19"/>
  <c r="I50" i="19" s="1"/>
  <c r="U52" i="19"/>
  <c r="U50" i="19" s="1"/>
  <c r="I14" i="19"/>
  <c r="L52" i="19"/>
  <c r="L50" i="19" s="1"/>
  <c r="T52" i="19"/>
  <c r="T50" i="19" s="1"/>
  <c r="D27" i="19"/>
  <c r="E36" i="19"/>
  <c r="I36" i="19" s="1"/>
  <c r="G49" i="19"/>
  <c r="H49" i="19"/>
  <c r="H34" i="19"/>
  <c r="H39" i="19" s="1"/>
  <c r="D3" i="19"/>
  <c r="E19" i="19"/>
  <c r="D24" i="19"/>
  <c r="I19" i="19" l="1"/>
  <c r="I58" i="19"/>
  <c r="G33" i="19"/>
  <c r="I33" i="19" s="1"/>
  <c r="G57" i="19"/>
  <c r="I57" i="19" s="1"/>
  <c r="L57" i="19"/>
  <c r="S57" i="19" s="1"/>
  <c r="E63" i="19"/>
  <c r="T57" i="19"/>
  <c r="T63" i="19" s="1"/>
  <c r="S58" i="19"/>
  <c r="W58" i="19" s="1"/>
  <c r="P58" i="19"/>
  <c r="S52" i="19"/>
  <c r="S50" i="19" s="1"/>
  <c r="P52" i="19"/>
  <c r="H54" i="19"/>
  <c r="O49" i="19"/>
  <c r="O54" i="19" s="1"/>
  <c r="G54" i="19"/>
  <c r="N49" i="19"/>
  <c r="N54" i="19" s="1"/>
  <c r="P50" i="19"/>
  <c r="F49" i="19"/>
  <c r="E35" i="19"/>
  <c r="I35" i="19" s="1"/>
  <c r="G34" i="19"/>
  <c r="G39" i="19" l="1"/>
  <c r="S63" i="19"/>
  <c r="L63" i="19"/>
  <c r="N57" i="19"/>
  <c r="G63" i="19"/>
  <c r="I63" i="19" s="1"/>
  <c r="O95" i="19"/>
  <c r="O75" i="19"/>
  <c r="H95" i="19"/>
  <c r="H75" i="19"/>
  <c r="W52" i="19"/>
  <c r="W50" i="19"/>
  <c r="V49" i="19"/>
  <c r="V54" i="19" s="1"/>
  <c r="U49" i="19"/>
  <c r="U54" i="19" s="1"/>
  <c r="M49" i="19"/>
  <c r="F34" i="19"/>
  <c r="F39" i="19" s="1"/>
  <c r="E49" i="19"/>
  <c r="I49" i="19" s="1"/>
  <c r="E34" i="19"/>
  <c r="F54" i="19"/>
  <c r="G75" i="19" l="1"/>
  <c r="U57" i="19"/>
  <c r="N63" i="19"/>
  <c r="P63" i="19" s="1"/>
  <c r="P57" i="19"/>
  <c r="G95" i="19"/>
  <c r="G96" i="19" s="1"/>
  <c r="V75" i="19"/>
  <c r="V95" i="19"/>
  <c r="V96" i="19" s="1"/>
  <c r="F95" i="19"/>
  <c r="F75" i="19"/>
  <c r="O96" i="19"/>
  <c r="H96" i="19"/>
  <c r="E39" i="19"/>
  <c r="I34" i="19"/>
  <c r="E54" i="19"/>
  <c r="L49" i="19"/>
  <c r="M54" i="19"/>
  <c r="T49" i="19"/>
  <c r="T54" i="19" s="1"/>
  <c r="N75" i="19" l="1"/>
  <c r="N95" i="19"/>
  <c r="N96" i="19" s="1"/>
  <c r="U63" i="19"/>
  <c r="W57" i="19"/>
  <c r="E95" i="19"/>
  <c r="E75" i="19"/>
  <c r="I75" i="19" s="1"/>
  <c r="T95" i="19"/>
  <c r="T96" i="19" s="1"/>
  <c r="T75" i="19"/>
  <c r="M75" i="19"/>
  <c r="M95" i="19"/>
  <c r="I39" i="19"/>
  <c r="F96" i="19"/>
  <c r="I54" i="19"/>
  <c r="L54" i="19"/>
  <c r="P49" i="19"/>
  <c r="S49" i="19"/>
  <c r="W49" i="19" s="1"/>
  <c r="U95" i="19" l="1"/>
  <c r="U96" i="19" s="1"/>
  <c r="U75" i="19"/>
  <c r="W63" i="19"/>
  <c r="L75" i="19"/>
  <c r="P75" i="19" s="1"/>
  <c r="L95" i="19"/>
  <c r="M96" i="19"/>
  <c r="P54" i="19"/>
  <c r="E96" i="19"/>
  <c r="S54" i="19"/>
  <c r="D25" i="19"/>
  <c r="D23" i="19" s="1"/>
  <c r="J39" i="19" l="1"/>
  <c r="F3" i="103"/>
  <c r="S95" i="19"/>
  <c r="S75" i="19"/>
  <c r="W75" i="19" s="1"/>
  <c r="W54" i="19"/>
  <c r="I95" i="19"/>
  <c r="I96" i="19" s="1"/>
  <c r="J38" i="19"/>
  <c r="J36" i="19"/>
  <c r="J35" i="19"/>
  <c r="J37" i="19"/>
  <c r="J33" i="19"/>
  <c r="J34" i="19"/>
  <c r="F22" i="103" l="1"/>
  <c r="H22" i="103" s="1"/>
  <c r="D24" i="103"/>
  <c r="L96" i="19"/>
  <c r="P95" i="19"/>
  <c r="P96" i="19" s="1"/>
  <c r="W95" i="19" l="1"/>
  <c r="W96" i="19" s="1"/>
  <c r="S96" i="19"/>
</calcChain>
</file>

<file path=xl/sharedStrings.xml><?xml version="1.0" encoding="utf-8"?>
<sst xmlns="http://schemas.openxmlformats.org/spreadsheetml/2006/main" count="570" uniqueCount="267">
  <si>
    <t>A</t>
  </si>
  <si>
    <t>B</t>
  </si>
  <si>
    <t>TOTAL</t>
  </si>
  <si>
    <t>Training</t>
  </si>
  <si>
    <t>Project Development</t>
  </si>
  <si>
    <t>C</t>
  </si>
  <si>
    <t>Description</t>
  </si>
  <si>
    <t>Works Delivery</t>
  </si>
  <si>
    <t>Major Projects Portfolio</t>
  </si>
  <si>
    <t>Value</t>
  </si>
  <si>
    <t>% of Portfolio</t>
  </si>
  <si>
    <t>Project Energy Connect (PEC)</t>
  </si>
  <si>
    <t>Hume Link (Snowy 2.0)</t>
  </si>
  <si>
    <t>Project</t>
  </si>
  <si>
    <t>D</t>
  </si>
  <si>
    <t>Support</t>
  </si>
  <si>
    <t>Major Projects</t>
  </si>
  <si>
    <t>Land and Environment Costs</t>
  </si>
  <si>
    <t>Total Estimate of Incremental Corporate Costs</t>
  </si>
  <si>
    <t>Major Projects team</t>
  </si>
  <si>
    <t>Major Projects Team</t>
  </si>
  <si>
    <t>Works Delivery Project Management</t>
  </si>
  <si>
    <t>Site Management</t>
  </si>
  <si>
    <t>Technical Management</t>
  </si>
  <si>
    <t>Technical Fitters</t>
  </si>
  <si>
    <t>Travel</t>
  </si>
  <si>
    <t>Subtotal - Other incremental resources</t>
  </si>
  <si>
    <t>TOTAL PROJECT DEVELOPMENT LABOUR</t>
  </si>
  <si>
    <t>Non-Labour costs</t>
  </si>
  <si>
    <t>TOTAL PROJECT DEVELOPMENT - NON-LABOUR</t>
  </si>
  <si>
    <t>Phased</t>
  </si>
  <si>
    <t>Insurance Costs</t>
  </si>
  <si>
    <t>Stakeholder and Community Engagement</t>
  </si>
  <si>
    <t>Recruitment</t>
  </si>
  <si>
    <t>Labour</t>
  </si>
  <si>
    <t>Labour Related costs</t>
  </si>
  <si>
    <t>Office Lease costs</t>
  </si>
  <si>
    <t>Travel &amp; Expenses</t>
  </si>
  <si>
    <t>Sustenance</t>
  </si>
  <si>
    <t xml:space="preserve">Travel &amp; Expenses </t>
  </si>
  <si>
    <t>Works Delivery - Labour Related Costs</t>
  </si>
  <si>
    <t>Works Delivery - Labour costs</t>
  </si>
  <si>
    <t xml:space="preserve">TOTAL WORKS DELIVERY </t>
  </si>
  <si>
    <t>Phased by Financial Year</t>
  </si>
  <si>
    <t>CPI discount</t>
  </si>
  <si>
    <t>Costs as at current year rates</t>
  </si>
  <si>
    <t>Costs have been collected in current year rates.</t>
  </si>
  <si>
    <t>TransGrid's standard labour rates as at 1 July 2019 have been used in labour costing estimates.</t>
  </si>
  <si>
    <t>In order to restate these figures in 2017/8 costs, discounts have been applied as follows:</t>
  </si>
  <si>
    <t>Labour real cost de-escalation</t>
  </si>
  <si>
    <t>Applied to all labour costs to restate the cost estimate in 2017/8 rates</t>
  </si>
  <si>
    <t>Labour adjusted</t>
  </si>
  <si>
    <t>Labour costs</t>
  </si>
  <si>
    <t>Non-Labour</t>
  </si>
  <si>
    <t>Insurance</t>
  </si>
  <si>
    <t>Queensland Interconnector (QNI)</t>
  </si>
  <si>
    <t>Victorian Interconnector (VNI)</t>
  </si>
  <si>
    <t>Cost Type</t>
  </si>
  <si>
    <t>Duration (Months)</t>
  </si>
  <si>
    <t>Monthly equivalent</t>
  </si>
  <si>
    <t>Supplier</t>
  </si>
  <si>
    <t>Current $A</t>
  </si>
  <si>
    <t>Recurring?</t>
  </si>
  <si>
    <t>FY19/20</t>
  </si>
  <si>
    <t>One off</t>
  </si>
  <si>
    <t>Assumption / evidence source</t>
  </si>
  <si>
    <t>Assumption provided by</t>
  </si>
  <si>
    <t>Cost estimate by month&gt;</t>
  </si>
  <si>
    <t>Allocate across Major Projects?</t>
  </si>
  <si>
    <t>Report Reference</t>
  </si>
  <si>
    <t>Project Management Team</t>
  </si>
  <si>
    <t>n</t>
  </si>
  <si>
    <t>Recruitment fees as % of annual salary</t>
  </si>
  <si>
    <t>Roles recruited using external recruiter</t>
  </si>
  <si>
    <t>Labour Related</t>
  </si>
  <si>
    <t>ATO rates for Accom &amp; Meals</t>
  </si>
  <si>
    <t>Salary assumptions</t>
  </si>
  <si>
    <t>Recruitment fees assumptions</t>
  </si>
  <si>
    <t>Training cost assumptions</t>
  </si>
  <si>
    <t>Travel rate assumptions</t>
  </si>
  <si>
    <t>Escalation and Labour Rate restatement</t>
  </si>
  <si>
    <t>Current Rates</t>
  </si>
  <si>
    <t>TOTAL PROJECT DEVELOPMENT</t>
  </si>
  <si>
    <t>Total - One off (FY20)</t>
  </si>
  <si>
    <t>Total Cost to be phased</t>
  </si>
  <si>
    <t>Start Month</t>
  </si>
  <si>
    <t>End Month</t>
  </si>
  <si>
    <t>Labour related</t>
  </si>
  <si>
    <t>TOTAL FY20-FY23</t>
  </si>
  <si>
    <t>The following rates have been applied across the categories of cost estimates.</t>
  </si>
  <si>
    <t>Restated estimates</t>
  </si>
  <si>
    <t>Insurance required during construction phase</t>
  </si>
  <si>
    <t>Labour component</t>
  </si>
  <si>
    <t>Total labour</t>
  </si>
  <si>
    <t>Oncosts - contract</t>
  </si>
  <si>
    <t>Oncosts - Enterprise Agreement</t>
  </si>
  <si>
    <t>IT hardware</t>
  </si>
  <si>
    <t>Training cost per annum per employee</t>
  </si>
  <si>
    <t>Total costs incurred</t>
  </si>
  <si>
    <t>Other</t>
  </si>
  <si>
    <t>HV Design</t>
  </si>
  <si>
    <t>Environment Consultant</t>
  </si>
  <si>
    <t>-</t>
  </si>
  <si>
    <t>IT hardware cost assumptions</t>
  </si>
  <si>
    <t>IT hardware cost per annum per employee</t>
  </si>
  <si>
    <t>Totals</t>
  </si>
  <si>
    <t>Description of worksheet</t>
  </si>
  <si>
    <t>Section 7</t>
  </si>
  <si>
    <t>Section 5</t>
  </si>
  <si>
    <t>s5. Project Development</t>
  </si>
  <si>
    <t>Section 4</t>
  </si>
  <si>
    <t>Header worksheets</t>
  </si>
  <si>
    <t>s4. Works Delivery</t>
  </si>
  <si>
    <t>Overview of this model</t>
  </si>
  <si>
    <t>Below outlines the key components of this model which map to the respective section of the written report (for example, section 4 of the report relates to 'Works Delivery' and this is reflected in the worksheet titled 's4. Works Delivery'.</t>
  </si>
  <si>
    <t>Section 3</t>
  </si>
  <si>
    <t xml:space="preserve">Key Contact </t>
  </si>
  <si>
    <t>Key assumptions</t>
  </si>
  <si>
    <t>Allocation of costs to major projects</t>
  </si>
  <si>
    <t>s2. Historical Indirect Capex</t>
  </si>
  <si>
    <t>Section 2</t>
  </si>
  <si>
    <t>2018-19</t>
  </si>
  <si>
    <t>2019-20</t>
  </si>
  <si>
    <t>2020-21</t>
  </si>
  <si>
    <t>2021-22</t>
  </si>
  <si>
    <t>2022-23</t>
  </si>
  <si>
    <t>Restatement to 2017-18 LABOUR rates</t>
  </si>
  <si>
    <t>Adjusted cost estimates to 2017-18 base</t>
  </si>
  <si>
    <r>
      <t xml:space="preserve">The </t>
    </r>
    <r>
      <rPr>
        <i/>
        <sz val="11"/>
        <color theme="1"/>
        <rFont val="Calibri"/>
        <family val="2"/>
        <scheme val="minor"/>
      </rPr>
      <t xml:space="preserve">Key assumptions </t>
    </r>
    <r>
      <rPr>
        <sz val="11"/>
        <color theme="1"/>
        <rFont val="Calibri"/>
        <family val="2"/>
        <scheme val="minor"/>
      </rPr>
      <t>worksheet outlines the key assumptions and rates which apply across the below listed categories. With the exception of allocation rates applied to discrete major projects, the rates applied highlighted in Yellow shade are global assumptions as referenced in the Key assumptions worksheet.</t>
    </r>
  </si>
  <si>
    <t>s6.3 Insurance</t>
  </si>
  <si>
    <t xml:space="preserve">s6.2 Stakeholder &amp; Community Engagement </t>
  </si>
  <si>
    <t>s6.1 Land &amp; Environment</t>
  </si>
  <si>
    <r>
      <t xml:space="preserve">Worksheet </t>
    </r>
    <r>
      <rPr>
        <i/>
        <sz val="11"/>
        <color theme="1"/>
        <rFont val="Calibri"/>
        <family val="2"/>
        <scheme val="minor"/>
      </rPr>
      <t xml:space="preserve">s6.3 Insurance </t>
    </r>
    <r>
      <rPr>
        <sz val="11"/>
        <color theme="1"/>
        <rFont val="Calibri"/>
        <family val="2"/>
        <scheme val="minor"/>
      </rPr>
      <t>contains all calculations are contained in this worksheet. No summary sheet is required as there is only a single line item listed for Insurance.</t>
    </r>
  </si>
  <si>
    <t>Section 6.3</t>
  </si>
  <si>
    <t>Section 6.2</t>
  </si>
  <si>
    <t>s6.2 Stakeholder &amp; Comm Egmt</t>
  </si>
  <si>
    <t>Section 6.1</t>
  </si>
  <si>
    <t>Community Engagement Manager- TransGrid</t>
  </si>
  <si>
    <t>Head of Risk - TransGrid</t>
  </si>
  <si>
    <t>Total Historical Indirect Capex</t>
  </si>
  <si>
    <t>Property Portfolio Manager - TransGrid</t>
  </si>
  <si>
    <t>Other Indirect Capex</t>
  </si>
  <si>
    <t>% of total capex</t>
  </si>
  <si>
    <t>Manager People &amp; Culture Operations - TransGrid;
Manager, Management Accounting - TransGrid;
Service Transition Manager</t>
  </si>
  <si>
    <t>Manager, Management Accounting - TransGrid</t>
  </si>
  <si>
    <t>Forecast</t>
  </si>
  <si>
    <t>Works Delivery - Non-Labour costs</t>
  </si>
  <si>
    <t>Rates</t>
  </si>
  <si>
    <t>Cumulative factors</t>
  </si>
  <si>
    <t>Labour Rate escalation</t>
  </si>
  <si>
    <t>CPI escalation</t>
  </si>
  <si>
    <t>Cumulative CPI</t>
  </si>
  <si>
    <t>Cumulative Labour rate</t>
  </si>
  <si>
    <t>Restatement to 2017/8 dollars</t>
  </si>
  <si>
    <t>Restatement to 30 June 2018 Labour rates</t>
  </si>
  <si>
    <t>Nominal values</t>
  </si>
  <si>
    <t>2017/8 $</t>
  </si>
  <si>
    <t>TOTAL FY19-FY23</t>
  </si>
  <si>
    <t>Total estimate: Actuals + Forecast</t>
  </si>
  <si>
    <t>Nominal / Current Rates</t>
  </si>
  <si>
    <t>Current / Nominal Rates</t>
  </si>
  <si>
    <t>INSURANCE</t>
  </si>
  <si>
    <t>Service Management, Works Delivery</t>
  </si>
  <si>
    <t>- Works Delivery Res Cost</t>
  </si>
  <si>
    <t>- Works Delivery Labour FTEs</t>
  </si>
  <si>
    <t>- Works Delivery Labour Hrs</t>
  </si>
  <si>
    <t>- PD-Labour(&amp;related)</t>
  </si>
  <si>
    <t>- PD-NonLabour</t>
  </si>
  <si>
    <t xml:space="preserve">- L&amp;E-NonLabour </t>
  </si>
  <si>
    <t>- SHC-Labour(&amp;related)</t>
  </si>
  <si>
    <t>Current / Nominal values (2018/9)</t>
  </si>
  <si>
    <t>Restatement to 2017/8 $</t>
  </si>
  <si>
    <t>Reference to VNI Forecast Indirect Capex CPA report</t>
  </si>
  <si>
    <t>s3. VNI Summary forecast</t>
  </si>
  <si>
    <t>VNI Project Director - TransGrid; 
Service Management, Works Delivery - TransGrid;
Senior Program Manager, Major Projects Delivery - TransGrid</t>
  </si>
  <si>
    <t xml:space="preserve">This worksheet captures the Works Delivery labour resource requirements (estimated Full-Time Equivalent (FTE) resourcing effort) to deliver the VNI project. Details include both the total labour resource requirements and the incremental labour resource requirements. These details have been calculated leveraging the Works Delivery Labour Hrs worksheet. </t>
  </si>
  <si>
    <t>VNI Project Director - TransGrid; 
VNI Senior Project Manager - TransGrid</t>
  </si>
  <si>
    <t xml:space="preserve">This worksheet captures the Project Development Bottom-up Labour Estimate, provided by the VNI Project team. </t>
  </si>
  <si>
    <t>VNI Project Management Team</t>
  </si>
  <si>
    <t>Other incremental resources required for VNI</t>
  </si>
  <si>
    <t>Other consulting costs</t>
  </si>
  <si>
    <t>Support Cost allocation</t>
  </si>
  <si>
    <t>Outsourced / Consulting costs</t>
  </si>
  <si>
    <t>VNI allocation - one off</t>
  </si>
  <si>
    <t>VNI allocation - Annual cost</t>
  </si>
  <si>
    <t>Total estimate of VNI Costs - Actuals + Forecast</t>
  </si>
  <si>
    <t>CPI Adjustment</t>
  </si>
  <si>
    <t>2018/9</t>
  </si>
  <si>
    <t>Actual inflation rate</t>
  </si>
  <si>
    <t>(based on RBA CPI rates by quarter)</t>
  </si>
  <si>
    <t>Cost per return flight to VNI sites</t>
  </si>
  <si>
    <t>The s3. VNI Summary forecast worksheet consolidates details from Section 4 through to Section 6 to provide a summarised overview of the total forecast corporate and network overhead costs for VNI through to the commissioning of the project.</t>
  </si>
  <si>
    <t>- PD-Labour Hours</t>
  </si>
  <si>
    <t>The s5. Project Development worksheet provides a summarised view of Project Development costs. Details of cost estimates have been captured in the supporting PD-Labour(&amp;related) and PD-Non-Labour worksheets.</t>
  </si>
  <si>
    <t>The s6.1 Land &amp; Environment worksheet provides a summarised view of the Land and Environment related costs. Details of cost estimates have been captured in the supporting L&amp;E-Labour(&amp;related) and L&amp;E-Non-Labour worksheets.</t>
  </si>
  <si>
    <t>The s6.2 Stakeholder &amp; Comm Egmt worksheet provides a summarised view of the Stakeholder and Community Engagement related costs. Details of cost estimates have been captured in the supporting SHC-Labour(&amp;related).</t>
  </si>
  <si>
    <t xml:space="preserve">This worksheet captures the Stakeholder and Community Engagement labour and labour related resource requirements to support the delivery of the VNI project. </t>
  </si>
  <si>
    <t xml:space="preserve">This worksheet captures the Land and Environment non-labour related resource requirements to support the delivery of the VNI project. </t>
  </si>
  <si>
    <t xml:space="preserve">This worksheet captures the Project Development non-labour related resource requirements to support the delivery of the VNI project. </t>
  </si>
  <si>
    <t xml:space="preserve">This worksheet captures the Project Development labour and labour related resource requirements to support the delivery of the VNI project. These details have been calculated leveraging the Project Development Bottom-up Build and major projects team estimates. </t>
  </si>
  <si>
    <t>Rates per capex forecast model</t>
  </si>
  <si>
    <t>Direct cost assumptions</t>
  </si>
  <si>
    <t>Share of labour costs that are direct</t>
  </si>
  <si>
    <t>Share of non-labour costs that are direct</t>
  </si>
  <si>
    <t>Forecast TransGrid Labour and Indirect Costs</t>
  </si>
  <si>
    <t>Forecast Direct Costs</t>
  </si>
  <si>
    <t>Forecast Indirect Costs</t>
  </si>
  <si>
    <t>Actual Direct Costs</t>
  </si>
  <si>
    <t>Actual Indirect Costs</t>
  </si>
  <si>
    <t>Actual TransGrid Labour and Indirect Costs</t>
  </si>
  <si>
    <t>Share of labour related costs that are direct</t>
  </si>
  <si>
    <t>Actual and Forecast TransGrid Labour and Indirect Costs</t>
  </si>
  <si>
    <t>Actual and Forecast Direct Costs</t>
  </si>
  <si>
    <t>Actual and Forecast Indirect Costs</t>
  </si>
  <si>
    <t>Labour Related component</t>
  </si>
  <si>
    <t>Non-Labour component</t>
  </si>
  <si>
    <t>Total Labour and Non-Labour</t>
  </si>
  <si>
    <t>Actuals</t>
  </si>
  <si>
    <t>Applied to all costs (excl labour costs)</t>
  </si>
  <si>
    <t>CONFIDENTIAL</t>
  </si>
  <si>
    <t>Any changes made in the black cells  link to the corresponding calculations in the worksheets</t>
  </si>
  <si>
    <t xml:space="preserve"> </t>
  </si>
  <si>
    <t>VNI Summary Forecast</t>
  </si>
  <si>
    <t>Historical Indirect Capex</t>
  </si>
  <si>
    <t>Key Assumptions</t>
  </si>
  <si>
    <t>Non-labour costs</t>
  </si>
  <si>
    <t>This worksheet captures the Works Delivery labour resource requirements (estimated number of resource hours) to deliver the VNI project. It is based on the resource plan "VNI Capex Overview 310320" document</t>
  </si>
  <si>
    <t>Model structure / Navigation instructions</t>
  </si>
  <si>
    <t xml:space="preserve">The s4. Works Delivery worsheet provides a summarised view of the forecast costs of the Works Delivery team to complete the VNI project. The Works Delivery team have provided several supporting workpapers, including the Works Delivery project schedule which has been linked to the Works Delivery Res Cost worksheet which provides detailed calculations. </t>
  </si>
  <si>
    <r>
      <t xml:space="preserve">This worksheet  leverages information from the </t>
    </r>
    <r>
      <rPr>
        <i/>
        <sz val="11"/>
        <color theme="1"/>
        <rFont val="Calibri"/>
        <family val="2"/>
        <scheme val="minor"/>
      </rPr>
      <t xml:space="preserve">Works Delivery Labour FTEs </t>
    </r>
    <r>
      <rPr>
        <sz val="11"/>
        <color theme="1"/>
        <rFont val="Calibri"/>
        <family val="2"/>
        <scheme val="minor"/>
      </rPr>
      <t>worksheet which drive calculations for the labour-related costs (i.e. recruitment, training and IT hardware).</t>
    </r>
  </si>
  <si>
    <t>ESTIMATE - prior to revision</t>
  </si>
  <si>
    <t>Nominal</t>
  </si>
  <si>
    <t xml:space="preserve">Works Delivery resource cost </t>
  </si>
  <si>
    <t>Remove Apr-Sept Fcast</t>
  </si>
  <si>
    <t>Labour related cost</t>
  </si>
  <si>
    <t>Project Development Resource cost</t>
  </si>
  <si>
    <t>Project Development labur related</t>
  </si>
  <si>
    <t>PD - Non-Labour / Consulting costs</t>
  </si>
  <si>
    <t>L&amp;E Consutant</t>
  </si>
  <si>
    <t>Stakeholder/community - Labour</t>
  </si>
  <si>
    <t>Insurance cost rephased</t>
  </si>
  <si>
    <t>2020-21 (Q1)</t>
  </si>
  <si>
    <t>TOTAL COST</t>
  </si>
  <si>
    <t>Actuals / Historic costs</t>
  </si>
  <si>
    <t>Add Actuals Q4/Q1</t>
  </si>
  <si>
    <t>Prior</t>
  </si>
  <si>
    <t>Revised</t>
  </si>
  <si>
    <t>CPI discount - Labour &amp; Labour related</t>
  </si>
  <si>
    <t>Applied to labour and labour related costs post-deescalation</t>
  </si>
  <si>
    <t xml:space="preserve"> June18 to Sept 20</t>
  </si>
  <si>
    <t xml:space="preserve">2019/20 </t>
  </si>
  <si>
    <t>Change to CPI adj</t>
  </si>
  <si>
    <t>Remove: Design costs Q4</t>
  </si>
  <si>
    <t>Remove: Design costs Q1 20/21</t>
  </si>
  <si>
    <t>Actuals / Historical costs</t>
  </si>
  <si>
    <t>Q4 19/20</t>
  </si>
  <si>
    <t>Q1 20/21</t>
  </si>
  <si>
    <t>New forecast</t>
  </si>
  <si>
    <t>Prior Forecast (nominal)</t>
  </si>
  <si>
    <t>Indirect capex costs has been incurred between 1 July 2018 to 30 Sept 2020:</t>
  </si>
  <si>
    <t xml:space="preserve">The s2. Historical Indirect Capex worksheet provides a summarised view of the 'costs incurred to date' (i.e. the 'Actuals') that have already been incurred to progress the VNI project. The Actuals have been incurred since FY18 through to 30 Sept 2020 (after which the VNI Forecast costs commence, i.e.  from 1 Oct 2020). </t>
  </si>
  <si>
    <t xml:space="preserve">This model is a supporting document to the 'Labour and Indirect Costs forecast for VNI Minor Upgrade Project' document, dated Oct 2020
This model substantiates values documented in the report in relation to the ‘Corporate and Network Overhead’ capital expenditure (Capex) for the Victoria New South Wales Interconnector (VNI) for the remainder of the current regulatory period 2018-19 to 2022-23 (2018-23). </t>
  </si>
  <si>
    <t>$M (rounded)</t>
  </si>
  <si>
    <t>Classification</t>
  </si>
  <si>
    <t>[Removed]</t>
  </si>
  <si>
    <t>[Supplier reference removed]</t>
  </si>
  <si>
    <t>[Content removed from public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</si>
</sst>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0.00_);_(&quot;$&quot;* \(#,##0.00\);_(&quot;$&quot;* &quot;-&quot;??_);_(@_)"/>
    <numFmt numFmtId="165" formatCode="_(* #,##0.00_);_(* \(#,##0.00\);_(* &quot;-&quot;??_);_(@_)"/>
    <numFmt numFmtId="166" formatCode="&quot;$&quot;#,##0.00_);[Red]\(&quot;$&quot;#,##0.00\)"/>
    <numFmt numFmtId="167" formatCode="_-&quot;$&quot;* #,##0_-;\-&quot;$&quot;* #,##0_-;_-&quot;$&quot;* &quot;-&quot;??_-;_-@_-"/>
    <numFmt numFmtId="168" formatCode="_(&quot;$&quot;* #,##0_);_(&quot;$&quot;* \(#,##0\);_(&quot;$&quot;* &quot;-&quot;??_);_(@_)"/>
    <numFmt numFmtId="169" formatCode="_(* #,##0_);_(* \(#,##0\);_(* &quot;-&quot;??_);_(@_)"/>
    <numFmt numFmtId="170" formatCode="&quot;$&quot;#,##0.00;[Red]&quot;$&quot;#,##0.00"/>
  </numFmts>
  <fonts count="3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i/>
      <sz val="11"/>
      <color theme="1"/>
      <name val="Calibri"/>
      <family val="2"/>
      <scheme val="minor"/>
    </font>
    <font>
      <b/>
      <i/>
      <sz val="11"/>
      <color theme="1"/>
      <name val="Calibri"/>
      <family val="2"/>
      <scheme val="minor"/>
    </font>
    <font>
      <sz val="11"/>
      <name val="Calibri"/>
      <family val="2"/>
      <scheme val="minor"/>
    </font>
    <font>
      <b/>
      <sz val="11"/>
      <name val="Calibri"/>
      <family val="2"/>
      <scheme val="minor"/>
    </font>
    <font>
      <b/>
      <sz val="11"/>
      <color rgb="FF000000"/>
      <name val="Calibri"/>
      <family val="2"/>
      <scheme val="minor"/>
    </font>
    <font>
      <b/>
      <i/>
      <sz val="11"/>
      <name val="Calibri"/>
      <family val="2"/>
      <scheme val="minor"/>
    </font>
    <font>
      <sz val="11"/>
      <color theme="2" tint="-0.249977111117893"/>
      <name val="Calibri"/>
      <family val="2"/>
      <scheme val="minor"/>
    </font>
    <font>
      <i/>
      <sz val="11"/>
      <color theme="0"/>
      <name val="Calibri"/>
      <family val="2"/>
      <scheme val="minor"/>
    </font>
    <font>
      <sz val="11"/>
      <color indexed="8"/>
      <name val="Calibri"/>
      <family val="2"/>
      <scheme val="minor"/>
    </font>
    <font>
      <i/>
      <sz val="11"/>
      <color theme="2" tint="-0.249977111117893"/>
      <name val="Calibri"/>
      <family val="2"/>
      <scheme val="minor"/>
    </font>
    <font>
      <b/>
      <i/>
      <sz val="11"/>
      <color theme="2" tint="-0.249977111117893"/>
      <name val="Calibri"/>
      <family val="2"/>
      <scheme val="minor"/>
    </font>
    <font>
      <b/>
      <sz val="11"/>
      <color theme="8"/>
      <name val="Calibri"/>
      <family val="2"/>
      <scheme val="minor"/>
    </font>
    <font>
      <sz val="11"/>
      <color rgb="FF000000"/>
      <name val="Calibri"/>
      <family val="2"/>
      <scheme val="minor"/>
    </font>
    <font>
      <i/>
      <sz val="11"/>
      <name val="Calibri"/>
      <family val="2"/>
      <scheme val="minor"/>
    </font>
    <font>
      <sz val="10"/>
      <name val="Arial"/>
      <family val="2"/>
    </font>
    <font>
      <i/>
      <sz val="9"/>
      <color theme="1"/>
      <name val="Calibri"/>
      <family val="2"/>
      <scheme val="minor"/>
    </font>
    <font>
      <b/>
      <sz val="18"/>
      <color theme="1"/>
      <name val="Calibri"/>
      <family val="2"/>
      <scheme val="minor"/>
    </font>
    <font>
      <i/>
      <sz val="11"/>
      <color theme="0" tint="-0.499984740745262"/>
      <name val="Calibri"/>
      <family val="2"/>
      <scheme val="minor"/>
    </font>
    <font>
      <b/>
      <sz val="11"/>
      <color indexed="9"/>
      <name val="Calibri"/>
      <family val="2"/>
      <scheme val="minor"/>
    </font>
    <font>
      <sz val="11"/>
      <color theme="5" tint="-0.499984740745262"/>
      <name val="Calibri"/>
      <family val="2"/>
      <scheme val="minor"/>
    </font>
    <font>
      <sz val="12"/>
      <color theme="1"/>
      <name val="Calibri"/>
      <family val="2"/>
      <scheme val="minor"/>
    </font>
    <font>
      <sz val="18"/>
      <color theme="1"/>
      <name val="Calibri"/>
      <family val="2"/>
      <scheme val="minor"/>
    </font>
    <font>
      <b/>
      <sz val="16"/>
      <color rgb="FFFF0000"/>
      <name val="Calibri"/>
      <family val="2"/>
      <scheme val="minor"/>
    </font>
    <font>
      <b/>
      <i/>
      <sz val="9"/>
      <color theme="1"/>
      <name val="Calibri"/>
      <family val="2"/>
      <scheme val="minor"/>
    </font>
    <font>
      <sz val="14"/>
      <color theme="1"/>
      <name val="Calibri"/>
      <family val="2"/>
      <scheme val="minor"/>
    </font>
    <font>
      <b/>
      <sz val="11"/>
      <color rgb="FFFF0000"/>
      <name val="Calibri"/>
      <family val="2"/>
      <scheme val="minor"/>
    </font>
  </fonts>
  <fills count="34">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9"/>
        <bgColor indexed="64"/>
      </patternFill>
    </fill>
    <fill>
      <patternFill patternType="solid">
        <fgColor theme="4"/>
        <bgColor indexed="64"/>
      </patternFill>
    </fill>
    <fill>
      <patternFill patternType="solid">
        <fgColor theme="2"/>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theme="9" tint="0.39997558519241921"/>
        <bgColor indexed="64"/>
      </patternFill>
    </fill>
    <fill>
      <patternFill patternType="solid">
        <fgColor rgb="FF002060"/>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7"/>
        <bgColor indexed="64"/>
      </patternFill>
    </fill>
    <fill>
      <patternFill patternType="solid">
        <fgColor rgb="FFD9D9D9"/>
        <bgColor indexed="64"/>
      </patternFill>
    </fill>
    <fill>
      <patternFill patternType="solid">
        <fgColor rgb="FFFFCCCC"/>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rgb="FF7030A0"/>
        <bgColor indexed="64"/>
      </patternFill>
    </fill>
    <fill>
      <patternFill patternType="solid">
        <fgColor rgb="FFD60093"/>
        <bgColor indexed="64"/>
      </patternFill>
    </fill>
    <fill>
      <patternFill patternType="solid">
        <fgColor rgb="FFFFC000"/>
        <bgColor indexed="64"/>
      </patternFill>
    </fill>
    <fill>
      <patternFill patternType="solid">
        <fgColor rgb="FF92D050"/>
        <bgColor indexed="64"/>
      </patternFill>
    </fill>
    <fill>
      <patternFill patternType="solid">
        <fgColor theme="9" tint="-0.499984740745262"/>
        <bgColor indexed="64"/>
      </patternFill>
    </fill>
    <fill>
      <patternFill patternType="solid">
        <fgColor rgb="FF00FFFF"/>
        <bgColor indexed="64"/>
      </patternFill>
    </fill>
    <fill>
      <patternFill patternType="solid">
        <fgColor indexed="8"/>
        <bgColor indexed="64"/>
      </patternFill>
    </fill>
    <fill>
      <patternFill patternType="solid">
        <fgColor theme="8"/>
        <bgColor indexed="64"/>
      </patternFill>
    </fill>
    <fill>
      <patternFill patternType="solid">
        <fgColor theme="1"/>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style="medium">
        <color indexed="64"/>
      </bottom>
      <diagonal/>
    </border>
    <border>
      <left style="thin">
        <color rgb="FFB1BBCC"/>
      </left>
      <right style="thin">
        <color rgb="FFB1BBCC"/>
      </right>
      <top style="thin">
        <color rgb="FFB1BBCC"/>
      </top>
      <bottom style="thin">
        <color rgb="FFB1BBCC"/>
      </bottom>
      <diagonal/>
    </border>
    <border>
      <left style="medium">
        <color rgb="FFFFFFFF"/>
      </left>
      <right style="medium">
        <color rgb="FFFFFFFF"/>
      </right>
      <top style="medium">
        <color rgb="FFFFFFFF"/>
      </top>
      <bottom/>
      <diagonal/>
    </border>
    <border>
      <left style="medium">
        <color rgb="FFFFFFFF"/>
      </left>
      <right style="medium">
        <color rgb="FFFFFFFF"/>
      </right>
      <top style="thick">
        <color rgb="FFFFFFFF"/>
      </top>
      <bottom/>
      <diagonal/>
    </border>
    <border>
      <left style="medium">
        <color rgb="FFFFFFFF"/>
      </left>
      <right style="medium">
        <color rgb="FFFFFFFF"/>
      </right>
      <top style="medium">
        <color rgb="FFFFFFFF"/>
      </top>
      <bottom style="medium">
        <color rgb="FFFFFFFF"/>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theme="0"/>
      </left>
      <right style="medium">
        <color theme="0"/>
      </right>
      <top style="medium">
        <color theme="0"/>
      </top>
      <bottom style="medium">
        <color theme="0"/>
      </bottom>
      <diagonal/>
    </border>
    <border>
      <left/>
      <right style="medium">
        <color indexed="64"/>
      </right>
      <top style="medium">
        <color indexed="64"/>
      </top>
      <bottom/>
      <diagonal/>
    </border>
    <border>
      <left style="thin">
        <color theme="0"/>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FFFF"/>
      </left>
      <right style="medium">
        <color rgb="FFFFFFFF"/>
      </right>
      <top/>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top style="thin">
        <color theme="0"/>
      </top>
      <bottom/>
      <diagonal/>
    </border>
    <border>
      <left style="thin">
        <color indexed="64"/>
      </left>
      <right style="medium">
        <color rgb="FFFFFFFF"/>
      </right>
      <top style="medium">
        <color rgb="FFFFFFFF"/>
      </top>
      <bottom style="medium">
        <color rgb="FFFFFFFF"/>
      </bottom>
      <diagonal/>
    </border>
    <border>
      <left style="medium">
        <color rgb="FFFFFFFF"/>
      </left>
      <right style="thin">
        <color indexed="64"/>
      </right>
      <top style="medium">
        <color rgb="FFFFFFFF"/>
      </top>
      <bottom style="medium">
        <color rgb="FFFFFFF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auto="1"/>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indexed="64"/>
      </right>
      <top/>
      <bottom style="thin">
        <color theme="0" tint="-0.499984740745262"/>
      </bottom>
      <diagonal/>
    </border>
    <border>
      <left/>
      <right style="thin">
        <color indexed="64"/>
      </right>
      <top/>
      <bottom style="thin">
        <color indexed="64"/>
      </bottom>
      <diagonal/>
    </border>
    <border>
      <left style="medium">
        <color indexed="64"/>
      </left>
      <right style="thin">
        <color theme="0" tint="-0.499984740745262"/>
      </right>
      <top/>
      <bottom style="medium">
        <color indexed="64"/>
      </bottom>
      <diagonal/>
    </border>
    <border>
      <left style="thin">
        <color theme="0" tint="-0.499984740745262"/>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rgb="FFFFFFFF"/>
      </right>
      <top style="medium">
        <color rgb="FFFFFFFF"/>
      </top>
      <bottom style="medium">
        <color indexed="64"/>
      </bottom>
      <diagonal/>
    </border>
    <border>
      <left style="medium">
        <color rgb="FFFFFFFF"/>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rgb="FFFFFFFF"/>
      </right>
      <top style="medium">
        <color indexed="64"/>
      </top>
      <bottom style="medium">
        <color indexed="64"/>
      </bottom>
      <diagonal/>
    </border>
    <border>
      <left style="medium">
        <color rgb="FFFFFFFF"/>
      </left>
      <right style="medium">
        <color rgb="FFFFFFFF"/>
      </right>
      <top style="medium">
        <color indexed="64"/>
      </top>
      <bottom style="medium">
        <color indexed="64"/>
      </bottom>
      <diagonal/>
    </border>
    <border>
      <left style="medium">
        <color rgb="FFFFFFFF"/>
      </left>
      <right style="medium">
        <color indexed="64"/>
      </right>
      <top style="medium">
        <color indexed="64"/>
      </top>
      <bottom style="medium">
        <color indexed="64"/>
      </bottom>
      <diagonal/>
    </border>
    <border>
      <left style="medium">
        <color rgb="FFFFFFFF"/>
      </left>
      <right/>
      <top style="medium">
        <color indexed="64"/>
      </top>
      <bottom style="medium">
        <color indexed="64"/>
      </bottom>
      <diagonal/>
    </border>
    <border>
      <left style="thin">
        <color indexed="64"/>
      </left>
      <right style="medium">
        <color rgb="FFFFFFFF"/>
      </right>
      <top style="medium">
        <color rgb="FFFFFFFF"/>
      </top>
      <bottom/>
      <diagonal/>
    </border>
    <border>
      <left style="medium">
        <color rgb="FFFFFFFF"/>
      </left>
      <right style="thin">
        <color indexed="64"/>
      </right>
      <top style="medium">
        <color rgb="FFFFFFFF"/>
      </top>
      <bottom/>
      <diagonal/>
    </border>
    <border>
      <left style="medium">
        <color rgb="FFFFFFFF"/>
      </left>
      <right style="medium">
        <color rgb="FFFFFFFF"/>
      </right>
      <top/>
      <bottom style="medium">
        <color rgb="FFFFFFFF"/>
      </bottom>
      <diagonal/>
    </border>
    <border>
      <left style="thin">
        <color indexed="64"/>
      </left>
      <right style="medium">
        <color rgb="FFFFFFFF"/>
      </right>
      <top/>
      <bottom/>
      <diagonal/>
    </border>
    <border>
      <left style="medium">
        <color rgb="FFFFFFFF"/>
      </left>
      <right style="thin">
        <color indexed="64"/>
      </right>
      <top/>
      <bottom/>
      <diagonal/>
    </border>
    <border>
      <left style="medium">
        <color auto="1"/>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medium">
        <color auto="1"/>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bottom style="thin">
        <color indexed="64"/>
      </bottom>
      <diagonal/>
    </border>
  </borders>
  <cellStyleXfs count="24">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5" fillId="0" borderId="0"/>
    <xf numFmtId="164"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4" fontId="1" fillId="0" borderId="0" applyFont="0" applyFill="0" applyBorder="0" applyAlignment="0" applyProtection="0"/>
    <xf numFmtId="0" fontId="5" fillId="0" borderId="0"/>
    <xf numFmtId="165" fontId="1" fillId="0" borderId="0" applyFont="0" applyFill="0" applyBorder="0" applyAlignment="0" applyProtection="0"/>
    <xf numFmtId="0" fontId="14" fillId="0" borderId="0"/>
    <xf numFmtId="165" fontId="1" fillId="0" borderId="0" applyFont="0" applyFill="0" applyBorder="0" applyAlignment="0" applyProtection="0"/>
    <xf numFmtId="165" fontId="1" fillId="0" borderId="0" applyFont="0" applyFill="0" applyBorder="0" applyAlignment="0" applyProtection="0"/>
    <xf numFmtId="0" fontId="20" fillId="0" borderId="0"/>
    <xf numFmtId="165" fontId="5" fillId="0" borderId="0" applyFont="0" applyFill="0" applyBorder="0" applyAlignment="0" applyProtection="0"/>
    <xf numFmtId="164" fontId="1" fillId="0" borderId="0" applyFont="0" applyFill="0" applyBorder="0" applyAlignment="0" applyProtection="0"/>
    <xf numFmtId="165" fontId="26" fillId="0" borderId="0" applyFont="0" applyFill="0" applyBorder="0" applyAlignment="0" applyProtection="0"/>
    <xf numFmtId="164" fontId="1" fillId="0" borderId="0" applyFont="0" applyFill="0" applyBorder="0" applyAlignment="0" applyProtection="0"/>
    <xf numFmtId="165" fontId="26" fillId="0" borderId="0" applyFont="0" applyFill="0" applyBorder="0" applyAlignment="0" applyProtection="0"/>
  </cellStyleXfs>
  <cellXfs count="374">
    <xf numFmtId="0" fontId="0" fillId="0" borderId="0" xfId="0"/>
    <xf numFmtId="0" fontId="3" fillId="0" borderId="0" xfId="0" applyFont="1"/>
    <xf numFmtId="167" fontId="3" fillId="0" borderId="0" xfId="0" applyNumberFormat="1" applyFont="1" applyBorder="1"/>
    <xf numFmtId="0" fontId="6" fillId="0" borderId="0" xfId="0" applyFont="1"/>
    <xf numFmtId="167" fontId="6" fillId="0" borderId="0" xfId="0" applyNumberFormat="1" applyFont="1"/>
    <xf numFmtId="0" fontId="0" fillId="0" borderId="0" xfId="0" applyFont="1"/>
    <xf numFmtId="0" fontId="3" fillId="0" borderId="0" xfId="0" applyFont="1" applyAlignment="1">
      <alignment wrapText="1"/>
    </xf>
    <xf numFmtId="167" fontId="0" fillId="0" borderId="0" xfId="2" applyNumberFormat="1" applyFont="1"/>
    <xf numFmtId="0" fontId="8" fillId="15" borderId="0" xfId="0" applyFont="1" applyFill="1"/>
    <xf numFmtId="0" fontId="3" fillId="0" borderId="0" xfId="0" applyFont="1" applyAlignment="1">
      <alignment horizontal="center"/>
    </xf>
    <xf numFmtId="168" fontId="3" fillId="0" borderId="1" xfId="2" applyNumberFormat="1" applyFont="1" applyBorder="1"/>
    <xf numFmtId="168" fontId="3" fillId="10" borderId="25" xfId="2" applyNumberFormat="1" applyFont="1" applyFill="1" applyBorder="1"/>
    <xf numFmtId="0" fontId="3" fillId="12" borderId="27" xfId="0" applyFont="1" applyFill="1" applyBorder="1"/>
    <xf numFmtId="168" fontId="3" fillId="19" borderId="25" xfId="2" applyNumberFormat="1" applyFont="1" applyFill="1" applyBorder="1"/>
    <xf numFmtId="168" fontId="0" fillId="0" borderId="1" xfId="2" applyNumberFormat="1" applyFont="1" applyFill="1" applyBorder="1"/>
    <xf numFmtId="0" fontId="3" fillId="0" borderId="1" xfId="0" applyFont="1" applyBorder="1" applyAlignment="1">
      <alignment horizontal="center" wrapText="1"/>
    </xf>
    <xf numFmtId="0" fontId="3" fillId="0" borderId="1" xfId="0" applyFont="1" applyBorder="1"/>
    <xf numFmtId="17" fontId="3" fillId="10" borderId="1" xfId="0" applyNumberFormat="1" applyFont="1" applyFill="1" applyBorder="1"/>
    <xf numFmtId="17" fontId="3" fillId="18" borderId="1" xfId="0" applyNumberFormat="1" applyFont="1" applyFill="1" applyBorder="1"/>
    <xf numFmtId="169" fontId="0" fillId="0" borderId="1" xfId="1" applyNumberFormat="1" applyFont="1" applyBorder="1"/>
    <xf numFmtId="0" fontId="3" fillId="22" borderId="27" xfId="0" applyFont="1" applyFill="1" applyBorder="1"/>
    <xf numFmtId="0" fontId="12" fillId="0" borderId="0" xfId="0" applyFont="1"/>
    <xf numFmtId="0" fontId="0" fillId="0" borderId="0" xfId="0" applyFont="1" applyAlignment="1">
      <alignment horizontal="right" readingOrder="1"/>
    </xf>
    <xf numFmtId="167" fontId="0" fillId="0" borderId="0" xfId="0" applyNumberFormat="1" applyFont="1"/>
    <xf numFmtId="167" fontId="3" fillId="0" borderId="0" xfId="0" applyNumberFormat="1" applyFont="1"/>
    <xf numFmtId="0" fontId="9" fillId="0" borderId="0" xfId="0" applyFont="1"/>
    <xf numFmtId="0" fontId="0" fillId="0" borderId="0" xfId="0" applyFont="1" applyAlignment="1">
      <alignment wrapText="1"/>
    </xf>
    <xf numFmtId="0" fontId="0" fillId="0" borderId="0" xfId="0" applyFont="1" applyFill="1"/>
    <xf numFmtId="0" fontId="0" fillId="0" borderId="12" xfId="0" applyFont="1" applyBorder="1"/>
    <xf numFmtId="0" fontId="0" fillId="0" borderId="0" xfId="0" applyFont="1" applyBorder="1"/>
    <xf numFmtId="0" fontId="3" fillId="0" borderId="10" xfId="0" applyFont="1" applyBorder="1"/>
    <xf numFmtId="167" fontId="0" fillId="0" borderId="12" xfId="0" applyNumberFormat="1" applyFont="1" applyBorder="1"/>
    <xf numFmtId="167" fontId="0" fillId="0" borderId="0" xfId="0" applyNumberFormat="1" applyFont="1" applyBorder="1"/>
    <xf numFmtId="167" fontId="3" fillId="0" borderId="10" xfId="0" applyNumberFormat="1" applyFont="1" applyBorder="1"/>
    <xf numFmtId="0" fontId="0" fillId="0" borderId="0" xfId="0" applyFont="1" applyFill="1" applyBorder="1"/>
    <xf numFmtId="0" fontId="2" fillId="17" borderId="5" xfId="0" applyFont="1" applyFill="1" applyBorder="1"/>
    <xf numFmtId="0" fontId="2" fillId="17" borderId="9" xfId="0" applyFont="1" applyFill="1" applyBorder="1"/>
    <xf numFmtId="0" fontId="0" fillId="0" borderId="0" xfId="0" applyFont="1" applyBorder="1" applyAlignment="1">
      <alignment horizontal="right" readingOrder="1"/>
    </xf>
    <xf numFmtId="0" fontId="3" fillId="0" borderId="0" xfId="0" applyFont="1" applyBorder="1"/>
    <xf numFmtId="0" fontId="4" fillId="0" borderId="0" xfId="0" applyFont="1" applyFill="1" applyAlignment="1">
      <alignment wrapText="1"/>
    </xf>
    <xf numFmtId="0" fontId="9" fillId="6" borderId="34" xfId="0" applyFont="1" applyFill="1" applyBorder="1" applyAlignment="1">
      <alignment vertical="center" wrapText="1"/>
    </xf>
    <xf numFmtId="166" fontId="15" fillId="0" borderId="0" xfId="0" applyNumberFormat="1" applyFont="1"/>
    <xf numFmtId="0" fontId="0" fillId="0" borderId="0" xfId="0"/>
    <xf numFmtId="0" fontId="15" fillId="0" borderId="0" xfId="0" applyFont="1"/>
    <xf numFmtId="168" fontId="15" fillId="0" borderId="0" xfId="0" applyNumberFormat="1" applyFont="1"/>
    <xf numFmtId="0" fontId="0" fillId="0" borderId="0" xfId="0" applyFont="1" applyAlignment="1">
      <alignment vertical="center"/>
    </xf>
    <xf numFmtId="0" fontId="7" fillId="3" borderId="6" xfId="0" applyFont="1" applyFill="1" applyBorder="1" applyAlignment="1">
      <alignment horizontal="center" vertical="top" wrapText="1"/>
    </xf>
    <xf numFmtId="0" fontId="7" fillId="3" borderId="6" xfId="0" applyFont="1" applyFill="1" applyBorder="1" applyAlignment="1">
      <alignment vertical="top"/>
    </xf>
    <xf numFmtId="0" fontId="4" fillId="24" borderId="0" xfId="0" applyFont="1" applyFill="1" applyAlignment="1">
      <alignment vertical="top"/>
    </xf>
    <xf numFmtId="0" fontId="4" fillId="25" borderId="0" xfId="0" applyFont="1" applyFill="1" applyAlignment="1">
      <alignment vertical="top"/>
    </xf>
    <xf numFmtId="0" fontId="7" fillId="3" borderId="6" xfId="0" applyFont="1" applyFill="1" applyBorder="1" applyAlignment="1">
      <alignment vertical="top" wrapText="1"/>
    </xf>
    <xf numFmtId="168" fontId="0" fillId="0" borderId="0" xfId="2" applyNumberFormat="1" applyFont="1"/>
    <xf numFmtId="0" fontId="0" fillId="0" borderId="0" xfId="0" applyFont="1" applyFill="1" applyAlignment="1">
      <alignment vertical="top" wrapText="1"/>
    </xf>
    <xf numFmtId="0" fontId="0" fillId="0" borderId="0" xfId="0" applyFont="1" applyFill="1" applyAlignment="1">
      <alignment vertical="top"/>
    </xf>
    <xf numFmtId="0" fontId="0" fillId="3" borderId="0" xfId="0" applyFont="1" applyFill="1" applyAlignment="1">
      <alignment horizontal="center" vertical="top"/>
    </xf>
    <xf numFmtId="0" fontId="0" fillId="3" borderId="0" xfId="0" applyFont="1" applyFill="1" applyAlignment="1">
      <alignment vertical="top"/>
    </xf>
    <xf numFmtId="0" fontId="0" fillId="3" borderId="0" xfId="0" applyFont="1" applyFill="1" applyAlignment="1">
      <alignment vertical="top" wrapText="1"/>
    </xf>
    <xf numFmtId="0" fontId="0" fillId="3" borderId="0" xfId="0" applyFont="1" applyFill="1" applyAlignment="1">
      <alignment vertical="center"/>
    </xf>
    <xf numFmtId="0" fontId="0" fillId="9" borderId="0" xfId="0" applyFont="1" applyFill="1" applyAlignment="1">
      <alignment vertical="top"/>
    </xf>
    <xf numFmtId="0" fontId="0" fillId="0" borderId="0" xfId="0" applyFont="1" applyAlignment="1">
      <alignment horizontal="center" vertical="top"/>
    </xf>
    <xf numFmtId="0" fontId="0" fillId="0" borderId="0" xfId="0" applyFont="1" applyAlignment="1">
      <alignment vertical="top" wrapText="1"/>
    </xf>
    <xf numFmtId="0" fontId="0" fillId="27" borderId="0" xfId="0" applyFont="1" applyFill="1" applyAlignment="1">
      <alignment vertical="top"/>
    </xf>
    <xf numFmtId="0" fontId="0" fillId="28" borderId="0" xfId="0" applyFont="1" applyFill="1" applyAlignment="1">
      <alignment vertical="top"/>
    </xf>
    <xf numFmtId="0" fontId="17" fillId="0" borderId="0" xfId="0" applyFont="1"/>
    <xf numFmtId="0" fontId="0" fillId="0" borderId="1" xfId="0" applyFont="1" applyBorder="1"/>
    <xf numFmtId="0" fontId="10" fillId="21" borderId="25" xfId="0" applyFont="1" applyFill="1" applyBorder="1" applyAlignment="1">
      <alignment horizontal="center" vertical="center"/>
    </xf>
    <xf numFmtId="0" fontId="10" fillId="21" borderId="20" xfId="0" applyFont="1" applyFill="1" applyBorder="1" applyAlignment="1">
      <alignment vertical="center"/>
    </xf>
    <xf numFmtId="0" fontId="10" fillId="21" borderId="20" xfId="0" applyFont="1" applyFill="1" applyBorder="1" applyAlignment="1">
      <alignment horizontal="center" vertical="center"/>
    </xf>
    <xf numFmtId="0" fontId="18" fillId="3" borderId="26" xfId="0" applyFont="1" applyFill="1" applyBorder="1" applyAlignment="1">
      <alignment horizontal="center" vertical="center"/>
    </xf>
    <xf numFmtId="0" fontId="18" fillId="3" borderId="13" xfId="0" applyFont="1" applyFill="1" applyBorder="1" applyAlignment="1">
      <alignment vertical="center"/>
    </xf>
    <xf numFmtId="9" fontId="18" fillId="3" borderId="13" xfId="0" applyNumberFormat="1" applyFont="1" applyFill="1" applyBorder="1" applyAlignment="1">
      <alignment horizontal="center" vertical="center"/>
    </xf>
    <xf numFmtId="0" fontId="18" fillId="21" borderId="26" xfId="0" applyFont="1" applyFill="1" applyBorder="1" applyAlignment="1">
      <alignment horizontal="center" vertical="center"/>
    </xf>
    <xf numFmtId="0" fontId="10" fillId="21" borderId="13" xfId="0" applyFont="1" applyFill="1" applyBorder="1" applyAlignment="1">
      <alignment vertical="center"/>
    </xf>
    <xf numFmtId="9" fontId="10" fillId="21" borderId="13" xfId="0" applyNumberFormat="1" applyFont="1" applyFill="1" applyBorder="1" applyAlignment="1">
      <alignment horizontal="center" vertical="center"/>
    </xf>
    <xf numFmtId="0" fontId="19" fillId="0" borderId="0" xfId="0" applyFont="1"/>
    <xf numFmtId="0" fontId="0" fillId="5" borderId="1" xfId="0" applyFont="1" applyFill="1" applyBorder="1"/>
    <xf numFmtId="10" fontId="0" fillId="0" borderId="0" xfId="0" applyNumberFormat="1" applyFont="1"/>
    <xf numFmtId="0" fontId="2" fillId="11" borderId="3" xfId="0" applyFont="1" applyFill="1" applyBorder="1"/>
    <xf numFmtId="0" fontId="2" fillId="11" borderId="7" xfId="0" applyFont="1" applyFill="1" applyBorder="1"/>
    <xf numFmtId="167" fontId="2" fillId="11" borderId="4" xfId="0" applyNumberFormat="1" applyFont="1" applyFill="1" applyBorder="1"/>
    <xf numFmtId="0" fontId="0" fillId="9" borderId="1" xfId="0" applyFont="1" applyFill="1" applyBorder="1"/>
    <xf numFmtId="167" fontId="0" fillId="9" borderId="1" xfId="0" applyNumberFormat="1" applyFont="1" applyFill="1" applyBorder="1"/>
    <xf numFmtId="167" fontId="0" fillId="9" borderId="1" xfId="2" applyNumberFormat="1" applyFont="1" applyFill="1" applyBorder="1"/>
    <xf numFmtId="0" fontId="2" fillId="11" borderId="9" xfId="0" applyFont="1" applyFill="1" applyBorder="1"/>
    <xf numFmtId="167" fontId="2" fillId="11" borderId="8" xfId="0" applyNumberFormat="1" applyFont="1" applyFill="1" applyBorder="1"/>
    <xf numFmtId="167" fontId="0" fillId="5" borderId="1" xfId="0" applyNumberFormat="1" applyFont="1" applyFill="1" applyBorder="1"/>
    <xf numFmtId="167" fontId="3" fillId="5" borderId="1" xfId="0" applyNumberFormat="1" applyFont="1" applyFill="1" applyBorder="1"/>
    <xf numFmtId="166" fontId="2" fillId="13" borderId="1" xfId="0" applyNumberFormat="1" applyFont="1" applyFill="1" applyBorder="1" applyAlignment="1">
      <alignment horizontal="center" vertical="center" wrapText="1"/>
    </xf>
    <xf numFmtId="0" fontId="2" fillId="11" borderId="27" xfId="0" applyFont="1" applyFill="1" applyBorder="1"/>
    <xf numFmtId="0" fontId="2" fillId="11" borderId="20" xfId="0" applyFont="1" applyFill="1" applyBorder="1"/>
    <xf numFmtId="0" fontId="0" fillId="5" borderId="11" xfId="0" applyFont="1" applyFill="1" applyBorder="1"/>
    <xf numFmtId="0" fontId="8" fillId="5" borderId="15" xfId="0" applyFont="1" applyFill="1" applyBorder="1" applyAlignment="1">
      <alignment horizontal="left" vertical="center" wrapText="1" readingOrder="1"/>
    </xf>
    <xf numFmtId="167" fontId="8" fillId="5" borderId="17" xfId="0" applyNumberFormat="1" applyFont="1" applyFill="1" applyBorder="1" applyAlignment="1">
      <alignment horizontal="right" vertical="center" wrapText="1" readingOrder="1"/>
    </xf>
    <xf numFmtId="168" fontId="9" fillId="5" borderId="17" xfId="2" applyNumberFormat="1" applyFont="1" applyFill="1" applyBorder="1" applyAlignment="1">
      <alignment horizontal="left" vertical="center" wrapText="1" readingOrder="1"/>
    </xf>
    <xf numFmtId="168" fontId="8" fillId="0" borderId="17" xfId="0" applyNumberFormat="1" applyFont="1" applyFill="1" applyBorder="1" applyAlignment="1">
      <alignment horizontal="left" vertical="center" wrapText="1" readingOrder="1"/>
    </xf>
    <xf numFmtId="168" fontId="8" fillId="5" borderId="15" xfId="2" applyNumberFormat="1" applyFont="1" applyFill="1" applyBorder="1" applyAlignment="1">
      <alignment horizontal="left" vertical="center" wrapText="1" readingOrder="1"/>
    </xf>
    <xf numFmtId="168" fontId="8" fillId="5" borderId="17" xfId="2" applyNumberFormat="1" applyFont="1" applyFill="1" applyBorder="1" applyAlignment="1">
      <alignment horizontal="right" vertical="center" wrapText="1" readingOrder="1"/>
    </xf>
    <xf numFmtId="168" fontId="8" fillId="5" borderId="17" xfId="2" applyNumberFormat="1" applyFont="1" applyFill="1" applyBorder="1" applyAlignment="1">
      <alignment horizontal="left" vertical="center" wrapText="1" readingOrder="1"/>
    </xf>
    <xf numFmtId="0" fontId="8" fillId="5" borderId="16" xfId="0" applyFont="1" applyFill="1" applyBorder="1" applyAlignment="1">
      <alignment horizontal="left" vertical="center" wrapText="1" readingOrder="1"/>
    </xf>
    <xf numFmtId="168" fontId="8" fillId="5" borderId="16" xfId="2" applyNumberFormat="1" applyFont="1" applyFill="1" applyBorder="1" applyAlignment="1">
      <alignment horizontal="left" vertical="center" wrapText="1" readingOrder="1"/>
    </xf>
    <xf numFmtId="0" fontId="8" fillId="5" borderId="17" xfId="0" applyFont="1" applyFill="1" applyBorder="1" applyAlignment="1">
      <alignment horizontal="left" vertical="center" wrapText="1" readingOrder="1"/>
    </xf>
    <xf numFmtId="0" fontId="4" fillId="16" borderId="17" xfId="0" applyFont="1" applyFill="1" applyBorder="1" applyAlignment="1">
      <alignment horizontal="left" vertical="center" wrapText="1" readingOrder="1"/>
    </xf>
    <xf numFmtId="167" fontId="4" fillId="16" borderId="17" xfId="0" applyNumberFormat="1" applyFont="1" applyFill="1" applyBorder="1" applyAlignment="1">
      <alignment horizontal="right" vertical="center" wrapText="1" readingOrder="1"/>
    </xf>
    <xf numFmtId="167" fontId="4" fillId="16" borderId="17" xfId="0" applyNumberFormat="1" applyFont="1" applyFill="1" applyBorder="1" applyAlignment="1">
      <alignment horizontal="left" vertical="center" wrapText="1"/>
    </xf>
    <xf numFmtId="168" fontId="2" fillId="16" borderId="17" xfId="0" applyNumberFormat="1" applyFont="1" applyFill="1" applyBorder="1" applyAlignment="1">
      <alignment horizontal="left" vertical="center" wrapText="1" readingOrder="1"/>
    </xf>
    <xf numFmtId="168" fontId="4" fillId="16" borderId="17" xfId="2" applyNumberFormat="1" applyFont="1" applyFill="1" applyBorder="1" applyAlignment="1">
      <alignment horizontal="left" vertical="center" wrapText="1" readingOrder="1"/>
    </xf>
    <xf numFmtId="167" fontId="8" fillId="5" borderId="0" xfId="0" applyNumberFormat="1" applyFont="1" applyFill="1" applyBorder="1" applyAlignment="1">
      <alignment horizontal="right" vertical="center" wrapText="1" readingOrder="1"/>
    </xf>
    <xf numFmtId="0" fontId="8" fillId="5" borderId="0" xfId="0" applyFont="1" applyFill="1" applyBorder="1" applyAlignment="1">
      <alignment horizontal="left" vertical="center" wrapText="1" readingOrder="1"/>
    </xf>
    <xf numFmtId="165" fontId="0" fillId="0" borderId="0" xfId="0" applyNumberFormat="1" applyFont="1"/>
    <xf numFmtId="0" fontId="8" fillId="15" borderId="0" xfId="0" applyFont="1" applyFill="1" applyBorder="1" applyAlignment="1">
      <alignment horizontal="left" vertical="center" wrapText="1" readingOrder="1"/>
    </xf>
    <xf numFmtId="0" fontId="8" fillId="15" borderId="17" xfId="0" applyFont="1" applyFill="1" applyBorder="1" applyAlignment="1">
      <alignment horizontal="left" vertical="center" wrapText="1" readingOrder="1"/>
    </xf>
    <xf numFmtId="167" fontId="13" fillId="16" borderId="17" xfId="0" applyNumberFormat="1" applyFont="1" applyFill="1" applyBorder="1" applyAlignment="1">
      <alignment horizontal="right" vertical="center" wrapText="1" readingOrder="1"/>
    </xf>
    <xf numFmtId="167" fontId="2" fillId="16" borderId="17" xfId="0" applyNumberFormat="1" applyFont="1" applyFill="1" applyBorder="1" applyAlignment="1">
      <alignment horizontal="right" vertical="center" wrapText="1" readingOrder="1"/>
    </xf>
    <xf numFmtId="0" fontId="8" fillId="5" borderId="22" xfId="0" applyFont="1" applyFill="1" applyBorder="1" applyAlignment="1">
      <alignment horizontal="left" vertical="center" wrapText="1" readingOrder="1"/>
    </xf>
    <xf numFmtId="0" fontId="0" fillId="22" borderId="19" xfId="0" applyFont="1" applyFill="1" applyBorder="1"/>
    <xf numFmtId="0" fontId="0" fillId="22" borderId="20" xfId="0" applyFont="1" applyFill="1" applyBorder="1"/>
    <xf numFmtId="0" fontId="0" fillId="12" borderId="19" xfId="0" applyFont="1" applyFill="1" applyBorder="1"/>
    <xf numFmtId="0" fontId="0" fillId="12" borderId="20" xfId="0" applyFont="1" applyFill="1" applyBorder="1"/>
    <xf numFmtId="0" fontId="0" fillId="14" borderId="1" xfId="0" applyFont="1" applyFill="1" applyBorder="1"/>
    <xf numFmtId="168" fontId="0" fillId="0" borderId="0" xfId="0" applyNumberFormat="1" applyFont="1"/>
    <xf numFmtId="0" fontId="0" fillId="0" borderId="0" xfId="0" applyFont="1" applyAlignment="1">
      <alignment horizontal="center"/>
    </xf>
    <xf numFmtId="168" fontId="0" fillId="0" borderId="25" xfId="0" applyNumberFormat="1" applyFont="1" applyBorder="1"/>
    <xf numFmtId="0" fontId="9" fillId="0" borderId="31" xfId="0" applyFont="1" applyFill="1" applyBorder="1" applyAlignment="1">
      <alignment horizontal="left" vertical="center" wrapText="1" readingOrder="1"/>
    </xf>
    <xf numFmtId="168" fontId="4" fillId="16" borderId="35" xfId="0" applyNumberFormat="1" applyFont="1" applyFill="1" applyBorder="1" applyAlignment="1">
      <alignment horizontal="left" vertical="center" wrapText="1" readingOrder="1"/>
    </xf>
    <xf numFmtId="168" fontId="4" fillId="16" borderId="36" xfId="0" applyNumberFormat="1" applyFont="1" applyFill="1" applyBorder="1" applyAlignment="1">
      <alignment horizontal="left" vertical="center" wrapText="1" readingOrder="1"/>
    </xf>
    <xf numFmtId="168" fontId="2" fillId="16" borderId="36" xfId="0" applyNumberFormat="1" applyFont="1" applyFill="1" applyBorder="1" applyAlignment="1">
      <alignment horizontal="left" vertical="center" wrapText="1" readingOrder="1"/>
    </xf>
    <xf numFmtId="167" fontId="8" fillId="0" borderId="31" xfId="2" applyNumberFormat="1" applyFont="1" applyFill="1" applyBorder="1" applyAlignment="1">
      <alignment horizontal="right" vertical="center" wrapText="1" readingOrder="1"/>
    </xf>
    <xf numFmtId="167" fontId="8" fillId="0" borderId="16" xfId="0" applyNumberFormat="1" applyFont="1" applyFill="1" applyBorder="1" applyAlignment="1">
      <alignment horizontal="left" vertical="center" wrapText="1" indent="1" readingOrder="1"/>
    </xf>
    <xf numFmtId="167" fontId="9" fillId="0" borderId="16" xfId="0" applyNumberFormat="1" applyFont="1" applyFill="1" applyBorder="1" applyAlignment="1">
      <alignment horizontal="left" vertical="center" wrapText="1" indent="1" readingOrder="1"/>
    </xf>
    <xf numFmtId="167" fontId="4" fillId="16" borderId="35" xfId="0" applyNumberFormat="1" applyFont="1" applyFill="1" applyBorder="1" applyAlignment="1">
      <alignment horizontal="right" vertical="center" wrapText="1" readingOrder="1"/>
    </xf>
    <xf numFmtId="167" fontId="4" fillId="16" borderId="36" xfId="0" applyNumberFormat="1" applyFont="1" applyFill="1" applyBorder="1" applyAlignment="1">
      <alignment horizontal="right" vertical="center" wrapText="1" readingOrder="1"/>
    </xf>
    <xf numFmtId="167" fontId="2" fillId="16" borderId="36" xfId="0" applyNumberFormat="1" applyFont="1" applyFill="1" applyBorder="1" applyAlignment="1">
      <alignment horizontal="right" vertical="center" wrapText="1" readingOrder="1"/>
    </xf>
    <xf numFmtId="167" fontId="8" fillId="5" borderId="17" xfId="2" applyNumberFormat="1" applyFont="1" applyFill="1" applyBorder="1" applyAlignment="1">
      <alignment horizontal="right" vertical="center" wrapText="1" readingOrder="1"/>
    </xf>
    <xf numFmtId="167" fontId="9" fillId="5" borderId="17" xfId="2" applyNumberFormat="1" applyFont="1" applyFill="1" applyBorder="1" applyAlignment="1">
      <alignment horizontal="right" vertical="center" wrapText="1" readingOrder="1"/>
    </xf>
    <xf numFmtId="164" fontId="3" fillId="0" borderId="0" xfId="0" applyNumberFormat="1" applyFont="1"/>
    <xf numFmtId="0" fontId="9" fillId="0" borderId="0" xfId="0" applyFont="1" applyBorder="1" applyAlignment="1"/>
    <xf numFmtId="168" fontId="4" fillId="16" borderId="17" xfId="2" applyNumberFormat="1" applyFont="1" applyFill="1" applyBorder="1" applyAlignment="1">
      <alignment horizontal="right" vertical="center" wrapText="1" readingOrder="1"/>
    </xf>
    <xf numFmtId="168" fontId="3" fillId="0" borderId="0" xfId="2" applyNumberFormat="1" applyFont="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67" fontId="7" fillId="0" borderId="1" xfId="0" applyNumberFormat="1" applyFont="1" applyBorder="1" applyAlignment="1">
      <alignment horizontal="center" vertical="center" wrapText="1"/>
    </xf>
    <xf numFmtId="0" fontId="0" fillId="0" borderId="0" xfId="0" applyFont="1" applyAlignment="1">
      <alignment horizontal="center" vertical="center"/>
    </xf>
    <xf numFmtId="0" fontId="3" fillId="0" borderId="2" xfId="0" applyFont="1" applyBorder="1" applyAlignment="1">
      <alignment horizontal="center" vertical="center"/>
    </xf>
    <xf numFmtId="0" fontId="8" fillId="9" borderId="24" xfId="0" applyFont="1" applyFill="1" applyBorder="1" applyAlignment="1">
      <alignment horizontal="left" vertical="center" wrapText="1"/>
    </xf>
    <xf numFmtId="168" fontId="8" fillId="9" borderId="24" xfId="2" applyNumberFormat="1" applyFont="1" applyFill="1" applyBorder="1" applyAlignment="1">
      <alignment horizontal="left" vertical="center" wrapText="1" readingOrder="1"/>
    </xf>
    <xf numFmtId="168" fontId="8" fillId="9" borderId="32" xfId="2" applyNumberFormat="1" applyFont="1" applyFill="1" applyBorder="1" applyAlignment="1">
      <alignment horizontal="left" vertical="center" wrapText="1" readingOrder="1"/>
    </xf>
    <xf numFmtId="168" fontId="9" fillId="9" borderId="33" xfId="2" applyNumberFormat="1" applyFont="1" applyFill="1" applyBorder="1" applyAlignment="1">
      <alignment horizontal="left" vertical="center" wrapText="1" readingOrder="1"/>
    </xf>
    <xf numFmtId="0" fontId="2" fillId="25" borderId="0" xfId="0" applyFont="1" applyFill="1" applyAlignment="1">
      <alignment vertical="center" wrapText="1"/>
    </xf>
    <xf numFmtId="167" fontId="6" fillId="0" borderId="1" xfId="0" applyNumberFormat="1" applyFont="1" applyBorder="1" applyAlignment="1">
      <alignment horizontal="center" vertical="center" wrapText="1"/>
    </xf>
    <xf numFmtId="0" fontId="0" fillId="0" borderId="0" xfId="0" applyFont="1" applyFill="1" applyAlignment="1">
      <alignment vertical="center"/>
    </xf>
    <xf numFmtId="0" fontId="2" fillId="26" borderId="0" xfId="0" applyFont="1" applyFill="1" applyAlignment="1">
      <alignment vertical="center" wrapText="1"/>
    </xf>
    <xf numFmtId="0" fontId="3" fillId="7" borderId="0" xfId="0" applyFont="1" applyFill="1" applyAlignment="1">
      <alignment vertical="center"/>
    </xf>
    <xf numFmtId="0" fontId="3" fillId="20" borderId="1" xfId="0" applyFont="1" applyFill="1" applyBorder="1" applyAlignment="1">
      <alignment vertical="center"/>
    </xf>
    <xf numFmtId="0" fontId="2" fillId="2" borderId="1" xfId="0" applyFont="1" applyFill="1" applyBorder="1" applyAlignment="1">
      <alignment vertical="center"/>
    </xf>
    <xf numFmtId="0" fontId="2" fillId="29" borderId="1" xfId="0" applyFont="1" applyFill="1" applyBorder="1" applyAlignment="1">
      <alignment vertical="center"/>
    </xf>
    <xf numFmtId="0" fontId="4" fillId="16" borderId="17" xfId="0" applyFont="1" applyFill="1" applyBorder="1" applyAlignment="1">
      <alignment horizontal="left" vertical="center" readingOrder="1"/>
    </xf>
    <xf numFmtId="0" fontId="0" fillId="14" borderId="1" xfId="0" applyFont="1" applyFill="1" applyBorder="1" applyAlignment="1">
      <alignment horizontal="left" indent="2"/>
    </xf>
    <xf numFmtId="167" fontId="0" fillId="14" borderId="1" xfId="0" applyNumberFormat="1" applyFont="1" applyFill="1" applyBorder="1"/>
    <xf numFmtId="167" fontId="3" fillId="14" borderId="1" xfId="0" applyNumberFormat="1" applyFont="1" applyFill="1" applyBorder="1"/>
    <xf numFmtId="9" fontId="0" fillId="0" borderId="0" xfId="3" applyFont="1" applyAlignment="1">
      <alignment horizontal="center"/>
    </xf>
    <xf numFmtId="0" fontId="8" fillId="0" borderId="0" xfId="0" applyFont="1" applyFill="1" applyAlignment="1">
      <alignment vertical="top" wrapText="1"/>
    </xf>
    <xf numFmtId="169" fontId="3" fillId="0" borderId="0" xfId="1" applyNumberFormat="1" applyFont="1"/>
    <xf numFmtId="170" fontId="11" fillId="0" borderId="0" xfId="0" applyNumberFormat="1" applyFont="1"/>
    <xf numFmtId="164" fontId="7" fillId="0" borderId="0" xfId="0" applyNumberFormat="1" applyFont="1"/>
    <xf numFmtId="168" fontId="6" fillId="0" borderId="0" xfId="0" applyNumberFormat="1" applyFont="1"/>
    <xf numFmtId="0" fontId="0" fillId="5" borderId="4" xfId="0" applyFont="1" applyFill="1" applyBorder="1"/>
    <xf numFmtId="167" fontId="0" fillId="5" borderId="4" xfId="0" applyNumberFormat="1" applyFont="1" applyFill="1" applyBorder="1"/>
    <xf numFmtId="0" fontId="4" fillId="16" borderId="0" xfId="0" applyFont="1" applyFill="1" applyBorder="1" applyAlignment="1">
      <alignment horizontal="left" vertical="center" wrapText="1" readingOrder="1"/>
    </xf>
    <xf numFmtId="168" fontId="4" fillId="16" borderId="0" xfId="2" applyNumberFormat="1" applyFont="1" applyFill="1" applyBorder="1" applyAlignment="1">
      <alignment horizontal="left" vertical="center" wrapText="1" readingOrder="1"/>
    </xf>
    <xf numFmtId="0" fontId="6" fillId="0" borderId="0" xfId="0" applyFont="1" applyAlignment="1">
      <alignment horizontal="center"/>
    </xf>
    <xf numFmtId="0" fontId="3" fillId="0" borderId="11" xfId="0" applyFont="1" applyBorder="1" applyAlignment="1">
      <alignment horizontal="center" vertical="center" wrapText="1"/>
    </xf>
    <xf numFmtId="0" fontId="3" fillId="19" borderId="11" xfId="0" applyFont="1" applyFill="1" applyBorder="1" applyAlignment="1">
      <alignment horizontal="center" vertical="center" wrapText="1"/>
    </xf>
    <xf numFmtId="0" fontId="6" fillId="19" borderId="3" xfId="0" applyFont="1" applyFill="1" applyBorder="1"/>
    <xf numFmtId="0" fontId="6" fillId="19" borderId="7" xfId="0" applyFont="1" applyFill="1" applyBorder="1"/>
    <xf numFmtId="0" fontId="6" fillId="19" borderId="4" xfId="0" applyFont="1" applyFill="1" applyBorder="1"/>
    <xf numFmtId="0" fontId="3" fillId="22" borderId="11" xfId="0" applyFont="1" applyFill="1" applyBorder="1" applyAlignment="1">
      <alignment horizontal="center" vertical="center" wrapText="1"/>
    </xf>
    <xf numFmtId="0" fontId="0" fillId="22" borderId="7" xfId="0" applyFont="1" applyFill="1" applyBorder="1"/>
    <xf numFmtId="0" fontId="0" fillId="22" borderId="4" xfId="0" applyFont="1" applyFill="1" applyBorder="1"/>
    <xf numFmtId="0" fontId="6" fillId="22" borderId="3" xfId="0" applyFont="1" applyFill="1" applyBorder="1"/>
    <xf numFmtId="0" fontId="0" fillId="32" borderId="7" xfId="0" applyFont="1" applyFill="1" applyBorder="1"/>
    <xf numFmtId="0" fontId="3" fillId="32" borderId="4" xfId="0" applyFont="1" applyFill="1" applyBorder="1"/>
    <xf numFmtId="0" fontId="13" fillId="32" borderId="3" xfId="0" applyFont="1" applyFill="1" applyBorder="1"/>
    <xf numFmtId="0" fontId="2" fillId="2" borderId="11" xfId="0" applyFont="1" applyFill="1" applyBorder="1" applyAlignment="1">
      <alignment horizontal="center" vertical="center" wrapText="1"/>
    </xf>
    <xf numFmtId="0" fontId="3" fillId="0" borderId="0" xfId="0" applyFont="1" applyBorder="1" applyAlignment="1">
      <alignment horizontal="center" vertical="center" wrapText="1"/>
    </xf>
    <xf numFmtId="0" fontId="0" fillId="5" borderId="46" xfId="0" applyFont="1" applyFill="1" applyBorder="1"/>
    <xf numFmtId="167" fontId="0" fillId="5" borderId="46" xfId="0" applyNumberFormat="1" applyFont="1" applyFill="1" applyBorder="1"/>
    <xf numFmtId="167" fontId="0" fillId="5" borderId="11" xfId="0" applyNumberFormat="1" applyFont="1" applyFill="1" applyBorder="1"/>
    <xf numFmtId="0" fontId="0" fillId="0" borderId="9" xfId="0" applyFont="1" applyBorder="1" applyAlignment="1">
      <alignment horizontal="center" vertical="center"/>
    </xf>
    <xf numFmtId="15" fontId="0" fillId="0" borderId="9"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21" fillId="0" borderId="9" xfId="0" applyFont="1" applyBorder="1" applyAlignment="1">
      <alignment horizontal="center"/>
    </xf>
    <xf numFmtId="0" fontId="0" fillId="0" borderId="0" xfId="0" applyFont="1" applyAlignment="1"/>
    <xf numFmtId="0" fontId="22" fillId="0" borderId="0" xfId="0" applyFont="1"/>
    <xf numFmtId="0" fontId="8" fillId="0" borderId="1" xfId="0" applyFont="1" applyFill="1" applyBorder="1" applyAlignment="1">
      <alignment horizontal="center"/>
    </xf>
    <xf numFmtId="168" fontId="3" fillId="10" borderId="25" xfId="0" applyNumberFormat="1" applyFont="1" applyFill="1" applyBorder="1"/>
    <xf numFmtId="168" fontId="3" fillId="19" borderId="25" xfId="0" applyNumberFormat="1" applyFont="1" applyFill="1" applyBorder="1"/>
    <xf numFmtId="10" fontId="0" fillId="9" borderId="1" xfId="0" applyNumberFormat="1" applyFont="1" applyFill="1" applyBorder="1"/>
    <xf numFmtId="167" fontId="13" fillId="16" borderId="36" xfId="0" applyNumberFormat="1" applyFont="1" applyFill="1" applyBorder="1" applyAlignment="1">
      <alignment horizontal="right" vertical="center" wrapText="1" readingOrder="1"/>
    </xf>
    <xf numFmtId="0" fontId="8" fillId="0" borderId="0" xfId="18" applyFont="1"/>
    <xf numFmtId="0" fontId="9" fillId="0" borderId="27" xfId="18" applyFont="1" applyBorder="1" applyAlignment="1" applyProtection="1">
      <alignment horizontal="center"/>
      <protection locked="0"/>
    </xf>
    <xf numFmtId="0" fontId="9" fillId="0" borderId="25" xfId="18" applyFont="1" applyBorder="1" applyAlignment="1" applyProtection="1">
      <alignment horizontal="center"/>
      <protection locked="0"/>
    </xf>
    <xf numFmtId="10" fontId="25" fillId="3" borderId="43" xfId="6" applyNumberFormat="1" applyFont="1" applyFill="1" applyBorder="1" applyAlignment="1" applyProtection="1">
      <alignment horizontal="center" vertical="top"/>
      <protection locked="0"/>
    </xf>
    <xf numFmtId="10" fontId="25" fillId="3" borderId="44" xfId="6" applyNumberFormat="1" applyFont="1" applyFill="1" applyBorder="1" applyAlignment="1" applyProtection="1">
      <alignment horizontal="center" vertical="top"/>
      <protection locked="0"/>
    </xf>
    <xf numFmtId="10" fontId="25" fillId="3" borderId="45" xfId="6" applyNumberFormat="1" applyFont="1" applyFill="1" applyBorder="1" applyAlignment="1" applyProtection="1">
      <alignment horizontal="center" vertical="top"/>
      <protection locked="0"/>
    </xf>
    <xf numFmtId="10" fontId="25" fillId="3" borderId="40" xfId="6" applyNumberFormat="1" applyFont="1" applyFill="1" applyBorder="1" applyAlignment="1" applyProtection="1">
      <alignment horizontal="center" vertical="top"/>
      <protection locked="0"/>
    </xf>
    <xf numFmtId="10" fontId="25" fillId="3" borderId="41" xfId="6" applyNumberFormat="1" applyFont="1" applyFill="1" applyBorder="1" applyAlignment="1" applyProtection="1">
      <alignment horizontal="center" vertical="top"/>
      <protection locked="0"/>
    </xf>
    <xf numFmtId="10" fontId="25" fillId="3" borderId="42" xfId="6" applyNumberFormat="1" applyFont="1" applyFill="1" applyBorder="1" applyAlignment="1" applyProtection="1">
      <alignment horizontal="center" vertical="top"/>
      <protection locked="0"/>
    </xf>
    <xf numFmtId="0" fontId="9" fillId="0" borderId="28" xfId="18" applyFont="1" applyBorder="1" applyAlignment="1" applyProtection="1">
      <alignment horizontal="center"/>
      <protection locked="0"/>
    </xf>
    <xf numFmtId="0" fontId="9" fillId="0" borderId="29" xfId="18" applyFont="1" applyBorder="1" applyAlignment="1" applyProtection="1">
      <alignment horizontal="center"/>
      <protection locked="0"/>
    </xf>
    <xf numFmtId="0" fontId="9" fillId="0" borderId="30" xfId="18" applyFont="1" applyBorder="1" applyAlignment="1" applyProtection="1">
      <alignment horizontal="center"/>
      <protection locked="0"/>
    </xf>
    <xf numFmtId="0" fontId="0" fillId="3" borderId="6" xfId="0" applyFont="1" applyFill="1" applyBorder="1" applyAlignment="1">
      <alignment vertical="top"/>
    </xf>
    <xf numFmtId="0" fontId="0" fillId="0" borderId="6" xfId="0" applyFont="1" applyBorder="1" applyAlignment="1">
      <alignment horizontal="center" vertical="top"/>
    </xf>
    <xf numFmtId="0" fontId="0" fillId="0" borderId="6" xfId="0" applyFont="1" applyBorder="1" applyAlignment="1">
      <alignment vertical="top" wrapText="1"/>
    </xf>
    <xf numFmtId="0" fontId="8" fillId="0" borderId="6" xfId="0" applyFont="1" applyFill="1" applyBorder="1" applyAlignment="1">
      <alignment vertical="top" wrapText="1"/>
    </xf>
    <xf numFmtId="0" fontId="0" fillId="3" borderId="7" xfId="0" applyFont="1" applyFill="1" applyBorder="1" applyAlignment="1">
      <alignment vertical="top"/>
    </xf>
    <xf numFmtId="0" fontId="0" fillId="0" borderId="7" xfId="0" applyFont="1" applyBorder="1" applyAlignment="1">
      <alignment horizontal="center" vertical="top"/>
    </xf>
    <xf numFmtId="0" fontId="4" fillId="29" borderId="7" xfId="0" applyFont="1" applyFill="1" applyBorder="1" applyAlignment="1">
      <alignment vertical="top"/>
    </xf>
    <xf numFmtId="0" fontId="0" fillId="0" borderId="7" xfId="0" applyFont="1" applyBorder="1" applyAlignment="1">
      <alignment vertical="top" wrapText="1"/>
    </xf>
    <xf numFmtId="0" fontId="0" fillId="0" borderId="7" xfId="0" applyFont="1" applyFill="1" applyBorder="1" applyAlignment="1">
      <alignment vertical="top"/>
    </xf>
    <xf numFmtId="0" fontId="8" fillId="30" borderId="7" xfId="0" applyFont="1" applyFill="1" applyBorder="1" applyAlignment="1">
      <alignment vertical="top"/>
    </xf>
    <xf numFmtId="0" fontId="0" fillId="3" borderId="0" xfId="0" applyFont="1" applyFill="1" applyBorder="1" applyAlignment="1">
      <alignment vertical="top"/>
    </xf>
    <xf numFmtId="0" fontId="0" fillId="10" borderId="0" xfId="0" quotePrefix="1" applyFont="1" applyFill="1" applyBorder="1" applyAlignment="1">
      <alignment horizontal="left" vertical="top" wrapText="1" indent="2"/>
    </xf>
    <xf numFmtId="0" fontId="0" fillId="0" borderId="0" xfId="0" applyFont="1" applyBorder="1" applyAlignment="1">
      <alignment vertical="top" wrapText="1"/>
    </xf>
    <xf numFmtId="0" fontId="8" fillId="0" borderId="0" xfId="0" applyFont="1" applyFill="1" applyBorder="1" applyAlignment="1">
      <alignment vertical="top" wrapText="1"/>
    </xf>
    <xf numFmtId="0" fontId="0" fillId="10" borderId="0" xfId="0" quotePrefix="1" applyFont="1" applyFill="1" applyBorder="1" applyAlignment="1">
      <alignment horizontal="left" vertical="top" indent="2"/>
    </xf>
    <xf numFmtId="0" fontId="0" fillId="10" borderId="6" xfId="0" quotePrefix="1" applyFont="1" applyFill="1" applyBorder="1" applyAlignment="1">
      <alignment horizontal="left" vertical="top" indent="2"/>
    </xf>
    <xf numFmtId="0" fontId="4" fillId="26" borderId="7" xfId="0" applyFont="1" applyFill="1" applyBorder="1" applyAlignment="1">
      <alignment vertical="top"/>
    </xf>
    <xf numFmtId="0" fontId="0" fillId="0" borderId="0" xfId="0" applyFont="1"/>
    <xf numFmtId="0" fontId="0" fillId="0" borderId="0" xfId="0" applyFont="1" applyBorder="1" applyAlignment="1">
      <alignment horizontal="center" vertical="center" wrapText="1"/>
    </xf>
    <xf numFmtId="0" fontId="0" fillId="0" borderId="6" xfId="0" applyFont="1" applyBorder="1" applyAlignment="1">
      <alignment horizontal="center" vertical="center"/>
    </xf>
    <xf numFmtId="0" fontId="0" fillId="5" borderId="49" xfId="0" applyFont="1" applyFill="1" applyBorder="1"/>
    <xf numFmtId="0" fontId="23" fillId="9" borderId="49" xfId="0" applyFont="1" applyFill="1" applyBorder="1" applyAlignment="1">
      <alignment horizontal="center"/>
    </xf>
    <xf numFmtId="0" fontId="23" fillId="9" borderId="38" xfId="0" applyFont="1" applyFill="1" applyBorder="1" applyAlignment="1">
      <alignment horizontal="center"/>
    </xf>
    <xf numFmtId="0" fontId="23" fillId="9" borderId="50" xfId="0" applyFont="1" applyFill="1" applyBorder="1" applyAlignment="1">
      <alignment horizontal="center"/>
    </xf>
    <xf numFmtId="0" fontId="0" fillId="5" borderId="51" xfId="0" applyFont="1" applyFill="1" applyBorder="1"/>
    <xf numFmtId="167" fontId="3" fillId="5" borderId="52" xfId="0" applyNumberFormat="1" applyFont="1" applyFill="1" applyBorder="1"/>
    <xf numFmtId="0" fontId="0" fillId="5" borderId="53" xfId="0" applyFont="1" applyFill="1" applyBorder="1"/>
    <xf numFmtId="0" fontId="4" fillId="16" borderId="54" xfId="0" applyFont="1" applyFill="1" applyBorder="1" applyAlignment="1">
      <alignment horizontal="left" vertical="center" readingOrder="1"/>
    </xf>
    <xf numFmtId="0" fontId="4" fillId="16" borderId="55" xfId="0" applyFont="1" applyFill="1" applyBorder="1" applyAlignment="1">
      <alignment horizontal="left" vertical="center" wrapText="1" readingOrder="1"/>
    </xf>
    <xf numFmtId="167" fontId="13" fillId="16" borderId="55" xfId="0" applyNumberFormat="1" applyFont="1" applyFill="1" applyBorder="1" applyAlignment="1">
      <alignment horizontal="right" vertical="center" wrapText="1" readingOrder="1"/>
    </xf>
    <xf numFmtId="167" fontId="13" fillId="16" borderId="56" xfId="0" applyNumberFormat="1" applyFont="1" applyFill="1" applyBorder="1" applyAlignment="1">
      <alignment horizontal="right" vertical="center" wrapText="1" readingOrder="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166" fontId="2" fillId="13" borderId="30" xfId="0" applyNumberFormat="1" applyFont="1" applyFill="1" applyBorder="1" applyAlignment="1">
      <alignment horizontal="center" vertical="center" wrapText="1"/>
    </xf>
    <xf numFmtId="167" fontId="0" fillId="5" borderId="57" xfId="0" applyNumberFormat="1" applyFont="1" applyFill="1" applyBorder="1"/>
    <xf numFmtId="167" fontId="13" fillId="16" borderId="54" xfId="0" applyNumberFormat="1" applyFont="1" applyFill="1" applyBorder="1" applyAlignment="1">
      <alignment horizontal="right" vertical="center" wrapText="1" readingOrder="1"/>
    </xf>
    <xf numFmtId="0" fontId="23" fillId="9" borderId="39" xfId="0" applyFont="1" applyFill="1" applyBorder="1" applyAlignment="1">
      <alignment horizontal="center"/>
    </xf>
    <xf numFmtId="0" fontId="23" fillId="9" borderId="11" xfId="0" applyFont="1" applyFill="1" applyBorder="1" applyAlignment="1">
      <alignment horizontal="center"/>
    </xf>
    <xf numFmtId="0" fontId="23" fillId="9" borderId="58" xfId="0" applyFont="1" applyFill="1" applyBorder="1" applyAlignment="1">
      <alignment horizontal="center"/>
    </xf>
    <xf numFmtId="0" fontId="0" fillId="5" borderId="59" xfId="0" applyFont="1" applyFill="1" applyBorder="1"/>
    <xf numFmtId="167" fontId="0" fillId="14" borderId="57" xfId="0" applyNumberFormat="1" applyFont="1" applyFill="1" applyBorder="1"/>
    <xf numFmtId="167" fontId="3" fillId="14" borderId="52" xfId="0" applyNumberFormat="1" applyFont="1" applyFill="1" applyBorder="1"/>
    <xf numFmtId="167" fontId="13" fillId="16" borderId="60" xfId="0" applyNumberFormat="1" applyFont="1" applyFill="1" applyBorder="1" applyAlignment="1">
      <alignment horizontal="right" vertical="center" wrapText="1" readingOrder="1"/>
    </xf>
    <xf numFmtId="167" fontId="13" fillId="16" borderId="61" xfId="0" applyNumberFormat="1" applyFont="1" applyFill="1" applyBorder="1" applyAlignment="1">
      <alignment horizontal="right" vertical="center" wrapText="1" readingOrder="1"/>
    </xf>
    <xf numFmtId="167" fontId="13" fillId="16" borderId="62" xfId="0" applyNumberFormat="1" applyFont="1" applyFill="1" applyBorder="1" applyAlignment="1">
      <alignment horizontal="right" vertical="center" wrapText="1" readingOrder="1"/>
    </xf>
    <xf numFmtId="0" fontId="0" fillId="5" borderId="39" xfId="0" applyFont="1" applyFill="1" applyBorder="1"/>
    <xf numFmtId="0" fontId="0" fillId="5" borderId="57" xfId="0" applyFont="1" applyFill="1" applyBorder="1"/>
    <xf numFmtId="0" fontId="0" fillId="14" borderId="57" xfId="0" applyFont="1" applyFill="1" applyBorder="1" applyAlignment="1">
      <alignment horizontal="left" indent="2"/>
    </xf>
    <xf numFmtId="0" fontId="4" fillId="16" borderId="60" xfId="0" applyFont="1" applyFill="1" applyBorder="1" applyAlignment="1">
      <alignment horizontal="left" vertical="center" readingOrder="1"/>
    </xf>
    <xf numFmtId="0" fontId="2" fillId="11" borderId="18" xfId="0" applyFont="1" applyFill="1" applyBorder="1"/>
    <xf numFmtId="0" fontId="2" fillId="11" borderId="23" xfId="0" applyFont="1" applyFill="1" applyBorder="1"/>
    <xf numFmtId="0" fontId="0" fillId="5" borderId="37" xfId="0" applyFont="1" applyFill="1" applyBorder="1"/>
    <xf numFmtId="0" fontId="0" fillId="5" borderId="38" xfId="0" applyFont="1" applyFill="1" applyBorder="1"/>
    <xf numFmtId="167" fontId="0" fillId="5" borderId="38" xfId="0" applyNumberFormat="1" applyFont="1" applyFill="1" applyBorder="1"/>
    <xf numFmtId="167" fontId="3" fillId="5" borderId="50" xfId="0" applyNumberFormat="1" applyFont="1" applyFill="1" applyBorder="1"/>
    <xf numFmtId="167" fontId="0" fillId="5" borderId="37" xfId="0" applyNumberFormat="1" applyFont="1" applyFill="1" applyBorder="1"/>
    <xf numFmtId="0" fontId="23" fillId="9" borderId="37" xfId="0" applyFont="1" applyFill="1" applyBorder="1" applyAlignment="1">
      <alignment horizontal="center"/>
    </xf>
    <xf numFmtId="0" fontId="4" fillId="16" borderId="63" xfId="0" applyFont="1" applyFill="1" applyBorder="1" applyAlignment="1">
      <alignment horizontal="left" vertical="center" wrapText="1" readingOrder="1"/>
    </xf>
    <xf numFmtId="0" fontId="0" fillId="0" borderId="9" xfId="0" applyFont="1" applyBorder="1"/>
    <xf numFmtId="0" fontId="0" fillId="0" borderId="9" xfId="0" applyFont="1" applyBorder="1" applyAlignment="1">
      <alignment horizontal="center"/>
    </xf>
    <xf numFmtId="0" fontId="0" fillId="4" borderId="0" xfId="0" applyFont="1" applyFill="1"/>
    <xf numFmtId="0" fontId="28" fillId="4" borderId="0" xfId="0" applyFont="1" applyFill="1"/>
    <xf numFmtId="164" fontId="0" fillId="4" borderId="0" xfId="2" applyFont="1" applyFill="1" applyBorder="1"/>
    <xf numFmtId="0" fontId="0" fillId="4" borderId="0" xfId="0" applyFill="1"/>
    <xf numFmtId="0" fontId="8" fillId="0" borderId="1" xfId="0" applyFont="1" applyFill="1" applyBorder="1"/>
    <xf numFmtId="0" fontId="0" fillId="4" borderId="0" xfId="0" applyFill="1" applyAlignment="1">
      <alignment horizontal="left"/>
    </xf>
    <xf numFmtId="0" fontId="0" fillId="0" borderId="0" xfId="0" applyFont="1" applyAlignment="1">
      <alignment horizontal="left"/>
    </xf>
    <xf numFmtId="164" fontId="1" fillId="4" borderId="0" xfId="2" applyFont="1" applyFill="1" applyBorder="1"/>
    <xf numFmtId="164" fontId="1" fillId="0" borderId="0" xfId="2" applyFont="1"/>
    <xf numFmtId="164" fontId="1" fillId="0" borderId="0" xfId="2" applyFont="1" applyFill="1" applyBorder="1"/>
    <xf numFmtId="0" fontId="29" fillId="0" borderId="9" xfId="0" applyFont="1" applyBorder="1" applyAlignment="1">
      <alignment horizontal="center"/>
    </xf>
    <xf numFmtId="168" fontId="2" fillId="16" borderId="17" xfId="2" applyNumberFormat="1" applyFont="1" applyFill="1" applyBorder="1" applyAlignment="1">
      <alignment horizontal="left" vertical="center" wrapText="1" readingOrder="1"/>
    </xf>
    <xf numFmtId="168" fontId="2" fillId="16" borderId="0" xfId="2" applyNumberFormat="1" applyFont="1" applyFill="1" applyBorder="1" applyAlignment="1">
      <alignment horizontal="left" vertical="center" wrapText="1" readingOrder="1"/>
    </xf>
    <xf numFmtId="0" fontId="2" fillId="16" borderId="17" xfId="0" applyFont="1" applyFill="1" applyBorder="1" applyAlignment="1">
      <alignment horizontal="left" vertical="center" wrapText="1" readingOrder="1"/>
    </xf>
    <xf numFmtId="168" fontId="9" fillId="0" borderId="17" xfId="0" applyNumberFormat="1" applyFont="1" applyFill="1" applyBorder="1" applyAlignment="1">
      <alignment horizontal="left" vertical="center" wrapText="1" readingOrder="1"/>
    </xf>
    <xf numFmtId="168" fontId="16" fillId="0" borderId="0" xfId="0" applyNumberFormat="1" applyFont="1"/>
    <xf numFmtId="167" fontId="2" fillId="16" borderId="17" xfId="0" applyNumberFormat="1" applyFont="1" applyFill="1" applyBorder="1" applyAlignment="1">
      <alignment horizontal="left" vertical="center" wrapText="1"/>
    </xf>
    <xf numFmtId="0" fontId="8" fillId="0" borderId="1" xfId="0" applyFont="1" applyFill="1" applyBorder="1" applyProtection="1">
      <protection locked="0"/>
    </xf>
    <xf numFmtId="167" fontId="0" fillId="0" borderId="1" xfId="2" applyNumberFormat="1" applyFont="1" applyFill="1" applyBorder="1"/>
    <xf numFmtId="168" fontId="0" fillId="0" borderId="1" xfId="0" applyNumberFormat="1" applyFont="1" applyFill="1" applyBorder="1"/>
    <xf numFmtId="0" fontId="0" fillId="0" borderId="1" xfId="0" applyFont="1" applyFill="1" applyBorder="1"/>
    <xf numFmtId="0" fontId="8" fillId="4" borderId="0" xfId="0" applyFont="1" applyFill="1"/>
    <xf numFmtId="0" fontId="8" fillId="0" borderId="0" xfId="0" applyFont="1"/>
    <xf numFmtId="167" fontId="3" fillId="0" borderId="1" xfId="0" applyNumberFormat="1" applyFont="1" applyBorder="1" applyAlignment="1">
      <alignment horizontal="center" vertical="center" wrapText="1"/>
    </xf>
    <xf numFmtId="164" fontId="12" fillId="0" borderId="0" xfId="0" applyNumberFormat="1" applyFont="1"/>
    <xf numFmtId="167" fontId="12" fillId="0" borderId="0" xfId="0" applyNumberFormat="1" applyFont="1"/>
    <xf numFmtId="166" fontId="12" fillId="0" borderId="0" xfId="0" applyNumberFormat="1" applyFont="1"/>
    <xf numFmtId="166" fontId="12" fillId="0" borderId="0" xfId="0" applyNumberFormat="1" applyFont="1" applyAlignment="1"/>
    <xf numFmtId="170" fontId="9" fillId="0" borderId="0" xfId="0" applyNumberFormat="1" applyFont="1"/>
    <xf numFmtId="168" fontId="9" fillId="5" borderId="17" xfId="2" applyNumberFormat="1" applyFont="1" applyFill="1" applyBorder="1" applyAlignment="1">
      <alignment horizontal="right" vertical="center" wrapText="1" readingOrder="1"/>
    </xf>
    <xf numFmtId="168" fontId="8" fillId="5" borderId="17" xfId="2" applyNumberFormat="1" applyFont="1" applyFill="1" applyBorder="1" applyAlignment="1">
      <alignment vertical="center" wrapText="1" readingOrder="1"/>
    </xf>
    <xf numFmtId="168" fontId="9" fillId="5" borderId="17" xfId="2" applyNumberFormat="1" applyFont="1" applyFill="1" applyBorder="1" applyAlignment="1">
      <alignment vertical="center" wrapText="1" readingOrder="1"/>
    </xf>
    <xf numFmtId="168" fontId="0" fillId="8" borderId="0" xfId="2" applyNumberFormat="1" applyFont="1" applyFill="1"/>
    <xf numFmtId="168" fontId="3" fillId="8" borderId="0" xfId="2" applyNumberFormat="1" applyFont="1" applyFill="1"/>
    <xf numFmtId="168" fontId="0" fillId="8" borderId="0" xfId="2" applyNumberFormat="1" applyFont="1" applyFill="1" applyAlignment="1"/>
    <xf numFmtId="168" fontId="3" fillId="8" borderId="0" xfId="2" applyNumberFormat="1" applyFont="1" applyFill="1" applyAlignment="1"/>
    <xf numFmtId="168" fontId="12" fillId="0" borderId="0" xfId="2" applyNumberFormat="1" applyFont="1"/>
    <xf numFmtId="168" fontId="0" fillId="22" borderId="0" xfId="2" applyNumberFormat="1" applyFont="1" applyFill="1" applyAlignment="1"/>
    <xf numFmtId="168" fontId="9" fillId="22" borderId="14" xfId="2" applyNumberFormat="1" applyFont="1" applyFill="1" applyBorder="1" applyAlignment="1">
      <alignment vertical="center" wrapText="1"/>
    </xf>
    <xf numFmtId="168" fontId="0" fillId="23" borderId="0" xfId="2" applyNumberFormat="1" applyFont="1" applyFill="1" applyAlignment="1"/>
    <xf numFmtId="168" fontId="3" fillId="23" borderId="0" xfId="2" applyNumberFormat="1" applyFont="1" applyFill="1" applyAlignment="1"/>
    <xf numFmtId="168" fontId="0" fillId="0" borderId="0" xfId="2" applyNumberFormat="1" applyFont="1" applyAlignment="1"/>
    <xf numFmtId="168" fontId="9" fillId="0" borderId="0" xfId="2" applyNumberFormat="1" applyFont="1" applyAlignment="1"/>
    <xf numFmtId="168" fontId="3" fillId="0" borderId="0" xfId="2" applyNumberFormat="1" applyFont="1" applyAlignment="1"/>
    <xf numFmtId="168" fontId="9" fillId="5" borderId="17" xfId="2" applyNumberFormat="1" applyFont="1" applyFill="1" applyBorder="1" applyAlignment="1">
      <alignment vertical="center" wrapText="1"/>
    </xf>
    <xf numFmtId="168" fontId="2" fillId="16" borderId="17" xfId="2" applyNumberFormat="1" applyFont="1" applyFill="1" applyBorder="1" applyAlignment="1">
      <alignment horizontal="right" vertical="center" wrapText="1" readingOrder="1"/>
    </xf>
    <xf numFmtId="168" fontId="4" fillId="16" borderId="17" xfId="2" applyNumberFormat="1" applyFont="1" applyFill="1" applyBorder="1" applyAlignment="1">
      <alignment vertical="center" wrapText="1" readingOrder="1"/>
    </xf>
    <xf numFmtId="168" fontId="2" fillId="16" borderId="17" xfId="2" applyNumberFormat="1" applyFont="1" applyFill="1" applyBorder="1" applyAlignment="1">
      <alignment vertical="center" wrapText="1" readingOrder="1"/>
    </xf>
    <xf numFmtId="168" fontId="2" fillId="16" borderId="17" xfId="2" applyNumberFormat="1" applyFont="1" applyFill="1" applyBorder="1" applyAlignment="1">
      <alignment vertical="center" wrapText="1"/>
    </xf>
    <xf numFmtId="168" fontId="3" fillId="0" borderId="0" xfId="2" applyNumberFormat="1" applyFont="1" applyAlignment="1">
      <alignment horizontal="right"/>
    </xf>
    <xf numFmtId="168" fontId="12" fillId="0" borderId="0" xfId="2" applyNumberFormat="1" applyFont="1" applyAlignment="1"/>
    <xf numFmtId="168" fontId="8" fillId="5" borderId="22" xfId="2" applyNumberFormat="1" applyFont="1" applyFill="1" applyBorder="1" applyAlignment="1">
      <alignment vertical="center" wrapText="1" readingOrder="1"/>
    </xf>
    <xf numFmtId="168" fontId="9" fillId="5" borderId="22" xfId="2" applyNumberFormat="1" applyFont="1" applyFill="1" applyBorder="1" applyAlignment="1">
      <alignment vertical="center" wrapText="1" readingOrder="1"/>
    </xf>
    <xf numFmtId="168" fontId="9" fillId="5" borderId="22" xfId="2" applyNumberFormat="1" applyFont="1" applyFill="1" applyBorder="1" applyAlignment="1">
      <alignment vertical="center" wrapText="1"/>
    </xf>
    <xf numFmtId="167" fontId="4" fillId="16" borderId="64" xfId="0" applyNumberFormat="1" applyFont="1" applyFill="1" applyBorder="1" applyAlignment="1">
      <alignment horizontal="right" vertical="center" wrapText="1" readingOrder="1"/>
    </xf>
    <xf numFmtId="167" fontId="4" fillId="16" borderId="15" xfId="0" applyNumberFormat="1" applyFont="1" applyFill="1" applyBorder="1" applyAlignment="1">
      <alignment horizontal="right" vertical="center" wrapText="1" readingOrder="1"/>
    </xf>
    <xf numFmtId="167" fontId="4" fillId="16" borderId="66" xfId="0" applyNumberFormat="1" applyFont="1" applyFill="1" applyBorder="1" applyAlignment="1">
      <alignment horizontal="right" vertical="center" wrapText="1" readingOrder="1"/>
    </xf>
    <xf numFmtId="0" fontId="3" fillId="0" borderId="2" xfId="0" applyFont="1" applyBorder="1" applyAlignment="1">
      <alignment horizontal="center" vertical="center" wrapText="1"/>
    </xf>
    <xf numFmtId="167" fontId="2" fillId="16" borderId="65" xfId="0" applyNumberFormat="1" applyFont="1" applyFill="1" applyBorder="1" applyAlignment="1">
      <alignment horizontal="right" vertical="center" wrapText="1" readingOrder="1"/>
    </xf>
    <xf numFmtId="0" fontId="3" fillId="0" borderId="0" xfId="0" applyFont="1" applyBorder="1" applyAlignment="1">
      <alignment horizontal="right" readingOrder="1"/>
    </xf>
    <xf numFmtId="167" fontId="4" fillId="16" borderId="67" xfId="0" applyNumberFormat="1" applyFont="1" applyFill="1" applyBorder="1" applyAlignment="1">
      <alignment horizontal="right" vertical="center" wrapText="1" readingOrder="1"/>
    </xf>
    <xf numFmtId="167" fontId="4" fillId="16" borderId="31" xfId="0" applyNumberFormat="1" applyFont="1" applyFill="1" applyBorder="1" applyAlignment="1">
      <alignment horizontal="right" vertical="center" wrapText="1" readingOrder="1"/>
    </xf>
    <xf numFmtId="167" fontId="4" fillId="16" borderId="68" xfId="0" applyNumberFormat="1" applyFont="1" applyFill="1" applyBorder="1" applyAlignment="1">
      <alignment horizontal="right" vertical="center" wrapText="1" readingOrder="1"/>
    </xf>
    <xf numFmtId="168" fontId="4" fillId="33" borderId="13" xfId="2" applyNumberFormat="1" applyFont="1" applyFill="1" applyBorder="1" applyAlignment="1">
      <alignment vertical="center"/>
    </xf>
    <xf numFmtId="10" fontId="2" fillId="33" borderId="1" xfId="0" applyNumberFormat="1" applyFont="1" applyFill="1" applyBorder="1"/>
    <xf numFmtId="9" fontId="4" fillId="33" borderId="1" xfId="0" applyNumberFormat="1" applyFont="1" applyFill="1" applyBorder="1"/>
    <xf numFmtId="168" fontId="4" fillId="33" borderId="1" xfId="2" applyNumberFormat="1" applyFont="1" applyFill="1" applyBorder="1"/>
    <xf numFmtId="10" fontId="4" fillId="33" borderId="47" xfId="6" applyNumberFormat="1" applyFont="1" applyFill="1" applyBorder="1" applyAlignment="1" applyProtection="1">
      <alignment horizontal="center" vertical="top"/>
      <protection locked="0"/>
    </xf>
    <xf numFmtId="10" fontId="4" fillId="33" borderId="48" xfId="6" applyNumberFormat="1" applyFont="1" applyFill="1" applyBorder="1" applyAlignment="1" applyProtection="1">
      <alignment horizontal="center" vertical="top"/>
      <protection locked="0"/>
    </xf>
    <xf numFmtId="168" fontId="9" fillId="33" borderId="13" xfId="2" applyNumberFormat="1" applyFont="1" applyFill="1" applyBorder="1" applyAlignment="1">
      <alignment horizontal="center" vertical="center"/>
    </xf>
    <xf numFmtId="167" fontId="0" fillId="0" borderId="0" xfId="0" applyNumberFormat="1" applyFont="1" applyFill="1"/>
    <xf numFmtId="166" fontId="2" fillId="0" borderId="0" xfId="0" applyNumberFormat="1" applyFont="1" applyFill="1" applyBorder="1" applyAlignment="1">
      <alignment horizontal="center" vertical="center" wrapText="1"/>
    </xf>
    <xf numFmtId="0" fontId="30" fillId="0" borderId="0" xfId="0" applyFont="1"/>
    <xf numFmtId="0" fontId="27" fillId="0" borderId="0" xfId="0" applyFont="1"/>
    <xf numFmtId="168" fontId="0" fillId="0" borderId="0" xfId="0" applyNumberFormat="1"/>
    <xf numFmtId="168" fontId="4" fillId="9" borderId="0" xfId="2" applyNumberFormat="1" applyFont="1" applyFill="1"/>
    <xf numFmtId="0" fontId="4" fillId="9" borderId="0" xfId="0" applyFont="1" applyFill="1"/>
    <xf numFmtId="165" fontId="25" fillId="3" borderId="69" xfId="19" applyNumberFormat="1" applyFont="1" applyFill="1" applyBorder="1" applyAlignment="1" applyProtection="1">
      <alignment horizontal="center" vertical="top"/>
      <protection locked="0"/>
    </xf>
    <xf numFmtId="165" fontId="25" fillId="3" borderId="71" xfId="19" applyNumberFormat="1" applyFont="1" applyFill="1" applyBorder="1" applyAlignment="1" applyProtection="1">
      <alignment horizontal="center" vertical="top"/>
      <protection locked="0"/>
    </xf>
    <xf numFmtId="165" fontId="25" fillId="0" borderId="70" xfId="19" applyNumberFormat="1" applyFont="1" applyFill="1" applyBorder="1" applyAlignment="1" applyProtection="1">
      <alignment horizontal="center" vertical="top"/>
      <protection locked="0"/>
    </xf>
    <xf numFmtId="165" fontId="25" fillId="0" borderId="72" xfId="19" applyNumberFormat="1" applyFont="1" applyFill="1" applyBorder="1" applyAlignment="1" applyProtection="1">
      <alignment horizontal="center" vertical="top"/>
      <protection locked="0"/>
    </xf>
    <xf numFmtId="10" fontId="4" fillId="33" borderId="48" xfId="3" applyNumberFormat="1" applyFont="1" applyFill="1" applyBorder="1" applyAlignment="1" applyProtection="1">
      <alignment horizontal="center" vertical="top"/>
      <protection locked="0"/>
    </xf>
    <xf numFmtId="0" fontId="12" fillId="0" borderId="0" xfId="0" applyFont="1" applyAlignment="1">
      <alignment vertical="center"/>
    </xf>
    <xf numFmtId="0" fontId="15" fillId="0" borderId="0" xfId="0" applyFont="1" applyAlignment="1">
      <alignment horizontal="center"/>
    </xf>
    <xf numFmtId="2" fontId="12" fillId="0" borderId="0" xfId="0" applyNumberFormat="1" applyFont="1"/>
    <xf numFmtId="167" fontId="0" fillId="0" borderId="0" xfId="0" applyNumberFormat="1" applyFont="1" applyFill="1" applyBorder="1"/>
    <xf numFmtId="167" fontId="3" fillId="0" borderId="0" xfId="0" applyNumberFormat="1" applyFont="1" applyFill="1" applyBorder="1"/>
    <xf numFmtId="0" fontId="31" fillId="4" borderId="1" xfId="0" applyFont="1" applyFill="1" applyBorder="1"/>
    <xf numFmtId="0" fontId="31" fillId="4" borderId="1" xfId="0" applyFont="1" applyFill="1" applyBorder="1" applyProtection="1">
      <protection locked="0"/>
    </xf>
    <xf numFmtId="0" fontId="31" fillId="0" borderId="0" xfId="0" applyFont="1"/>
    <xf numFmtId="0" fontId="4" fillId="33" borderId="6" xfId="0" applyFont="1" applyFill="1" applyBorder="1" applyAlignment="1">
      <alignment vertical="top"/>
    </xf>
    <xf numFmtId="0" fontId="0" fillId="0" borderId="0" xfId="0" applyFont="1" applyBorder="1" applyAlignment="1">
      <alignment horizontal="center" vertical="center" wrapText="1"/>
    </xf>
    <xf numFmtId="0" fontId="0" fillId="0" borderId="6" xfId="0" applyFont="1" applyBorder="1" applyAlignment="1">
      <alignment horizontal="center" vertical="center"/>
    </xf>
    <xf numFmtId="0" fontId="3" fillId="9" borderId="0" xfId="0" applyFont="1" applyFill="1" applyAlignment="1">
      <alignment horizontal="left" vertical="center"/>
    </xf>
    <xf numFmtId="0" fontId="0" fillId="9" borderId="0" xfId="0" applyFont="1" applyFill="1" applyAlignment="1">
      <alignment horizontal="left" vertical="top" wrapText="1"/>
    </xf>
    <xf numFmtId="0" fontId="0" fillId="0" borderId="6" xfId="0" applyFont="1" applyBorder="1" applyAlignment="1">
      <alignment horizontal="center" vertical="center" wrapText="1"/>
    </xf>
    <xf numFmtId="0" fontId="24" fillId="31" borderId="18" xfId="18" applyFont="1" applyFill="1" applyBorder="1" applyAlignment="1">
      <alignment horizontal="center" vertical="center" wrapText="1"/>
    </xf>
    <xf numFmtId="0" fontId="24" fillId="31" borderId="21" xfId="18" applyFont="1" applyFill="1" applyBorder="1" applyAlignment="1">
      <alignment horizontal="center" vertical="center" wrapText="1"/>
    </xf>
    <xf numFmtId="0" fontId="24" fillId="31" borderId="23" xfId="18" applyFont="1" applyFill="1" applyBorder="1" applyAlignment="1">
      <alignment horizontal="center" vertical="center" wrapText="1"/>
    </xf>
    <xf numFmtId="0" fontId="2" fillId="11" borderId="27" xfId="0" applyFont="1" applyFill="1" applyBorder="1" applyAlignment="1">
      <alignment horizontal="center"/>
    </xf>
    <xf numFmtId="0" fontId="2" fillId="11" borderId="19" xfId="0" applyFont="1" applyFill="1" applyBorder="1" applyAlignment="1">
      <alignment horizontal="center"/>
    </xf>
    <xf numFmtId="0" fontId="2" fillId="11" borderId="20" xfId="0" applyFont="1" applyFill="1" applyBorder="1" applyAlignment="1">
      <alignment horizontal="center"/>
    </xf>
    <xf numFmtId="0" fontId="27" fillId="0" borderId="9" xfId="0" applyFont="1" applyBorder="1" applyAlignment="1">
      <alignment horizontal="left"/>
    </xf>
    <xf numFmtId="0" fontId="27" fillId="0" borderId="9" xfId="0" applyFont="1" applyBorder="1" applyAlignment="1">
      <alignment horizontal="center"/>
    </xf>
  </cellXfs>
  <cellStyles count="24">
    <cellStyle name="Comma" xfId="1" builtinId="3"/>
    <cellStyle name="Comma 2" xfId="7"/>
    <cellStyle name="Comma 2 2" xfId="11"/>
    <cellStyle name="Comma 3" xfId="8"/>
    <cellStyle name="Comma 32" xfId="19"/>
    <cellStyle name="Comma 4" xfId="14"/>
    <cellStyle name="Comma 4 2" xfId="23"/>
    <cellStyle name="Comma 4 3" xfId="21"/>
    <cellStyle name="Comma 5" xfId="16"/>
    <cellStyle name="Comma 6" xfId="17"/>
    <cellStyle name="Currency" xfId="2" builtinId="4"/>
    <cellStyle name="Currency 2" xfId="5"/>
    <cellStyle name="Currency 2 2" xfId="10"/>
    <cellStyle name="Currency 2 3" xfId="22"/>
    <cellStyle name="Currency 3" xfId="9"/>
    <cellStyle name="Currency 4" xfId="12"/>
    <cellStyle name="Currency 5" xfId="20"/>
    <cellStyle name="Normal" xfId="0" builtinId="0"/>
    <cellStyle name="Normal 138" xfId="18"/>
    <cellStyle name="Normal 2" xfId="4"/>
    <cellStyle name="Normal 2 13" xfId="15"/>
    <cellStyle name="Normal 2 2" xfId="13"/>
    <cellStyle name="Percent" xfId="3" builtinId="5"/>
    <cellStyle name="Percent 2" xfId="6"/>
  </cellStyles>
  <dxfs count="0"/>
  <tableStyles count="0" defaultTableStyle="TableStyleMedium2" defaultPivotStyle="PivotStyleLight16"/>
  <colors>
    <mruColors>
      <color rgb="FFFFCCCC"/>
      <color rgb="FFD8EEC0"/>
      <color rgb="FFCCFF99"/>
      <color rgb="FFFF00FF"/>
      <color rgb="FFD60093"/>
      <color rgb="FF00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activeCell="A37" sqref="A37"/>
    </sheetView>
  </sheetViews>
  <sheetFormatPr defaultRowHeight="14.5" x14ac:dyDescent="0.35"/>
  <cols>
    <col min="1" max="1" width="22.7265625" customWidth="1"/>
    <col min="2" max="2" width="29.81640625" customWidth="1"/>
    <col min="3" max="3" width="18" customWidth="1"/>
    <col min="4" max="4" width="13.81640625" customWidth="1"/>
    <col min="5" max="5" width="14.26953125" customWidth="1"/>
    <col min="6" max="6" width="12.54296875" bestFit="1" customWidth="1"/>
    <col min="8" max="8" width="9.54296875" bestFit="1" customWidth="1"/>
  </cols>
  <sheetData>
    <row r="1" spans="1:8" x14ac:dyDescent="0.35">
      <c r="B1" t="s">
        <v>242</v>
      </c>
    </row>
    <row r="3" spans="1:8" x14ac:dyDescent="0.35">
      <c r="B3" t="s">
        <v>230</v>
      </c>
      <c r="D3" s="51">
        <v>5359390.1792511148</v>
      </c>
      <c r="F3" s="51">
        <f>+'s3. VNI Summary forecast'!D23</f>
        <v>4300204.9428004036</v>
      </c>
    </row>
    <row r="4" spans="1:8" x14ac:dyDescent="0.35">
      <c r="F4" s="51"/>
    </row>
    <row r="5" spans="1:8" x14ac:dyDescent="0.35">
      <c r="F5" s="51"/>
    </row>
    <row r="6" spans="1:8" x14ac:dyDescent="0.35">
      <c r="C6" s="346" t="s">
        <v>231</v>
      </c>
      <c r="F6" s="51"/>
    </row>
    <row r="7" spans="1:8" x14ac:dyDescent="0.35">
      <c r="A7" t="s">
        <v>233</v>
      </c>
      <c r="B7" t="s">
        <v>232</v>
      </c>
      <c r="C7" s="345">
        <v>-31490</v>
      </c>
      <c r="D7" s="51">
        <v>-33053.344635885209</v>
      </c>
      <c r="E7" s="51">
        <f>+D3+D7</f>
        <v>5326336.8346152296</v>
      </c>
      <c r="F7" s="51"/>
    </row>
    <row r="8" spans="1:8" x14ac:dyDescent="0.35">
      <c r="B8" t="s">
        <v>234</v>
      </c>
      <c r="C8" s="345"/>
      <c r="D8" s="51">
        <f>+E8-E7</f>
        <v>-1522.834615229629</v>
      </c>
      <c r="E8" s="51">
        <v>5324814</v>
      </c>
      <c r="F8" s="51"/>
    </row>
    <row r="9" spans="1:8" x14ac:dyDescent="0.35">
      <c r="B9" t="s">
        <v>235</v>
      </c>
      <c r="C9" s="345">
        <v>-805328</v>
      </c>
      <c r="D9" s="51">
        <f>+E9-E8</f>
        <v>-786346.24999884143</v>
      </c>
      <c r="E9" s="51">
        <v>4538467.7500011586</v>
      </c>
      <c r="F9" s="51"/>
    </row>
    <row r="10" spans="1:8" x14ac:dyDescent="0.35">
      <c r="B10" t="s">
        <v>236</v>
      </c>
      <c r="C10" s="345">
        <v>-190466</v>
      </c>
      <c r="D10" s="51">
        <f t="shared" ref="D10:D13" si="0">+E10-E9</f>
        <v>-186320.75000115857</v>
      </c>
      <c r="E10" s="51">
        <v>4352147</v>
      </c>
      <c r="F10" s="51"/>
    </row>
    <row r="11" spans="1:8" x14ac:dyDescent="0.35">
      <c r="B11" t="s">
        <v>237</v>
      </c>
      <c r="C11" s="345">
        <v>-209250</v>
      </c>
      <c r="D11" s="51">
        <f t="shared" si="0"/>
        <v>-202782</v>
      </c>
      <c r="E11" s="51">
        <v>4149365</v>
      </c>
      <c r="F11" s="51"/>
    </row>
    <row r="12" spans="1:8" x14ac:dyDescent="0.35">
      <c r="B12" t="s">
        <v>238</v>
      </c>
      <c r="C12" s="345">
        <v>-37000</v>
      </c>
      <c r="D12" s="51">
        <f t="shared" si="0"/>
        <v>-35856</v>
      </c>
      <c r="E12" s="51">
        <v>4113509</v>
      </c>
      <c r="F12" s="51"/>
    </row>
    <row r="13" spans="1:8" x14ac:dyDescent="0.35">
      <c r="B13" t="s">
        <v>239</v>
      </c>
      <c r="C13" s="345">
        <f>-2111-42</f>
        <v>-2153</v>
      </c>
      <c r="D13" s="51">
        <f t="shared" si="0"/>
        <v>-2103</v>
      </c>
      <c r="E13" s="51">
        <v>4111406</v>
      </c>
      <c r="F13" s="51"/>
    </row>
    <row r="14" spans="1:8" x14ac:dyDescent="0.35">
      <c r="B14" t="s">
        <v>240</v>
      </c>
      <c r="C14" s="51"/>
      <c r="D14" s="51"/>
      <c r="E14" s="51"/>
      <c r="F14" s="51"/>
    </row>
    <row r="15" spans="1:8" x14ac:dyDescent="0.35">
      <c r="C15" s="51"/>
      <c r="D15" s="51"/>
      <c r="E15" s="51"/>
      <c r="F15" s="51"/>
    </row>
    <row r="16" spans="1:8" x14ac:dyDescent="0.35">
      <c r="A16" t="s">
        <v>243</v>
      </c>
      <c r="C16" s="51" t="s">
        <v>245</v>
      </c>
      <c r="D16" s="51">
        <v>1154750</v>
      </c>
      <c r="E16" s="51"/>
      <c r="F16" s="51">
        <v>3185585</v>
      </c>
      <c r="G16" t="s">
        <v>246</v>
      </c>
      <c r="H16">
        <f>'s2. Historical Indirect Capex'!P17</f>
        <v>2949046.7062617927</v>
      </c>
    </row>
    <row r="17" spans="1:8" x14ac:dyDescent="0.35">
      <c r="C17" s="51"/>
      <c r="D17" s="51"/>
      <c r="E17" s="51"/>
    </row>
    <row r="18" spans="1:8" x14ac:dyDescent="0.35">
      <c r="A18" t="s">
        <v>244</v>
      </c>
      <c r="C18" s="51">
        <v>2137628</v>
      </c>
      <c r="D18" s="51">
        <v>2030835</v>
      </c>
      <c r="E18" s="51"/>
    </row>
    <row r="19" spans="1:8" x14ac:dyDescent="0.35">
      <c r="B19" t="s">
        <v>253</v>
      </c>
      <c r="C19">
        <f>265353</f>
        <v>265353</v>
      </c>
      <c r="D19" s="344">
        <f>D18-C19</f>
        <v>1765482</v>
      </c>
    </row>
    <row r="20" spans="1:8" x14ac:dyDescent="0.35">
      <c r="B20" t="s">
        <v>252</v>
      </c>
      <c r="C20">
        <v>58789</v>
      </c>
      <c r="D20" s="344">
        <f>D19-C20</f>
        <v>1706693</v>
      </c>
    </row>
    <row r="21" spans="1:8" s="42" customFormat="1" x14ac:dyDescent="0.35">
      <c r="D21" s="344"/>
    </row>
    <row r="22" spans="1:8" x14ac:dyDescent="0.35">
      <c r="D22" s="344">
        <f>+D3+D16</f>
        <v>6514140.1792511148</v>
      </c>
      <c r="F22" s="344">
        <f>+F3+F16</f>
        <v>7485789.9428004036</v>
      </c>
      <c r="H22" s="344">
        <f>+F22-D22</f>
        <v>971649.76354928873</v>
      </c>
    </row>
    <row r="24" spans="1:8" x14ac:dyDescent="0.35">
      <c r="A24" t="s">
        <v>251</v>
      </c>
      <c r="D24" s="344">
        <f>+F3-E13</f>
        <v>188798.94280040357</v>
      </c>
      <c r="E24" s="51">
        <v>4113689</v>
      </c>
    </row>
    <row r="32" spans="1:8" x14ac:dyDescent="0.35">
      <c r="A32" t="s">
        <v>254</v>
      </c>
      <c r="B32" t="s">
        <v>258</v>
      </c>
      <c r="C32">
        <v>1194845</v>
      </c>
    </row>
    <row r="33" spans="2:4" x14ac:dyDescent="0.35">
      <c r="B33" t="s">
        <v>255</v>
      </c>
      <c r="C33">
        <v>822464</v>
      </c>
    </row>
    <row r="34" spans="2:4" x14ac:dyDescent="0.35">
      <c r="B34" t="s">
        <v>256</v>
      </c>
      <c r="C34">
        <v>991020</v>
      </c>
    </row>
    <row r="35" spans="2:4" x14ac:dyDescent="0.35">
      <c r="B35" t="s">
        <v>257</v>
      </c>
      <c r="C35">
        <f>SUM(C32:C34)</f>
        <v>3008329</v>
      </c>
      <c r="D35">
        <f>'s2. Historical Indirect Capex'!F17</f>
        <v>3008361.38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000"/>
    <pageSetUpPr fitToPage="1"/>
  </sheetPr>
  <dimension ref="B1:Y36"/>
  <sheetViews>
    <sheetView showGridLines="0" zoomScale="80" zoomScaleNormal="80" zoomScaleSheetLayoutView="55" workbookViewId="0"/>
  </sheetViews>
  <sheetFormatPr defaultColWidth="8.81640625" defaultRowHeight="18" customHeight="1" x14ac:dyDescent="0.35"/>
  <cols>
    <col min="1" max="1" width="4.7265625" style="227" customWidth="1"/>
    <col min="2" max="2" width="45.7265625" style="227" customWidth="1"/>
    <col min="3" max="4" width="13.81640625" style="227" customWidth="1"/>
    <col min="5" max="5" width="13.81640625" style="1" customWidth="1"/>
    <col min="6" max="6" width="4.7265625" style="227" customWidth="1"/>
    <col min="7" max="10" width="13.81640625" style="227" customWidth="1"/>
    <col min="11" max="11" width="13.81640625" style="1" customWidth="1"/>
    <col min="12" max="12" width="4.7265625" style="227" customWidth="1"/>
    <col min="13" max="16" width="13.81640625" style="227" customWidth="1"/>
    <col min="17" max="17" width="13.81640625" style="25" customWidth="1"/>
    <col min="18" max="18" width="4.7265625" style="227" customWidth="1"/>
    <col min="19" max="22" width="13.81640625" style="227" customWidth="1"/>
    <col min="23" max="23" width="13.81640625" style="1" customWidth="1"/>
    <col min="24" max="24" width="4.7265625" style="227" customWidth="1"/>
    <col min="25" max="25" width="9.1796875" style="227" customWidth="1"/>
    <col min="26" max="16384" width="8.81640625" style="227"/>
  </cols>
  <sheetData>
    <row r="1" spans="2:25" ht="18" customHeight="1" thickBot="1" x14ac:dyDescent="0.4">
      <c r="C1" s="9"/>
      <c r="D1" s="9"/>
      <c r="E1" s="9"/>
      <c r="G1" s="9"/>
    </row>
    <row r="2" spans="2:25" ht="18" customHeight="1" thickBot="1" x14ac:dyDescent="0.4">
      <c r="G2" s="35" t="s">
        <v>170</v>
      </c>
      <c r="H2" s="36"/>
      <c r="I2" s="36"/>
      <c r="J2" s="36"/>
      <c r="K2" s="36"/>
      <c r="M2" s="20" t="s">
        <v>126</v>
      </c>
      <c r="N2" s="114"/>
      <c r="O2" s="114"/>
      <c r="P2" s="114"/>
      <c r="Q2" s="115"/>
      <c r="S2" s="12" t="s">
        <v>171</v>
      </c>
      <c r="T2" s="116"/>
      <c r="U2" s="116"/>
      <c r="V2" s="116"/>
      <c r="W2" s="117"/>
    </row>
    <row r="3" spans="2:25" s="1" customFormat="1" ht="18" customHeight="1" x14ac:dyDescent="0.35">
      <c r="C3" s="24"/>
      <c r="D3" s="24"/>
      <c r="E3" s="24"/>
      <c r="Q3" s="25"/>
    </row>
    <row r="4" spans="2:25" ht="35.5" customHeight="1" x14ac:dyDescent="0.35">
      <c r="B4" s="152" t="s">
        <v>109</v>
      </c>
      <c r="C4" s="293" t="s">
        <v>159</v>
      </c>
      <c r="D4" s="293" t="s">
        <v>51</v>
      </c>
      <c r="E4" s="293" t="s">
        <v>90</v>
      </c>
      <c r="G4" s="138" t="s">
        <v>122</v>
      </c>
      <c r="H4" s="138" t="s">
        <v>123</v>
      </c>
      <c r="I4" s="138" t="s">
        <v>124</v>
      </c>
      <c r="J4" s="138" t="s">
        <v>125</v>
      </c>
      <c r="K4" s="139" t="s">
        <v>2</v>
      </c>
      <c r="M4" s="138" t="s">
        <v>122</v>
      </c>
      <c r="N4" s="138" t="s">
        <v>123</v>
      </c>
      <c r="O4" s="138" t="s">
        <v>124</v>
      </c>
      <c r="P4" s="138" t="s">
        <v>125</v>
      </c>
      <c r="Q4" s="139" t="s">
        <v>2</v>
      </c>
      <c r="S4" s="138" t="s">
        <v>122</v>
      </c>
      <c r="T4" s="138" t="s">
        <v>123</v>
      </c>
      <c r="U4" s="138" t="s">
        <v>124</v>
      </c>
      <c r="V4" s="138" t="s">
        <v>125</v>
      </c>
      <c r="W4" s="139" t="s">
        <v>2</v>
      </c>
    </row>
    <row r="5" spans="2:25" ht="18" customHeight="1" thickBot="1" x14ac:dyDescent="0.4">
      <c r="B5" s="1" t="s">
        <v>52</v>
      </c>
      <c r="C5" s="23"/>
      <c r="D5" s="23"/>
      <c r="E5" s="24"/>
    </row>
    <row r="6" spans="2:25" ht="18" customHeight="1" thickBot="1" x14ac:dyDescent="0.4">
      <c r="B6" s="91" t="s">
        <v>70</v>
      </c>
      <c r="C6" s="96">
        <v>400616.83200000005</v>
      </c>
      <c r="D6" s="96">
        <v>397393.56449704355</v>
      </c>
      <c r="E6" s="299">
        <v>391173.89949507196</v>
      </c>
      <c r="F6" s="51"/>
      <c r="G6" s="300">
        <v>0</v>
      </c>
      <c r="H6" s="300">
        <v>276339.63</v>
      </c>
      <c r="I6" s="300">
        <v>124277.20200000005</v>
      </c>
      <c r="J6" s="300">
        <v>0</v>
      </c>
      <c r="K6" s="301">
        <v>400616.83200000005</v>
      </c>
      <c r="L6" s="51"/>
      <c r="M6" s="300">
        <v>0</v>
      </c>
      <c r="N6" s="300">
        <v>274116.26723036479</v>
      </c>
      <c r="O6" s="300">
        <v>123277.29726667881</v>
      </c>
      <c r="P6" s="300">
        <v>0</v>
      </c>
      <c r="Q6" s="301">
        <v>397393.56449704361</v>
      </c>
      <c r="R6" s="51"/>
      <c r="S6" s="300">
        <v>0</v>
      </c>
      <c r="T6" s="300">
        <v>269826.03330088075</v>
      </c>
      <c r="U6" s="300">
        <v>121347.86619419117</v>
      </c>
      <c r="V6" s="300">
        <v>0</v>
      </c>
      <c r="W6" s="301">
        <v>391173.89949507191</v>
      </c>
      <c r="Y6" s="294"/>
    </row>
    <row r="7" spans="2:25" ht="18" customHeight="1" thickBot="1" x14ac:dyDescent="0.4">
      <c r="B7" s="91" t="s">
        <v>100</v>
      </c>
      <c r="C7" s="96">
        <v>22628.55</v>
      </c>
      <c r="D7" s="96">
        <v>22446.486082490846</v>
      </c>
      <c r="E7" s="299">
        <v>22095.172834423513</v>
      </c>
      <c r="F7" s="51"/>
      <c r="G7" s="300">
        <v>0</v>
      </c>
      <c r="H7" s="300">
        <v>0</v>
      </c>
      <c r="I7" s="300">
        <v>22628.55</v>
      </c>
      <c r="J7" s="300">
        <v>0</v>
      </c>
      <c r="K7" s="301">
        <v>22628.55</v>
      </c>
      <c r="L7" s="51"/>
      <c r="M7" s="300">
        <v>0</v>
      </c>
      <c r="N7" s="300">
        <v>0</v>
      </c>
      <c r="O7" s="300">
        <v>22446.486082490846</v>
      </c>
      <c r="P7" s="300">
        <v>0</v>
      </c>
      <c r="Q7" s="301">
        <v>22446.486082490846</v>
      </c>
      <c r="R7" s="51"/>
      <c r="S7" s="300">
        <v>0</v>
      </c>
      <c r="T7" s="300">
        <v>0</v>
      </c>
      <c r="U7" s="300">
        <v>22095.172834423513</v>
      </c>
      <c r="V7" s="300">
        <v>0</v>
      </c>
      <c r="W7" s="301">
        <v>22095.172834423513</v>
      </c>
      <c r="Y7" s="294"/>
    </row>
    <row r="8" spans="2:25" ht="18" customHeight="1" x14ac:dyDescent="0.35">
      <c r="B8" s="109" t="s">
        <v>178</v>
      </c>
      <c r="C8" s="302">
        <v>423245.38200000004</v>
      </c>
      <c r="D8" s="302">
        <v>419840.05057953438</v>
      </c>
      <c r="E8" s="303">
        <v>413269.07232949545</v>
      </c>
      <c r="F8" s="51"/>
      <c r="G8" s="304">
        <v>0</v>
      </c>
      <c r="H8" s="304">
        <v>276339.63</v>
      </c>
      <c r="I8" s="304">
        <v>146905.75200000004</v>
      </c>
      <c r="J8" s="304">
        <v>0</v>
      </c>
      <c r="K8" s="305">
        <v>423245.38200000004</v>
      </c>
      <c r="L8" s="306"/>
      <c r="M8" s="307">
        <v>0</v>
      </c>
      <c r="N8" s="307">
        <v>274116.26723036479</v>
      </c>
      <c r="O8" s="307">
        <v>145723.78334916965</v>
      </c>
      <c r="P8" s="307">
        <v>0</v>
      </c>
      <c r="Q8" s="308">
        <v>419840.05057953444</v>
      </c>
      <c r="R8" s="306"/>
      <c r="S8" s="309">
        <v>0</v>
      </c>
      <c r="T8" s="309">
        <v>269826.03330088075</v>
      </c>
      <c r="U8" s="309">
        <v>143443.03902861467</v>
      </c>
      <c r="V8" s="309">
        <v>0</v>
      </c>
      <c r="W8" s="310">
        <v>413269.07232949539</v>
      </c>
      <c r="X8" s="296"/>
      <c r="Y8" s="294"/>
    </row>
    <row r="9" spans="2:25" ht="18" customHeight="1" thickBot="1" x14ac:dyDescent="0.4">
      <c r="C9" s="51"/>
      <c r="D9" s="51"/>
      <c r="E9" s="137"/>
      <c r="F9" s="51"/>
      <c r="G9" s="51"/>
      <c r="H9" s="51"/>
      <c r="I9" s="51"/>
      <c r="J9" s="51"/>
      <c r="K9" s="137"/>
      <c r="L9" s="51"/>
      <c r="M9" s="311"/>
      <c r="N9" s="311"/>
      <c r="O9" s="311"/>
      <c r="P9" s="311"/>
      <c r="Q9" s="312"/>
      <c r="R9" s="51"/>
      <c r="S9" s="311"/>
      <c r="T9" s="311"/>
      <c r="U9" s="311"/>
      <c r="V9" s="311"/>
      <c r="W9" s="313"/>
      <c r="Y9" s="294"/>
    </row>
    <row r="10" spans="2:25" ht="18" customHeight="1" thickBot="1" x14ac:dyDescent="0.4">
      <c r="B10" s="91" t="s">
        <v>19</v>
      </c>
      <c r="C10" s="96">
        <v>48013.209494324037</v>
      </c>
      <c r="D10" s="96">
        <v>47626.906659510307</v>
      </c>
      <c r="E10" s="299">
        <v>46881.490953352011</v>
      </c>
      <c r="F10" s="51"/>
      <c r="G10" s="300">
        <v>0</v>
      </c>
      <c r="H10" s="300">
        <v>27007.430340557272</v>
      </c>
      <c r="I10" s="300">
        <v>21005.779153766769</v>
      </c>
      <c r="J10" s="300">
        <v>0</v>
      </c>
      <c r="K10" s="301">
        <v>48013.209494324037</v>
      </c>
      <c r="L10" s="51"/>
      <c r="M10" s="300">
        <v>0</v>
      </c>
      <c r="N10" s="300">
        <v>26790.134995974549</v>
      </c>
      <c r="O10" s="300">
        <v>20836.771663535757</v>
      </c>
      <c r="P10" s="300">
        <v>0</v>
      </c>
      <c r="Q10" s="314">
        <v>47626.906659510307</v>
      </c>
      <c r="R10" s="51"/>
      <c r="S10" s="300">
        <v>0</v>
      </c>
      <c r="T10" s="300">
        <v>26370.83866126051</v>
      </c>
      <c r="U10" s="300">
        <v>20510.652292091505</v>
      </c>
      <c r="V10" s="300">
        <v>0</v>
      </c>
      <c r="W10" s="301">
        <v>46881.490953352011</v>
      </c>
      <c r="Y10" s="294"/>
    </row>
    <row r="11" spans="2:25" ht="18" customHeight="1" x14ac:dyDescent="0.35">
      <c r="B11" s="8" t="s">
        <v>20</v>
      </c>
      <c r="C11" s="302">
        <v>48013.209494324037</v>
      </c>
      <c r="D11" s="302">
        <v>47626.906659510307</v>
      </c>
      <c r="E11" s="303">
        <v>46881.490953352011</v>
      </c>
      <c r="F11" s="51"/>
      <c r="G11" s="304">
        <v>0</v>
      </c>
      <c r="H11" s="304">
        <v>27007.430340557272</v>
      </c>
      <c r="I11" s="304">
        <v>21005.779153766769</v>
      </c>
      <c r="J11" s="304">
        <v>0</v>
      </c>
      <c r="K11" s="305">
        <v>48013.209494324037</v>
      </c>
      <c r="L11" s="306"/>
      <c r="M11" s="307">
        <v>0</v>
      </c>
      <c r="N11" s="307">
        <v>26790.134995974549</v>
      </c>
      <c r="O11" s="307">
        <v>20836.771663535757</v>
      </c>
      <c r="P11" s="307">
        <v>0</v>
      </c>
      <c r="Q11" s="308">
        <v>47626.906659510307</v>
      </c>
      <c r="R11" s="306"/>
      <c r="S11" s="309">
        <v>0</v>
      </c>
      <c r="T11" s="309">
        <v>26370.83866126051</v>
      </c>
      <c r="U11" s="309">
        <v>20510.652292091505</v>
      </c>
      <c r="V11" s="309">
        <v>0</v>
      </c>
      <c r="W11" s="310">
        <v>46881.490953352011</v>
      </c>
      <c r="X11" s="296"/>
      <c r="Y11" s="294"/>
    </row>
    <row r="12" spans="2:25" ht="18" customHeight="1" thickBot="1" x14ac:dyDescent="0.4">
      <c r="C12" s="51"/>
      <c r="D12" s="51"/>
      <c r="E12" s="137"/>
      <c r="F12" s="51"/>
      <c r="G12" s="311"/>
      <c r="H12" s="311"/>
      <c r="I12" s="311"/>
      <c r="J12" s="311"/>
      <c r="K12" s="313"/>
      <c r="L12" s="51"/>
      <c r="M12" s="311"/>
      <c r="N12" s="311"/>
      <c r="O12" s="311"/>
      <c r="P12" s="311"/>
      <c r="Q12" s="312"/>
      <c r="R12" s="51"/>
      <c r="S12" s="311"/>
      <c r="T12" s="311"/>
      <c r="U12" s="311"/>
      <c r="V12" s="311"/>
      <c r="W12" s="313"/>
      <c r="Y12" s="294"/>
    </row>
    <row r="13" spans="2:25" ht="18" customHeight="1" thickBot="1" x14ac:dyDescent="0.4">
      <c r="B13" s="91" t="s">
        <v>179</v>
      </c>
      <c r="C13" s="51">
        <v>89661.506707946333</v>
      </c>
      <c r="D13" s="51">
        <v>88940.111604812395</v>
      </c>
      <c r="E13" s="137">
        <v>87548.096864664214</v>
      </c>
      <c r="F13" s="51"/>
      <c r="G13" s="311">
        <v>0</v>
      </c>
      <c r="H13" s="311">
        <v>50434.597523219811</v>
      </c>
      <c r="I13" s="311">
        <v>39226.909184726523</v>
      </c>
      <c r="J13" s="311">
        <v>0</v>
      </c>
      <c r="K13" s="313">
        <v>89661.506707946333</v>
      </c>
      <c r="L13" s="51"/>
      <c r="M13" s="311">
        <v>0</v>
      </c>
      <c r="N13" s="311">
        <v>50028.81277770696</v>
      </c>
      <c r="O13" s="311">
        <v>38911.298827105406</v>
      </c>
      <c r="P13" s="311">
        <v>0</v>
      </c>
      <c r="Q13" s="312">
        <v>88940.111604812366</v>
      </c>
      <c r="R13" s="51"/>
      <c r="S13" s="311">
        <v>0</v>
      </c>
      <c r="T13" s="311">
        <v>49245.804486373614</v>
      </c>
      <c r="U13" s="311">
        <v>38302.292378290593</v>
      </c>
      <c r="V13" s="311">
        <v>0</v>
      </c>
      <c r="W13" s="313">
        <v>87548.0968646642</v>
      </c>
      <c r="Y13" s="294"/>
    </row>
    <row r="14" spans="2:25" ht="18" customHeight="1" thickBot="1" x14ac:dyDescent="0.4">
      <c r="B14" s="110" t="s">
        <v>26</v>
      </c>
      <c r="C14" s="302">
        <v>89661.506707946333</v>
      </c>
      <c r="D14" s="302">
        <v>88940.111604812395</v>
      </c>
      <c r="E14" s="303">
        <v>87548.096864664214</v>
      </c>
      <c r="F14" s="51"/>
      <c r="G14" s="304">
        <v>0</v>
      </c>
      <c r="H14" s="304">
        <v>50434.597523219811</v>
      </c>
      <c r="I14" s="304">
        <v>39226.909184726523</v>
      </c>
      <c r="J14" s="304">
        <v>0</v>
      </c>
      <c r="K14" s="305">
        <v>89661.506707946333</v>
      </c>
      <c r="L14" s="306"/>
      <c r="M14" s="307">
        <v>0</v>
      </c>
      <c r="N14" s="307">
        <v>50028.81277770696</v>
      </c>
      <c r="O14" s="307">
        <v>38911.298827105406</v>
      </c>
      <c r="P14" s="307">
        <v>0</v>
      </c>
      <c r="Q14" s="308">
        <v>88940.111604812366</v>
      </c>
      <c r="R14" s="306"/>
      <c r="S14" s="309">
        <v>0</v>
      </c>
      <c r="T14" s="309">
        <v>49245.804486373614</v>
      </c>
      <c r="U14" s="309">
        <v>38302.292378290593</v>
      </c>
      <c r="V14" s="309">
        <v>0</v>
      </c>
      <c r="W14" s="310">
        <v>87548.0968646642</v>
      </c>
      <c r="X14" s="296"/>
      <c r="Y14" s="294"/>
    </row>
    <row r="15" spans="2:25" ht="18" customHeight="1" thickBot="1" x14ac:dyDescent="0.4">
      <c r="C15" s="51"/>
      <c r="D15" s="51"/>
      <c r="E15" s="137"/>
      <c r="F15" s="51"/>
      <c r="G15" s="311"/>
      <c r="H15" s="311"/>
      <c r="I15" s="311"/>
      <c r="J15" s="311"/>
      <c r="K15" s="313"/>
      <c r="L15" s="51"/>
      <c r="M15" s="311"/>
      <c r="N15" s="311"/>
      <c r="O15" s="311"/>
      <c r="P15" s="311"/>
      <c r="Q15" s="312"/>
      <c r="R15" s="51"/>
      <c r="S15" s="311"/>
      <c r="T15" s="311"/>
      <c r="U15" s="311"/>
      <c r="V15" s="311"/>
      <c r="W15" s="313"/>
      <c r="Y15" s="294"/>
    </row>
    <row r="16" spans="2:25" ht="18" customHeight="1" thickBot="1" x14ac:dyDescent="0.4">
      <c r="B16" s="101" t="s">
        <v>27</v>
      </c>
      <c r="C16" s="136">
        <v>560920.09820227046</v>
      </c>
      <c r="D16" s="136">
        <v>556407.06884385715</v>
      </c>
      <c r="E16" s="315">
        <v>547698.66014751163</v>
      </c>
      <c r="F16" s="51"/>
      <c r="G16" s="316">
        <v>0</v>
      </c>
      <c r="H16" s="316">
        <v>353781.65786377707</v>
      </c>
      <c r="I16" s="316">
        <v>207138.44033849332</v>
      </c>
      <c r="J16" s="316">
        <v>0</v>
      </c>
      <c r="K16" s="317">
        <v>560920.09820227046</v>
      </c>
      <c r="L16" s="306"/>
      <c r="M16" s="316">
        <v>0</v>
      </c>
      <c r="N16" s="316">
        <v>350935.21500404633</v>
      </c>
      <c r="O16" s="316">
        <v>205471.85383981082</v>
      </c>
      <c r="P16" s="316">
        <v>0</v>
      </c>
      <c r="Q16" s="318">
        <v>556407.06884385715</v>
      </c>
      <c r="R16" s="306"/>
      <c r="S16" s="316">
        <v>0</v>
      </c>
      <c r="T16" s="316">
        <v>345442.67644851486</v>
      </c>
      <c r="U16" s="316">
        <v>202255.98369899677</v>
      </c>
      <c r="V16" s="316">
        <v>0</v>
      </c>
      <c r="W16" s="317">
        <v>547698.66014751163</v>
      </c>
      <c r="X16" s="296"/>
      <c r="Y16" s="294"/>
    </row>
    <row r="17" spans="2:25" ht="18" customHeight="1" x14ac:dyDescent="0.35">
      <c r="B17" s="1"/>
      <c r="C17" s="51"/>
      <c r="D17" s="51"/>
      <c r="E17" s="137"/>
      <c r="F17" s="51"/>
      <c r="G17" s="51"/>
      <c r="H17" s="51"/>
      <c r="I17" s="51"/>
      <c r="J17" s="51"/>
      <c r="K17" s="137"/>
      <c r="L17" s="51"/>
      <c r="M17" s="51"/>
      <c r="N17" s="51"/>
      <c r="O17" s="51"/>
      <c r="P17" s="51"/>
      <c r="Q17" s="51"/>
      <c r="R17" s="51"/>
      <c r="S17" s="51"/>
      <c r="T17" s="51"/>
      <c r="U17" s="51"/>
      <c r="V17" s="51"/>
      <c r="W17" s="51"/>
    </row>
    <row r="18" spans="2:25" ht="18" customHeight="1" thickBot="1" x14ac:dyDescent="0.4">
      <c r="B18" s="1" t="s">
        <v>35</v>
      </c>
      <c r="C18" s="51"/>
      <c r="D18" s="51"/>
      <c r="E18" s="137"/>
      <c r="F18" s="51"/>
      <c r="G18" s="51"/>
      <c r="H18" s="51"/>
      <c r="I18" s="51"/>
      <c r="J18" s="51"/>
      <c r="K18" s="137"/>
      <c r="L18" s="51"/>
      <c r="M18" s="51"/>
      <c r="N18" s="51"/>
      <c r="O18" s="51"/>
      <c r="P18" s="51"/>
      <c r="Q18" s="319"/>
      <c r="R18" s="51"/>
      <c r="S18" s="51"/>
      <c r="T18" s="51"/>
      <c r="U18" s="51"/>
      <c r="V18" s="51"/>
      <c r="W18" s="137"/>
    </row>
    <row r="19" spans="2:25" ht="18" customHeight="1" thickBot="1" x14ac:dyDescent="0.4">
      <c r="B19" s="91" t="s">
        <v>33</v>
      </c>
      <c r="C19" s="300">
        <v>89206.305696594412</v>
      </c>
      <c r="D19" s="300">
        <v>88488.573032254862</v>
      </c>
      <c r="E19" s="301">
        <v>87103.625388576489</v>
      </c>
      <c r="F19" s="311"/>
      <c r="G19" s="300">
        <v>0</v>
      </c>
      <c r="H19" s="300">
        <v>89206.305696594412</v>
      </c>
      <c r="I19" s="300">
        <v>0</v>
      </c>
      <c r="J19" s="300">
        <v>0</v>
      </c>
      <c r="K19" s="301">
        <v>89206.305696594412</v>
      </c>
      <c r="L19" s="320"/>
      <c r="M19" s="300">
        <v>0</v>
      </c>
      <c r="N19" s="300">
        <v>88488.573032254862</v>
      </c>
      <c r="O19" s="300">
        <v>0</v>
      </c>
      <c r="P19" s="300">
        <v>0</v>
      </c>
      <c r="Q19" s="314">
        <v>88488.573032254862</v>
      </c>
      <c r="R19" s="320"/>
      <c r="S19" s="300">
        <v>0</v>
      </c>
      <c r="T19" s="300">
        <v>87103.625388576489</v>
      </c>
      <c r="U19" s="300">
        <v>0</v>
      </c>
      <c r="V19" s="300">
        <v>0</v>
      </c>
      <c r="W19" s="301">
        <v>87103.625388576489</v>
      </c>
      <c r="X19" s="297"/>
      <c r="Y19" s="294"/>
    </row>
    <row r="20" spans="2:25" ht="18" customHeight="1" thickBot="1" x14ac:dyDescent="0.4">
      <c r="B20" s="91" t="s">
        <v>3</v>
      </c>
      <c r="C20" s="300">
        <v>2993.034055727554</v>
      </c>
      <c r="D20" s="300">
        <v>2993.034055727554</v>
      </c>
      <c r="E20" s="301">
        <v>2946.1896404444869</v>
      </c>
      <c r="F20" s="311"/>
      <c r="G20" s="300">
        <v>0</v>
      </c>
      <c r="H20" s="300">
        <v>1542.956656346749</v>
      </c>
      <c r="I20" s="300">
        <v>1450.0773993808048</v>
      </c>
      <c r="J20" s="300">
        <v>0</v>
      </c>
      <c r="K20" s="301">
        <v>2993.034055727554</v>
      </c>
      <c r="L20" s="320"/>
      <c r="M20" s="300">
        <v>0</v>
      </c>
      <c r="N20" s="300">
        <v>1542.956656346749</v>
      </c>
      <c r="O20" s="300">
        <v>1450.0773993808048</v>
      </c>
      <c r="P20" s="300">
        <v>0</v>
      </c>
      <c r="Q20" s="314">
        <v>2993.034055727554</v>
      </c>
      <c r="R20" s="320"/>
      <c r="S20" s="300">
        <v>0</v>
      </c>
      <c r="T20" s="300">
        <v>1518.8076152640508</v>
      </c>
      <c r="U20" s="300">
        <v>1427.3820251804359</v>
      </c>
      <c r="V20" s="300">
        <v>0</v>
      </c>
      <c r="W20" s="301">
        <v>2946.1896404444869</v>
      </c>
      <c r="X20" s="297"/>
      <c r="Y20" s="294"/>
    </row>
    <row r="21" spans="2:25" ht="18" customHeight="1" thickBot="1" x14ac:dyDescent="0.4">
      <c r="B21" s="91" t="s">
        <v>36</v>
      </c>
      <c r="C21" s="300">
        <v>19156.346749226006</v>
      </c>
      <c r="D21" s="300">
        <v>19156.346749226006</v>
      </c>
      <c r="E21" s="301">
        <v>18856.52795474555</v>
      </c>
      <c r="F21" s="311"/>
      <c r="G21" s="300">
        <v>0</v>
      </c>
      <c r="H21" s="300">
        <v>10448.916408668731</v>
      </c>
      <c r="I21" s="300">
        <v>8707.4303405572755</v>
      </c>
      <c r="J21" s="300">
        <v>0</v>
      </c>
      <c r="K21" s="301">
        <v>19156.346749226006</v>
      </c>
      <c r="L21" s="320"/>
      <c r="M21" s="300">
        <v>0</v>
      </c>
      <c r="N21" s="300">
        <v>10448.916408668731</v>
      </c>
      <c r="O21" s="300">
        <v>8707.4303405572755</v>
      </c>
      <c r="P21" s="300">
        <v>0</v>
      </c>
      <c r="Q21" s="314">
        <v>19156.346749226006</v>
      </c>
      <c r="R21" s="320"/>
      <c r="S21" s="300">
        <v>0</v>
      </c>
      <c r="T21" s="300">
        <v>10285.378884406664</v>
      </c>
      <c r="U21" s="300">
        <v>8571.1490703388863</v>
      </c>
      <c r="V21" s="300">
        <v>0</v>
      </c>
      <c r="W21" s="301">
        <v>18856.52795474555</v>
      </c>
      <c r="X21" s="297"/>
      <c r="Y21" s="294"/>
    </row>
    <row r="22" spans="2:25" ht="18" customHeight="1" thickBot="1" x14ac:dyDescent="0.4">
      <c r="B22" s="91" t="s">
        <v>37</v>
      </c>
      <c r="C22" s="300">
        <v>78117.75</v>
      </c>
      <c r="D22" s="300">
        <v>78117.75</v>
      </c>
      <c r="E22" s="301">
        <v>76895.117629687957</v>
      </c>
      <c r="F22" s="311"/>
      <c r="G22" s="300">
        <v>0</v>
      </c>
      <c r="H22" s="300">
        <v>39058.875</v>
      </c>
      <c r="I22" s="300">
        <v>39058.875</v>
      </c>
      <c r="J22" s="300">
        <v>0</v>
      </c>
      <c r="K22" s="301">
        <v>78117.75</v>
      </c>
      <c r="L22" s="320"/>
      <c r="M22" s="300">
        <v>0</v>
      </c>
      <c r="N22" s="300">
        <v>39058.875</v>
      </c>
      <c r="O22" s="300">
        <v>39058.875</v>
      </c>
      <c r="P22" s="300">
        <v>0</v>
      </c>
      <c r="Q22" s="314">
        <v>78117.75</v>
      </c>
      <c r="R22" s="320"/>
      <c r="S22" s="300">
        <v>0</v>
      </c>
      <c r="T22" s="300">
        <v>38447.558814843978</v>
      </c>
      <c r="U22" s="300">
        <v>38447.558814843978</v>
      </c>
      <c r="V22" s="300">
        <v>0</v>
      </c>
      <c r="W22" s="301">
        <v>76895.117629687957</v>
      </c>
      <c r="X22" s="297"/>
      <c r="Y22" s="294"/>
    </row>
    <row r="23" spans="2:25" ht="18" customHeight="1" thickBot="1" x14ac:dyDescent="0.4">
      <c r="B23" s="101" t="s">
        <v>35</v>
      </c>
      <c r="C23" s="316">
        <v>189473.43650154799</v>
      </c>
      <c r="D23" s="316">
        <v>188755.70383720842</v>
      </c>
      <c r="E23" s="317">
        <v>185801.46061345446</v>
      </c>
      <c r="F23" s="311"/>
      <c r="G23" s="316">
        <v>0</v>
      </c>
      <c r="H23" s="316">
        <v>140257.05376160989</v>
      </c>
      <c r="I23" s="316">
        <v>49216.382739938083</v>
      </c>
      <c r="J23" s="316">
        <v>0</v>
      </c>
      <c r="K23" s="317">
        <v>189473.43650154799</v>
      </c>
      <c r="L23" s="320"/>
      <c r="M23" s="316">
        <v>0</v>
      </c>
      <c r="N23" s="316">
        <v>139539.32109727035</v>
      </c>
      <c r="O23" s="316">
        <v>49216.382739938083</v>
      </c>
      <c r="P23" s="316">
        <v>0</v>
      </c>
      <c r="Q23" s="318">
        <v>188755.70383720842</v>
      </c>
      <c r="R23" s="320"/>
      <c r="S23" s="316">
        <v>0</v>
      </c>
      <c r="T23" s="316">
        <v>137355.37070309118</v>
      </c>
      <c r="U23" s="316">
        <v>48446.089910363298</v>
      </c>
      <c r="V23" s="316">
        <v>0</v>
      </c>
      <c r="W23" s="317">
        <v>185801.46061345446</v>
      </c>
      <c r="X23" s="297"/>
      <c r="Y23" s="294"/>
    </row>
    <row r="24" spans="2:25" ht="18" customHeight="1" thickBot="1" x14ac:dyDescent="0.4">
      <c r="B24" s="1" t="s">
        <v>28</v>
      </c>
      <c r="C24" s="311"/>
      <c r="D24" s="311"/>
      <c r="E24" s="313"/>
      <c r="F24" s="311"/>
      <c r="G24" s="311"/>
      <c r="H24" s="311"/>
      <c r="I24" s="311"/>
      <c r="J24" s="311"/>
      <c r="K24" s="313"/>
      <c r="L24" s="311"/>
      <c r="M24" s="311"/>
      <c r="N24" s="311"/>
      <c r="O24" s="311"/>
      <c r="P24" s="311"/>
      <c r="Q24" s="313"/>
      <c r="R24" s="311"/>
      <c r="S24" s="51"/>
      <c r="T24" s="51"/>
      <c r="U24" s="51"/>
      <c r="V24" s="51"/>
      <c r="W24" s="51"/>
      <c r="X24" s="191"/>
    </row>
    <row r="25" spans="2:25" ht="18" customHeight="1" thickBot="1" x14ac:dyDescent="0.4">
      <c r="B25" s="113" t="s">
        <v>180</v>
      </c>
      <c r="C25" s="321">
        <v>101465</v>
      </c>
      <c r="D25" s="321">
        <v>101465</v>
      </c>
      <c r="E25" s="301">
        <v>100224.87241932127</v>
      </c>
      <c r="F25" s="311"/>
      <c r="G25" s="321">
        <v>0</v>
      </c>
      <c r="H25" s="321">
        <v>101465</v>
      </c>
      <c r="I25" s="321">
        <v>0</v>
      </c>
      <c r="J25" s="321">
        <v>0</v>
      </c>
      <c r="K25" s="322">
        <v>101465</v>
      </c>
      <c r="L25" s="320"/>
      <c r="M25" s="321">
        <v>0</v>
      </c>
      <c r="N25" s="321">
        <v>101465</v>
      </c>
      <c r="O25" s="321">
        <v>0</v>
      </c>
      <c r="P25" s="321">
        <v>0</v>
      </c>
      <c r="Q25" s="323">
        <v>101465</v>
      </c>
      <c r="R25" s="320"/>
      <c r="S25" s="321">
        <v>0</v>
      </c>
      <c r="T25" s="321">
        <v>100224.87241932127</v>
      </c>
      <c r="U25" s="321">
        <v>0</v>
      </c>
      <c r="V25" s="321">
        <v>0</v>
      </c>
      <c r="W25" s="322">
        <v>100224.87241932127</v>
      </c>
      <c r="X25" s="297"/>
      <c r="Y25" s="295"/>
    </row>
    <row r="26" spans="2:25" ht="18" customHeight="1" thickBot="1" x14ac:dyDescent="0.4">
      <c r="C26" s="311"/>
      <c r="D26" s="311"/>
      <c r="E26" s="313"/>
      <c r="F26" s="311"/>
      <c r="G26" s="311"/>
      <c r="H26" s="311"/>
      <c r="I26" s="311"/>
      <c r="J26" s="311"/>
      <c r="K26" s="313"/>
      <c r="L26" s="320"/>
      <c r="M26" s="311"/>
      <c r="N26" s="311"/>
      <c r="O26" s="311"/>
      <c r="P26" s="311"/>
      <c r="Q26" s="313"/>
      <c r="R26" s="320"/>
      <c r="S26" s="311"/>
      <c r="T26" s="311"/>
      <c r="U26" s="311"/>
      <c r="V26" s="311"/>
      <c r="W26" s="313"/>
      <c r="X26" s="297"/>
      <c r="Y26" s="295"/>
    </row>
    <row r="27" spans="2:25" ht="18" customHeight="1" thickBot="1" x14ac:dyDescent="0.4">
      <c r="B27" s="101" t="s">
        <v>29</v>
      </c>
      <c r="C27" s="316">
        <v>101465</v>
      </c>
      <c r="D27" s="316">
        <v>101465</v>
      </c>
      <c r="E27" s="317">
        <v>100224.87241932127</v>
      </c>
      <c r="F27" s="311"/>
      <c r="G27" s="316">
        <v>0</v>
      </c>
      <c r="H27" s="316">
        <v>101465</v>
      </c>
      <c r="I27" s="316">
        <v>0</v>
      </c>
      <c r="J27" s="316">
        <v>0</v>
      </c>
      <c r="K27" s="317">
        <v>101465</v>
      </c>
      <c r="L27" s="320"/>
      <c r="M27" s="316">
        <v>0</v>
      </c>
      <c r="N27" s="316">
        <v>101465</v>
      </c>
      <c r="O27" s="316">
        <v>0</v>
      </c>
      <c r="P27" s="316">
        <v>0</v>
      </c>
      <c r="Q27" s="318">
        <v>101465</v>
      </c>
      <c r="R27" s="320"/>
      <c r="S27" s="316">
        <v>0</v>
      </c>
      <c r="T27" s="316">
        <v>100224.87241932127</v>
      </c>
      <c r="U27" s="316">
        <v>0</v>
      </c>
      <c r="V27" s="316">
        <v>0</v>
      </c>
      <c r="W27" s="317">
        <v>100224.87241932127</v>
      </c>
      <c r="X27" s="297"/>
      <c r="Y27" s="294"/>
    </row>
    <row r="28" spans="2:25" ht="18" customHeight="1" thickBot="1" x14ac:dyDescent="0.4">
      <c r="C28" s="311"/>
      <c r="D28" s="311"/>
      <c r="E28" s="313"/>
      <c r="F28" s="311"/>
      <c r="G28" s="311"/>
      <c r="H28" s="311"/>
      <c r="I28" s="311"/>
      <c r="J28" s="311"/>
      <c r="K28" s="313"/>
      <c r="L28" s="311"/>
      <c r="M28" s="311"/>
      <c r="N28" s="311"/>
      <c r="O28" s="311"/>
      <c r="P28" s="311"/>
      <c r="Q28" s="313"/>
      <c r="R28" s="311"/>
      <c r="S28" s="51"/>
      <c r="T28" s="51"/>
      <c r="U28" s="51"/>
      <c r="V28" s="51"/>
      <c r="W28" s="51"/>
      <c r="X28" s="191"/>
    </row>
    <row r="29" spans="2:25" ht="18" customHeight="1" thickBot="1" x14ac:dyDescent="0.4">
      <c r="B29" s="101" t="s">
        <v>82</v>
      </c>
      <c r="C29" s="316">
        <v>851858.53470381838</v>
      </c>
      <c r="D29" s="316">
        <v>846627.7726810656</v>
      </c>
      <c r="E29" s="317">
        <v>833724.9931802873</v>
      </c>
      <c r="F29" s="311"/>
      <c r="G29" s="316">
        <v>0</v>
      </c>
      <c r="H29" s="316">
        <v>595503.71162538696</v>
      </c>
      <c r="I29" s="316">
        <v>256354.82307843142</v>
      </c>
      <c r="J29" s="316">
        <v>0</v>
      </c>
      <c r="K29" s="317">
        <v>851858.53470381838</v>
      </c>
      <c r="L29" s="320"/>
      <c r="M29" s="316">
        <v>0</v>
      </c>
      <c r="N29" s="316">
        <v>591939.53610131668</v>
      </c>
      <c r="O29" s="316">
        <v>254688.23657974892</v>
      </c>
      <c r="P29" s="316">
        <v>0</v>
      </c>
      <c r="Q29" s="318">
        <v>846627.7726810656</v>
      </c>
      <c r="R29" s="320"/>
      <c r="S29" s="316">
        <v>0</v>
      </c>
      <c r="T29" s="316">
        <v>583022.91957092728</v>
      </c>
      <c r="U29" s="316">
        <v>250702.07360936009</v>
      </c>
      <c r="V29" s="316">
        <v>0</v>
      </c>
      <c r="W29" s="317">
        <v>833724.9931802873</v>
      </c>
      <c r="X29" s="297"/>
      <c r="Y29" s="294"/>
    </row>
    <row r="30" spans="2:25" ht="18" customHeight="1" x14ac:dyDescent="0.35">
      <c r="Q30" s="298"/>
      <c r="W30" s="134"/>
    </row>
    <row r="31" spans="2:25" ht="18" customHeight="1" x14ac:dyDescent="0.35">
      <c r="K31" s="161"/>
    </row>
    <row r="32" spans="2:25" ht="18" customHeight="1" x14ac:dyDescent="0.35">
      <c r="K32" s="161"/>
    </row>
    <row r="33" spans="11:11" ht="18" customHeight="1" x14ac:dyDescent="0.35">
      <c r="K33" s="161"/>
    </row>
    <row r="34" spans="11:11" ht="18" customHeight="1" x14ac:dyDescent="0.35">
      <c r="K34" s="161"/>
    </row>
    <row r="35" spans="11:11" ht="18" customHeight="1" x14ac:dyDescent="0.35">
      <c r="K35" s="24"/>
    </row>
    <row r="36" spans="11:11" ht="18" customHeight="1" x14ac:dyDescent="0.35">
      <c r="K36" s="24"/>
    </row>
  </sheetData>
  <pageMargins left="0.70866141732283472" right="0.70866141732283472" top="0.74803149606299213" bottom="0.74803149606299213" header="0.31496062992125984" footer="0.31496062992125984"/>
  <pageSetup paperSize="8" scale="6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BM30"/>
  <sheetViews>
    <sheetView showGridLines="0" zoomScale="80" zoomScaleNormal="80" workbookViewId="0">
      <pane xSplit="7" ySplit="2" topLeftCell="BM3" activePane="bottomRight" state="frozen"/>
      <selection activeCell="BS81" sqref="BS81:BS82"/>
      <selection pane="topRight" activeCell="BS81" sqref="BS81:BS82"/>
      <selection pane="bottomLeft" activeCell="BS81" sqref="BS81:BS82"/>
      <selection pane="bottomRight"/>
    </sheetView>
  </sheetViews>
  <sheetFormatPr defaultColWidth="8.81640625" defaultRowHeight="14.5" outlineLevelCol="1" x14ac:dyDescent="0.35"/>
  <cols>
    <col min="1" max="1" width="6.81640625" style="5" customWidth="1"/>
    <col min="2" max="2" width="19.453125" style="5" customWidth="1"/>
    <col min="3" max="3" width="25.7265625" style="5" customWidth="1"/>
    <col min="4" max="4" width="17.54296875" style="5" customWidth="1"/>
    <col min="5" max="5" width="11.1796875" style="5" customWidth="1"/>
    <col min="6" max="6" width="25.7265625" style="276" customWidth="1"/>
    <col min="7" max="7" width="13.1796875" style="5" customWidth="1" outlineLevel="1"/>
    <col min="8" max="8" width="22.1796875" style="5" customWidth="1" outlineLevel="1"/>
    <col min="9" max="9" width="30.1796875" style="5" customWidth="1" outlineLevel="1"/>
    <col min="10" max="12" width="14.26953125" style="5" customWidth="1" outlineLevel="1"/>
    <col min="13" max="14" width="15.26953125" style="5" customWidth="1" outlineLevel="1"/>
    <col min="15" max="16" width="16.453125" style="5" customWidth="1" outlineLevel="1"/>
    <col min="17" max="18" width="16" style="5" customWidth="1" outlineLevel="1"/>
    <col min="19" max="22" width="12.1796875" style="5" customWidth="1" outlineLevel="1"/>
    <col min="23" max="23" width="16" style="5" customWidth="1" outlineLevel="1"/>
    <col min="24" max="24" width="14" style="5" customWidth="1" outlineLevel="1"/>
    <col min="25" max="26" width="16" style="292" customWidth="1" outlineLevel="1"/>
    <col min="27" max="45" width="12.26953125" style="5" customWidth="1" outlineLevel="1"/>
    <col min="46" max="65" width="11.26953125" style="5" customWidth="1" outlineLevel="1"/>
    <col min="66" max="66" width="3.7265625" style="5" customWidth="1"/>
    <col min="67" max="71" width="13.7265625" style="5" customWidth="1"/>
    <col min="72" max="72" width="4.7265625" style="5" customWidth="1"/>
    <col min="73" max="77" width="13.7265625" style="5" customWidth="1"/>
    <col min="78" max="78" width="4.7265625" style="5" customWidth="1"/>
    <col min="79" max="83" width="13.7265625" style="5" customWidth="1"/>
    <col min="84" max="84" width="8.81640625" style="5"/>
    <col min="85" max="85" width="11.54296875" style="5" bestFit="1" customWidth="1"/>
    <col min="86" max="16384" width="8.81640625" style="5"/>
  </cols>
  <sheetData>
    <row r="1" spans="1:26" s="273" customFormat="1" ht="21" x14ac:dyDescent="0.5">
      <c r="A1" s="270"/>
      <c r="B1" s="271"/>
      <c r="C1" s="271" t="s">
        <v>219</v>
      </c>
      <c r="D1" s="272"/>
      <c r="F1" s="275"/>
      <c r="Y1" s="291"/>
      <c r="Z1" s="291"/>
    </row>
    <row r="2" spans="1:26" s="273" customFormat="1" x14ac:dyDescent="0.35">
      <c r="A2" s="270"/>
      <c r="D2" s="272"/>
      <c r="F2" s="275"/>
      <c r="Y2" s="291"/>
      <c r="Z2" s="291"/>
    </row>
    <row r="3" spans="1:26" x14ac:dyDescent="0.35">
      <c r="C3"/>
    </row>
    <row r="4" spans="1:26" x14ac:dyDescent="0.35">
      <c r="C4" s="359" t="s">
        <v>266</v>
      </c>
    </row>
    <row r="5" spans="1:26" x14ac:dyDescent="0.35">
      <c r="C5"/>
    </row>
    <row r="6" spans="1:26" x14ac:dyDescent="0.35">
      <c r="C6"/>
    </row>
    <row r="7" spans="1:26" x14ac:dyDescent="0.35">
      <c r="C7"/>
    </row>
    <row r="8" spans="1:26" x14ac:dyDescent="0.35">
      <c r="C8"/>
    </row>
    <row r="9" spans="1:26" x14ac:dyDescent="0.35">
      <c r="C9"/>
    </row>
    <row r="10" spans="1:26" x14ac:dyDescent="0.35">
      <c r="C10"/>
    </row>
    <row r="11" spans="1:26" x14ac:dyDescent="0.35">
      <c r="C11"/>
    </row>
    <row r="12" spans="1:26" x14ac:dyDescent="0.35">
      <c r="C12"/>
    </row>
    <row r="13" spans="1:26" x14ac:dyDescent="0.35">
      <c r="C13"/>
    </row>
    <row r="14" spans="1:26" x14ac:dyDescent="0.35">
      <c r="C14"/>
    </row>
    <row r="15" spans="1:26" x14ac:dyDescent="0.35">
      <c r="C15"/>
    </row>
    <row r="16" spans="1:26" x14ac:dyDescent="0.35">
      <c r="C16"/>
    </row>
    <row r="17" spans="3:3" x14ac:dyDescent="0.35">
      <c r="C17"/>
    </row>
    <row r="18" spans="3:3" x14ac:dyDescent="0.35">
      <c r="C18"/>
    </row>
    <row r="19" spans="3:3" x14ac:dyDescent="0.35">
      <c r="C19"/>
    </row>
    <row r="20" spans="3:3" x14ac:dyDescent="0.35">
      <c r="C20"/>
    </row>
    <row r="21" spans="3:3" x14ac:dyDescent="0.35">
      <c r="C21"/>
    </row>
    <row r="22" spans="3:3" x14ac:dyDescent="0.35">
      <c r="C22"/>
    </row>
    <row r="23" spans="3:3" x14ac:dyDescent="0.35">
      <c r="C23"/>
    </row>
    <row r="24" spans="3:3" x14ac:dyDescent="0.35">
      <c r="C24"/>
    </row>
    <row r="25" spans="3:3" x14ac:dyDescent="0.35">
      <c r="C25"/>
    </row>
    <row r="26" spans="3:3" x14ac:dyDescent="0.35">
      <c r="C26"/>
    </row>
    <row r="27" spans="3:3" x14ac:dyDescent="0.35">
      <c r="C27"/>
    </row>
    <row r="28" spans="3:3" x14ac:dyDescent="0.35">
      <c r="C28"/>
    </row>
    <row r="29" spans="3:3" x14ac:dyDescent="0.35">
      <c r="C29"/>
    </row>
    <row r="30" spans="3:3" x14ac:dyDescent="0.35">
      <c r="C30"/>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
  <sheetViews>
    <sheetView showGridLines="0" zoomScale="76" zoomScaleNormal="76" workbookViewId="0"/>
  </sheetViews>
  <sheetFormatPr defaultColWidth="9.1796875" defaultRowHeight="14.5" x14ac:dyDescent="0.35"/>
  <cols>
    <col min="1" max="1" width="49.54296875" style="227" customWidth="1"/>
    <col min="2" max="6" width="9.26953125" style="227" bestFit="1" customWidth="1"/>
    <col min="7" max="8" width="10.54296875" style="227" bestFit="1" customWidth="1"/>
    <col min="9" max="40" width="9.54296875" style="227" bestFit="1" customWidth="1"/>
    <col min="41" max="16384" width="9.1796875" style="227"/>
  </cols>
  <sheetData>
    <row r="1" spans="1:26" s="273" customFormat="1" ht="21" x14ac:dyDescent="0.5">
      <c r="A1" s="270"/>
      <c r="B1" s="271"/>
      <c r="C1" s="271" t="s">
        <v>219</v>
      </c>
      <c r="D1" s="272"/>
      <c r="F1" s="275"/>
      <c r="Y1" s="291"/>
      <c r="Z1" s="291"/>
    </row>
    <row r="2" spans="1:26" s="273" customFormat="1" x14ac:dyDescent="0.35">
      <c r="A2" s="270"/>
      <c r="D2" s="272"/>
      <c r="F2" s="275"/>
      <c r="Y2" s="291"/>
      <c r="Z2" s="291"/>
    </row>
    <row r="4" spans="1:26" x14ac:dyDescent="0.35">
      <c r="C4" s="359" t="s">
        <v>266</v>
      </c>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A1:BD15"/>
  <sheetViews>
    <sheetView showGridLines="0" zoomScale="84" zoomScaleNormal="84" workbookViewId="0"/>
  </sheetViews>
  <sheetFormatPr defaultColWidth="8.81640625" defaultRowHeight="14.5" outlineLevelCol="1" x14ac:dyDescent="0.35"/>
  <cols>
    <col min="1" max="1" width="4.1796875" style="5" customWidth="1"/>
    <col min="2" max="2" width="20.1796875" style="5" customWidth="1"/>
    <col min="3" max="3" width="24.81640625" style="5" customWidth="1"/>
    <col min="4" max="4" width="11.1796875" style="5" customWidth="1"/>
    <col min="5" max="5" width="32.81640625" style="5" customWidth="1"/>
    <col min="6" max="6" width="18.453125" style="5" customWidth="1"/>
    <col min="7" max="7" width="23.453125" style="5" customWidth="1" outlineLevel="1"/>
    <col min="8" max="8" width="24" style="5" customWidth="1" outlineLevel="1"/>
    <col min="9" max="10" width="15.26953125" style="5" customWidth="1" outlineLevel="1"/>
    <col min="11" max="11" width="16.453125" style="5" customWidth="1" outlineLevel="1"/>
    <col min="12" max="12" width="16" style="120" customWidth="1" outlineLevel="1"/>
    <col min="13" max="13" width="12.1796875" style="5" customWidth="1" outlineLevel="1"/>
    <col min="14" max="15" width="16" style="5" customWidth="1" outlineLevel="1"/>
    <col min="16" max="16" width="14" style="5" customWidth="1" outlineLevel="1"/>
    <col min="17" max="17" width="16" style="5" customWidth="1" outlineLevel="1"/>
    <col min="18" max="56" width="8.81640625" style="5" customWidth="1" outlineLevel="1"/>
    <col min="57" max="57" width="3.7265625" style="5" customWidth="1"/>
    <col min="58" max="62" width="13.81640625" style="5" customWidth="1"/>
    <col min="63" max="63" width="4.7265625" style="5" customWidth="1"/>
    <col min="64" max="68" width="13.81640625" style="5" customWidth="1"/>
    <col min="69" max="69" width="14.81640625" style="5" customWidth="1"/>
    <col min="70" max="16384" width="8.81640625" style="5"/>
  </cols>
  <sheetData>
    <row r="1" spans="1:26" s="273" customFormat="1" ht="21" x14ac:dyDescent="0.5">
      <c r="A1" s="270"/>
      <c r="B1" s="271"/>
      <c r="C1" s="271" t="s">
        <v>219</v>
      </c>
      <c r="D1" s="272"/>
      <c r="F1" s="275"/>
      <c r="Y1" s="291"/>
      <c r="Z1" s="291"/>
    </row>
    <row r="2" spans="1:26" s="273" customFormat="1" x14ac:dyDescent="0.35">
      <c r="A2" s="270"/>
      <c r="D2" s="272"/>
      <c r="F2" s="275"/>
      <c r="Y2" s="291"/>
      <c r="Z2" s="291"/>
    </row>
    <row r="3" spans="1:26" x14ac:dyDescent="0.35">
      <c r="C3" s="42"/>
    </row>
    <row r="4" spans="1:26" x14ac:dyDescent="0.35">
      <c r="C4" s="359" t="s">
        <v>266</v>
      </c>
    </row>
    <row r="5" spans="1:26" x14ac:dyDescent="0.35">
      <c r="C5" s="42"/>
    </row>
    <row r="6" spans="1:26" x14ac:dyDescent="0.35">
      <c r="C6" s="42"/>
    </row>
    <row r="7" spans="1:26" x14ac:dyDescent="0.35">
      <c r="C7" s="42"/>
    </row>
    <row r="8" spans="1:26" x14ac:dyDescent="0.35">
      <c r="C8" s="42"/>
    </row>
    <row r="9" spans="1:26" x14ac:dyDescent="0.35">
      <c r="C9" s="42"/>
    </row>
    <row r="10" spans="1:26" x14ac:dyDescent="0.35">
      <c r="C10" s="42"/>
    </row>
    <row r="11" spans="1:26" x14ac:dyDescent="0.35">
      <c r="C11"/>
    </row>
    <row r="12" spans="1:26" x14ac:dyDescent="0.35">
      <c r="C12"/>
    </row>
    <row r="13" spans="1:26" x14ac:dyDescent="0.35">
      <c r="C13"/>
    </row>
    <row r="14" spans="1:26" x14ac:dyDescent="0.35">
      <c r="C14"/>
    </row>
    <row r="15" spans="1:26" x14ac:dyDescent="0.35">
      <c r="C15"/>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B1:X13"/>
  <sheetViews>
    <sheetView showGridLines="0" zoomScale="80" zoomScaleNormal="80" zoomScaleSheetLayoutView="55" workbookViewId="0">
      <pane xSplit="2" ySplit="3" topLeftCell="C4" activePane="bottomRight" state="frozen"/>
      <selection activeCell="F19" sqref="F19"/>
      <selection pane="topRight" activeCell="F19" sqref="F19"/>
      <selection pane="bottomLeft" activeCell="F19" sqref="F19"/>
      <selection pane="bottomRight"/>
    </sheetView>
  </sheetViews>
  <sheetFormatPr defaultColWidth="8.81640625" defaultRowHeight="14.5" x14ac:dyDescent="0.35"/>
  <cols>
    <col min="1" max="1" width="4.7265625" style="5" customWidth="1"/>
    <col min="2" max="2" width="45.7265625" style="5" customWidth="1"/>
    <col min="3" max="4" width="13.81640625" style="5" customWidth="1"/>
    <col min="5" max="5" width="13.81640625" style="1" customWidth="1"/>
    <col min="6" max="6" width="4.7265625" style="5" customWidth="1"/>
    <col min="7" max="11" width="13.81640625" style="5" customWidth="1"/>
    <col min="12" max="12" width="4.7265625" style="5" customWidth="1"/>
    <col min="13" max="16" width="13.81640625" style="5" customWidth="1"/>
    <col min="17" max="17" width="13.81640625" style="1" customWidth="1"/>
    <col min="18" max="18" width="4.7265625" style="5" customWidth="1"/>
    <col min="19" max="22" width="13.81640625" style="5" customWidth="1"/>
    <col min="23" max="23" width="13.81640625" style="1" customWidth="1"/>
    <col min="24" max="16384" width="8.81640625" style="5"/>
  </cols>
  <sheetData>
    <row r="1" spans="2:24" ht="15" thickBot="1" x14ac:dyDescent="0.4">
      <c r="G1" s="35" t="s">
        <v>170</v>
      </c>
      <c r="H1" s="36"/>
      <c r="I1" s="36"/>
      <c r="J1" s="36"/>
      <c r="K1" s="36"/>
      <c r="L1" s="227"/>
      <c r="M1" s="20" t="s">
        <v>126</v>
      </c>
      <c r="N1" s="114"/>
      <c r="O1" s="114"/>
      <c r="P1" s="114"/>
      <c r="Q1" s="115"/>
      <c r="R1" s="227"/>
      <c r="S1" s="12" t="s">
        <v>171</v>
      </c>
      <c r="T1" s="116"/>
      <c r="U1" s="116"/>
      <c r="V1" s="116"/>
      <c r="W1" s="117"/>
    </row>
    <row r="2" spans="2:24" x14ac:dyDescent="0.35">
      <c r="C2" s="22"/>
      <c r="G2" s="1"/>
      <c r="H2" s="1"/>
      <c r="I2" s="1"/>
      <c r="J2" s="1"/>
      <c r="K2" s="1"/>
      <c r="M2" s="1"/>
      <c r="N2" s="1"/>
      <c r="O2" s="1"/>
      <c r="P2" s="1"/>
      <c r="Q2" s="25"/>
      <c r="S2" s="1"/>
      <c r="T2" s="1"/>
      <c r="U2" s="1"/>
      <c r="V2" s="1"/>
    </row>
    <row r="3" spans="2:24" ht="60" customHeight="1" x14ac:dyDescent="0.35">
      <c r="B3" s="151" t="s">
        <v>131</v>
      </c>
      <c r="C3" s="140" t="s">
        <v>160</v>
      </c>
      <c r="D3" s="140" t="s">
        <v>51</v>
      </c>
      <c r="E3" s="140" t="s">
        <v>90</v>
      </c>
      <c r="G3" s="327" t="s">
        <v>122</v>
      </c>
      <c r="H3" s="327" t="s">
        <v>123</v>
      </c>
      <c r="I3" s="327" t="s">
        <v>124</v>
      </c>
      <c r="J3" s="327" t="s">
        <v>125</v>
      </c>
      <c r="K3" s="142" t="s">
        <v>2</v>
      </c>
      <c r="M3" s="327" t="s">
        <v>122</v>
      </c>
      <c r="N3" s="327" t="s">
        <v>123</v>
      </c>
      <c r="O3" s="327" t="s">
        <v>124</v>
      </c>
      <c r="P3" s="327" t="s">
        <v>125</v>
      </c>
      <c r="Q3" s="142" t="s">
        <v>2</v>
      </c>
      <c r="S3" s="327" t="s">
        <v>122</v>
      </c>
      <c r="T3" s="327" t="s">
        <v>123</v>
      </c>
      <c r="U3" s="327" t="s">
        <v>124</v>
      </c>
      <c r="V3" s="327" t="s">
        <v>125</v>
      </c>
      <c r="W3" s="142" t="s">
        <v>2</v>
      </c>
    </row>
    <row r="4" spans="2:24" x14ac:dyDescent="0.35">
      <c r="G4" s="29"/>
      <c r="H4" s="29"/>
      <c r="I4" s="29"/>
      <c r="J4" s="29"/>
      <c r="K4" s="29"/>
      <c r="M4" s="29"/>
      <c r="N4" s="29"/>
      <c r="O4" s="29"/>
      <c r="P4" s="29"/>
      <c r="Q4" s="38"/>
      <c r="R4" s="29"/>
      <c r="S4" s="29"/>
      <c r="T4" s="29"/>
      <c r="U4" s="29"/>
      <c r="V4" s="29"/>
      <c r="W4" s="38"/>
    </row>
    <row r="5" spans="2:24" x14ac:dyDescent="0.35">
      <c r="G5" s="29"/>
      <c r="H5" s="29"/>
      <c r="I5" s="29"/>
      <c r="J5" s="29"/>
      <c r="K5" s="29"/>
      <c r="M5" s="29"/>
      <c r="N5" s="29"/>
      <c r="O5" s="29"/>
      <c r="P5" s="29"/>
      <c r="Q5" s="38"/>
      <c r="R5" s="29"/>
      <c r="S5" s="29"/>
      <c r="T5" s="29"/>
      <c r="U5" s="29"/>
      <c r="V5" s="29"/>
      <c r="W5" s="38"/>
    </row>
    <row r="6" spans="2:24" ht="15" thickBot="1" x14ac:dyDescent="0.4">
      <c r="C6" s="22"/>
      <c r="G6" s="29"/>
      <c r="H6" s="29"/>
      <c r="I6" s="29"/>
      <c r="J6" s="29"/>
      <c r="K6" s="29"/>
      <c r="M6" s="29"/>
      <c r="N6" s="29"/>
      <c r="O6" s="29"/>
      <c r="P6" s="29"/>
      <c r="Q6" s="38"/>
      <c r="R6" s="29"/>
      <c r="S6" s="29"/>
      <c r="T6" s="29"/>
      <c r="U6" s="29"/>
      <c r="V6" s="29"/>
      <c r="W6" s="38"/>
    </row>
    <row r="7" spans="2:24" ht="15.5" thickTop="1" thickBot="1" x14ac:dyDescent="0.4">
      <c r="B7" s="122" t="s">
        <v>53</v>
      </c>
      <c r="C7" s="126"/>
      <c r="D7" s="127"/>
      <c r="E7" s="128"/>
      <c r="G7" s="29"/>
      <c r="H7" s="29"/>
      <c r="I7" s="29"/>
      <c r="J7" s="29"/>
      <c r="K7" s="29"/>
      <c r="M7" s="29"/>
      <c r="N7" s="29"/>
      <c r="O7" s="29"/>
      <c r="P7" s="29"/>
      <c r="Q7" s="38"/>
      <c r="R7" s="29"/>
      <c r="S7" s="29"/>
      <c r="T7" s="29"/>
      <c r="U7" s="29"/>
      <c r="V7" s="29"/>
      <c r="W7" s="38"/>
    </row>
    <row r="8" spans="2:24" ht="15" thickBot="1" x14ac:dyDescent="0.4">
      <c r="B8" s="100" t="s">
        <v>101</v>
      </c>
      <c r="C8" s="132">
        <v>0</v>
      </c>
      <c r="D8" s="132">
        <v>0</v>
      </c>
      <c r="E8" s="133">
        <v>0</v>
      </c>
      <c r="G8" s="300">
        <v>0</v>
      </c>
      <c r="H8" s="300">
        <v>0</v>
      </c>
      <c r="I8" s="300">
        <v>0</v>
      </c>
      <c r="J8" s="300">
        <v>0</v>
      </c>
      <c r="K8" s="301">
        <v>0</v>
      </c>
      <c r="L8" s="41"/>
      <c r="M8" s="300">
        <v>0</v>
      </c>
      <c r="N8" s="300">
        <v>0</v>
      </c>
      <c r="O8" s="300">
        <v>0</v>
      </c>
      <c r="P8" s="300">
        <v>0</v>
      </c>
      <c r="Q8" s="301">
        <v>0</v>
      </c>
      <c r="R8" s="41"/>
      <c r="S8" s="300">
        <v>0</v>
      </c>
      <c r="T8" s="300">
        <v>0</v>
      </c>
      <c r="U8" s="300">
        <v>0</v>
      </c>
      <c r="V8" s="300">
        <v>0</v>
      </c>
      <c r="W8" s="301">
        <v>0</v>
      </c>
      <c r="X8" s="41"/>
    </row>
    <row r="9" spans="2:24" ht="15" thickBot="1" x14ac:dyDescent="0.4">
      <c r="B9" s="101" t="s">
        <v>53</v>
      </c>
      <c r="C9" s="102">
        <v>0</v>
      </c>
      <c r="D9" s="103">
        <v>0</v>
      </c>
      <c r="E9" s="104">
        <v>0</v>
      </c>
      <c r="G9" s="330">
        <v>0</v>
      </c>
      <c r="H9" s="331">
        <v>0</v>
      </c>
      <c r="I9" s="331">
        <v>0</v>
      </c>
      <c r="J9" s="331">
        <v>0</v>
      </c>
      <c r="K9" s="332">
        <v>0</v>
      </c>
      <c r="L9" s="41"/>
      <c r="M9" s="324">
        <v>0</v>
      </c>
      <c r="N9" s="325">
        <v>0</v>
      </c>
      <c r="O9" s="325">
        <v>0</v>
      </c>
      <c r="P9" s="325">
        <v>0</v>
      </c>
      <c r="Q9" s="328">
        <v>0</v>
      </c>
      <c r="R9" s="41"/>
      <c r="S9" s="324">
        <v>0</v>
      </c>
      <c r="T9" s="325">
        <v>0</v>
      </c>
      <c r="U9" s="325">
        <v>0</v>
      </c>
      <c r="V9" s="325">
        <v>0</v>
      </c>
      <c r="W9" s="328">
        <v>0</v>
      </c>
      <c r="X9" s="41"/>
    </row>
    <row r="10" spans="2:24" x14ac:dyDescent="0.35">
      <c r="C10" s="22"/>
      <c r="G10" s="37"/>
      <c r="H10" s="37"/>
      <c r="I10" s="37"/>
      <c r="J10" s="37"/>
      <c r="K10" s="37"/>
      <c r="M10" s="37"/>
      <c r="N10" s="37"/>
      <c r="O10" s="37"/>
      <c r="P10" s="37"/>
      <c r="Q10" s="329"/>
      <c r="R10" s="29"/>
      <c r="S10" s="37"/>
      <c r="T10" s="37"/>
      <c r="U10" s="37"/>
      <c r="V10" s="37"/>
      <c r="W10" s="329"/>
    </row>
    <row r="11" spans="2:24" ht="15" thickBot="1" x14ac:dyDescent="0.4">
      <c r="C11" s="22"/>
      <c r="G11" s="37"/>
      <c r="H11" s="37"/>
      <c r="I11" s="37"/>
      <c r="J11" s="37"/>
      <c r="K11" s="37"/>
      <c r="M11" s="37"/>
      <c r="N11" s="37"/>
      <c r="O11" s="37"/>
      <c r="P11" s="37"/>
      <c r="Q11" s="329"/>
      <c r="R11" s="29"/>
      <c r="S11" s="37"/>
      <c r="T11" s="37"/>
      <c r="U11" s="37"/>
      <c r="V11" s="37"/>
      <c r="W11" s="329"/>
    </row>
    <row r="12" spans="2:24" ht="15" thickBot="1" x14ac:dyDescent="0.4">
      <c r="B12" s="101" t="s">
        <v>105</v>
      </c>
      <c r="C12" s="102">
        <v>0</v>
      </c>
      <c r="D12" s="102">
        <v>0</v>
      </c>
      <c r="E12" s="102">
        <v>0</v>
      </c>
      <c r="G12" s="326">
        <v>0</v>
      </c>
      <c r="H12" s="326">
        <v>0</v>
      </c>
      <c r="I12" s="326">
        <v>0</v>
      </c>
      <c r="J12" s="326">
        <v>0</v>
      </c>
      <c r="K12" s="326">
        <v>0</v>
      </c>
      <c r="L12" s="41"/>
      <c r="M12" s="326">
        <v>0</v>
      </c>
      <c r="N12" s="326">
        <v>0</v>
      </c>
      <c r="O12" s="326">
        <v>0</v>
      </c>
      <c r="P12" s="326">
        <v>0</v>
      </c>
      <c r="Q12" s="326">
        <v>0</v>
      </c>
      <c r="R12" s="41"/>
      <c r="S12" s="326">
        <v>0</v>
      </c>
      <c r="T12" s="326">
        <v>0</v>
      </c>
      <c r="U12" s="326">
        <v>0</v>
      </c>
      <c r="V12" s="326">
        <v>0</v>
      </c>
      <c r="W12" s="326">
        <v>0</v>
      </c>
      <c r="X12" s="41"/>
    </row>
    <row r="13" spans="2:24" x14ac:dyDescent="0.35">
      <c r="C13" s="3"/>
      <c r="D13" s="3"/>
      <c r="K13" s="1"/>
      <c r="Q13" s="162"/>
      <c r="W13" s="163"/>
    </row>
  </sheetData>
  <pageMargins left="0.7" right="0.7" top="0.75" bottom="0.75" header="0.3" footer="0.3"/>
  <pageSetup paperSize="8" scale="6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sheetPr>
  <dimension ref="A1:BH4"/>
  <sheetViews>
    <sheetView showGridLines="0" zoomScale="80" zoomScaleNormal="80" workbookViewId="0">
      <pane xSplit="5" ySplit="2" topLeftCell="M3" activePane="bottomRight" state="frozen"/>
      <selection activeCell="F19" sqref="F19"/>
      <selection pane="topRight" activeCell="F19" sqref="F19"/>
      <selection pane="bottomLeft" activeCell="F19" sqref="F19"/>
      <selection pane="bottomRight"/>
    </sheetView>
  </sheetViews>
  <sheetFormatPr defaultColWidth="8.81640625" defaultRowHeight="14.5" outlineLevelCol="1" x14ac:dyDescent="0.35"/>
  <cols>
    <col min="1" max="1" width="4.1796875" style="5" customWidth="1"/>
    <col min="2" max="2" width="27.54296875" style="5" customWidth="1"/>
    <col min="3" max="3" width="29.26953125" style="5" customWidth="1"/>
    <col min="4" max="4" width="11.1796875" style="5" customWidth="1"/>
    <col min="5" max="5" width="33.453125" style="5" customWidth="1"/>
    <col min="6" max="6" width="18.453125" style="5" customWidth="1" outlineLevel="1"/>
    <col min="7" max="7" width="30.81640625" style="5" customWidth="1" outlineLevel="1"/>
    <col min="8" max="8" width="23.1796875" style="5" customWidth="1" outlineLevel="1"/>
    <col min="9" max="10" width="15.26953125" style="5" customWidth="1" outlineLevel="1"/>
    <col min="11" max="13" width="16.453125" style="5" customWidth="1" outlineLevel="1"/>
    <col min="14" max="14" width="16" style="5" customWidth="1" outlineLevel="1"/>
    <col min="15" max="15" width="12.1796875" style="5" customWidth="1" outlineLevel="1"/>
    <col min="16" max="17" width="16" style="5" customWidth="1" outlineLevel="1"/>
    <col min="18" max="18" width="14" style="5" customWidth="1" outlineLevel="1"/>
    <col min="19" max="19" width="16" style="5" customWidth="1" outlineLevel="1"/>
    <col min="20" max="20" width="13" style="5" customWidth="1" outlineLevel="1"/>
    <col min="21" max="21" width="10.26953125" style="5" customWidth="1" outlineLevel="1"/>
    <col min="22" max="35" width="8.81640625" style="5" customWidth="1" outlineLevel="1"/>
    <col min="36" max="39" width="10.54296875" style="5" customWidth="1" outlineLevel="1"/>
    <col min="40" max="60" width="8.81640625" style="5" customWidth="1" outlineLevel="1"/>
    <col min="61" max="61" width="3.7265625" style="5" customWidth="1"/>
    <col min="62" max="66" width="13.7265625" style="5" customWidth="1"/>
    <col min="67" max="67" width="4.7265625" style="5" customWidth="1"/>
    <col min="68" max="72" width="13.7265625" style="5" customWidth="1"/>
    <col min="73" max="16384" width="8.81640625" style="5"/>
  </cols>
  <sheetData>
    <row r="1" spans="1:26" s="273" customFormat="1" ht="21" x14ac:dyDescent="0.5">
      <c r="A1" s="270"/>
      <c r="B1" s="271"/>
      <c r="C1" s="271" t="s">
        <v>219</v>
      </c>
      <c r="D1" s="272"/>
      <c r="F1" s="275"/>
      <c r="Y1" s="291"/>
      <c r="Z1" s="291"/>
    </row>
    <row r="2" spans="1:26" s="273" customFormat="1" x14ac:dyDescent="0.35">
      <c r="A2" s="270"/>
      <c r="D2" s="272"/>
      <c r="F2" s="275"/>
      <c r="Y2" s="291"/>
      <c r="Z2" s="291"/>
    </row>
    <row r="4" spans="1:26" x14ac:dyDescent="0.35">
      <c r="C4" s="359" t="s">
        <v>266</v>
      </c>
    </row>
  </sheetData>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7030A0"/>
    <pageSetUpPr fitToPage="1"/>
  </sheetPr>
  <dimension ref="B1:X36"/>
  <sheetViews>
    <sheetView showGridLines="0" zoomScale="80" zoomScaleNormal="80" zoomScaleSheetLayoutView="70" workbookViewId="0">
      <pane xSplit="2" ySplit="3" topLeftCell="C4" activePane="bottomRight" state="frozen"/>
      <selection activeCell="F19" sqref="F19"/>
      <selection pane="topRight" activeCell="F19" sqref="F19"/>
      <selection pane="bottomLeft" activeCell="F19" sqref="F19"/>
      <selection pane="bottomRight"/>
    </sheetView>
  </sheetViews>
  <sheetFormatPr defaultColWidth="8.81640625" defaultRowHeight="14.5" x14ac:dyDescent="0.35"/>
  <cols>
    <col min="1" max="1" width="4.7265625" style="5" customWidth="1"/>
    <col min="2" max="2" width="45.7265625" style="26" customWidth="1"/>
    <col min="3" max="5" width="13.81640625" style="5" customWidth="1"/>
    <col min="6" max="6" width="3.7265625" style="27" customWidth="1"/>
    <col min="7" max="10" width="13.81640625" style="5" customWidth="1"/>
    <col min="11" max="11" width="13.81640625" style="1" customWidth="1"/>
    <col min="12" max="12" width="3.7265625" style="5" customWidth="1"/>
    <col min="13" max="16" width="13.81640625" style="5" customWidth="1"/>
    <col min="17" max="17" width="13.81640625" style="1" customWidth="1"/>
    <col min="18" max="18" width="3.7265625" style="5" customWidth="1"/>
    <col min="19" max="22" width="13.81640625" style="5" customWidth="1"/>
    <col min="23" max="23" width="13.81640625" style="1" customWidth="1"/>
    <col min="24" max="16384" width="8.81640625" style="5"/>
  </cols>
  <sheetData>
    <row r="1" spans="2:24" ht="15" thickBot="1" x14ac:dyDescent="0.4">
      <c r="G1" s="35" t="s">
        <v>170</v>
      </c>
      <c r="H1" s="36"/>
      <c r="I1" s="36"/>
      <c r="J1" s="36"/>
      <c r="K1" s="36"/>
      <c r="L1" s="227"/>
      <c r="M1" s="20" t="s">
        <v>126</v>
      </c>
      <c r="N1" s="114"/>
      <c r="O1" s="114"/>
      <c r="P1" s="114"/>
      <c r="Q1" s="115"/>
      <c r="R1" s="227"/>
      <c r="S1" s="12" t="s">
        <v>171</v>
      </c>
      <c r="T1" s="116"/>
      <c r="U1" s="116"/>
      <c r="V1" s="116"/>
      <c r="W1" s="117"/>
    </row>
    <row r="2" spans="2:24" ht="14.25" customHeight="1" x14ac:dyDescent="0.35">
      <c r="G2" s="1"/>
      <c r="H2" s="1"/>
      <c r="I2" s="1"/>
      <c r="J2" s="1"/>
      <c r="M2" s="1"/>
      <c r="N2" s="1"/>
      <c r="O2" s="1"/>
      <c r="P2" s="1"/>
      <c r="Q2" s="25"/>
      <c r="S2" s="1"/>
      <c r="T2" s="1"/>
      <c r="U2" s="1"/>
      <c r="V2" s="1"/>
    </row>
    <row r="3" spans="2:24" s="45" customFormat="1" ht="60" customHeight="1" x14ac:dyDescent="0.35">
      <c r="B3" s="147" t="s">
        <v>130</v>
      </c>
      <c r="C3" s="148" t="s">
        <v>81</v>
      </c>
      <c r="D3" s="148" t="s">
        <v>51</v>
      </c>
      <c r="E3" s="140" t="s">
        <v>90</v>
      </c>
      <c r="F3" s="149"/>
      <c r="G3" s="138" t="s">
        <v>122</v>
      </c>
      <c r="H3" s="138" t="s">
        <v>123</v>
      </c>
      <c r="I3" s="138" t="s">
        <v>124</v>
      </c>
      <c r="J3" s="138" t="s">
        <v>125</v>
      </c>
      <c r="K3" s="139" t="s">
        <v>2</v>
      </c>
      <c r="M3" s="138" t="s">
        <v>122</v>
      </c>
      <c r="N3" s="138" t="s">
        <v>123</v>
      </c>
      <c r="O3" s="138" t="s">
        <v>124</v>
      </c>
      <c r="P3" s="138" t="s">
        <v>125</v>
      </c>
      <c r="Q3" s="139" t="s">
        <v>2</v>
      </c>
      <c r="S3" s="138" t="s">
        <v>122</v>
      </c>
      <c r="T3" s="138" t="s">
        <v>123</v>
      </c>
      <c r="U3" s="138" t="s">
        <v>124</v>
      </c>
      <c r="V3" s="138" t="s">
        <v>125</v>
      </c>
      <c r="W3" s="139" t="s">
        <v>2</v>
      </c>
    </row>
    <row r="4" spans="2:24" ht="14.25" customHeight="1" x14ac:dyDescent="0.35">
      <c r="B4" s="6"/>
      <c r="C4" s="2"/>
      <c r="G4" s="28"/>
      <c r="H4" s="29"/>
      <c r="I4" s="29"/>
      <c r="J4" s="29"/>
      <c r="K4" s="30"/>
      <c r="M4" s="28"/>
      <c r="N4" s="29"/>
      <c r="O4" s="29"/>
      <c r="P4" s="29"/>
      <c r="Q4" s="30"/>
      <c r="S4" s="28"/>
      <c r="T4" s="29"/>
      <c r="U4" s="29"/>
      <c r="V4" s="29"/>
      <c r="W4" s="30"/>
    </row>
    <row r="5" spans="2:24" ht="14.25" customHeight="1" x14ac:dyDescent="0.35">
      <c r="B5" s="6" t="s">
        <v>52</v>
      </c>
      <c r="C5" s="2"/>
      <c r="G5" s="28"/>
      <c r="H5" s="29"/>
      <c r="I5" s="29"/>
      <c r="J5" s="29"/>
      <c r="K5" s="30"/>
      <c r="M5" s="28"/>
      <c r="N5" s="29"/>
      <c r="O5" s="29"/>
      <c r="P5" s="29"/>
      <c r="Q5" s="30"/>
      <c r="S5" s="28"/>
      <c r="T5" s="29"/>
      <c r="U5" s="29"/>
      <c r="V5" s="29"/>
      <c r="W5" s="30"/>
    </row>
    <row r="6" spans="2:24" ht="14.25" customHeight="1" thickBot="1" x14ac:dyDescent="0.4">
      <c r="B6" s="143" t="s">
        <v>16</v>
      </c>
      <c r="C6" s="144">
        <v>6334.3653250773996</v>
      </c>
      <c r="D6" s="144">
        <v>6283.4005321049053</v>
      </c>
      <c r="E6" s="144">
        <v>6185.0581081847677</v>
      </c>
      <c r="G6" s="145">
        <v>0</v>
      </c>
      <c r="H6" s="144">
        <v>3167.1826625386998</v>
      </c>
      <c r="I6" s="144">
        <v>3167.1826625386998</v>
      </c>
      <c r="J6" s="144">
        <v>0</v>
      </c>
      <c r="K6" s="146">
        <v>6334.3653250773996</v>
      </c>
      <c r="L6" s="41"/>
      <c r="M6" s="145">
        <v>0</v>
      </c>
      <c r="N6" s="144">
        <v>3141.7002660524527</v>
      </c>
      <c r="O6" s="144">
        <v>3141.7002660524527</v>
      </c>
      <c r="P6" s="144">
        <v>0</v>
      </c>
      <c r="Q6" s="146">
        <v>6283.4005321049053</v>
      </c>
      <c r="R6" s="41"/>
      <c r="S6" s="145">
        <v>0</v>
      </c>
      <c r="T6" s="144">
        <v>3092.5290540923838</v>
      </c>
      <c r="U6" s="144">
        <v>3092.5290540923838</v>
      </c>
      <c r="V6" s="144">
        <v>0</v>
      </c>
      <c r="W6" s="146">
        <v>6185.0581081847677</v>
      </c>
    </row>
    <row r="7" spans="2:24" ht="27" customHeight="1" thickBot="1" x14ac:dyDescent="0.4">
      <c r="B7" s="101" t="s">
        <v>34</v>
      </c>
      <c r="C7" s="102">
        <v>6334.3653250773996</v>
      </c>
      <c r="D7" s="103">
        <v>6283.4005321049053</v>
      </c>
      <c r="E7" s="104">
        <v>6185.0581081847677</v>
      </c>
      <c r="F7" s="5"/>
      <c r="G7" s="123">
        <v>0</v>
      </c>
      <c r="H7" s="123">
        <v>3167.1826625386998</v>
      </c>
      <c r="I7" s="123">
        <v>3167.1826625386998</v>
      </c>
      <c r="J7" s="123">
        <v>0</v>
      </c>
      <c r="K7" s="124">
        <v>6334.3653250773996</v>
      </c>
      <c r="L7" s="41"/>
      <c r="M7" s="123">
        <v>0</v>
      </c>
      <c r="N7" s="123">
        <v>3141.7002660524527</v>
      </c>
      <c r="O7" s="123">
        <v>3141.7002660524527</v>
      </c>
      <c r="P7" s="123">
        <v>0</v>
      </c>
      <c r="Q7" s="125">
        <v>6283.4005321049053</v>
      </c>
      <c r="R7" s="41"/>
      <c r="S7" s="123">
        <v>0</v>
      </c>
      <c r="T7" s="123">
        <v>3092.5290540923838</v>
      </c>
      <c r="U7" s="123">
        <v>3092.5290540923838</v>
      </c>
      <c r="V7" s="123">
        <v>0</v>
      </c>
      <c r="W7" s="125">
        <v>6185.0581081847677</v>
      </c>
      <c r="X7" s="41"/>
    </row>
    <row r="8" spans="2:24" ht="14.25" customHeight="1" x14ac:dyDescent="0.35">
      <c r="C8" s="23"/>
      <c r="G8" s="31"/>
      <c r="H8" s="32"/>
      <c r="I8" s="32"/>
      <c r="J8" s="32"/>
      <c r="K8" s="33"/>
      <c r="M8" s="41"/>
      <c r="N8" s="41"/>
      <c r="O8" s="41"/>
      <c r="P8" s="41"/>
      <c r="Q8" s="41"/>
      <c r="R8" s="41"/>
      <c r="S8" s="41"/>
      <c r="T8" s="41"/>
      <c r="U8" s="41"/>
      <c r="V8" s="41"/>
      <c r="W8" s="41"/>
      <c r="X8" s="41"/>
    </row>
    <row r="9" spans="2:24" ht="14.25" customHeight="1" x14ac:dyDescent="0.35">
      <c r="B9" s="6" t="s">
        <v>35</v>
      </c>
      <c r="C9" s="2"/>
      <c r="G9" s="28"/>
      <c r="H9" s="29"/>
      <c r="I9" s="29"/>
      <c r="J9" s="29"/>
      <c r="K9" s="30"/>
      <c r="M9" s="28"/>
      <c r="N9" s="29"/>
      <c r="O9" s="29"/>
      <c r="P9" s="29"/>
      <c r="Q9" s="30"/>
      <c r="S9" s="28"/>
      <c r="T9" s="29"/>
      <c r="U9" s="29"/>
      <c r="V9" s="29"/>
      <c r="W9" s="30"/>
      <c r="X9" s="41"/>
    </row>
    <row r="10" spans="2:24" ht="14.25" customHeight="1" thickBot="1" x14ac:dyDescent="0.4">
      <c r="B10" s="143" t="s">
        <v>3</v>
      </c>
      <c r="C10" s="144">
        <v>125.38699690402474</v>
      </c>
      <c r="D10" s="144">
        <v>125.38699690402474</v>
      </c>
      <c r="E10" s="144">
        <v>123.42454661287995</v>
      </c>
      <c r="G10" s="145">
        <v>0</v>
      </c>
      <c r="H10" s="144">
        <v>62.693498452012371</v>
      </c>
      <c r="I10" s="144">
        <v>62.693498452012371</v>
      </c>
      <c r="J10" s="144">
        <v>0</v>
      </c>
      <c r="K10" s="146">
        <v>125.38699690402474</v>
      </c>
      <c r="L10" s="41"/>
      <c r="M10" s="145">
        <v>0</v>
      </c>
      <c r="N10" s="144">
        <v>62.693498452012371</v>
      </c>
      <c r="O10" s="144">
        <v>62.693498452012371</v>
      </c>
      <c r="P10" s="144">
        <v>0</v>
      </c>
      <c r="Q10" s="146">
        <v>125.38699690402474</v>
      </c>
      <c r="R10" s="41"/>
      <c r="S10" s="145">
        <v>0</v>
      </c>
      <c r="T10" s="144">
        <v>61.712273306439975</v>
      </c>
      <c r="U10" s="144">
        <v>61.712273306439975</v>
      </c>
      <c r="V10" s="144">
        <v>0</v>
      </c>
      <c r="W10" s="146">
        <v>123.42454661287995</v>
      </c>
      <c r="X10" s="41"/>
    </row>
    <row r="11" spans="2:24" ht="15" thickBot="1" x14ac:dyDescent="0.4">
      <c r="B11" s="101" t="s">
        <v>87</v>
      </c>
      <c r="C11" s="102">
        <v>125.38699690402474</v>
      </c>
      <c r="D11" s="103">
        <v>125.38699690402474</v>
      </c>
      <c r="E11" s="104">
        <v>123.42454661287995</v>
      </c>
      <c r="F11" s="5"/>
      <c r="G11" s="129">
        <v>0</v>
      </c>
      <c r="H11" s="102">
        <v>62.693498452012371</v>
      </c>
      <c r="I11" s="102">
        <v>62.693498452012371</v>
      </c>
      <c r="J11" s="102">
        <v>0</v>
      </c>
      <c r="K11" s="130">
        <v>125.38699690402474</v>
      </c>
      <c r="L11" s="41"/>
      <c r="M11" s="129">
        <v>0</v>
      </c>
      <c r="N11" s="102">
        <v>62.693498452012371</v>
      </c>
      <c r="O11" s="102">
        <v>62.693498452012371</v>
      </c>
      <c r="P11" s="102">
        <v>0</v>
      </c>
      <c r="Q11" s="131">
        <v>125.38699690402474</v>
      </c>
      <c r="R11" s="41"/>
      <c r="S11" s="129">
        <v>0</v>
      </c>
      <c r="T11" s="102">
        <v>61.712273306439975</v>
      </c>
      <c r="U11" s="102">
        <v>61.712273306439975</v>
      </c>
      <c r="V11" s="102">
        <v>0</v>
      </c>
      <c r="W11" s="131">
        <v>123.42454661287995</v>
      </c>
      <c r="X11" s="41"/>
    </row>
    <row r="12" spans="2:24" ht="14.25" customHeight="1" x14ac:dyDescent="0.35">
      <c r="C12" s="23"/>
      <c r="G12" s="31"/>
      <c r="H12" s="32"/>
      <c r="I12" s="32"/>
      <c r="J12" s="32"/>
      <c r="K12" s="33"/>
      <c r="M12" s="31"/>
      <c r="N12" s="32"/>
      <c r="O12" s="32"/>
      <c r="P12" s="32"/>
      <c r="Q12" s="33"/>
      <c r="S12" s="41"/>
      <c r="T12" s="41"/>
      <c r="U12" s="41"/>
      <c r="V12" s="41"/>
      <c r="W12" s="41"/>
      <c r="X12" s="41"/>
    </row>
    <row r="13" spans="2:24" ht="14.25" customHeight="1" thickBot="1" x14ac:dyDescent="0.4">
      <c r="C13" s="23"/>
      <c r="G13" s="31"/>
      <c r="H13" s="32"/>
      <c r="I13" s="32"/>
      <c r="J13" s="32"/>
      <c r="K13" s="33"/>
      <c r="M13" s="31"/>
      <c r="N13" s="32"/>
      <c r="O13" s="32"/>
      <c r="P13" s="32"/>
      <c r="Q13" s="33"/>
      <c r="S13" s="31"/>
      <c r="T13" s="32"/>
      <c r="U13" s="32"/>
      <c r="V13" s="32"/>
      <c r="W13" s="33"/>
      <c r="X13" s="41"/>
    </row>
    <row r="14" spans="2:24" ht="15" thickBot="1" x14ac:dyDescent="0.4">
      <c r="B14" s="101" t="s">
        <v>105</v>
      </c>
      <c r="C14" s="102">
        <v>6459.7523219814248</v>
      </c>
      <c r="D14" s="102">
        <v>6408.7875290089305</v>
      </c>
      <c r="E14" s="102">
        <v>6308.4826547976472</v>
      </c>
      <c r="F14" s="5"/>
      <c r="G14" s="102">
        <v>0</v>
      </c>
      <c r="H14" s="102">
        <v>3229.8761609907124</v>
      </c>
      <c r="I14" s="102">
        <v>3229.8761609907124</v>
      </c>
      <c r="J14" s="102">
        <v>0</v>
      </c>
      <c r="K14" s="102">
        <v>6459.7523219814248</v>
      </c>
      <c r="L14" s="41"/>
      <c r="M14" s="102">
        <v>0</v>
      </c>
      <c r="N14" s="102">
        <v>3204.3937645044653</v>
      </c>
      <c r="O14" s="102">
        <v>3204.3937645044653</v>
      </c>
      <c r="P14" s="102">
        <v>0</v>
      </c>
      <c r="Q14" s="102">
        <v>6408.7875290089305</v>
      </c>
      <c r="R14" s="41"/>
      <c r="S14" s="102">
        <v>0</v>
      </c>
      <c r="T14" s="102">
        <v>3154.2413273988236</v>
      </c>
      <c r="U14" s="102">
        <v>3154.2413273988236</v>
      </c>
      <c r="V14" s="102">
        <v>0</v>
      </c>
      <c r="W14" s="102">
        <v>6308.4826547976472</v>
      </c>
      <c r="X14" s="41"/>
    </row>
    <row r="15" spans="2:24" x14ac:dyDescent="0.35">
      <c r="B15" s="5"/>
      <c r="C15" s="3"/>
      <c r="D15" s="3"/>
      <c r="E15" s="1"/>
      <c r="F15" s="5"/>
      <c r="Q15" s="162"/>
      <c r="W15" s="163"/>
    </row>
    <row r="16" spans="2:24"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6" ht="14.5" customHeight="1" x14ac:dyDescent="0.35"/>
  </sheetData>
  <pageMargins left="0.7" right="0.7" top="0.75" bottom="0.75" header="0.3" footer="0.3"/>
  <pageSetup paperSize="8" scale="6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sheetPr>
  <dimension ref="A1:BL4"/>
  <sheetViews>
    <sheetView showGridLines="0" zoomScale="80" zoomScaleNormal="80" workbookViewId="0">
      <pane xSplit="6" ySplit="2" topLeftCell="BM3" activePane="bottomRight" state="frozen"/>
      <selection activeCell="F19" sqref="F19"/>
      <selection pane="topRight" activeCell="F19" sqref="F19"/>
      <selection pane="bottomLeft" activeCell="F19" sqref="F19"/>
      <selection pane="bottomRight"/>
    </sheetView>
  </sheetViews>
  <sheetFormatPr defaultColWidth="8.81640625" defaultRowHeight="14.5" outlineLevelCol="1" x14ac:dyDescent="0.35"/>
  <cols>
    <col min="1" max="1" width="4.1796875" style="5" customWidth="1"/>
    <col min="2" max="2" width="12.54296875" style="5" customWidth="1"/>
    <col min="3" max="3" width="26.26953125" style="5" customWidth="1"/>
    <col min="4" max="6" width="14.7265625" style="5" customWidth="1"/>
    <col min="7" max="22" width="14.7265625" style="5" customWidth="1" outlineLevel="1"/>
    <col min="23" max="24" width="14.7265625" style="43" customWidth="1" outlineLevel="1"/>
    <col min="25" max="64" width="14.7265625" style="5" customWidth="1" outlineLevel="1"/>
    <col min="65" max="82" width="14.7265625" style="5" customWidth="1"/>
    <col min="83" max="16384" width="8.81640625" style="5"/>
  </cols>
  <sheetData>
    <row r="1" spans="1:25" s="273" customFormat="1" ht="21" x14ac:dyDescent="0.5">
      <c r="A1" s="270" t="s">
        <v>221</v>
      </c>
      <c r="B1" s="271"/>
      <c r="C1" s="271" t="s">
        <v>219</v>
      </c>
      <c r="D1" s="272"/>
      <c r="F1" s="275"/>
      <c r="Y1" s="291"/>
    </row>
    <row r="2" spans="1:25" s="273" customFormat="1" x14ac:dyDescent="0.35">
      <c r="A2" s="270"/>
      <c r="D2" s="272"/>
      <c r="F2" s="275"/>
      <c r="Y2" s="291"/>
    </row>
    <row r="4" spans="1:25" x14ac:dyDescent="0.35">
      <c r="C4" s="359" t="s">
        <v>266</v>
      </c>
    </row>
  </sheetData>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D60093"/>
  </sheetPr>
  <dimension ref="A1:BS6"/>
  <sheetViews>
    <sheetView showGridLines="0" zoomScale="80" zoomScaleNormal="80" workbookViewId="0"/>
  </sheetViews>
  <sheetFormatPr defaultColWidth="8.81640625" defaultRowHeight="14.5" outlineLevelCol="1" x14ac:dyDescent="0.35"/>
  <cols>
    <col min="1" max="1" width="4.7265625" style="5" customWidth="1"/>
    <col min="2" max="2" width="45.7265625" style="5" customWidth="1"/>
    <col min="3" max="3" width="16.81640625" style="5" customWidth="1"/>
    <col min="4" max="4" width="11.1796875" style="5" customWidth="1"/>
    <col min="5" max="5" width="36" style="5" customWidth="1"/>
    <col min="6" max="6" width="14.7265625" style="5" customWidth="1"/>
    <col min="7" max="7" width="36.26953125" style="5" customWidth="1"/>
    <col min="8" max="8" width="27" style="5" customWidth="1"/>
    <col min="9" max="10" width="15.26953125" style="5" customWidth="1" outlineLevel="1"/>
    <col min="11" max="13" width="16.453125" style="5" customWidth="1" outlineLevel="1"/>
    <col min="14" max="14" width="16" style="5" customWidth="1" outlineLevel="1"/>
    <col min="15" max="15" width="12.1796875" style="5" customWidth="1" outlineLevel="1"/>
    <col min="16" max="17" width="16" style="5" customWidth="1" outlineLevel="1"/>
    <col min="18" max="18" width="14" style="5" customWidth="1" outlineLevel="1"/>
    <col min="19" max="19" width="16" style="5" customWidth="1" outlineLevel="1"/>
    <col min="20" max="20" width="13" style="5" customWidth="1" outlineLevel="1"/>
    <col min="21" max="34" width="8.81640625" style="5" customWidth="1" outlineLevel="1"/>
    <col min="35" max="38" width="10.54296875" style="5" customWidth="1" outlineLevel="1"/>
    <col min="39" max="59" width="8.81640625" style="5" customWidth="1" outlineLevel="1"/>
    <col min="60" max="60" width="3.7265625" style="5" customWidth="1"/>
    <col min="61" max="65" width="13.7265625" style="5" customWidth="1"/>
    <col min="66" max="66" width="4.54296875" style="5" customWidth="1"/>
    <col min="67" max="71" width="13.7265625" style="5" customWidth="1"/>
    <col min="72" max="16384" width="8.81640625" style="5"/>
  </cols>
  <sheetData>
    <row r="1" spans="1:71" ht="24" thickBot="1" x14ac:dyDescent="0.6">
      <c r="A1" s="192" t="s">
        <v>161</v>
      </c>
      <c r="U1" s="5" t="s">
        <v>67</v>
      </c>
      <c r="BI1" s="35" t="s">
        <v>170</v>
      </c>
      <c r="BJ1" s="36"/>
      <c r="BK1" s="36"/>
      <c r="BL1" s="36"/>
      <c r="BM1" s="36"/>
      <c r="BN1" s="227"/>
      <c r="BO1" s="12" t="s">
        <v>171</v>
      </c>
      <c r="BP1" s="116"/>
      <c r="BQ1" s="116"/>
      <c r="BR1" s="116"/>
      <c r="BS1" s="117"/>
    </row>
    <row r="2" spans="1:71" ht="23.5" x14ac:dyDescent="0.55000000000000004">
      <c r="A2" s="343" t="s">
        <v>225</v>
      </c>
      <c r="I2" s="5" t="s">
        <v>61</v>
      </c>
      <c r="T2" s="5" t="s">
        <v>63</v>
      </c>
      <c r="U2" s="227">
        <v>1</v>
      </c>
      <c r="V2" s="227">
        <v>2</v>
      </c>
      <c r="W2" s="227">
        <v>3</v>
      </c>
      <c r="X2" s="227">
        <v>4</v>
      </c>
      <c r="Y2" s="227">
        <v>5</v>
      </c>
      <c r="Z2" s="227">
        <v>6</v>
      </c>
      <c r="AA2" s="227">
        <v>7</v>
      </c>
      <c r="AB2" s="227">
        <v>8</v>
      </c>
      <c r="AC2" s="227">
        <v>9</v>
      </c>
      <c r="AD2" s="227">
        <v>10</v>
      </c>
      <c r="AE2" s="227">
        <v>11</v>
      </c>
      <c r="AF2" s="227">
        <v>12</v>
      </c>
      <c r="AG2" s="227">
        <v>13</v>
      </c>
      <c r="AH2" s="227">
        <v>14</v>
      </c>
      <c r="AI2" s="227">
        <v>15</v>
      </c>
      <c r="AJ2" s="227">
        <v>16</v>
      </c>
      <c r="AK2" s="227">
        <v>17</v>
      </c>
      <c r="AL2" s="227">
        <v>18</v>
      </c>
      <c r="AM2" s="227">
        <v>19</v>
      </c>
      <c r="AN2" s="227">
        <v>20</v>
      </c>
      <c r="AO2" s="227">
        <v>21</v>
      </c>
      <c r="AP2" s="227">
        <v>22</v>
      </c>
      <c r="AQ2" s="227">
        <v>23</v>
      </c>
      <c r="AR2" s="227">
        <v>24</v>
      </c>
      <c r="AS2" s="227">
        <v>25</v>
      </c>
      <c r="AT2" s="227">
        <v>26</v>
      </c>
      <c r="AU2" s="227">
        <v>27</v>
      </c>
      <c r="AV2" s="227">
        <v>28</v>
      </c>
      <c r="AW2" s="227">
        <v>29</v>
      </c>
      <c r="AX2" s="227">
        <v>30</v>
      </c>
      <c r="AY2" s="227">
        <v>31</v>
      </c>
      <c r="AZ2" s="227">
        <v>32</v>
      </c>
      <c r="BA2" s="227">
        <v>33</v>
      </c>
      <c r="BB2" s="227">
        <v>34</v>
      </c>
      <c r="BC2" s="227">
        <v>35</v>
      </c>
      <c r="BD2" s="227">
        <v>36</v>
      </c>
      <c r="BE2" s="227">
        <v>37</v>
      </c>
      <c r="BF2" s="227">
        <v>38</v>
      </c>
      <c r="BG2" s="227">
        <v>39</v>
      </c>
      <c r="BI2" s="1"/>
      <c r="BJ2" s="1"/>
      <c r="BK2" s="1"/>
      <c r="BL2" s="1"/>
      <c r="BM2" s="1"/>
      <c r="BO2" s="1"/>
      <c r="BP2" s="1"/>
      <c r="BQ2" s="1"/>
      <c r="BR2" s="1"/>
      <c r="BS2" s="1"/>
    </row>
    <row r="3" spans="1:71" s="1" customFormat="1" ht="60" customHeight="1" thickBot="1" x14ac:dyDescent="0.4">
      <c r="A3" s="6"/>
      <c r="B3" s="150" t="s">
        <v>129</v>
      </c>
      <c r="C3" s="15" t="s">
        <v>57</v>
      </c>
      <c r="D3" s="15" t="s">
        <v>69</v>
      </c>
      <c r="E3" s="15" t="s">
        <v>6</v>
      </c>
      <c r="F3" s="15" t="s">
        <v>60</v>
      </c>
      <c r="G3" s="15" t="s">
        <v>65</v>
      </c>
      <c r="H3" s="15" t="s">
        <v>66</v>
      </c>
      <c r="I3" s="15" t="s">
        <v>83</v>
      </c>
      <c r="J3" s="15" t="s">
        <v>84</v>
      </c>
      <c r="K3" s="15" t="s">
        <v>62</v>
      </c>
      <c r="L3" s="15" t="s">
        <v>85</v>
      </c>
      <c r="M3" s="15" t="s">
        <v>86</v>
      </c>
      <c r="N3" s="15" t="s">
        <v>58</v>
      </c>
      <c r="O3" s="15" t="s">
        <v>68</v>
      </c>
      <c r="P3" s="15" t="s">
        <v>183</v>
      </c>
      <c r="Q3" s="15" t="s">
        <v>184</v>
      </c>
      <c r="R3" s="15" t="s">
        <v>59</v>
      </c>
      <c r="T3" s="16" t="s">
        <v>64</v>
      </c>
      <c r="U3" s="17">
        <v>43922</v>
      </c>
      <c r="V3" s="17">
        <v>43952</v>
      </c>
      <c r="W3" s="17">
        <v>43983</v>
      </c>
      <c r="X3" s="18">
        <v>44013</v>
      </c>
      <c r="Y3" s="18">
        <v>44044</v>
      </c>
      <c r="Z3" s="18">
        <v>44075</v>
      </c>
      <c r="AA3" s="17">
        <v>44105</v>
      </c>
      <c r="AB3" s="17">
        <v>44136</v>
      </c>
      <c r="AC3" s="17">
        <v>44166</v>
      </c>
      <c r="AD3" s="18">
        <v>44197</v>
      </c>
      <c r="AE3" s="18">
        <v>44228</v>
      </c>
      <c r="AF3" s="18">
        <v>44256</v>
      </c>
      <c r="AG3" s="17">
        <v>44287</v>
      </c>
      <c r="AH3" s="17">
        <v>44317</v>
      </c>
      <c r="AI3" s="17">
        <v>44348</v>
      </c>
      <c r="AJ3" s="18">
        <v>44378</v>
      </c>
      <c r="AK3" s="18">
        <v>44409</v>
      </c>
      <c r="AL3" s="18">
        <v>44440</v>
      </c>
      <c r="AM3" s="17">
        <v>44470</v>
      </c>
      <c r="AN3" s="17">
        <v>44501</v>
      </c>
      <c r="AO3" s="17">
        <v>44531</v>
      </c>
      <c r="AP3" s="18">
        <v>44562</v>
      </c>
      <c r="AQ3" s="18">
        <v>44593</v>
      </c>
      <c r="AR3" s="18">
        <v>44621</v>
      </c>
      <c r="AS3" s="17">
        <v>44652</v>
      </c>
      <c r="AT3" s="17">
        <v>44682</v>
      </c>
      <c r="AU3" s="17">
        <v>44713</v>
      </c>
      <c r="AV3" s="18">
        <v>44743</v>
      </c>
      <c r="AW3" s="18">
        <v>44774</v>
      </c>
      <c r="AX3" s="18">
        <v>44805</v>
      </c>
      <c r="AY3" s="17">
        <v>44835</v>
      </c>
      <c r="AZ3" s="17">
        <v>44866</v>
      </c>
      <c r="BA3" s="17">
        <v>44896</v>
      </c>
      <c r="BB3" s="18">
        <v>44927</v>
      </c>
      <c r="BC3" s="18">
        <v>44958</v>
      </c>
      <c r="BD3" s="18">
        <v>44986</v>
      </c>
      <c r="BE3" s="17">
        <v>45017</v>
      </c>
      <c r="BF3" s="17">
        <v>45047</v>
      </c>
      <c r="BG3" s="17">
        <v>45078</v>
      </c>
      <c r="BI3" s="138" t="s">
        <v>122</v>
      </c>
      <c r="BJ3" s="138" t="s">
        <v>123</v>
      </c>
      <c r="BK3" s="138" t="s">
        <v>124</v>
      </c>
      <c r="BL3" s="138" t="s">
        <v>125</v>
      </c>
      <c r="BM3" s="139" t="s">
        <v>2</v>
      </c>
      <c r="BO3" s="138" t="s">
        <v>122</v>
      </c>
      <c r="BP3" s="138" t="s">
        <v>123</v>
      </c>
      <c r="BQ3" s="138" t="s">
        <v>124</v>
      </c>
      <c r="BR3" s="138" t="s">
        <v>125</v>
      </c>
      <c r="BS3" s="139" t="s">
        <v>2</v>
      </c>
    </row>
    <row r="4" spans="1:71" ht="15" thickBot="1" x14ac:dyDescent="0.4">
      <c r="B4" s="274" t="s">
        <v>54</v>
      </c>
      <c r="C4" s="274" t="s">
        <v>54</v>
      </c>
      <c r="D4" s="193">
        <v>6.3</v>
      </c>
      <c r="E4" s="274" t="s">
        <v>91</v>
      </c>
      <c r="F4" s="357" t="s">
        <v>264</v>
      </c>
      <c r="G4" s="358" t="s">
        <v>265</v>
      </c>
      <c r="H4" s="287"/>
      <c r="I4" s="288"/>
      <c r="J4" s="288">
        <v>83825</v>
      </c>
      <c r="K4" s="287"/>
      <c r="L4" s="287">
        <v>9</v>
      </c>
      <c r="M4" s="287">
        <v>24</v>
      </c>
      <c r="N4" s="290">
        <v>16</v>
      </c>
      <c r="O4" s="290" t="s">
        <v>71</v>
      </c>
      <c r="P4" s="14">
        <f>+IF(O4="Y", I4*'Key assumptions'!$D$17,I4)</f>
        <v>0</v>
      </c>
      <c r="Q4" s="14">
        <f>+IF(O4="Y", J4*'Key assumptions'!$D$17,J4)</f>
        <v>83825</v>
      </c>
      <c r="R4" s="14">
        <f>+IF(N4&gt;0,J4/N4,0)</f>
        <v>5239.0625</v>
      </c>
      <c r="S4" s="27"/>
      <c r="T4" s="289">
        <f>+I4</f>
        <v>0</v>
      </c>
      <c r="U4" s="19">
        <f t="shared" ref="U4:BG4" si="0">+IF(U$2&lt;$L4,0,IF(U$2&gt;$M4, 0,$R4))</f>
        <v>0</v>
      </c>
      <c r="V4" s="19">
        <f t="shared" si="0"/>
        <v>0</v>
      </c>
      <c r="W4" s="19">
        <f t="shared" si="0"/>
        <v>0</v>
      </c>
      <c r="X4" s="19">
        <f t="shared" si="0"/>
        <v>0</v>
      </c>
      <c r="Y4" s="19">
        <f t="shared" si="0"/>
        <v>0</v>
      </c>
      <c r="Z4" s="19">
        <f t="shared" si="0"/>
        <v>0</v>
      </c>
      <c r="AA4" s="19">
        <f t="shared" si="0"/>
        <v>0</v>
      </c>
      <c r="AB4" s="19">
        <f t="shared" si="0"/>
        <v>0</v>
      </c>
      <c r="AC4" s="19">
        <f t="shared" si="0"/>
        <v>5239.0625</v>
      </c>
      <c r="AD4" s="19">
        <f t="shared" si="0"/>
        <v>5239.0625</v>
      </c>
      <c r="AE4" s="19">
        <f t="shared" si="0"/>
        <v>5239.0625</v>
      </c>
      <c r="AF4" s="19">
        <f t="shared" si="0"/>
        <v>5239.0625</v>
      </c>
      <c r="AG4" s="19">
        <f t="shared" si="0"/>
        <v>5239.0625</v>
      </c>
      <c r="AH4" s="19">
        <f t="shared" si="0"/>
        <v>5239.0625</v>
      </c>
      <c r="AI4" s="19">
        <f t="shared" si="0"/>
        <v>5239.0625</v>
      </c>
      <c r="AJ4" s="19">
        <f t="shared" si="0"/>
        <v>5239.0625</v>
      </c>
      <c r="AK4" s="19">
        <f t="shared" si="0"/>
        <v>5239.0625</v>
      </c>
      <c r="AL4" s="19">
        <f t="shared" si="0"/>
        <v>5239.0625</v>
      </c>
      <c r="AM4" s="19">
        <f t="shared" si="0"/>
        <v>5239.0625</v>
      </c>
      <c r="AN4" s="19">
        <f t="shared" si="0"/>
        <v>5239.0625</v>
      </c>
      <c r="AO4" s="19">
        <f t="shared" si="0"/>
        <v>5239.0625</v>
      </c>
      <c r="AP4" s="19">
        <f t="shared" si="0"/>
        <v>5239.0625</v>
      </c>
      <c r="AQ4" s="19">
        <f t="shared" si="0"/>
        <v>5239.0625</v>
      </c>
      <c r="AR4" s="19">
        <f t="shared" si="0"/>
        <v>5239.0625</v>
      </c>
      <c r="AS4" s="19">
        <f t="shared" si="0"/>
        <v>0</v>
      </c>
      <c r="AT4" s="19">
        <f t="shared" si="0"/>
        <v>0</v>
      </c>
      <c r="AU4" s="19">
        <f t="shared" si="0"/>
        <v>0</v>
      </c>
      <c r="AV4" s="19">
        <f t="shared" si="0"/>
        <v>0</v>
      </c>
      <c r="AW4" s="19">
        <f t="shared" si="0"/>
        <v>0</v>
      </c>
      <c r="AX4" s="19">
        <f t="shared" si="0"/>
        <v>0</v>
      </c>
      <c r="AY4" s="19">
        <f t="shared" si="0"/>
        <v>0</v>
      </c>
      <c r="AZ4" s="19">
        <f t="shared" si="0"/>
        <v>0</v>
      </c>
      <c r="BA4" s="19">
        <f t="shared" si="0"/>
        <v>0</v>
      </c>
      <c r="BB4" s="19">
        <f t="shared" si="0"/>
        <v>0</v>
      </c>
      <c r="BC4" s="19">
        <f t="shared" si="0"/>
        <v>0</v>
      </c>
      <c r="BD4" s="19">
        <f t="shared" si="0"/>
        <v>0</v>
      </c>
      <c r="BE4" s="19">
        <f t="shared" si="0"/>
        <v>0</v>
      </c>
      <c r="BF4" s="19">
        <f t="shared" si="0"/>
        <v>0</v>
      </c>
      <c r="BG4" s="19">
        <f t="shared" si="0"/>
        <v>0</v>
      </c>
      <c r="BI4" s="10">
        <f>SUM(T4:W4)</f>
        <v>0</v>
      </c>
      <c r="BJ4" s="10">
        <f>+SUM(X4:AI4)</f>
        <v>36673.4375</v>
      </c>
      <c r="BK4" s="10">
        <f>+SUM(AJ4:AU4)</f>
        <v>47151.5625</v>
      </c>
      <c r="BL4" s="10">
        <f>+SUM(AV4:BG4)</f>
        <v>0</v>
      </c>
      <c r="BM4" s="11">
        <f>SUM(BI4:BL4)</f>
        <v>83825</v>
      </c>
      <c r="BO4" s="10">
        <f>+BI4/(1+'Key assumptions'!$D$11)</f>
        <v>0</v>
      </c>
      <c r="BP4" s="10">
        <f>+BJ4/(1+'Key assumptions'!$D$11)</f>
        <v>36225.206668461557</v>
      </c>
      <c r="BQ4" s="10">
        <f>+BK4/(1+'Key assumptions'!$D$11)</f>
        <v>46575.265716593436</v>
      </c>
      <c r="BR4" s="10">
        <f>+BL4/(1+'Key assumptions'!$D$11)</f>
        <v>0</v>
      </c>
      <c r="BS4" s="13">
        <f>SUM(BO4:BR4)</f>
        <v>82800.472385054993</v>
      </c>
    </row>
    <row r="5" spans="1:71" ht="15" thickBot="1" x14ac:dyDescent="0.4">
      <c r="P5" s="121">
        <f>SUM(P4:P4)</f>
        <v>0</v>
      </c>
      <c r="Q5" s="121">
        <f>SUM(Q4:Q4)</f>
        <v>83825</v>
      </c>
      <c r="R5" s="121">
        <f>SUM(R4:R4)</f>
        <v>5239.0625</v>
      </c>
      <c r="T5" s="121">
        <f t="shared" ref="T5:AR5" si="1">SUM(T4:T4)</f>
        <v>0</v>
      </c>
      <c r="U5" s="121">
        <f t="shared" si="1"/>
        <v>0</v>
      </c>
      <c r="V5" s="121">
        <f t="shared" si="1"/>
        <v>0</v>
      </c>
      <c r="W5" s="121">
        <f t="shared" si="1"/>
        <v>0</v>
      </c>
      <c r="X5" s="121">
        <f t="shared" si="1"/>
        <v>0</v>
      </c>
      <c r="Y5" s="121">
        <f t="shared" si="1"/>
        <v>0</v>
      </c>
      <c r="Z5" s="121">
        <f t="shared" si="1"/>
        <v>0</v>
      </c>
      <c r="AA5" s="121">
        <f t="shared" si="1"/>
        <v>0</v>
      </c>
      <c r="AB5" s="121">
        <f t="shared" si="1"/>
        <v>0</v>
      </c>
      <c r="AC5" s="121">
        <f t="shared" si="1"/>
        <v>5239.0625</v>
      </c>
      <c r="AD5" s="121">
        <f t="shared" si="1"/>
        <v>5239.0625</v>
      </c>
      <c r="AE5" s="121">
        <f t="shared" si="1"/>
        <v>5239.0625</v>
      </c>
      <c r="AF5" s="121">
        <f t="shared" si="1"/>
        <v>5239.0625</v>
      </c>
      <c r="AG5" s="121">
        <f t="shared" si="1"/>
        <v>5239.0625</v>
      </c>
      <c r="AH5" s="121">
        <f t="shared" si="1"/>
        <v>5239.0625</v>
      </c>
      <c r="AI5" s="121">
        <f t="shared" si="1"/>
        <v>5239.0625</v>
      </c>
      <c r="AJ5" s="121">
        <f t="shared" si="1"/>
        <v>5239.0625</v>
      </c>
      <c r="AK5" s="121">
        <f t="shared" si="1"/>
        <v>5239.0625</v>
      </c>
      <c r="AL5" s="121">
        <f t="shared" si="1"/>
        <v>5239.0625</v>
      </c>
      <c r="AM5" s="121">
        <f t="shared" si="1"/>
        <v>5239.0625</v>
      </c>
      <c r="AN5" s="121">
        <f t="shared" si="1"/>
        <v>5239.0625</v>
      </c>
      <c r="AO5" s="121">
        <f t="shared" si="1"/>
        <v>5239.0625</v>
      </c>
      <c r="AP5" s="121">
        <f t="shared" si="1"/>
        <v>5239.0625</v>
      </c>
      <c r="AQ5" s="121">
        <f t="shared" si="1"/>
        <v>5239.0625</v>
      </c>
      <c r="AR5" s="121">
        <f t="shared" si="1"/>
        <v>5239.0625</v>
      </c>
      <c r="AS5" s="121">
        <f t="shared" ref="AS5:BG5" si="2">SUM(AS4:AS4)</f>
        <v>0</v>
      </c>
      <c r="AT5" s="121">
        <f t="shared" si="2"/>
        <v>0</v>
      </c>
      <c r="AU5" s="121">
        <f t="shared" si="2"/>
        <v>0</v>
      </c>
      <c r="AV5" s="121">
        <f t="shared" si="2"/>
        <v>0</v>
      </c>
      <c r="AW5" s="121">
        <f t="shared" si="2"/>
        <v>0</v>
      </c>
      <c r="AX5" s="121">
        <f t="shared" si="2"/>
        <v>0</v>
      </c>
      <c r="AY5" s="121">
        <f t="shared" si="2"/>
        <v>0</v>
      </c>
      <c r="AZ5" s="121">
        <f t="shared" si="2"/>
        <v>0</v>
      </c>
      <c r="BA5" s="121">
        <f t="shared" si="2"/>
        <v>0</v>
      </c>
      <c r="BB5" s="121">
        <f t="shared" si="2"/>
        <v>0</v>
      </c>
      <c r="BC5" s="121">
        <f t="shared" si="2"/>
        <v>0</v>
      </c>
      <c r="BD5" s="121">
        <f t="shared" si="2"/>
        <v>0</v>
      </c>
      <c r="BE5" s="121">
        <f t="shared" si="2"/>
        <v>0</v>
      </c>
      <c r="BF5" s="121">
        <f t="shared" si="2"/>
        <v>0</v>
      </c>
      <c r="BG5" s="121">
        <f t="shared" si="2"/>
        <v>0</v>
      </c>
      <c r="BI5" s="194">
        <f>SUM(BI4:BI4)</f>
        <v>0</v>
      </c>
      <c r="BJ5" s="194">
        <f>SUM(BJ4:BJ4)</f>
        <v>36673.4375</v>
      </c>
      <c r="BK5" s="194">
        <f>SUM(BK4:BK4)</f>
        <v>47151.5625</v>
      </c>
      <c r="BL5" s="194">
        <f>SUM(BL4:BL4)</f>
        <v>0</v>
      </c>
      <c r="BM5" s="194">
        <f>SUM(BM4:BM4)</f>
        <v>83825</v>
      </c>
      <c r="BO5" s="195">
        <f>SUM(BO4:BO4)</f>
        <v>0</v>
      </c>
      <c r="BP5" s="195">
        <f>SUM(BP4:BP4)</f>
        <v>36225.206668461557</v>
      </c>
      <c r="BQ5" s="195">
        <f>SUM(BQ4:BQ4)</f>
        <v>46575.265716593436</v>
      </c>
      <c r="BR5" s="195">
        <f>SUM(BR4:BR4)</f>
        <v>0</v>
      </c>
      <c r="BS5" s="195">
        <f>SUM(BS4:BS4)</f>
        <v>82800.472385054993</v>
      </c>
    </row>
    <row r="6" spans="1:71" x14ac:dyDescent="0.35">
      <c r="BS6" s="164"/>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3"/>
  <sheetViews>
    <sheetView showGridLines="0" tabSelected="1" zoomScale="80" zoomScaleNormal="80" workbookViewId="0">
      <pane ySplit="7" topLeftCell="A8" activePane="bottomLeft" state="frozen"/>
      <selection activeCell="F19" sqref="F19"/>
      <selection pane="bottomLeft"/>
    </sheetView>
  </sheetViews>
  <sheetFormatPr defaultColWidth="9.1796875" defaultRowHeight="14.5" x14ac:dyDescent="0.35"/>
  <cols>
    <col min="1" max="1" width="2.26953125" style="55" customWidth="1"/>
    <col min="2" max="2" width="20.54296875" style="54" customWidth="1"/>
    <col min="3" max="3" width="32.7265625" style="55" customWidth="1"/>
    <col min="4" max="4" width="123.26953125" style="56" customWidth="1"/>
    <col min="5" max="5" width="67.26953125" style="55" customWidth="1"/>
    <col min="6" max="8" width="9.1796875" style="55" customWidth="1"/>
    <col min="9" max="16384" width="9.1796875" style="55"/>
  </cols>
  <sheetData>
    <row r="1" spans="1:5" ht="13.9" customHeight="1" x14ac:dyDescent="0.35"/>
    <row r="2" spans="1:5" s="57" customFormat="1" ht="31.5" customHeight="1" x14ac:dyDescent="0.35">
      <c r="B2" s="363" t="s">
        <v>113</v>
      </c>
      <c r="C2" s="363"/>
      <c r="D2" s="363"/>
      <c r="E2" s="363"/>
    </row>
    <row r="3" spans="1:5" ht="63.75" customHeight="1" x14ac:dyDescent="0.35">
      <c r="B3" s="58"/>
      <c r="C3" s="364" t="s">
        <v>261</v>
      </c>
      <c r="D3" s="364"/>
      <c r="E3" s="364"/>
    </row>
    <row r="4" spans="1:5" ht="31.5" customHeight="1" x14ac:dyDescent="0.35">
      <c r="B4" s="363" t="s">
        <v>227</v>
      </c>
      <c r="C4" s="363"/>
      <c r="D4" s="363"/>
      <c r="E4" s="363"/>
    </row>
    <row r="5" spans="1:5" ht="30" customHeight="1" x14ac:dyDescent="0.35">
      <c r="B5" s="58"/>
      <c r="C5" s="364" t="s">
        <v>114</v>
      </c>
      <c r="D5" s="364"/>
      <c r="E5" s="364"/>
    </row>
    <row r="7" spans="1:5" ht="58.5" customHeight="1" x14ac:dyDescent="0.35">
      <c r="B7" s="46" t="s">
        <v>172</v>
      </c>
      <c r="C7" s="47" t="s">
        <v>111</v>
      </c>
      <c r="D7" s="47" t="s">
        <v>106</v>
      </c>
      <c r="E7" s="50" t="s">
        <v>116</v>
      </c>
    </row>
    <row r="8" spans="1:5" ht="63" customHeight="1" x14ac:dyDescent="0.35">
      <c r="A8" s="210"/>
      <c r="B8" s="211" t="s">
        <v>107</v>
      </c>
      <c r="C8" s="360" t="s">
        <v>117</v>
      </c>
      <c r="D8" s="212" t="s">
        <v>128</v>
      </c>
      <c r="E8" s="213" t="s">
        <v>143</v>
      </c>
    </row>
    <row r="9" spans="1:5" ht="63" customHeight="1" x14ac:dyDescent="0.35">
      <c r="A9" s="214"/>
      <c r="B9" s="215" t="s">
        <v>120</v>
      </c>
      <c r="C9" s="216" t="s">
        <v>119</v>
      </c>
      <c r="D9" s="217" t="s">
        <v>260</v>
      </c>
      <c r="E9" s="218" t="s">
        <v>144</v>
      </c>
    </row>
    <row r="10" spans="1:5" ht="63" customHeight="1" x14ac:dyDescent="0.35">
      <c r="A10" s="214"/>
      <c r="B10" s="215" t="s">
        <v>115</v>
      </c>
      <c r="C10" s="219" t="s">
        <v>173</v>
      </c>
      <c r="D10" s="217" t="s">
        <v>191</v>
      </c>
      <c r="E10" s="218" t="s">
        <v>144</v>
      </c>
    </row>
    <row r="11" spans="1:5" ht="63" customHeight="1" x14ac:dyDescent="0.35">
      <c r="B11" s="59" t="s">
        <v>110</v>
      </c>
      <c r="C11" s="48" t="s">
        <v>112</v>
      </c>
      <c r="D11" s="60" t="s">
        <v>228</v>
      </c>
      <c r="E11" s="160" t="s">
        <v>174</v>
      </c>
    </row>
    <row r="12" spans="1:5" ht="48.75" customHeight="1" x14ac:dyDescent="0.35">
      <c r="A12" s="220"/>
      <c r="B12" s="361"/>
      <c r="C12" s="221" t="s">
        <v>163</v>
      </c>
      <c r="D12" s="222" t="s">
        <v>229</v>
      </c>
      <c r="E12" s="223" t="s">
        <v>144</v>
      </c>
    </row>
    <row r="13" spans="1:5" ht="48.75" customHeight="1" x14ac:dyDescent="0.35">
      <c r="A13" s="220"/>
      <c r="B13" s="361"/>
      <c r="C13" s="224" t="s">
        <v>164</v>
      </c>
      <c r="D13" s="222" t="s">
        <v>175</v>
      </c>
      <c r="E13" s="223" t="s">
        <v>162</v>
      </c>
    </row>
    <row r="14" spans="1:5" ht="48.75" customHeight="1" x14ac:dyDescent="0.35">
      <c r="A14" s="210"/>
      <c r="B14" s="365"/>
      <c r="C14" s="225" t="s">
        <v>165</v>
      </c>
      <c r="D14" s="212" t="s">
        <v>226</v>
      </c>
      <c r="E14" s="213" t="s">
        <v>162</v>
      </c>
    </row>
    <row r="15" spans="1:5" ht="63" customHeight="1" x14ac:dyDescent="0.35">
      <c r="B15" s="59" t="s">
        <v>108</v>
      </c>
      <c r="C15" s="61" t="s">
        <v>109</v>
      </c>
      <c r="D15" s="60" t="s">
        <v>193</v>
      </c>
      <c r="E15" s="52" t="s">
        <v>176</v>
      </c>
    </row>
    <row r="16" spans="1:5" ht="48.75" customHeight="1" x14ac:dyDescent="0.35">
      <c r="A16" s="220"/>
      <c r="B16" s="361"/>
      <c r="C16" s="221" t="s">
        <v>166</v>
      </c>
      <c r="D16" s="222" t="s">
        <v>199</v>
      </c>
      <c r="E16" s="223" t="s">
        <v>144</v>
      </c>
    </row>
    <row r="17" spans="1:5" ht="48.75" customHeight="1" x14ac:dyDescent="0.35">
      <c r="A17" s="220"/>
      <c r="B17" s="361"/>
      <c r="C17" s="221" t="s">
        <v>167</v>
      </c>
      <c r="D17" s="222" t="s">
        <v>198</v>
      </c>
      <c r="E17" s="223" t="s">
        <v>144</v>
      </c>
    </row>
    <row r="18" spans="1:5" ht="48.75" customHeight="1" x14ac:dyDescent="0.35">
      <c r="A18" s="210"/>
      <c r="B18" s="362"/>
      <c r="C18" s="225" t="s">
        <v>192</v>
      </c>
      <c r="D18" s="212" t="s">
        <v>177</v>
      </c>
      <c r="E18" s="213" t="s">
        <v>176</v>
      </c>
    </row>
    <row r="19" spans="1:5" ht="63" customHeight="1" x14ac:dyDescent="0.35">
      <c r="B19" s="59" t="s">
        <v>136</v>
      </c>
      <c r="C19" s="62" t="s">
        <v>131</v>
      </c>
      <c r="D19" s="60" t="s">
        <v>194</v>
      </c>
      <c r="E19" s="53" t="s">
        <v>140</v>
      </c>
    </row>
    <row r="20" spans="1:5" ht="48.75" customHeight="1" x14ac:dyDescent="0.35">
      <c r="A20" s="210"/>
      <c r="B20" s="229"/>
      <c r="C20" s="225" t="s">
        <v>168</v>
      </c>
      <c r="D20" s="212" t="s">
        <v>197</v>
      </c>
      <c r="E20" s="213" t="s">
        <v>144</v>
      </c>
    </row>
    <row r="21" spans="1:5" ht="63" customHeight="1" x14ac:dyDescent="0.35">
      <c r="B21" s="59" t="s">
        <v>134</v>
      </c>
      <c r="C21" s="49" t="s">
        <v>135</v>
      </c>
      <c r="D21" s="60" t="s">
        <v>195</v>
      </c>
      <c r="E21" s="53" t="s">
        <v>137</v>
      </c>
    </row>
    <row r="22" spans="1:5" ht="48.75" customHeight="1" x14ac:dyDescent="0.35">
      <c r="A22" s="220"/>
      <c r="B22" s="228"/>
      <c r="C22" s="221" t="s">
        <v>169</v>
      </c>
      <c r="D22" s="222" t="s">
        <v>196</v>
      </c>
      <c r="E22" s="223" t="s">
        <v>144</v>
      </c>
    </row>
    <row r="23" spans="1:5" ht="63" customHeight="1" x14ac:dyDescent="0.35">
      <c r="A23" s="214"/>
      <c r="B23" s="215" t="s">
        <v>133</v>
      </c>
      <c r="C23" s="226" t="s">
        <v>129</v>
      </c>
      <c r="D23" s="217" t="s">
        <v>132</v>
      </c>
      <c r="E23" s="218" t="s">
        <v>138</v>
      </c>
    </row>
  </sheetData>
  <mergeCells count="6">
    <mergeCell ref="B16:B18"/>
    <mergeCell ref="B2:E2"/>
    <mergeCell ref="C3:E3"/>
    <mergeCell ref="B4:E4"/>
    <mergeCell ref="C5:E5"/>
    <mergeCell ref="B12:B1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pageSetUpPr fitToPage="1"/>
  </sheetPr>
  <dimension ref="A1:H65"/>
  <sheetViews>
    <sheetView showGridLines="0" zoomScale="80" zoomScaleNormal="80" workbookViewId="0"/>
  </sheetViews>
  <sheetFormatPr defaultColWidth="8.81640625" defaultRowHeight="14.5" x14ac:dyDescent="0.35"/>
  <cols>
    <col min="1" max="1" width="12.54296875" style="5" customWidth="1"/>
    <col min="2" max="2" width="53.453125" style="5" customWidth="1"/>
    <col min="3" max="8" width="16.7265625" style="5" customWidth="1"/>
    <col min="9" max="16384" width="8.81640625" style="5"/>
  </cols>
  <sheetData>
    <row r="1" spans="1:5" ht="23.5" x14ac:dyDescent="0.55000000000000004">
      <c r="A1" s="192" t="s">
        <v>224</v>
      </c>
      <c r="C1" s="5" t="s">
        <v>102</v>
      </c>
    </row>
    <row r="2" spans="1:5" x14ac:dyDescent="0.35">
      <c r="A2" s="74" t="s">
        <v>89</v>
      </c>
    </row>
    <row r="3" spans="1:5" x14ac:dyDescent="0.35">
      <c r="A3" s="74" t="s">
        <v>220</v>
      </c>
    </row>
    <row r="4" spans="1:5" x14ac:dyDescent="0.35">
      <c r="A4" s="74"/>
    </row>
    <row r="5" spans="1:5" x14ac:dyDescent="0.35">
      <c r="A5" s="63" t="s">
        <v>80</v>
      </c>
    </row>
    <row r="6" spans="1:5" x14ac:dyDescent="0.35">
      <c r="B6" s="5" t="s">
        <v>46</v>
      </c>
    </row>
    <row r="7" spans="1:5" x14ac:dyDescent="0.35">
      <c r="B7" s="5" t="s">
        <v>47</v>
      </c>
    </row>
    <row r="8" spans="1:5" x14ac:dyDescent="0.35">
      <c r="B8" s="5" t="s">
        <v>48</v>
      </c>
    </row>
    <row r="10" spans="1:5" x14ac:dyDescent="0.35">
      <c r="B10" s="64" t="s">
        <v>49</v>
      </c>
      <c r="C10" s="334">
        <v>-8.1110208894197393E-3</v>
      </c>
      <c r="D10" s="196">
        <f>-C10</f>
        <v>8.1110208894197393E-3</v>
      </c>
      <c r="E10" s="5" t="s">
        <v>50</v>
      </c>
    </row>
    <row r="11" spans="1:5" x14ac:dyDescent="0.35">
      <c r="B11" s="64" t="s">
        <v>44</v>
      </c>
      <c r="C11" s="334">
        <f>-+E63</f>
        <v>-1.2373451327433838E-2</v>
      </c>
      <c r="D11" s="196">
        <f>-C11</f>
        <v>1.2373451327433838E-2</v>
      </c>
      <c r="E11" s="5" t="s">
        <v>218</v>
      </c>
    </row>
    <row r="12" spans="1:5" x14ac:dyDescent="0.35">
      <c r="B12" s="64" t="s">
        <v>247</v>
      </c>
      <c r="C12" s="334">
        <f>-C63</f>
        <v>-1.5900000000000001E-2</v>
      </c>
      <c r="D12" s="196">
        <f>-C12</f>
        <v>1.5900000000000001E-2</v>
      </c>
      <c r="E12" s="5" t="s">
        <v>248</v>
      </c>
    </row>
    <row r="14" spans="1:5" x14ac:dyDescent="0.35">
      <c r="A14" s="63" t="s">
        <v>118</v>
      </c>
    </row>
    <row r="15" spans="1:5" ht="15" thickBot="1" x14ac:dyDescent="0.4"/>
    <row r="16" spans="1:5" ht="15" thickBot="1" x14ac:dyDescent="0.4">
      <c r="A16" s="65" t="s">
        <v>13</v>
      </c>
      <c r="B16" s="66" t="s">
        <v>8</v>
      </c>
      <c r="C16" s="67" t="s">
        <v>9</v>
      </c>
      <c r="D16" s="67" t="s">
        <v>10</v>
      </c>
    </row>
    <row r="17" spans="1:4" ht="15" thickBot="1" x14ac:dyDescent="0.4">
      <c r="A17" s="68" t="s">
        <v>0</v>
      </c>
      <c r="B17" s="69" t="s">
        <v>11</v>
      </c>
      <c r="C17" s="333">
        <v>1500000000</v>
      </c>
      <c r="D17" s="70">
        <f>+C17/$C$21</f>
        <v>0.46439628482972134</v>
      </c>
    </row>
    <row r="18" spans="1:4" ht="15" thickBot="1" x14ac:dyDescent="0.4">
      <c r="A18" s="68" t="s">
        <v>1</v>
      </c>
      <c r="B18" s="69" t="s">
        <v>12</v>
      </c>
      <c r="C18" s="333">
        <v>1500000000</v>
      </c>
      <c r="D18" s="70">
        <f>+C18/$C$21</f>
        <v>0.46439628482972134</v>
      </c>
    </row>
    <row r="19" spans="1:4" ht="15" thickBot="1" x14ac:dyDescent="0.4">
      <c r="A19" s="68" t="s">
        <v>5</v>
      </c>
      <c r="B19" s="69" t="s">
        <v>55</v>
      </c>
      <c r="C19" s="333">
        <v>180000000</v>
      </c>
      <c r="D19" s="70">
        <f>+C19/$C$21</f>
        <v>5.5727554179566562E-2</v>
      </c>
    </row>
    <row r="20" spans="1:4" ht="15" thickBot="1" x14ac:dyDescent="0.4">
      <c r="A20" s="68" t="s">
        <v>14</v>
      </c>
      <c r="B20" s="69" t="s">
        <v>56</v>
      </c>
      <c r="C20" s="333">
        <v>50000000</v>
      </c>
      <c r="D20" s="70">
        <f>+C20/$C$21</f>
        <v>1.5479876160990712E-2</v>
      </c>
    </row>
    <row r="21" spans="1:4" ht="15" thickBot="1" x14ac:dyDescent="0.4">
      <c r="A21" s="71"/>
      <c r="B21" s="72"/>
      <c r="C21" s="339">
        <f>SUM(C17:C20)</f>
        <v>3230000000</v>
      </c>
      <c r="D21" s="73">
        <v>1</v>
      </c>
    </row>
    <row r="24" spans="1:4" x14ac:dyDescent="0.35">
      <c r="A24" s="63" t="s">
        <v>76</v>
      </c>
    </row>
    <row r="25" spans="1:4" x14ac:dyDescent="0.35">
      <c r="A25" s="63"/>
      <c r="B25" s="5" t="s">
        <v>94</v>
      </c>
      <c r="C25" s="335">
        <v>0.24</v>
      </c>
    </row>
    <row r="26" spans="1:4" x14ac:dyDescent="0.35">
      <c r="A26" s="63"/>
      <c r="B26" s="5" t="s">
        <v>95</v>
      </c>
      <c r="C26" s="335">
        <v>0.41</v>
      </c>
    </row>
    <row r="27" spans="1:4" s="227" customFormat="1" x14ac:dyDescent="0.35">
      <c r="A27" s="63"/>
    </row>
    <row r="28" spans="1:4" x14ac:dyDescent="0.35">
      <c r="A28" s="63" t="s">
        <v>77</v>
      </c>
    </row>
    <row r="29" spans="1:4" x14ac:dyDescent="0.35">
      <c r="A29" s="63"/>
      <c r="B29" s="5" t="s">
        <v>72</v>
      </c>
      <c r="C29" s="335">
        <v>0.15</v>
      </c>
    </row>
    <row r="30" spans="1:4" x14ac:dyDescent="0.35">
      <c r="A30" s="63"/>
      <c r="B30" s="5" t="s">
        <v>73</v>
      </c>
      <c r="C30" s="335">
        <v>0.5</v>
      </c>
    </row>
    <row r="31" spans="1:4" x14ac:dyDescent="0.35">
      <c r="A31" s="63"/>
    </row>
    <row r="32" spans="1:4" x14ac:dyDescent="0.35">
      <c r="A32" s="63" t="s">
        <v>78</v>
      </c>
    </row>
    <row r="33" spans="1:3" x14ac:dyDescent="0.35">
      <c r="A33" s="63"/>
      <c r="B33" s="5" t="s">
        <v>97</v>
      </c>
      <c r="C33" s="336">
        <v>1500</v>
      </c>
    </row>
    <row r="34" spans="1:3" x14ac:dyDescent="0.35">
      <c r="A34" s="63"/>
      <c r="C34" s="51"/>
    </row>
    <row r="35" spans="1:3" x14ac:dyDescent="0.35">
      <c r="A35" s="63" t="s">
        <v>79</v>
      </c>
      <c r="C35" s="51"/>
    </row>
    <row r="36" spans="1:3" x14ac:dyDescent="0.35">
      <c r="A36" s="63"/>
      <c r="B36" s="5" t="s">
        <v>190</v>
      </c>
      <c r="C36" s="336">
        <v>1000</v>
      </c>
    </row>
    <row r="37" spans="1:3" x14ac:dyDescent="0.35">
      <c r="A37" s="63"/>
      <c r="B37" s="5" t="s">
        <v>75</v>
      </c>
      <c r="C37" s="336">
        <v>293.64999999999998</v>
      </c>
    </row>
    <row r="38" spans="1:3" x14ac:dyDescent="0.35">
      <c r="C38" s="51"/>
    </row>
    <row r="39" spans="1:3" x14ac:dyDescent="0.35">
      <c r="A39" s="63" t="s">
        <v>103</v>
      </c>
    </row>
    <row r="40" spans="1:3" x14ac:dyDescent="0.35">
      <c r="A40" s="63"/>
      <c r="B40" s="5" t="s">
        <v>104</v>
      </c>
      <c r="C40" s="336">
        <v>2650</v>
      </c>
    </row>
    <row r="42" spans="1:3" s="227" customFormat="1" x14ac:dyDescent="0.35">
      <c r="A42" s="63" t="s">
        <v>201</v>
      </c>
    </row>
    <row r="43" spans="1:3" s="227" customFormat="1" x14ac:dyDescent="0.35">
      <c r="B43" s="227" t="s">
        <v>202</v>
      </c>
      <c r="C43" s="335">
        <v>0.7</v>
      </c>
    </row>
    <row r="44" spans="1:3" s="227" customFormat="1" x14ac:dyDescent="0.35">
      <c r="B44" s="227" t="s">
        <v>210</v>
      </c>
      <c r="C44" s="335">
        <v>0.7</v>
      </c>
    </row>
    <row r="45" spans="1:3" s="227" customFormat="1" x14ac:dyDescent="0.35">
      <c r="B45" s="227" t="s">
        <v>203</v>
      </c>
      <c r="C45" s="335">
        <v>0</v>
      </c>
    </row>
    <row r="47" spans="1:3" x14ac:dyDescent="0.35">
      <c r="A47" s="63" t="s">
        <v>200</v>
      </c>
    </row>
    <row r="48" spans="1:3" ht="15" thickBot="1" x14ac:dyDescent="0.4"/>
    <row r="49" spans="1:8" ht="15" thickBot="1" x14ac:dyDescent="0.4">
      <c r="C49" s="198"/>
      <c r="D49" s="366" t="s">
        <v>147</v>
      </c>
      <c r="E49" s="367"/>
      <c r="F49" s="367"/>
      <c r="G49" s="367"/>
      <c r="H49" s="368"/>
    </row>
    <row r="50" spans="1:8" ht="15" thickBot="1" x14ac:dyDescent="0.4">
      <c r="C50" s="198"/>
      <c r="D50" s="199">
        <v>2019</v>
      </c>
      <c r="E50" s="199">
        <v>2020</v>
      </c>
      <c r="F50" s="199">
        <v>2021</v>
      </c>
      <c r="G50" s="199">
        <v>2022</v>
      </c>
      <c r="H50" s="200">
        <v>2023</v>
      </c>
    </row>
    <row r="51" spans="1:8" x14ac:dyDescent="0.35">
      <c r="B51" s="5" t="s">
        <v>150</v>
      </c>
      <c r="C51" s="198"/>
      <c r="D51" s="201">
        <v>1.5929203539823078E-2</v>
      </c>
      <c r="E51" s="202">
        <v>-3.5000000000000001E-3</v>
      </c>
      <c r="F51" s="202">
        <v>2.4499511480040148E-2</v>
      </c>
      <c r="G51" s="202">
        <v>2.4499511480040148E-2</v>
      </c>
      <c r="H51" s="203">
        <v>2.4499511480040148E-2</v>
      </c>
    </row>
    <row r="52" spans="1:8" ht="15" thickBot="1" x14ac:dyDescent="0.4">
      <c r="B52" s="5" t="s">
        <v>149</v>
      </c>
      <c r="C52" s="198"/>
      <c r="D52" s="204">
        <v>8.1110208894197445E-3</v>
      </c>
      <c r="E52" s="205">
        <v>9.5465308363126989E-3</v>
      </c>
      <c r="F52" s="205">
        <v>1.2062014329992281E-2</v>
      </c>
      <c r="G52" s="205">
        <v>1.4640982984611651E-2</v>
      </c>
      <c r="H52" s="206">
        <v>1.4877578555722486E-2</v>
      </c>
    </row>
    <row r="53" spans="1:8" x14ac:dyDescent="0.35">
      <c r="C53" s="198"/>
      <c r="D53" s="198"/>
      <c r="E53" s="198"/>
      <c r="F53" s="198"/>
      <c r="G53" s="198"/>
      <c r="H53" s="198"/>
    </row>
    <row r="54" spans="1:8" ht="15" thickBot="1" x14ac:dyDescent="0.4">
      <c r="C54" s="198"/>
      <c r="D54" s="198"/>
      <c r="E54" s="198"/>
      <c r="F54" s="198"/>
      <c r="G54" s="198"/>
      <c r="H54" s="198"/>
    </row>
    <row r="55" spans="1:8" ht="15" thickBot="1" x14ac:dyDescent="0.4">
      <c r="C55" s="366" t="s">
        <v>148</v>
      </c>
      <c r="D55" s="367"/>
      <c r="E55" s="367"/>
      <c r="F55" s="367"/>
      <c r="G55" s="367"/>
      <c r="H55" s="368"/>
    </row>
    <row r="56" spans="1:8" ht="15" thickBot="1" x14ac:dyDescent="0.4">
      <c r="C56" s="207">
        <v>2018</v>
      </c>
      <c r="D56" s="208">
        <v>2019</v>
      </c>
      <c r="E56" s="208">
        <v>2020</v>
      </c>
      <c r="F56" s="208">
        <v>2021</v>
      </c>
      <c r="G56" s="208">
        <v>2022</v>
      </c>
      <c r="H56" s="209">
        <v>2023</v>
      </c>
    </row>
    <row r="57" spans="1:8" x14ac:dyDescent="0.35">
      <c r="B57" s="5" t="s">
        <v>151</v>
      </c>
      <c r="C57" s="347">
        <v>1</v>
      </c>
      <c r="D57" s="349">
        <f>+C57*(1+D51)</f>
        <v>1.0159292035398231</v>
      </c>
      <c r="E57" s="349">
        <f>+D57*(1+E51)</f>
        <v>1.0123734513274338</v>
      </c>
      <c r="F57" s="349">
        <f t="shared" ref="F57:H58" si="0">+E57*(1+F51)</f>
        <v>1.0371761063203182</v>
      </c>
      <c r="G57" s="349">
        <f t="shared" si="0"/>
        <v>1.0625864142439361</v>
      </c>
      <c r="H57" s="349">
        <f t="shared" si="0"/>
        <v>1.08861926229824</v>
      </c>
    </row>
    <row r="58" spans="1:8" x14ac:dyDescent="0.35">
      <c r="B58" s="5" t="s">
        <v>152</v>
      </c>
      <c r="C58" s="348">
        <v>1</v>
      </c>
      <c r="D58" s="350">
        <f>+C58*(1+D52)</f>
        <v>1.0081110208894197</v>
      </c>
      <c r="E58" s="350">
        <f>+D58*(1+E52)</f>
        <v>1.0177349838367673</v>
      </c>
      <c r="F58" s="350">
        <f t="shared" si="0"/>
        <v>1.0300109177959409</v>
      </c>
      <c r="G58" s="350">
        <f t="shared" si="0"/>
        <v>1.0450912901173555</v>
      </c>
      <c r="H58" s="350">
        <f t="shared" si="0"/>
        <v>1.0606397178839777</v>
      </c>
    </row>
    <row r="61" spans="1:8" ht="15" thickBot="1" x14ac:dyDescent="0.4">
      <c r="C61" s="108"/>
      <c r="D61" s="108"/>
      <c r="E61" s="108"/>
    </row>
    <row r="62" spans="1:8" ht="15" thickBot="1" x14ac:dyDescent="0.4">
      <c r="A62" s="63" t="s">
        <v>186</v>
      </c>
      <c r="B62" s="227"/>
      <c r="C62" s="199" t="s">
        <v>187</v>
      </c>
      <c r="D62" s="200" t="s">
        <v>250</v>
      </c>
      <c r="E62" s="200" t="s">
        <v>249</v>
      </c>
    </row>
    <row r="63" spans="1:8" ht="15" thickBot="1" x14ac:dyDescent="0.4">
      <c r="A63" s="227"/>
      <c r="B63" s="227" t="s">
        <v>188</v>
      </c>
      <c r="C63" s="337">
        <v>1.5900000000000001E-2</v>
      </c>
      <c r="D63" s="338">
        <f>+E51</f>
        <v>-3.5000000000000001E-3</v>
      </c>
      <c r="E63" s="351">
        <f>+E57-1</f>
        <v>1.2373451327433838E-2</v>
      </c>
    </row>
    <row r="64" spans="1:8" x14ac:dyDescent="0.35">
      <c r="A64" s="227"/>
      <c r="B64" s="227" t="s">
        <v>189</v>
      </c>
      <c r="C64" s="227"/>
      <c r="D64" s="76"/>
      <c r="E64" s="227"/>
    </row>
    <row r="65" spans="1:5" x14ac:dyDescent="0.35">
      <c r="A65" s="227"/>
      <c r="B65" s="227"/>
      <c r="C65" s="76"/>
      <c r="D65" s="76"/>
      <c r="E65" s="227"/>
    </row>
  </sheetData>
  <mergeCells count="2">
    <mergeCell ref="D49:H49"/>
    <mergeCell ref="C55:H55"/>
  </mergeCells>
  <pageMargins left="0.7" right="0.7" top="0.75" bottom="0.75" header="0.3" footer="0.3"/>
  <pageSetup paperSize="9"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499984740745262"/>
    <pageSetUpPr fitToPage="1"/>
  </sheetPr>
  <dimension ref="A1:U19"/>
  <sheetViews>
    <sheetView showGridLines="0" zoomScale="80" zoomScaleNormal="80" workbookViewId="0"/>
  </sheetViews>
  <sheetFormatPr defaultColWidth="9.1796875" defaultRowHeight="14.5" x14ac:dyDescent="0.35"/>
  <cols>
    <col min="1" max="1" width="4.7265625" style="5" customWidth="1"/>
    <col min="2" max="2" width="45.7265625" style="5" customWidth="1"/>
    <col min="3" max="4" width="17.54296875" style="5" customWidth="1"/>
    <col min="5" max="5" width="17.54296875" style="227" customWidth="1"/>
    <col min="6" max="6" width="17.54296875" style="1" customWidth="1"/>
    <col min="7" max="7" width="9.1796875" style="5"/>
    <col min="8" max="9" width="17.54296875" style="5" customWidth="1"/>
    <col min="10" max="10" width="17.54296875" style="227" customWidth="1"/>
    <col min="11" max="11" width="17.54296875" style="5" customWidth="1"/>
    <col min="12" max="12" width="9.1796875" style="5"/>
    <col min="13" max="14" width="17.54296875" style="5" customWidth="1"/>
    <col min="15" max="15" width="17.54296875" style="227" customWidth="1"/>
    <col min="16" max="16" width="17.54296875" style="5" customWidth="1"/>
    <col min="17" max="16384" width="9.1796875" style="5"/>
  </cols>
  <sheetData>
    <row r="1" spans="1:21" s="227" customFormat="1" ht="23.5" x14ac:dyDescent="0.55000000000000004">
      <c r="A1" s="192" t="s">
        <v>223</v>
      </c>
      <c r="F1" s="1"/>
    </row>
    <row r="2" spans="1:21" ht="18.5" x14ac:dyDescent="0.45">
      <c r="A2" s="342" t="s">
        <v>259</v>
      </c>
      <c r="C2" s="135"/>
      <c r="D2" s="135"/>
      <c r="E2" s="135"/>
    </row>
    <row r="3" spans="1:21" x14ac:dyDescent="0.35">
      <c r="C3" s="181" t="s">
        <v>155</v>
      </c>
      <c r="D3" s="179"/>
      <c r="E3" s="179"/>
      <c r="F3" s="180"/>
      <c r="H3" s="178" t="s">
        <v>154</v>
      </c>
      <c r="I3" s="176"/>
      <c r="J3" s="176"/>
      <c r="K3" s="177"/>
      <c r="M3" s="172" t="s">
        <v>153</v>
      </c>
      <c r="N3" s="173"/>
      <c r="O3" s="173"/>
      <c r="P3" s="174"/>
    </row>
    <row r="4" spans="1:21" s="45" customFormat="1" ht="60" customHeight="1" x14ac:dyDescent="0.35">
      <c r="B4" s="154" t="s">
        <v>119</v>
      </c>
      <c r="C4" s="170" t="s">
        <v>121</v>
      </c>
      <c r="D4" s="170" t="s">
        <v>122</v>
      </c>
      <c r="E4" s="170" t="s">
        <v>241</v>
      </c>
      <c r="F4" s="182" t="s">
        <v>139</v>
      </c>
      <c r="H4" s="170" t="s">
        <v>121</v>
      </c>
      <c r="I4" s="170" t="s">
        <v>122</v>
      </c>
      <c r="J4" s="170" t="s">
        <v>241</v>
      </c>
      <c r="K4" s="175" t="s">
        <v>139</v>
      </c>
      <c r="M4" s="170" t="s">
        <v>121</v>
      </c>
      <c r="N4" s="170" t="s">
        <v>122</v>
      </c>
      <c r="O4" s="170" t="s">
        <v>241</v>
      </c>
      <c r="P4" s="171" t="s">
        <v>139</v>
      </c>
      <c r="R4" s="352" t="s">
        <v>262</v>
      </c>
      <c r="S4" s="352"/>
      <c r="T4" s="352"/>
      <c r="U4" s="352"/>
    </row>
    <row r="5" spans="1:21" s="169" customFormat="1" ht="15" thickBot="1" x14ac:dyDescent="0.4">
      <c r="R5" s="353"/>
      <c r="S5" s="353"/>
      <c r="T5" s="353"/>
      <c r="U5" s="353"/>
    </row>
    <row r="6" spans="1:21" ht="16.149999999999999" customHeight="1" thickBot="1" x14ac:dyDescent="0.4">
      <c r="B6" s="101" t="s">
        <v>93</v>
      </c>
      <c r="C6" s="105">
        <v>66822.81</v>
      </c>
      <c r="D6" s="105">
        <f>399082.54+310057</f>
        <v>709139.54</v>
      </c>
      <c r="E6" s="105">
        <v>307237</v>
      </c>
      <c r="F6" s="136">
        <f>SUM(C6:E6)</f>
        <v>1083199.3500000001</v>
      </c>
      <c r="H6" s="105">
        <f>+C6/('Key assumptions'!D$58)</f>
        <v>66285.169604677722</v>
      </c>
      <c r="I6" s="105">
        <f>+D6/('Key assumptions'!E$58)</f>
        <v>696782.12035770761</v>
      </c>
      <c r="J6" s="105">
        <f>+E6/('Key assumptions'!F$58)</f>
        <v>298285.18775066792</v>
      </c>
      <c r="K6" s="136">
        <f>SUM(H6:J6)</f>
        <v>1061352.4777130531</v>
      </c>
      <c r="M6" s="105">
        <f>+H6/(1+'Key assumptions'!$C$63)</f>
        <v>65247.730686758267</v>
      </c>
      <c r="N6" s="105">
        <f>+I6/(1+'Key assumptions'!$E$63)</f>
        <v>688265.89579574624</v>
      </c>
      <c r="O6" s="105">
        <f>+J6/(1+'Key assumptions'!$E$63)</f>
        <v>294639.48047981056</v>
      </c>
      <c r="P6" s="136">
        <f>SUM(M6:O6)</f>
        <v>1048153.106962315</v>
      </c>
      <c r="R6" s="354">
        <f>+M6/1000000</f>
        <v>6.5247730686758265E-2</v>
      </c>
      <c r="S6" s="354">
        <f t="shared" ref="S6:U6" si="0">+N6/1000000</f>
        <v>0.68826589579574626</v>
      </c>
      <c r="T6" s="354">
        <f t="shared" si="0"/>
        <v>0.29463948047981053</v>
      </c>
      <c r="U6" s="354">
        <f t="shared" si="0"/>
        <v>1.0481531069623151</v>
      </c>
    </row>
    <row r="7" spans="1:21" ht="15" thickBot="1" x14ac:dyDescent="0.4">
      <c r="C7" s="51"/>
      <c r="D7" s="51"/>
      <c r="E7" s="51"/>
      <c r="F7" s="137"/>
      <c r="H7" s="51"/>
      <c r="I7" s="51"/>
      <c r="J7" s="51"/>
      <c r="K7" s="137"/>
      <c r="M7" s="51"/>
      <c r="N7" s="51"/>
      <c r="O7" s="51"/>
      <c r="P7" s="137"/>
      <c r="R7" s="21"/>
      <c r="S7" s="21"/>
      <c r="T7" s="21"/>
      <c r="U7" s="21"/>
    </row>
    <row r="8" spans="1:21" ht="15" thickBot="1" x14ac:dyDescent="0.4">
      <c r="B8" s="101" t="s">
        <v>74</v>
      </c>
      <c r="C8" s="105">
        <f>SUM(C9:C10)</f>
        <v>21.19</v>
      </c>
      <c r="D8" s="105">
        <f>SUM(D9:D10)</f>
        <v>60979.520000000004</v>
      </c>
      <c r="E8" s="105">
        <f>SUM(E9:E10)</f>
        <v>1537</v>
      </c>
      <c r="F8" s="136">
        <f>SUM(F9:F10)</f>
        <v>62537.710000000006</v>
      </c>
      <c r="H8" s="105">
        <f t="shared" ref="H8:I8" si="1">SUM(H9:H10)</f>
        <v>21.19</v>
      </c>
      <c r="I8" s="105">
        <f t="shared" si="1"/>
        <v>60979.520000000004</v>
      </c>
      <c r="J8" s="105">
        <f>+E8/('Key assumptions'!F$58)</f>
        <v>1492.2171925021289</v>
      </c>
      <c r="K8" s="136">
        <f>SUM(K9:K10)</f>
        <v>62537.710000000006</v>
      </c>
      <c r="M8" s="105">
        <f t="shared" ref="M8" si="2">SUM(M9:M10)</f>
        <v>20.858352200019688</v>
      </c>
      <c r="N8" s="105">
        <f t="shared" ref="N8" si="3">SUM(N9:N10)</f>
        <v>60234.214874010249</v>
      </c>
      <c r="O8" s="105">
        <f>+J8/(1+'Key assumptions'!$E$63)</f>
        <v>1473.9789852702274</v>
      </c>
      <c r="P8" s="136">
        <f>SUM(P9:P10)</f>
        <v>61773.287673640385</v>
      </c>
      <c r="R8" s="354">
        <f>+M8/1000000</f>
        <v>2.0858352200019687E-5</v>
      </c>
      <c r="S8" s="354">
        <f t="shared" ref="S8:S10" si="4">+N8/1000000</f>
        <v>6.0234214874010247E-2</v>
      </c>
      <c r="T8" s="354">
        <f t="shared" ref="T8:T10" si="5">+O8/1000000</f>
        <v>1.4739789852702275E-3</v>
      </c>
      <c r="U8" s="354">
        <f t="shared" ref="U8:U10" si="6">+P8/1000000</f>
        <v>6.1773287673640383E-2</v>
      </c>
    </row>
    <row r="9" spans="1:21" ht="15" thickBot="1" x14ac:dyDescent="0.4">
      <c r="B9" s="91" t="s">
        <v>25</v>
      </c>
      <c r="C9" s="95">
        <v>21.19</v>
      </c>
      <c r="D9" s="95">
        <f>56102+4877.52</f>
        <v>60979.520000000004</v>
      </c>
      <c r="E9" s="95">
        <v>691</v>
      </c>
      <c r="F9" s="96">
        <f>SUM(C9:E9)</f>
        <v>61691.710000000006</v>
      </c>
      <c r="H9" s="95">
        <f t="shared" ref="H9:J10" si="7">+C9</f>
        <v>21.19</v>
      </c>
      <c r="I9" s="95">
        <f t="shared" si="7"/>
        <v>60979.520000000004</v>
      </c>
      <c r="J9" s="95">
        <f t="shared" si="7"/>
        <v>691</v>
      </c>
      <c r="K9" s="96">
        <f>SUM(H9:J9)</f>
        <v>61691.710000000006</v>
      </c>
      <c r="M9" s="95">
        <f>+H9/(1+'Key assumptions'!$C$63)</f>
        <v>20.858352200019688</v>
      </c>
      <c r="N9" s="95">
        <f>+I9/(1+'Key assumptions'!$E$63)</f>
        <v>60234.214874010249</v>
      </c>
      <c r="O9" s="95">
        <f>+J9/(1+'Key assumptions'!$E$63)</f>
        <v>682.55444578673428</v>
      </c>
      <c r="P9" s="96">
        <f>SUM(M9:O9)</f>
        <v>60937.627671997005</v>
      </c>
      <c r="R9" s="354">
        <f t="shared" ref="R9:R10" si="8">+M9/1000000</f>
        <v>2.0858352200019687E-5</v>
      </c>
      <c r="S9" s="354">
        <f t="shared" si="4"/>
        <v>6.0234214874010247E-2</v>
      </c>
      <c r="T9" s="354">
        <f t="shared" si="5"/>
        <v>6.8255444578673428E-4</v>
      </c>
      <c r="U9" s="354">
        <f t="shared" si="6"/>
        <v>6.0937627671997008E-2</v>
      </c>
    </row>
    <row r="10" spans="1:21" ht="15" thickBot="1" x14ac:dyDescent="0.4">
      <c r="B10" s="91" t="s">
        <v>38</v>
      </c>
      <c r="C10" s="95"/>
      <c r="D10" s="95"/>
      <c r="E10" s="95">
        <v>846</v>
      </c>
      <c r="F10" s="96">
        <f>SUM(C10:E10)</f>
        <v>846</v>
      </c>
      <c r="H10" s="95">
        <f t="shared" si="7"/>
        <v>0</v>
      </c>
      <c r="I10" s="95">
        <f t="shared" si="7"/>
        <v>0</v>
      </c>
      <c r="J10" s="95">
        <f t="shared" si="7"/>
        <v>846</v>
      </c>
      <c r="K10" s="96">
        <f>SUM(H10:J10)</f>
        <v>846</v>
      </c>
      <c r="M10" s="95">
        <f>+H10/(1+'Key assumptions'!$C$63)</f>
        <v>0</v>
      </c>
      <c r="N10" s="95">
        <f>+I10/(1+'Key assumptions'!$E$63)</f>
        <v>0</v>
      </c>
      <c r="O10" s="95">
        <f>+J10/(1+'Key assumptions'!$E$63)</f>
        <v>835.66000164338232</v>
      </c>
      <c r="P10" s="96">
        <f>SUM(M10:O10)</f>
        <v>835.66000164338232</v>
      </c>
      <c r="R10" s="354">
        <f t="shared" si="8"/>
        <v>0</v>
      </c>
      <c r="S10" s="354">
        <f t="shared" si="4"/>
        <v>0</v>
      </c>
      <c r="T10" s="354">
        <f t="shared" si="5"/>
        <v>8.3566000164338227E-4</v>
      </c>
      <c r="U10" s="354">
        <f t="shared" si="6"/>
        <v>8.3566000164338227E-4</v>
      </c>
    </row>
    <row r="11" spans="1:21" ht="15" thickBot="1" x14ac:dyDescent="0.4">
      <c r="C11" s="51"/>
      <c r="D11" s="51"/>
      <c r="E11" s="51"/>
      <c r="F11" s="137"/>
      <c r="H11" s="51"/>
      <c r="I11" s="51"/>
      <c r="J11" s="51"/>
      <c r="K11" s="137"/>
      <c r="M11" s="51"/>
      <c r="N11" s="51"/>
      <c r="O11" s="51"/>
      <c r="P11" s="137"/>
      <c r="R11" s="21"/>
      <c r="S11" s="21"/>
      <c r="T11" s="21"/>
      <c r="U11" s="21"/>
    </row>
    <row r="12" spans="1:21" ht="15" thickBot="1" x14ac:dyDescent="0.4">
      <c r="B12" s="101" t="s">
        <v>53</v>
      </c>
      <c r="C12" s="105">
        <f>SUM(C13:C15)</f>
        <v>202503.08000000002</v>
      </c>
      <c r="D12" s="105">
        <f>SUM(D13:D15)</f>
        <v>977844.24</v>
      </c>
      <c r="E12" s="105">
        <f>SUM(E13:E15)</f>
        <v>682277</v>
      </c>
      <c r="F12" s="136">
        <f t="shared" ref="F12:F15" si="9">SUM(C12:E12)</f>
        <v>1862624.32</v>
      </c>
      <c r="H12" s="105">
        <f>SUM(H13:H15)</f>
        <v>202503.08000000002</v>
      </c>
      <c r="I12" s="105">
        <f>SUM(I13:I15)</f>
        <v>977844.24</v>
      </c>
      <c r="J12" s="105">
        <f>SUM(J13:J15)</f>
        <v>682277</v>
      </c>
      <c r="K12" s="136">
        <f t="shared" ref="K12:K15" si="10">SUM(H12:J12)</f>
        <v>1862624.32</v>
      </c>
      <c r="M12" s="105">
        <f>SUM(M13:M15)</f>
        <v>199333.67457426916</v>
      </c>
      <c r="N12" s="105">
        <f>SUM(N13:N15)</f>
        <v>965892.81229949405</v>
      </c>
      <c r="O12" s="105">
        <f>+J12/(1+'Key assumptions'!$E$63)</f>
        <v>673938.06021423405</v>
      </c>
      <c r="P12" s="136">
        <f t="shared" ref="P12:P15" si="11">SUM(M12:O12)</f>
        <v>1839164.5470879972</v>
      </c>
      <c r="R12" s="354">
        <f>+M12/1000000</f>
        <v>0.19933367457426915</v>
      </c>
      <c r="S12" s="354">
        <f t="shared" ref="S12:S15" si="12">+N12/1000000</f>
        <v>0.96589281229949409</v>
      </c>
      <c r="T12" s="354">
        <f t="shared" ref="T12:T15" si="13">+O12/1000000</f>
        <v>0.67393806021423408</v>
      </c>
      <c r="U12" s="354">
        <f t="shared" ref="U12:U15" si="14">+P12/1000000</f>
        <v>1.8391645470879971</v>
      </c>
    </row>
    <row r="13" spans="1:21" ht="15" thickBot="1" x14ac:dyDescent="0.4">
      <c r="B13" s="91" t="s">
        <v>182</v>
      </c>
      <c r="C13" s="95">
        <f>4500+274533-98832.92</f>
        <v>180200.08000000002</v>
      </c>
      <c r="D13" s="95">
        <f>579395-421917.76+148926-58789</f>
        <v>247614.24</v>
      </c>
      <c r="E13" s="95">
        <f>353261-265323</f>
        <v>87938</v>
      </c>
      <c r="F13" s="96">
        <f t="shared" si="9"/>
        <v>515752.32</v>
      </c>
      <c r="H13" s="95">
        <f t="shared" ref="H13:J15" si="15">+C13</f>
        <v>180200.08000000002</v>
      </c>
      <c r="I13" s="95">
        <f t="shared" si="15"/>
        <v>247614.24</v>
      </c>
      <c r="J13" s="95">
        <f t="shared" si="15"/>
        <v>87938</v>
      </c>
      <c r="K13" s="96">
        <f t="shared" si="10"/>
        <v>515752.32</v>
      </c>
      <c r="M13" s="95">
        <f>+H13/(1+'Key assumptions'!$C$63)</f>
        <v>177379.74210060047</v>
      </c>
      <c r="N13" s="95">
        <f>+I13/(1+'Key assumptions'!$E$63)</f>
        <v>244587.84421433197</v>
      </c>
      <c r="O13" s="95">
        <f>+J13/(1+'Key assumptions'!$E$63)</f>
        <v>86863.20239304463</v>
      </c>
      <c r="P13" s="96">
        <f t="shared" si="11"/>
        <v>508830.78870797704</v>
      </c>
      <c r="R13" s="354">
        <f>+M13/1000000</f>
        <v>0.17737974210060048</v>
      </c>
      <c r="S13" s="354">
        <f t="shared" si="12"/>
        <v>0.24458784421433197</v>
      </c>
      <c r="T13" s="354">
        <f t="shared" si="13"/>
        <v>8.6863202393044625E-2</v>
      </c>
      <c r="U13" s="354">
        <f t="shared" si="14"/>
        <v>0.50883078870797704</v>
      </c>
    </row>
    <row r="14" spans="1:21" ht="15" thickBot="1" x14ac:dyDescent="0.4">
      <c r="B14" s="91" t="s">
        <v>181</v>
      </c>
      <c r="C14" s="95">
        <v>22303</v>
      </c>
      <c r="D14" s="95">
        <f>305046+190716</f>
        <v>495762</v>
      </c>
      <c r="E14" s="95">
        <v>224444</v>
      </c>
      <c r="F14" s="96">
        <f t="shared" si="9"/>
        <v>742509</v>
      </c>
      <c r="H14" s="95">
        <f t="shared" si="15"/>
        <v>22303</v>
      </c>
      <c r="I14" s="95">
        <f t="shared" si="15"/>
        <v>495762</v>
      </c>
      <c r="J14" s="95">
        <f t="shared" si="15"/>
        <v>224444</v>
      </c>
      <c r="K14" s="96">
        <f t="shared" si="10"/>
        <v>742509</v>
      </c>
      <c r="M14" s="95">
        <f>+H14/(1+'Key assumptions'!$C$63)</f>
        <v>21953.932473668669</v>
      </c>
      <c r="N14" s="95">
        <f>+I14/(1+'Key assumptions'!$E$63)</f>
        <v>489702.68762970035</v>
      </c>
      <c r="O14" s="95">
        <f>+J14/(1+'Key assumptions'!$E$63)</f>
        <v>221700.79599154528</v>
      </c>
      <c r="P14" s="96">
        <f t="shared" si="11"/>
        <v>733357.41609491431</v>
      </c>
      <c r="R14" s="354">
        <f>+M14/1000000</f>
        <v>2.1953932473668669E-2</v>
      </c>
      <c r="S14" s="354">
        <f t="shared" si="12"/>
        <v>0.48970268762970037</v>
      </c>
      <c r="T14" s="354">
        <f t="shared" si="13"/>
        <v>0.22170079599154527</v>
      </c>
      <c r="U14" s="354">
        <f t="shared" si="14"/>
        <v>0.73335741609491434</v>
      </c>
    </row>
    <row r="15" spans="1:21" ht="15" thickBot="1" x14ac:dyDescent="0.4">
      <c r="B15" s="91" t="s">
        <v>99</v>
      </c>
      <c r="C15" s="95"/>
      <c r="D15" s="95">
        <f>1819+832+262+231555</f>
        <v>234468</v>
      </c>
      <c r="E15" s="95">
        <v>369895</v>
      </c>
      <c r="F15" s="96">
        <f t="shared" si="9"/>
        <v>604363</v>
      </c>
      <c r="H15" s="95">
        <f t="shared" si="15"/>
        <v>0</v>
      </c>
      <c r="I15" s="95">
        <f t="shared" si="15"/>
        <v>234468</v>
      </c>
      <c r="J15" s="95">
        <f t="shared" si="15"/>
        <v>369895</v>
      </c>
      <c r="K15" s="96">
        <f t="shared" si="10"/>
        <v>604363</v>
      </c>
      <c r="M15" s="95">
        <f>+H15/(1+'Key assumptions'!$C$63)</f>
        <v>0</v>
      </c>
      <c r="N15" s="95">
        <f>+I15/(1+'Key assumptions'!$E$63)</f>
        <v>231602.28045546167</v>
      </c>
      <c r="O15" s="95">
        <f>+J15/(1+'Key assumptions'!$E$63)</f>
        <v>365374.06182964408</v>
      </c>
      <c r="P15" s="96">
        <f t="shared" si="11"/>
        <v>596976.34228510573</v>
      </c>
      <c r="R15" s="354">
        <f>+M15/1000000</f>
        <v>0</v>
      </c>
      <c r="S15" s="354">
        <f t="shared" si="12"/>
        <v>0.23160228045546166</v>
      </c>
      <c r="T15" s="354">
        <f t="shared" si="13"/>
        <v>0.3653740618296441</v>
      </c>
      <c r="U15" s="354">
        <f t="shared" si="14"/>
        <v>0.59697634228510577</v>
      </c>
    </row>
    <row r="16" spans="1:21" ht="15" thickBot="1" x14ac:dyDescent="0.4">
      <c r="C16" s="51"/>
      <c r="D16" s="51"/>
      <c r="E16" s="51"/>
      <c r="F16" s="137"/>
      <c r="H16" s="51"/>
      <c r="I16" s="51"/>
      <c r="J16" s="51"/>
      <c r="K16" s="137"/>
      <c r="M16" s="51"/>
      <c r="N16" s="51"/>
      <c r="O16" s="51"/>
      <c r="P16" s="137"/>
      <c r="R16" s="21"/>
      <c r="S16" s="21"/>
      <c r="T16" s="21"/>
      <c r="U16" s="21"/>
    </row>
    <row r="17" spans="2:21" ht="15" thickBot="1" x14ac:dyDescent="0.4">
      <c r="B17" s="101" t="s">
        <v>98</v>
      </c>
      <c r="C17" s="136">
        <f>+C12+C8+C6</f>
        <v>269347.08</v>
      </c>
      <c r="D17" s="136">
        <f>+D12+D8+D6</f>
        <v>1747963.3</v>
      </c>
      <c r="E17" s="136">
        <f>+E12+E8+E6</f>
        <v>991051</v>
      </c>
      <c r="F17" s="136">
        <f>SUM(C17:E17)</f>
        <v>3008361.38</v>
      </c>
      <c r="H17" s="136">
        <f t="shared" ref="H17:J17" si="16">+H12+H8+H6</f>
        <v>268809.43960467773</v>
      </c>
      <c r="I17" s="136">
        <f t="shared" si="16"/>
        <v>1735605.8803577076</v>
      </c>
      <c r="J17" s="136">
        <f t="shared" si="16"/>
        <v>982054.40494317003</v>
      </c>
      <c r="K17" s="136">
        <f>SUM(H17:J17)</f>
        <v>2986469.7249055551</v>
      </c>
      <c r="M17" s="136">
        <f t="shared" ref="M17:O17" si="17">+M12+M8+M6</f>
        <v>264602.26361322741</v>
      </c>
      <c r="N17" s="136">
        <f t="shared" si="17"/>
        <v>1714392.9229692505</v>
      </c>
      <c r="O17" s="136">
        <f t="shared" si="17"/>
        <v>970051.51967931492</v>
      </c>
      <c r="P17" s="136">
        <f>SUM(M17:O17)</f>
        <v>2949046.7062617927</v>
      </c>
      <c r="R17" s="354">
        <f>+M17/1000000</f>
        <v>0.26460226361322742</v>
      </c>
      <c r="S17" s="354">
        <f t="shared" ref="S17" si="18">+N17/1000000</f>
        <v>1.7143929229692505</v>
      </c>
      <c r="T17" s="354">
        <f t="shared" ref="T17" si="19">+O17/1000000</f>
        <v>0.97005151967931491</v>
      </c>
      <c r="U17" s="354">
        <f t="shared" ref="U17" si="20">+P17/1000000</f>
        <v>2.9490467062617927</v>
      </c>
    </row>
    <row r="19" spans="2:21" x14ac:dyDescent="0.35">
      <c r="E19" s="119"/>
    </row>
  </sheetData>
  <pageMargins left="0.7" right="0.7" top="0.75" bottom="0.75" header="0.3" footer="0.3"/>
  <pageSetup paperSize="9" scale="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FFFF"/>
    <pageSetUpPr fitToPage="1"/>
  </sheetPr>
  <dimension ref="A1:Z96"/>
  <sheetViews>
    <sheetView showGridLines="0" topLeftCell="A20" zoomScale="80" zoomScaleNormal="80" workbookViewId="0">
      <selection activeCell="A20" sqref="A20"/>
    </sheetView>
  </sheetViews>
  <sheetFormatPr defaultColWidth="8.81640625" defaultRowHeight="14.5" outlineLevelRow="1" x14ac:dyDescent="0.35"/>
  <cols>
    <col min="1" max="1" width="4.7265625" style="5" customWidth="1"/>
    <col min="2" max="2" width="12.54296875" style="5" customWidth="1"/>
    <col min="3" max="3" width="52.7265625" style="5" customWidth="1"/>
    <col min="4" max="4" width="14" style="227" customWidth="1"/>
    <col min="5" max="9" width="13.81640625" style="5" customWidth="1"/>
    <col min="10" max="10" width="13.7265625" style="120" customWidth="1"/>
    <col min="11" max="11" width="12.1796875" style="5" customWidth="1"/>
    <col min="12" max="24" width="14" style="5" customWidth="1"/>
    <col min="25" max="25" width="8.81640625" style="5"/>
    <col min="26" max="26" width="12.26953125" style="5" bestFit="1" customWidth="1"/>
    <col min="27" max="16384" width="8.81640625" style="5"/>
  </cols>
  <sheetData>
    <row r="1" spans="1:12" hidden="1" outlineLevel="1" x14ac:dyDescent="0.35">
      <c r="A1" s="1" t="s">
        <v>45</v>
      </c>
    </row>
    <row r="2" spans="1:12" hidden="1" outlineLevel="1" x14ac:dyDescent="0.35">
      <c r="E2" s="1"/>
    </row>
    <row r="3" spans="1:12" hidden="1" outlineLevel="1" x14ac:dyDescent="0.35">
      <c r="B3" s="77" t="s">
        <v>18</v>
      </c>
      <c r="C3" s="78"/>
      <c r="D3" s="79">
        <f>SUM(D4:D8)</f>
        <v>4395735.2938734042</v>
      </c>
    </row>
    <row r="4" spans="1:12" ht="24" hidden="1" customHeight="1" outlineLevel="1" x14ac:dyDescent="0.35">
      <c r="B4" s="80" t="s">
        <v>7</v>
      </c>
      <c r="C4" s="80"/>
      <c r="D4" s="81">
        <f>'s4. Works Delivery'!C22</f>
        <v>3453592.0068476042</v>
      </c>
      <c r="G4" s="7"/>
    </row>
    <row r="5" spans="1:12" ht="24" hidden="1" customHeight="1" outlineLevel="1" x14ac:dyDescent="0.35">
      <c r="B5" s="80" t="s">
        <v>4</v>
      </c>
      <c r="C5" s="80"/>
      <c r="D5" s="81">
        <f>'s5. Project Development'!K29</f>
        <v>851858.53470381838</v>
      </c>
    </row>
    <row r="6" spans="1:12" ht="24" hidden="1" customHeight="1" outlineLevel="1" x14ac:dyDescent="0.35">
      <c r="B6" s="80" t="s">
        <v>17</v>
      </c>
      <c r="C6" s="80"/>
      <c r="D6" s="82">
        <f>+'s6.1 Land &amp; Environment'!C12</f>
        <v>0</v>
      </c>
    </row>
    <row r="7" spans="1:12" ht="24" hidden="1" customHeight="1" outlineLevel="1" x14ac:dyDescent="0.35">
      <c r="B7" s="80" t="s">
        <v>32</v>
      </c>
      <c r="C7" s="80"/>
      <c r="D7" s="82">
        <f>+'s6.2 Stakeholder &amp; Comm Egmt'!C14</f>
        <v>6459.7523219814248</v>
      </c>
    </row>
    <row r="8" spans="1:12" ht="24" hidden="1" customHeight="1" outlineLevel="1" x14ac:dyDescent="0.35">
      <c r="B8" s="80" t="s">
        <v>31</v>
      </c>
      <c r="C8" s="80"/>
      <c r="D8" s="82">
        <f>'s6.3. Insurance'!BM5</f>
        <v>83825</v>
      </c>
    </row>
    <row r="9" spans="1:12" hidden="1" outlineLevel="1" x14ac:dyDescent="0.35"/>
    <row r="10" spans="1:12" hidden="1" outlineLevel="1" x14ac:dyDescent="0.35">
      <c r="K10" s="29"/>
      <c r="L10" s="29"/>
    </row>
    <row r="11" spans="1:12" ht="60" hidden="1" customHeight="1" outlineLevel="1" x14ac:dyDescent="0.35">
      <c r="C11" s="40"/>
      <c r="D11" s="138" t="s">
        <v>121</v>
      </c>
      <c r="E11" s="138" t="s">
        <v>122</v>
      </c>
      <c r="F11" s="138" t="s">
        <v>123</v>
      </c>
      <c r="G11" s="138" t="s">
        <v>124</v>
      </c>
      <c r="H11" s="138" t="s">
        <v>125</v>
      </c>
      <c r="I11" s="87" t="s">
        <v>88</v>
      </c>
      <c r="K11" s="29"/>
      <c r="L11" s="341"/>
    </row>
    <row r="12" spans="1:12" hidden="1" outlineLevel="1" x14ac:dyDescent="0.35">
      <c r="B12" s="77" t="s">
        <v>30</v>
      </c>
      <c r="C12" s="78"/>
      <c r="D12" s="83"/>
      <c r="E12" s="83"/>
      <c r="F12" s="83"/>
      <c r="G12" s="84"/>
      <c r="H12" s="84"/>
      <c r="I12" s="84"/>
      <c r="L12" s="27"/>
    </row>
    <row r="13" spans="1:12" hidden="1" outlineLevel="1" x14ac:dyDescent="0.35">
      <c r="B13" s="75" t="s">
        <v>7</v>
      </c>
      <c r="C13" s="75"/>
      <c r="D13" s="85">
        <v>0</v>
      </c>
      <c r="E13" s="85">
        <f>'s4. Works Delivery'!G22</f>
        <v>0</v>
      </c>
      <c r="F13" s="85">
        <f>'s4. Works Delivery'!H22</f>
        <v>1818518.9509222223</v>
      </c>
      <c r="G13" s="85">
        <f>'s4. Works Delivery'!I22</f>
        <v>1635073.0559253814</v>
      </c>
      <c r="H13" s="85">
        <f>'s4. Works Delivery'!J22</f>
        <v>0</v>
      </c>
      <c r="I13" s="86">
        <f t="shared" ref="I13:I19" si="0">SUM(D13:H13)</f>
        <v>3453592.0068476037</v>
      </c>
      <c r="L13" s="340"/>
    </row>
    <row r="14" spans="1:12" hidden="1" outlineLevel="1" x14ac:dyDescent="0.35">
      <c r="B14" s="75" t="s">
        <v>4</v>
      </c>
      <c r="C14" s="75"/>
      <c r="D14" s="85">
        <v>0</v>
      </c>
      <c r="E14" s="85">
        <f>'s5. Project Development'!G29</f>
        <v>0</v>
      </c>
      <c r="F14" s="85">
        <f>'s5. Project Development'!H29</f>
        <v>595503.71162538696</v>
      </c>
      <c r="G14" s="85">
        <f>'s5. Project Development'!I29</f>
        <v>256354.82307843142</v>
      </c>
      <c r="H14" s="85">
        <f>'s5. Project Development'!J29</f>
        <v>0</v>
      </c>
      <c r="I14" s="86">
        <f t="shared" si="0"/>
        <v>851858.53470381838</v>
      </c>
      <c r="L14" s="340"/>
    </row>
    <row r="15" spans="1:12" hidden="1" outlineLevel="1" x14ac:dyDescent="0.35">
      <c r="B15" s="75" t="s">
        <v>141</v>
      </c>
      <c r="C15" s="75"/>
      <c r="D15" s="85">
        <v>0</v>
      </c>
      <c r="E15" s="85">
        <f>SUM(E16:E18)</f>
        <v>0</v>
      </c>
      <c r="F15" s="85">
        <f>SUM(F16:F18)</f>
        <v>39903.313660990709</v>
      </c>
      <c r="G15" s="85">
        <f>SUM(G16:G18)</f>
        <v>50381.438660990709</v>
      </c>
      <c r="H15" s="85">
        <f>SUM(H16:H18)</f>
        <v>0</v>
      </c>
      <c r="I15" s="86">
        <f t="shared" si="0"/>
        <v>90284.752321981417</v>
      </c>
      <c r="L15" s="340"/>
    </row>
    <row r="16" spans="1:12" hidden="1" outlineLevel="1" x14ac:dyDescent="0.35">
      <c r="B16" s="156" t="s">
        <v>17</v>
      </c>
      <c r="C16" s="118"/>
      <c r="D16" s="157">
        <v>0</v>
      </c>
      <c r="E16" s="157">
        <f>+'s6.1 Land &amp; Environment'!G12</f>
        <v>0</v>
      </c>
      <c r="F16" s="157">
        <f>+'s6.1 Land &amp; Environment'!H12</f>
        <v>0</v>
      </c>
      <c r="G16" s="157">
        <f>+'s6.1 Land &amp; Environment'!I12</f>
        <v>0</v>
      </c>
      <c r="H16" s="157">
        <f>+'s6.1 Land &amp; Environment'!J12</f>
        <v>0</v>
      </c>
      <c r="I16" s="158">
        <f t="shared" si="0"/>
        <v>0</v>
      </c>
      <c r="L16" s="340"/>
    </row>
    <row r="17" spans="1:24" hidden="1" outlineLevel="1" x14ac:dyDescent="0.35">
      <c r="B17" s="156" t="s">
        <v>32</v>
      </c>
      <c r="C17" s="118"/>
      <c r="D17" s="157">
        <v>0</v>
      </c>
      <c r="E17" s="157">
        <f>+'s6.2 Stakeholder &amp; Comm Egmt'!G14</f>
        <v>0</v>
      </c>
      <c r="F17" s="157">
        <f>+'s6.2 Stakeholder &amp; Comm Egmt'!H14</f>
        <v>3229.8761609907124</v>
      </c>
      <c r="G17" s="157">
        <f>+'s6.2 Stakeholder &amp; Comm Egmt'!I14</f>
        <v>3229.8761609907124</v>
      </c>
      <c r="H17" s="157">
        <f>+'s6.2 Stakeholder &amp; Comm Egmt'!J14</f>
        <v>0</v>
      </c>
      <c r="I17" s="158">
        <f t="shared" si="0"/>
        <v>6459.7523219814248</v>
      </c>
      <c r="L17" s="340"/>
    </row>
    <row r="18" spans="1:24" ht="15" hidden="1" outlineLevel="1" thickBot="1" x14ac:dyDescent="0.4">
      <c r="B18" s="156" t="s">
        <v>31</v>
      </c>
      <c r="C18" s="118"/>
      <c r="D18" s="157">
        <v>0</v>
      </c>
      <c r="E18" s="157">
        <f>'s6.3. Insurance'!BI5</f>
        <v>0</v>
      </c>
      <c r="F18" s="157">
        <f>'s6.3. Insurance'!BJ5</f>
        <v>36673.4375</v>
      </c>
      <c r="G18" s="157">
        <f>'s6.3. Insurance'!BK5</f>
        <v>47151.5625</v>
      </c>
      <c r="H18" s="157">
        <f>'s6.3. Insurance'!BL5</f>
        <v>0</v>
      </c>
      <c r="I18" s="158">
        <f t="shared" si="0"/>
        <v>83825</v>
      </c>
      <c r="L18" s="340"/>
    </row>
    <row r="19" spans="1:24" ht="15" hidden="1" outlineLevel="1" thickBot="1" x14ac:dyDescent="0.4">
      <c r="B19" s="155" t="s">
        <v>43</v>
      </c>
      <c r="C19" s="101"/>
      <c r="D19" s="111">
        <f>SUM(D13:D15)</f>
        <v>0</v>
      </c>
      <c r="E19" s="111">
        <f>SUM(E13:E15)</f>
        <v>0</v>
      </c>
      <c r="F19" s="111">
        <f>SUM(F13:F15)</f>
        <v>2453925.9762086002</v>
      </c>
      <c r="G19" s="111">
        <f>SUM(G13:G15)</f>
        <v>1941809.3176648035</v>
      </c>
      <c r="H19" s="111">
        <f>SUM(H13:H15)</f>
        <v>0</v>
      </c>
      <c r="I19" s="197">
        <f t="shared" si="0"/>
        <v>4395735.2938734032</v>
      </c>
      <c r="L19" s="340"/>
    </row>
    <row r="20" spans="1:24" ht="23.5" collapsed="1" x14ac:dyDescent="0.55000000000000004">
      <c r="A20" s="192" t="s">
        <v>222</v>
      </c>
      <c r="E20" s="76"/>
    </row>
    <row r="21" spans="1:24" x14ac:dyDescent="0.35">
      <c r="A21" s="1" t="s">
        <v>127</v>
      </c>
    </row>
    <row r="23" spans="1:24" x14ac:dyDescent="0.35">
      <c r="B23" s="77" t="s">
        <v>18</v>
      </c>
      <c r="C23" s="78"/>
      <c r="D23" s="79">
        <f>SUM(D24:D28)</f>
        <v>4300204.9428004036</v>
      </c>
    </row>
    <row r="24" spans="1:24" x14ac:dyDescent="0.35">
      <c r="B24" s="80" t="s">
        <v>7</v>
      </c>
      <c r="C24" s="80"/>
      <c r="D24" s="81">
        <f>'s4. Works Delivery'!E22</f>
        <v>3377370.9945802628</v>
      </c>
    </row>
    <row r="25" spans="1:24" x14ac:dyDescent="0.35">
      <c r="B25" s="80" t="s">
        <v>4</v>
      </c>
      <c r="C25" s="80"/>
      <c r="D25" s="81">
        <f>'s5. Project Development'!W29</f>
        <v>833724.9931802873</v>
      </c>
    </row>
    <row r="26" spans="1:24" x14ac:dyDescent="0.35">
      <c r="B26" s="80" t="s">
        <v>17</v>
      </c>
      <c r="C26" s="80"/>
      <c r="D26" s="82">
        <f>+'s6.1 Land &amp; Environment'!E12</f>
        <v>0</v>
      </c>
    </row>
    <row r="27" spans="1:24" x14ac:dyDescent="0.35">
      <c r="B27" s="80" t="s">
        <v>32</v>
      </c>
      <c r="C27" s="80"/>
      <c r="D27" s="82">
        <f>+'s6.2 Stakeholder &amp; Comm Egmt'!E14</f>
        <v>6308.4826547976472</v>
      </c>
    </row>
    <row r="28" spans="1:24" x14ac:dyDescent="0.35">
      <c r="B28" s="80" t="s">
        <v>31</v>
      </c>
      <c r="C28" s="80"/>
      <c r="D28" s="82">
        <f>'s6.3. Insurance'!BS5</f>
        <v>82800.472385054993</v>
      </c>
    </row>
    <row r="30" spans="1:24" s="227" customFormat="1" ht="15" thickBot="1" x14ac:dyDescent="0.4">
      <c r="J30" s="120"/>
    </row>
    <row r="31" spans="1:24" ht="60" customHeight="1" thickBot="1" x14ac:dyDescent="0.4">
      <c r="C31" s="40"/>
      <c r="D31" s="241" t="s">
        <v>121</v>
      </c>
      <c r="E31" s="242" t="s">
        <v>122</v>
      </c>
      <c r="F31" s="242" t="s">
        <v>123</v>
      </c>
      <c r="G31" s="242" t="s">
        <v>124</v>
      </c>
      <c r="H31" s="242" t="s">
        <v>125</v>
      </c>
      <c r="I31" s="243" t="s">
        <v>88</v>
      </c>
      <c r="J31" s="183" t="s">
        <v>142</v>
      </c>
      <c r="L31" s="227"/>
      <c r="M31" s="227"/>
      <c r="N31" s="227"/>
      <c r="O31" s="227"/>
      <c r="P31" s="227"/>
      <c r="Q31" s="227"/>
      <c r="R31" s="227"/>
      <c r="S31" s="227"/>
      <c r="T31" s="227"/>
      <c r="U31" s="227"/>
      <c r="V31" s="227"/>
      <c r="W31" s="227"/>
      <c r="X31" s="227"/>
    </row>
    <row r="32" spans="1:24" ht="15" thickBot="1" x14ac:dyDescent="0.4">
      <c r="B32" s="88" t="s">
        <v>30</v>
      </c>
      <c r="C32" s="89"/>
      <c r="D32" s="231" t="s">
        <v>156</v>
      </c>
      <c r="E32" s="231" t="s">
        <v>156</v>
      </c>
      <c r="F32" s="232" t="s">
        <v>156</v>
      </c>
      <c r="G32" s="232" t="s">
        <v>156</v>
      </c>
      <c r="H32" s="232" t="s">
        <v>156</v>
      </c>
      <c r="I32" s="233" t="s">
        <v>156</v>
      </c>
      <c r="K32" s="34"/>
      <c r="L32" s="34"/>
      <c r="M32" s="34"/>
      <c r="N32" s="34"/>
      <c r="O32" s="34"/>
      <c r="P32" s="34"/>
      <c r="Q32" s="34"/>
      <c r="R32" s="34"/>
      <c r="S32" s="34"/>
      <c r="T32" s="34"/>
      <c r="U32" s="34"/>
      <c r="V32" s="34"/>
      <c r="W32" s="34"/>
      <c r="X32" s="227"/>
    </row>
    <row r="33" spans="2:26" x14ac:dyDescent="0.35">
      <c r="B33" s="255" t="s">
        <v>7</v>
      </c>
      <c r="C33" s="90"/>
      <c r="D33" s="85">
        <v>0</v>
      </c>
      <c r="E33" s="85">
        <f>+'s4. Works Delivery'!S22</f>
        <v>0</v>
      </c>
      <c r="F33" s="85">
        <f>+'s4. Works Delivery'!T22</f>
        <v>1778596.3773627742</v>
      </c>
      <c r="G33" s="85">
        <f>+'s4. Works Delivery'!U22</f>
        <v>1598774.6172174881</v>
      </c>
      <c r="H33" s="85">
        <f>+'s4. Works Delivery'!V22</f>
        <v>0</v>
      </c>
      <c r="I33" s="235">
        <f t="shared" ref="I33:I39" si="1">SUM(D33:H33)</f>
        <v>3377370.9945802623</v>
      </c>
      <c r="J33" s="159">
        <f t="shared" ref="J33:J39" si="2">I33/$D$23</f>
        <v>0.7853976820883406</v>
      </c>
      <c r="K33" s="355"/>
      <c r="L33" s="355"/>
      <c r="M33" s="355"/>
      <c r="N33" s="355"/>
      <c r="O33" s="355"/>
      <c r="P33" s="356"/>
      <c r="Q33" s="34"/>
      <c r="R33" s="355"/>
      <c r="S33" s="355"/>
      <c r="T33" s="355"/>
      <c r="U33" s="355"/>
      <c r="V33" s="355"/>
      <c r="W33" s="356"/>
      <c r="X33" s="227"/>
    </row>
    <row r="34" spans="2:26" x14ac:dyDescent="0.35">
      <c r="B34" s="256" t="s">
        <v>4</v>
      </c>
      <c r="C34" s="75"/>
      <c r="D34" s="85">
        <v>0</v>
      </c>
      <c r="E34" s="85">
        <f>'s5. Project Development'!S29</f>
        <v>0</v>
      </c>
      <c r="F34" s="85">
        <f>'s5. Project Development'!T29</f>
        <v>583022.91957092728</v>
      </c>
      <c r="G34" s="85">
        <f>'s5. Project Development'!U29</f>
        <v>250702.07360936009</v>
      </c>
      <c r="H34" s="85">
        <f>'s5. Project Development'!V29</f>
        <v>0</v>
      </c>
      <c r="I34" s="235">
        <f t="shared" si="1"/>
        <v>833724.9931802873</v>
      </c>
      <c r="J34" s="159">
        <f t="shared" si="2"/>
        <v>0.19388029274654622</v>
      </c>
      <c r="K34" s="355"/>
      <c r="L34" s="355"/>
      <c r="M34" s="355"/>
      <c r="N34" s="355"/>
      <c r="O34" s="355"/>
      <c r="P34" s="356"/>
      <c r="Q34" s="34"/>
      <c r="R34" s="355"/>
      <c r="S34" s="355"/>
      <c r="T34" s="355"/>
      <c r="U34" s="355"/>
      <c r="V34" s="355"/>
      <c r="W34" s="356"/>
      <c r="X34" s="227"/>
    </row>
    <row r="35" spans="2:26" x14ac:dyDescent="0.35">
      <c r="B35" s="256" t="s">
        <v>141</v>
      </c>
      <c r="C35" s="75"/>
      <c r="D35" s="85">
        <v>0</v>
      </c>
      <c r="E35" s="85">
        <f>SUM(E36:E38)</f>
        <v>0</v>
      </c>
      <c r="F35" s="85">
        <f>SUM(F36:F38)</f>
        <v>39379.447995860377</v>
      </c>
      <c r="G35" s="85">
        <f>SUM(G36:G38)</f>
        <v>49729.507043992257</v>
      </c>
      <c r="H35" s="85">
        <f>SUM(H36:H38)</f>
        <v>0</v>
      </c>
      <c r="I35" s="235">
        <f t="shared" si="1"/>
        <v>89108.955039852633</v>
      </c>
      <c r="J35" s="159">
        <f t="shared" si="2"/>
        <v>2.0722025165112852E-2</v>
      </c>
      <c r="K35" s="355"/>
      <c r="L35" s="355"/>
      <c r="M35" s="355"/>
      <c r="N35" s="355"/>
      <c r="O35" s="355"/>
      <c r="P35" s="356"/>
      <c r="Q35" s="34"/>
      <c r="R35" s="355"/>
      <c r="S35" s="355"/>
      <c r="T35" s="355"/>
      <c r="U35" s="355"/>
      <c r="V35" s="355"/>
      <c r="W35" s="356"/>
      <c r="X35" s="227"/>
    </row>
    <row r="36" spans="2:26" x14ac:dyDescent="0.35">
      <c r="B36" s="257" t="s">
        <v>17</v>
      </c>
      <c r="C36" s="118"/>
      <c r="D36" s="157">
        <v>0</v>
      </c>
      <c r="E36" s="157">
        <f>+'s6.1 Land &amp; Environment'!S12</f>
        <v>0</v>
      </c>
      <c r="F36" s="157">
        <f>+'s6.1 Land &amp; Environment'!T12</f>
        <v>0</v>
      </c>
      <c r="G36" s="157">
        <f>+'s6.1 Land &amp; Environment'!U12</f>
        <v>0</v>
      </c>
      <c r="H36" s="157">
        <f>+'s6.1 Land &amp; Environment'!V12</f>
        <v>0</v>
      </c>
      <c r="I36" s="251">
        <f t="shared" si="1"/>
        <v>0</v>
      </c>
      <c r="J36" s="159">
        <f t="shared" si="2"/>
        <v>0</v>
      </c>
      <c r="K36" s="355"/>
      <c r="L36" s="355"/>
      <c r="M36" s="355"/>
      <c r="N36" s="355"/>
      <c r="O36" s="355"/>
      <c r="P36" s="356"/>
      <c r="Q36" s="34"/>
      <c r="R36" s="355"/>
      <c r="S36" s="355"/>
      <c r="T36" s="355"/>
      <c r="U36" s="355"/>
      <c r="V36" s="355"/>
      <c r="W36" s="356"/>
      <c r="X36" s="227"/>
    </row>
    <row r="37" spans="2:26" x14ac:dyDescent="0.35">
      <c r="B37" s="257" t="s">
        <v>32</v>
      </c>
      <c r="C37" s="118"/>
      <c r="D37" s="157">
        <v>0</v>
      </c>
      <c r="E37" s="157">
        <f>+'s6.2 Stakeholder &amp; Comm Egmt'!S14</f>
        <v>0</v>
      </c>
      <c r="F37" s="157">
        <f>+'s6.2 Stakeholder &amp; Comm Egmt'!T14</f>
        <v>3154.2413273988236</v>
      </c>
      <c r="G37" s="157">
        <f>+'s6.2 Stakeholder &amp; Comm Egmt'!U14</f>
        <v>3154.2413273988236</v>
      </c>
      <c r="H37" s="157">
        <f>+'s6.2 Stakeholder &amp; Comm Egmt'!V14</f>
        <v>0</v>
      </c>
      <c r="I37" s="251">
        <f t="shared" si="1"/>
        <v>6308.4826547976472</v>
      </c>
      <c r="J37" s="159">
        <f t="shared" si="2"/>
        <v>1.4670190697212216E-3</v>
      </c>
      <c r="K37" s="355"/>
      <c r="L37" s="355"/>
      <c r="M37" s="355"/>
      <c r="N37" s="355"/>
      <c r="O37" s="355"/>
      <c r="P37" s="356"/>
      <c r="Q37" s="34"/>
      <c r="R37" s="355"/>
      <c r="S37" s="355"/>
      <c r="T37" s="355"/>
      <c r="U37" s="355"/>
      <c r="V37" s="355"/>
      <c r="W37" s="356"/>
      <c r="X37" s="227"/>
    </row>
    <row r="38" spans="2:26" ht="15" thickBot="1" x14ac:dyDescent="0.4">
      <c r="B38" s="257" t="s">
        <v>31</v>
      </c>
      <c r="C38" s="118"/>
      <c r="D38" s="157">
        <v>0</v>
      </c>
      <c r="E38" s="157">
        <f>'s6.3. Insurance'!BO5</f>
        <v>0</v>
      </c>
      <c r="F38" s="157">
        <f>'s6.3. Insurance'!BP5</f>
        <v>36225.206668461557</v>
      </c>
      <c r="G38" s="157">
        <f>'s6.3. Insurance'!BQ5</f>
        <v>46575.265716593436</v>
      </c>
      <c r="H38" s="157">
        <f>'s6.3. Insurance'!BR5</f>
        <v>0</v>
      </c>
      <c r="I38" s="251">
        <f t="shared" si="1"/>
        <v>82800.472385054993</v>
      </c>
      <c r="J38" s="159">
        <f t="shared" si="2"/>
        <v>1.925500609539163E-2</v>
      </c>
      <c r="K38" s="355"/>
      <c r="L38" s="355"/>
      <c r="M38" s="355"/>
      <c r="N38" s="355"/>
      <c r="O38" s="355"/>
      <c r="P38" s="356"/>
      <c r="Q38" s="34"/>
      <c r="R38" s="355"/>
      <c r="S38" s="355"/>
      <c r="T38" s="355"/>
      <c r="U38" s="355"/>
      <c r="V38" s="355"/>
      <c r="W38" s="356"/>
      <c r="X38" s="227"/>
    </row>
    <row r="39" spans="2:26" ht="15" thickBot="1" x14ac:dyDescent="0.4">
      <c r="B39" s="237" t="s">
        <v>43</v>
      </c>
      <c r="C39" s="238"/>
      <c r="D39" s="239">
        <f>SUM(D33:D35)</f>
        <v>0</v>
      </c>
      <c r="E39" s="239">
        <f>SUM(E33:E35)</f>
        <v>0</v>
      </c>
      <c r="F39" s="239">
        <f>SUM(F33:F35)</f>
        <v>2400998.7449295619</v>
      </c>
      <c r="G39" s="239">
        <f>SUM(G33:G35)</f>
        <v>1899206.1978708403</v>
      </c>
      <c r="H39" s="239">
        <f>SUM(H33:H35)</f>
        <v>0</v>
      </c>
      <c r="I39" s="240">
        <f t="shared" si="1"/>
        <v>4300204.9428004026</v>
      </c>
      <c r="J39" s="159">
        <f t="shared" si="2"/>
        <v>0.99999999999999978</v>
      </c>
      <c r="K39" s="355"/>
      <c r="L39" s="355"/>
      <c r="M39" s="355"/>
      <c r="N39" s="355"/>
      <c r="O39" s="355"/>
      <c r="P39" s="356"/>
      <c r="Q39" s="34"/>
      <c r="R39" s="355"/>
      <c r="S39" s="355"/>
      <c r="T39" s="355"/>
      <c r="U39" s="355"/>
      <c r="V39" s="355"/>
      <c r="W39" s="356"/>
      <c r="X39" s="227"/>
    </row>
    <row r="40" spans="2:26" x14ac:dyDescent="0.35">
      <c r="K40" s="34"/>
      <c r="L40" s="34"/>
      <c r="M40" s="34"/>
      <c r="N40" s="34"/>
      <c r="O40" s="34"/>
      <c r="P40" s="34"/>
      <c r="Q40" s="34"/>
      <c r="R40" s="34"/>
      <c r="S40" s="34"/>
      <c r="T40" s="34"/>
      <c r="U40" s="34"/>
      <c r="V40" s="34"/>
      <c r="W40" s="34"/>
    </row>
    <row r="41" spans="2:26" s="227" customFormat="1" x14ac:dyDescent="0.35">
      <c r="J41" s="120"/>
    </row>
    <row r="42" spans="2:26" s="227" customFormat="1" x14ac:dyDescent="0.35">
      <c r="J42" s="120"/>
    </row>
    <row r="43" spans="2:26" s="227" customFormat="1" ht="23.5" x14ac:dyDescent="0.55000000000000004">
      <c r="B43" s="372" t="s">
        <v>204</v>
      </c>
      <c r="C43" s="372"/>
      <c r="D43" s="268"/>
      <c r="E43" s="268"/>
      <c r="F43" s="268"/>
      <c r="G43" s="268"/>
      <c r="H43" s="268"/>
      <c r="I43" s="268"/>
      <c r="J43" s="269"/>
      <c r="K43" s="268"/>
      <c r="L43" s="268"/>
      <c r="M43" s="268"/>
      <c r="N43" s="268"/>
      <c r="O43" s="268"/>
      <c r="P43" s="268"/>
      <c r="Q43" s="268"/>
      <c r="R43" s="268"/>
      <c r="S43" s="268"/>
      <c r="T43" s="268"/>
      <c r="U43" s="268"/>
      <c r="V43" s="268"/>
      <c r="W43" s="268"/>
    </row>
    <row r="44" spans="2:26" s="227" customFormat="1" ht="15" thickBot="1" x14ac:dyDescent="0.4">
      <c r="J44" s="120"/>
    </row>
    <row r="45" spans="2:26" ht="15" thickBot="1" x14ac:dyDescent="0.4">
      <c r="D45" s="369" t="s">
        <v>204</v>
      </c>
      <c r="E45" s="370"/>
      <c r="F45" s="370"/>
      <c r="G45" s="370"/>
      <c r="H45" s="370"/>
      <c r="I45" s="371"/>
      <c r="K45" s="369" t="s">
        <v>205</v>
      </c>
      <c r="L45" s="370"/>
      <c r="M45" s="370"/>
      <c r="N45" s="370"/>
      <c r="O45" s="370"/>
      <c r="P45" s="371"/>
      <c r="Q45" s="227"/>
      <c r="R45" s="369" t="s">
        <v>206</v>
      </c>
      <c r="S45" s="370"/>
      <c r="T45" s="370"/>
      <c r="U45" s="370"/>
      <c r="V45" s="370"/>
      <c r="W45" s="371"/>
    </row>
    <row r="46" spans="2:26" ht="60" customHeight="1" thickBot="1" x14ac:dyDescent="0.4">
      <c r="C46" s="40"/>
      <c r="D46" s="241" t="s">
        <v>121</v>
      </c>
      <c r="E46" s="242" t="s">
        <v>122</v>
      </c>
      <c r="F46" s="242" t="s">
        <v>123</v>
      </c>
      <c r="G46" s="242" t="s">
        <v>124</v>
      </c>
      <c r="H46" s="242" t="s">
        <v>125</v>
      </c>
      <c r="I46" s="243" t="s">
        <v>88</v>
      </c>
      <c r="K46" s="241" t="s">
        <v>121</v>
      </c>
      <c r="L46" s="242" t="s">
        <v>122</v>
      </c>
      <c r="M46" s="242" t="s">
        <v>123</v>
      </c>
      <c r="N46" s="242" t="s">
        <v>124</v>
      </c>
      <c r="O46" s="242" t="s">
        <v>125</v>
      </c>
      <c r="P46" s="243" t="s">
        <v>88</v>
      </c>
      <c r="Q46" s="227"/>
      <c r="R46" s="241" t="s">
        <v>121</v>
      </c>
      <c r="S46" s="242" t="s">
        <v>122</v>
      </c>
      <c r="T46" s="242" t="s">
        <v>123</v>
      </c>
      <c r="U46" s="242" t="s">
        <v>124</v>
      </c>
      <c r="V46" s="242" t="s">
        <v>125</v>
      </c>
      <c r="W46" s="243" t="s">
        <v>88</v>
      </c>
      <c r="X46" s="227"/>
    </row>
    <row r="47" spans="2:26" ht="15" thickBot="1" x14ac:dyDescent="0.4">
      <c r="B47" s="88" t="s">
        <v>92</v>
      </c>
      <c r="C47" s="89"/>
      <c r="D47" s="231" t="s">
        <v>156</v>
      </c>
      <c r="E47" s="231" t="s">
        <v>156</v>
      </c>
      <c r="F47" s="232" t="s">
        <v>156</v>
      </c>
      <c r="G47" s="232" t="s">
        <v>156</v>
      </c>
      <c r="H47" s="232" t="s">
        <v>156</v>
      </c>
      <c r="I47" s="233" t="s">
        <v>156</v>
      </c>
      <c r="K47" s="266" t="s">
        <v>156</v>
      </c>
      <c r="L47" s="232" t="s">
        <v>156</v>
      </c>
      <c r="M47" s="232" t="s">
        <v>156</v>
      </c>
      <c r="N47" s="232" t="s">
        <v>156</v>
      </c>
      <c r="O47" s="232" t="s">
        <v>156</v>
      </c>
      <c r="P47" s="233" t="s">
        <v>156</v>
      </c>
      <c r="Q47" s="227"/>
      <c r="R47" s="266" t="s">
        <v>156</v>
      </c>
      <c r="S47" s="232" t="s">
        <v>156</v>
      </c>
      <c r="T47" s="232" t="s">
        <v>156</v>
      </c>
      <c r="U47" s="232" t="s">
        <v>156</v>
      </c>
      <c r="V47" s="232" t="s">
        <v>156</v>
      </c>
      <c r="W47" s="233" t="s">
        <v>156</v>
      </c>
      <c r="X47" s="227"/>
    </row>
    <row r="48" spans="2:26" x14ac:dyDescent="0.35">
      <c r="B48" s="255" t="s">
        <v>7</v>
      </c>
      <c r="C48" s="90"/>
      <c r="D48" s="85">
        <v>0</v>
      </c>
      <c r="E48" s="85">
        <f>'s4. Works Delivery'!S11</f>
        <v>0</v>
      </c>
      <c r="F48" s="85">
        <f>'s4. Works Delivery'!T11</f>
        <v>1347588.6760622831</v>
      </c>
      <c r="G48" s="85">
        <f>'s4. Works Delivery'!U11</f>
        <v>1265385.5327997885</v>
      </c>
      <c r="H48" s="85">
        <f>'s4. Works Delivery'!V11</f>
        <v>0</v>
      </c>
      <c r="I48" s="235">
        <f>SUM(D48:H48)</f>
        <v>2612974.2088620719</v>
      </c>
      <c r="K48" s="244">
        <f>D48*'Key assumptions'!$C$43</f>
        <v>0</v>
      </c>
      <c r="L48" s="85">
        <f>E48*'Key assumptions'!$C$43</f>
        <v>0</v>
      </c>
      <c r="M48" s="85">
        <f>F48*'Key assumptions'!$C$43</f>
        <v>943312.0732435981</v>
      </c>
      <c r="N48" s="85">
        <f>G48*'Key assumptions'!$C$43</f>
        <v>885769.87295985187</v>
      </c>
      <c r="O48" s="85">
        <f>H48*'Key assumptions'!$C$43</f>
        <v>0</v>
      </c>
      <c r="P48" s="235">
        <f>SUM(K48:O48)</f>
        <v>1829081.94620345</v>
      </c>
      <c r="Q48" s="227"/>
      <c r="R48" s="244">
        <f>D48-K48</f>
        <v>0</v>
      </c>
      <c r="S48" s="85">
        <f>E48-L48</f>
        <v>0</v>
      </c>
      <c r="T48" s="85">
        <f t="shared" ref="T48:T53" si="3">F48-M48</f>
        <v>404276.602818685</v>
      </c>
      <c r="U48" s="85">
        <f t="shared" ref="U48:U53" si="4">G48-N48</f>
        <v>379615.65983993665</v>
      </c>
      <c r="V48" s="85">
        <f t="shared" ref="V48:V53" si="5">H48-O48</f>
        <v>0</v>
      </c>
      <c r="W48" s="235">
        <f>SUM(R48:V48)</f>
        <v>783892.26265862165</v>
      </c>
      <c r="X48" s="227"/>
      <c r="Z48" s="227"/>
    </row>
    <row r="49" spans="2:26" x14ac:dyDescent="0.35">
      <c r="B49" s="256" t="s">
        <v>4</v>
      </c>
      <c r="C49" s="75"/>
      <c r="D49" s="85">
        <v>0</v>
      </c>
      <c r="E49" s="85">
        <f>'s5. Project Development'!S16</f>
        <v>0</v>
      </c>
      <c r="F49" s="85">
        <f>'s5. Project Development'!T16</f>
        <v>345442.67644851486</v>
      </c>
      <c r="G49" s="85">
        <f>'s5. Project Development'!U16</f>
        <v>202255.98369899677</v>
      </c>
      <c r="H49" s="85">
        <f>'s5. Project Development'!V16</f>
        <v>0</v>
      </c>
      <c r="I49" s="235">
        <f t="shared" ref="I49:I75" si="6">SUM(D49:H49)</f>
        <v>547698.66014751163</v>
      </c>
      <c r="K49" s="244">
        <f>D49*'Key assumptions'!$C$43</f>
        <v>0</v>
      </c>
      <c r="L49" s="85">
        <f>E49*'Key assumptions'!$C$43</f>
        <v>0</v>
      </c>
      <c r="M49" s="85">
        <f>F49*'Key assumptions'!$C$43</f>
        <v>241809.8735139604</v>
      </c>
      <c r="N49" s="85">
        <f>G49*'Key assumptions'!$C$43</f>
        <v>141579.18858929773</v>
      </c>
      <c r="O49" s="85">
        <f>H49*'Key assumptions'!$C$43</f>
        <v>0</v>
      </c>
      <c r="P49" s="235">
        <f t="shared" ref="P49:P54" si="7">SUM(K49:O49)</f>
        <v>383389.0621032581</v>
      </c>
      <c r="Q49" s="227"/>
      <c r="R49" s="244">
        <f t="shared" ref="R49:S53" si="8">D49-K49</f>
        <v>0</v>
      </c>
      <c r="S49" s="85">
        <f t="shared" si="8"/>
        <v>0</v>
      </c>
      <c r="T49" s="85">
        <f t="shared" si="3"/>
        <v>103632.80293455446</v>
      </c>
      <c r="U49" s="85">
        <f t="shared" si="4"/>
        <v>60676.795109699044</v>
      </c>
      <c r="V49" s="85">
        <f t="shared" si="5"/>
        <v>0</v>
      </c>
      <c r="W49" s="235">
        <f t="shared" ref="W49:W54" si="9">SUM(R49:V49)</f>
        <v>164309.59804425351</v>
      </c>
      <c r="X49" s="227"/>
      <c r="Z49" s="227"/>
    </row>
    <row r="50" spans="2:26" x14ac:dyDescent="0.35">
      <c r="B50" s="256" t="s">
        <v>141</v>
      </c>
      <c r="C50" s="75"/>
      <c r="D50" s="85">
        <f>SUM(D51:D53)</f>
        <v>0</v>
      </c>
      <c r="E50" s="85">
        <f t="shared" ref="E50:H50" si="10">SUM(E51:E53)</f>
        <v>0</v>
      </c>
      <c r="F50" s="85">
        <f t="shared" si="10"/>
        <v>3092.5290540923838</v>
      </c>
      <c r="G50" s="85">
        <f t="shared" si="10"/>
        <v>3092.5290540923838</v>
      </c>
      <c r="H50" s="85">
        <f t="shared" si="10"/>
        <v>0</v>
      </c>
      <c r="I50" s="235">
        <f t="shared" si="6"/>
        <v>6185.0581081847677</v>
      </c>
      <c r="K50" s="244">
        <f t="shared" ref="K50:O50" si="11">SUM(K51:K53)</f>
        <v>0</v>
      </c>
      <c r="L50" s="85">
        <f t="shared" si="11"/>
        <v>0</v>
      </c>
      <c r="M50" s="85">
        <f t="shared" si="11"/>
        <v>2164.7703378646684</v>
      </c>
      <c r="N50" s="85">
        <f t="shared" si="11"/>
        <v>2164.7703378646684</v>
      </c>
      <c r="O50" s="85">
        <f t="shared" si="11"/>
        <v>0</v>
      </c>
      <c r="P50" s="235">
        <f t="shared" si="7"/>
        <v>4329.5406757293367</v>
      </c>
      <c r="Q50" s="227"/>
      <c r="R50" s="244">
        <f t="shared" ref="R50:V50" si="12">SUM(R51:R53)</f>
        <v>0</v>
      </c>
      <c r="S50" s="85">
        <f t="shared" si="12"/>
        <v>0</v>
      </c>
      <c r="T50" s="85">
        <f t="shared" si="12"/>
        <v>927.75871622771547</v>
      </c>
      <c r="U50" s="85">
        <f t="shared" si="12"/>
        <v>927.75871622771547</v>
      </c>
      <c r="V50" s="85">
        <f t="shared" si="12"/>
        <v>0</v>
      </c>
      <c r="W50" s="235">
        <f t="shared" si="9"/>
        <v>1855.5174324554309</v>
      </c>
      <c r="X50" s="227"/>
      <c r="Z50" s="227"/>
    </row>
    <row r="51" spans="2:26" s="227" customFormat="1" x14ac:dyDescent="0.35">
      <c r="B51" s="257" t="s">
        <v>17</v>
      </c>
      <c r="C51" s="118"/>
      <c r="D51" s="157">
        <v>0</v>
      </c>
      <c r="E51" s="157">
        <v>0</v>
      </c>
      <c r="F51" s="157">
        <v>0</v>
      </c>
      <c r="G51" s="157">
        <v>0</v>
      </c>
      <c r="H51" s="157">
        <v>0</v>
      </c>
      <c r="I51" s="251">
        <f t="shared" si="6"/>
        <v>0</v>
      </c>
      <c r="J51" s="120"/>
      <c r="K51" s="250">
        <f>D51*'Key assumptions'!$C$43</f>
        <v>0</v>
      </c>
      <c r="L51" s="157">
        <f>E51*'Key assumptions'!$C$43</f>
        <v>0</v>
      </c>
      <c r="M51" s="157">
        <f>F51*'Key assumptions'!$C$43</f>
        <v>0</v>
      </c>
      <c r="N51" s="157">
        <f>G51*'Key assumptions'!$C$43</f>
        <v>0</v>
      </c>
      <c r="O51" s="157">
        <f>H51*'Key assumptions'!$C$43</f>
        <v>0</v>
      </c>
      <c r="P51" s="251">
        <f t="shared" si="7"/>
        <v>0</v>
      </c>
      <c r="R51" s="250">
        <f t="shared" ref="R51" si="13">D51-K51</f>
        <v>0</v>
      </c>
      <c r="S51" s="157">
        <f t="shared" ref="S51" si="14">E51-L51</f>
        <v>0</v>
      </c>
      <c r="T51" s="157">
        <f t="shared" ref="T51" si="15">F51-M51</f>
        <v>0</v>
      </c>
      <c r="U51" s="157">
        <f t="shared" ref="U51" si="16">G51-N51</f>
        <v>0</v>
      </c>
      <c r="V51" s="157">
        <f t="shared" ref="V51" si="17">H51-O51</f>
        <v>0</v>
      </c>
      <c r="W51" s="251">
        <f t="shared" si="9"/>
        <v>0</v>
      </c>
    </row>
    <row r="52" spans="2:26" x14ac:dyDescent="0.35">
      <c r="B52" s="257" t="s">
        <v>32</v>
      </c>
      <c r="C52" s="118"/>
      <c r="D52" s="157">
        <v>0</v>
      </c>
      <c r="E52" s="157">
        <f>'s6.2 Stakeholder &amp; Comm Egmt'!S7</f>
        <v>0</v>
      </c>
      <c r="F52" s="157">
        <f>'s6.2 Stakeholder &amp; Comm Egmt'!T7</f>
        <v>3092.5290540923838</v>
      </c>
      <c r="G52" s="157">
        <f>'s6.2 Stakeholder &amp; Comm Egmt'!U7</f>
        <v>3092.5290540923838</v>
      </c>
      <c r="H52" s="157">
        <f>'s6.2 Stakeholder &amp; Comm Egmt'!V7</f>
        <v>0</v>
      </c>
      <c r="I52" s="251">
        <f t="shared" si="6"/>
        <v>6185.0581081847677</v>
      </c>
      <c r="K52" s="250">
        <f>D52*'Key assumptions'!$C$43</f>
        <v>0</v>
      </c>
      <c r="L52" s="157">
        <f>E52*'Key assumptions'!$C$43</f>
        <v>0</v>
      </c>
      <c r="M52" s="157">
        <f>F52*'Key assumptions'!$C$43</f>
        <v>2164.7703378646684</v>
      </c>
      <c r="N52" s="157">
        <f>G52*'Key assumptions'!$C$43</f>
        <v>2164.7703378646684</v>
      </c>
      <c r="O52" s="157">
        <f>H52*'Key assumptions'!$C$43</f>
        <v>0</v>
      </c>
      <c r="P52" s="251">
        <f t="shared" si="7"/>
        <v>4329.5406757293367</v>
      </c>
      <c r="Q52" s="227"/>
      <c r="R52" s="250">
        <f t="shared" si="8"/>
        <v>0</v>
      </c>
      <c r="S52" s="157">
        <f t="shared" si="8"/>
        <v>0</v>
      </c>
      <c r="T52" s="157">
        <f t="shared" si="3"/>
        <v>927.75871622771547</v>
      </c>
      <c r="U52" s="157">
        <f t="shared" si="4"/>
        <v>927.75871622771547</v>
      </c>
      <c r="V52" s="157">
        <f t="shared" si="5"/>
        <v>0</v>
      </c>
      <c r="W52" s="251">
        <f t="shared" si="9"/>
        <v>1855.5174324554309</v>
      </c>
      <c r="X52" s="227"/>
      <c r="Z52" s="227"/>
    </row>
    <row r="53" spans="2:26" ht="15" thickBot="1" x14ac:dyDescent="0.4">
      <c r="B53" s="257" t="s">
        <v>31</v>
      </c>
      <c r="C53" s="118"/>
      <c r="D53" s="157">
        <v>0</v>
      </c>
      <c r="E53" s="157">
        <v>0</v>
      </c>
      <c r="F53" s="157">
        <v>0</v>
      </c>
      <c r="G53" s="157">
        <v>0</v>
      </c>
      <c r="H53" s="157">
        <v>0</v>
      </c>
      <c r="I53" s="251">
        <f t="shared" si="6"/>
        <v>0</v>
      </c>
      <c r="K53" s="250">
        <f>D53*'Key assumptions'!$C$43</f>
        <v>0</v>
      </c>
      <c r="L53" s="157">
        <f>E53*'Key assumptions'!$C$43</f>
        <v>0</v>
      </c>
      <c r="M53" s="157">
        <f>F53*'Key assumptions'!$C$43</f>
        <v>0</v>
      </c>
      <c r="N53" s="157">
        <f>G53*'Key assumptions'!$C$43</f>
        <v>0</v>
      </c>
      <c r="O53" s="157">
        <f>H53*'Key assumptions'!$C$43</f>
        <v>0</v>
      </c>
      <c r="P53" s="251">
        <f t="shared" si="7"/>
        <v>0</v>
      </c>
      <c r="Q53" s="227"/>
      <c r="R53" s="250">
        <f t="shared" si="8"/>
        <v>0</v>
      </c>
      <c r="S53" s="157">
        <f t="shared" si="8"/>
        <v>0</v>
      </c>
      <c r="T53" s="157">
        <f t="shared" si="3"/>
        <v>0</v>
      </c>
      <c r="U53" s="157">
        <f t="shared" si="4"/>
        <v>0</v>
      </c>
      <c r="V53" s="157">
        <f t="shared" si="5"/>
        <v>0</v>
      </c>
      <c r="W53" s="251">
        <f t="shared" si="9"/>
        <v>0</v>
      </c>
      <c r="X53" s="227"/>
      <c r="Z53" s="227"/>
    </row>
    <row r="54" spans="2:26" ht="15" thickBot="1" x14ac:dyDescent="0.4">
      <c r="B54" s="237" t="s">
        <v>43</v>
      </c>
      <c r="C54" s="238"/>
      <c r="D54" s="239">
        <f>SUM(D48:D50)</f>
        <v>0</v>
      </c>
      <c r="E54" s="239">
        <f>SUM(E48:E50)</f>
        <v>0</v>
      </c>
      <c r="F54" s="239">
        <f>SUM(F48:F50)</f>
        <v>1696123.8815648905</v>
      </c>
      <c r="G54" s="239">
        <f>SUM(G48:G50)</f>
        <v>1470734.0455528777</v>
      </c>
      <c r="H54" s="239">
        <f>SUM(H48:H50)</f>
        <v>0</v>
      </c>
      <c r="I54" s="240">
        <f t="shared" si="6"/>
        <v>3166857.9271177682</v>
      </c>
      <c r="K54" s="245">
        <f>SUM(K48:K50)</f>
        <v>0</v>
      </c>
      <c r="L54" s="239">
        <f>SUM(L48:L50)</f>
        <v>0</v>
      </c>
      <c r="M54" s="239">
        <f>SUM(M48:M50)</f>
        <v>1187286.7170954233</v>
      </c>
      <c r="N54" s="239">
        <f>SUM(N48:N50)</f>
        <v>1029513.8318870142</v>
      </c>
      <c r="O54" s="239">
        <f>SUM(O48:O50)</f>
        <v>0</v>
      </c>
      <c r="P54" s="240">
        <f t="shared" si="7"/>
        <v>2216800.5489824377</v>
      </c>
      <c r="Q54" s="227"/>
      <c r="R54" s="245">
        <f>SUM(R48:R50)</f>
        <v>0</v>
      </c>
      <c r="S54" s="239">
        <f>SUM(S48:S50)</f>
        <v>0</v>
      </c>
      <c r="T54" s="239">
        <f>SUM(T48:T50)</f>
        <v>508837.16446946718</v>
      </c>
      <c r="U54" s="239">
        <f>SUM(U48:U50)</f>
        <v>441220.21366586338</v>
      </c>
      <c r="V54" s="239">
        <f>SUM(V48:V50)</f>
        <v>0</v>
      </c>
      <c r="W54" s="240">
        <f t="shared" si="9"/>
        <v>950057.37813533051</v>
      </c>
      <c r="X54" s="227"/>
      <c r="Z54" s="227"/>
    </row>
    <row r="55" spans="2:26" ht="15" thickBot="1" x14ac:dyDescent="0.4">
      <c r="K55" s="227"/>
      <c r="L55" s="227"/>
      <c r="M55" s="227"/>
      <c r="N55" s="227"/>
      <c r="O55" s="227"/>
      <c r="P55" s="227"/>
      <c r="Q55" s="227"/>
      <c r="R55" s="227"/>
      <c r="S55" s="227"/>
      <c r="T55" s="227"/>
      <c r="U55" s="227"/>
      <c r="V55" s="227"/>
      <c r="W55" s="227"/>
      <c r="X55" s="227"/>
      <c r="Z55" s="227"/>
    </row>
    <row r="56" spans="2:26" s="227" customFormat="1" ht="15" thickBot="1" x14ac:dyDescent="0.4">
      <c r="B56" s="259" t="s">
        <v>214</v>
      </c>
      <c r="C56" s="260"/>
      <c r="J56" s="120"/>
    </row>
    <row r="57" spans="2:26" s="227" customFormat="1" x14ac:dyDescent="0.35">
      <c r="B57" s="261" t="s">
        <v>7</v>
      </c>
      <c r="C57" s="262"/>
      <c r="D57" s="263">
        <v>0</v>
      </c>
      <c r="E57" s="263">
        <f>'s4. Works Delivery'!S18</f>
        <v>0</v>
      </c>
      <c r="F57" s="263">
        <f>'s4. Works Delivery'!T18</f>
        <v>414530.72832364368</v>
      </c>
      <c r="G57" s="263">
        <f>'s4. Works Delivery'!U18</f>
        <v>312036.27239792998</v>
      </c>
      <c r="H57" s="263">
        <f>'s4. Works Delivery'!V18</f>
        <v>0</v>
      </c>
      <c r="I57" s="264">
        <f>SUM(D57:H57)</f>
        <v>726567.0007215736</v>
      </c>
      <c r="J57" s="120"/>
      <c r="K57" s="265">
        <f>D57*'Key assumptions'!$C$44</f>
        <v>0</v>
      </c>
      <c r="L57" s="263">
        <f>E57*'Key assumptions'!$C$44</f>
        <v>0</v>
      </c>
      <c r="M57" s="263">
        <f>F57*'Key assumptions'!$C$44</f>
        <v>290171.50982655055</v>
      </c>
      <c r="N57" s="263">
        <f>G57*'Key assumptions'!$C$44</f>
        <v>218425.39067855096</v>
      </c>
      <c r="O57" s="263">
        <f>H57*'Key assumptions'!$C$44</f>
        <v>0</v>
      </c>
      <c r="P57" s="264">
        <f>SUM(K57:O57)</f>
        <v>508596.90050510154</v>
      </c>
      <c r="R57" s="265">
        <f>D57-K57</f>
        <v>0</v>
      </c>
      <c r="S57" s="263">
        <f>E57-L57</f>
        <v>0</v>
      </c>
      <c r="T57" s="263">
        <f t="shared" ref="T57:T62" si="18">F57-M57</f>
        <v>124359.21849709313</v>
      </c>
      <c r="U57" s="263">
        <f t="shared" ref="U57:U62" si="19">G57-N57</f>
        <v>93610.881719379016</v>
      </c>
      <c r="V57" s="263">
        <f t="shared" ref="V57:V62" si="20">H57-O57</f>
        <v>0</v>
      </c>
      <c r="W57" s="264">
        <f>SUM(R57:V57)</f>
        <v>217970.10021647214</v>
      </c>
    </row>
    <row r="58" spans="2:26" s="227" customFormat="1" x14ac:dyDescent="0.35">
      <c r="B58" s="256" t="s">
        <v>4</v>
      </c>
      <c r="C58" s="75"/>
      <c r="D58" s="85">
        <v>0</v>
      </c>
      <c r="E58" s="85">
        <f>'s5. Project Development'!S23</f>
        <v>0</v>
      </c>
      <c r="F58" s="85">
        <f>'s5. Project Development'!T23</f>
        <v>137355.37070309118</v>
      </c>
      <c r="G58" s="85">
        <f>'s5. Project Development'!U23</f>
        <v>48446.089910363298</v>
      </c>
      <c r="H58" s="85">
        <f>'s5. Project Development'!V23</f>
        <v>0</v>
      </c>
      <c r="I58" s="235">
        <f t="shared" ref="I58:I63" si="21">SUM(D58:H58)</f>
        <v>185801.46061345446</v>
      </c>
      <c r="J58" s="120"/>
      <c r="K58" s="244">
        <f>D58*'Key assumptions'!$C$44</f>
        <v>0</v>
      </c>
      <c r="L58" s="85">
        <f>E58*'Key assumptions'!$C$44</f>
        <v>0</v>
      </c>
      <c r="M58" s="85">
        <f>F58*'Key assumptions'!$C$44</f>
        <v>96148.759492163823</v>
      </c>
      <c r="N58" s="85">
        <f>G58*'Key assumptions'!$C$44</f>
        <v>33912.262937254309</v>
      </c>
      <c r="O58" s="85">
        <f>H58*'Key assumptions'!$C$44</f>
        <v>0</v>
      </c>
      <c r="P58" s="235">
        <f t="shared" ref="P58:P63" si="22">SUM(K58:O58)</f>
        <v>130061.02242941814</v>
      </c>
      <c r="R58" s="244">
        <f t="shared" ref="R58:R62" si="23">D58-K58</f>
        <v>0</v>
      </c>
      <c r="S58" s="85">
        <f t="shared" ref="S58:S62" si="24">E58-L58</f>
        <v>0</v>
      </c>
      <c r="T58" s="85">
        <f t="shared" si="18"/>
        <v>41206.611210927353</v>
      </c>
      <c r="U58" s="85">
        <f t="shared" si="19"/>
        <v>14533.826973108989</v>
      </c>
      <c r="V58" s="85">
        <f t="shared" si="20"/>
        <v>0</v>
      </c>
      <c r="W58" s="235">
        <f t="shared" ref="W58:W63" si="25">SUM(R58:V58)</f>
        <v>55740.438184036342</v>
      </c>
    </row>
    <row r="59" spans="2:26" s="227" customFormat="1" x14ac:dyDescent="0.35">
      <c r="B59" s="256" t="s">
        <v>141</v>
      </c>
      <c r="C59" s="75"/>
      <c r="D59" s="85">
        <f>SUM(D60:D62)</f>
        <v>0</v>
      </c>
      <c r="E59" s="85">
        <f t="shared" ref="E59" si="26">SUM(E60:E62)</f>
        <v>0</v>
      </c>
      <c r="F59" s="85">
        <f t="shared" ref="F59" si="27">SUM(F60:F62)</f>
        <v>61.712273306439975</v>
      </c>
      <c r="G59" s="85">
        <f t="shared" ref="G59" si="28">SUM(G60:G62)</f>
        <v>61.712273306439975</v>
      </c>
      <c r="H59" s="85">
        <f t="shared" ref="H59" si="29">SUM(H60:H62)</f>
        <v>0</v>
      </c>
      <c r="I59" s="235">
        <f t="shared" si="21"/>
        <v>123.42454661287995</v>
      </c>
      <c r="J59" s="120"/>
      <c r="K59" s="244">
        <f t="shared" ref="K59" si="30">SUM(K60:K62)</f>
        <v>0</v>
      </c>
      <c r="L59" s="85">
        <f t="shared" ref="L59" si="31">SUM(L60:L62)</f>
        <v>0</v>
      </c>
      <c r="M59" s="85">
        <f t="shared" ref="M59" si="32">SUM(M60:M62)</f>
        <v>43.198591314507979</v>
      </c>
      <c r="N59" s="85">
        <f t="shared" ref="N59" si="33">SUM(N60:N62)</f>
        <v>43.198591314507979</v>
      </c>
      <c r="O59" s="85">
        <f t="shared" ref="O59" si="34">SUM(O60:O62)</f>
        <v>0</v>
      </c>
      <c r="P59" s="235">
        <f t="shared" si="22"/>
        <v>86.397182629015958</v>
      </c>
      <c r="R59" s="244">
        <f t="shared" ref="R59" si="35">SUM(R60:R62)</f>
        <v>0</v>
      </c>
      <c r="S59" s="85">
        <f t="shared" ref="S59" si="36">SUM(S60:S62)</f>
        <v>0</v>
      </c>
      <c r="T59" s="85">
        <f t="shared" ref="T59" si="37">SUM(T60:T62)</f>
        <v>18.513681991931996</v>
      </c>
      <c r="U59" s="85">
        <f t="shared" ref="U59" si="38">SUM(U60:U62)</f>
        <v>18.513681991931996</v>
      </c>
      <c r="V59" s="85">
        <f t="shared" ref="V59" si="39">SUM(V60:V62)</f>
        <v>0</v>
      </c>
      <c r="W59" s="235">
        <f t="shared" si="25"/>
        <v>37.027363983863992</v>
      </c>
    </row>
    <row r="60" spans="2:26" s="227" customFormat="1" x14ac:dyDescent="0.35">
      <c r="B60" s="257" t="s">
        <v>17</v>
      </c>
      <c r="C60" s="118"/>
      <c r="D60" s="157">
        <v>0</v>
      </c>
      <c r="E60" s="157">
        <v>0</v>
      </c>
      <c r="F60" s="157">
        <v>0</v>
      </c>
      <c r="G60" s="157">
        <v>0</v>
      </c>
      <c r="H60" s="157">
        <v>0</v>
      </c>
      <c r="I60" s="251">
        <f t="shared" si="21"/>
        <v>0</v>
      </c>
      <c r="J60" s="120"/>
      <c r="K60" s="250">
        <f>D60*'Key assumptions'!$C$44</f>
        <v>0</v>
      </c>
      <c r="L60" s="157">
        <f>E60*'Key assumptions'!$C$44</f>
        <v>0</v>
      </c>
      <c r="M60" s="157">
        <f>F60*'Key assumptions'!$C$44</f>
        <v>0</v>
      </c>
      <c r="N60" s="157">
        <f>G60*'Key assumptions'!$C$44</f>
        <v>0</v>
      </c>
      <c r="O60" s="157">
        <f>H60*'Key assumptions'!$C$44</f>
        <v>0</v>
      </c>
      <c r="P60" s="251">
        <f t="shared" si="22"/>
        <v>0</v>
      </c>
      <c r="R60" s="250">
        <f t="shared" ref="R60" si="40">D60-K60</f>
        <v>0</v>
      </c>
      <c r="S60" s="157">
        <f t="shared" ref="S60" si="41">E60-L60</f>
        <v>0</v>
      </c>
      <c r="T60" s="157">
        <f t="shared" ref="T60" si="42">F60-M60</f>
        <v>0</v>
      </c>
      <c r="U60" s="157">
        <f t="shared" ref="U60" si="43">G60-N60</f>
        <v>0</v>
      </c>
      <c r="V60" s="157">
        <f t="shared" ref="V60" si="44">H60-O60</f>
        <v>0</v>
      </c>
      <c r="W60" s="251">
        <f t="shared" si="25"/>
        <v>0</v>
      </c>
    </row>
    <row r="61" spans="2:26" s="227" customFormat="1" x14ac:dyDescent="0.35">
      <c r="B61" s="257" t="s">
        <v>32</v>
      </c>
      <c r="C61" s="118"/>
      <c r="D61" s="157">
        <v>0</v>
      </c>
      <c r="E61" s="157">
        <f>'s6.2 Stakeholder &amp; Comm Egmt'!S11</f>
        <v>0</v>
      </c>
      <c r="F61" s="157">
        <f>'s6.2 Stakeholder &amp; Comm Egmt'!T11</f>
        <v>61.712273306439975</v>
      </c>
      <c r="G61" s="157">
        <f>'s6.2 Stakeholder &amp; Comm Egmt'!U11</f>
        <v>61.712273306439975</v>
      </c>
      <c r="H61" s="157">
        <f>'s6.2 Stakeholder &amp; Comm Egmt'!V11</f>
        <v>0</v>
      </c>
      <c r="I61" s="251">
        <f t="shared" si="21"/>
        <v>123.42454661287995</v>
      </c>
      <c r="J61" s="120"/>
      <c r="K61" s="250">
        <f>D61*'Key assumptions'!$C$44</f>
        <v>0</v>
      </c>
      <c r="L61" s="157">
        <f>E61*'Key assumptions'!$C$44</f>
        <v>0</v>
      </c>
      <c r="M61" s="157">
        <f>F61*'Key assumptions'!$C$44</f>
        <v>43.198591314507979</v>
      </c>
      <c r="N61" s="157">
        <f>G61*'Key assumptions'!$C$44</f>
        <v>43.198591314507979</v>
      </c>
      <c r="O61" s="157">
        <f>H61*'Key assumptions'!$C$44</f>
        <v>0</v>
      </c>
      <c r="P61" s="251">
        <f t="shared" si="22"/>
        <v>86.397182629015958</v>
      </c>
      <c r="R61" s="250">
        <f t="shared" si="23"/>
        <v>0</v>
      </c>
      <c r="S61" s="157">
        <f t="shared" si="24"/>
        <v>0</v>
      </c>
      <c r="T61" s="157">
        <f t="shared" si="18"/>
        <v>18.513681991931996</v>
      </c>
      <c r="U61" s="157">
        <f t="shared" si="19"/>
        <v>18.513681991931996</v>
      </c>
      <c r="V61" s="157">
        <f t="shared" si="20"/>
        <v>0</v>
      </c>
      <c r="W61" s="251">
        <f t="shared" si="25"/>
        <v>37.027363983863992</v>
      </c>
    </row>
    <row r="62" spans="2:26" s="227" customFormat="1" ht="15" thickBot="1" x14ac:dyDescent="0.4">
      <c r="B62" s="257" t="s">
        <v>31</v>
      </c>
      <c r="C62" s="118"/>
      <c r="D62" s="157">
        <v>0</v>
      </c>
      <c r="E62" s="157">
        <v>0</v>
      </c>
      <c r="F62" s="157">
        <v>0</v>
      </c>
      <c r="G62" s="157">
        <v>0</v>
      </c>
      <c r="H62" s="157">
        <v>0</v>
      </c>
      <c r="I62" s="251">
        <f t="shared" si="21"/>
        <v>0</v>
      </c>
      <c r="J62" s="120"/>
      <c r="K62" s="250">
        <f>D62*'Key assumptions'!$C$44</f>
        <v>0</v>
      </c>
      <c r="L62" s="157">
        <f>E62*'Key assumptions'!$C$44</f>
        <v>0</v>
      </c>
      <c r="M62" s="157">
        <f>F62*'Key assumptions'!$C$44</f>
        <v>0</v>
      </c>
      <c r="N62" s="157">
        <f>G62*'Key assumptions'!$C$44</f>
        <v>0</v>
      </c>
      <c r="O62" s="157">
        <f>H62*'Key assumptions'!$C$44</f>
        <v>0</v>
      </c>
      <c r="P62" s="251">
        <f t="shared" si="22"/>
        <v>0</v>
      </c>
      <c r="R62" s="250">
        <f t="shared" si="23"/>
        <v>0</v>
      </c>
      <c r="S62" s="157">
        <f t="shared" si="24"/>
        <v>0</v>
      </c>
      <c r="T62" s="157">
        <f t="shared" si="18"/>
        <v>0</v>
      </c>
      <c r="U62" s="157">
        <f t="shared" si="19"/>
        <v>0</v>
      </c>
      <c r="V62" s="157">
        <f t="shared" si="20"/>
        <v>0</v>
      </c>
      <c r="W62" s="251">
        <f t="shared" si="25"/>
        <v>0</v>
      </c>
    </row>
    <row r="63" spans="2:26" s="227" customFormat="1" ht="15" thickBot="1" x14ac:dyDescent="0.4">
      <c r="B63" s="237" t="s">
        <v>43</v>
      </c>
      <c r="C63" s="238"/>
      <c r="D63" s="239">
        <f>SUM(D57:D59)</f>
        <v>0</v>
      </c>
      <c r="E63" s="239">
        <f>SUM(E57:E59)</f>
        <v>0</v>
      </c>
      <c r="F63" s="239">
        <f>SUM(F57:F59)</f>
        <v>551947.81130004127</v>
      </c>
      <c r="G63" s="239">
        <f>SUM(G57:G59)</f>
        <v>360544.07458159974</v>
      </c>
      <c r="H63" s="239">
        <f>SUM(H57:H59)</f>
        <v>0</v>
      </c>
      <c r="I63" s="240">
        <f t="shared" si="21"/>
        <v>912491.88588164095</v>
      </c>
      <c r="J63" s="120"/>
      <c r="K63" s="245">
        <f>SUM(K57:K59)</f>
        <v>0</v>
      </c>
      <c r="L63" s="239">
        <f>SUM(L57:L59)</f>
        <v>0</v>
      </c>
      <c r="M63" s="239">
        <f>SUM(M57:M59)</f>
        <v>386363.46791002888</v>
      </c>
      <c r="N63" s="239">
        <f>SUM(N57:N59)</f>
        <v>252380.85220711978</v>
      </c>
      <c r="O63" s="239">
        <f>SUM(O57:O59)</f>
        <v>0</v>
      </c>
      <c r="P63" s="240">
        <f t="shared" si="22"/>
        <v>638744.32011714869</v>
      </c>
      <c r="R63" s="245">
        <f>SUM(R57:R59)</f>
        <v>0</v>
      </c>
      <c r="S63" s="239">
        <f>SUM(S57:S59)</f>
        <v>0</v>
      </c>
      <c r="T63" s="239">
        <f>SUM(T57:T59)</f>
        <v>165584.34339001242</v>
      </c>
      <c r="U63" s="239">
        <f>SUM(U57:U59)</f>
        <v>108163.22237447993</v>
      </c>
      <c r="V63" s="239">
        <f>SUM(V57:V59)</f>
        <v>0</v>
      </c>
      <c r="W63" s="240">
        <f t="shared" si="25"/>
        <v>273747.56576449238</v>
      </c>
    </row>
    <row r="64" spans="2:26" s="227" customFormat="1" ht="15" thickBot="1" x14ac:dyDescent="0.4">
      <c r="J64" s="120"/>
    </row>
    <row r="65" spans="2:24" s="227" customFormat="1" ht="15" thickBot="1" x14ac:dyDescent="0.4">
      <c r="B65" s="259" t="s">
        <v>215</v>
      </c>
      <c r="C65" s="260"/>
      <c r="J65" s="120"/>
    </row>
    <row r="66" spans="2:24" s="227" customFormat="1" x14ac:dyDescent="0.35">
      <c r="B66" s="261" t="s">
        <v>7</v>
      </c>
      <c r="C66" s="262"/>
      <c r="D66" s="263">
        <v>0</v>
      </c>
      <c r="E66" s="263">
        <f>'s4. Works Delivery'!S20</f>
        <v>0</v>
      </c>
      <c r="F66" s="263">
        <f>'s4. Works Delivery'!T20</f>
        <v>16476.972976847534</v>
      </c>
      <c r="G66" s="263">
        <f>'s4. Works Delivery'!U20</f>
        <v>21352.812019769535</v>
      </c>
      <c r="H66" s="263">
        <f>'s4. Works Delivery'!V20</f>
        <v>0</v>
      </c>
      <c r="I66" s="264">
        <f>SUM(D66:H66)</f>
        <v>37829.784996617069</v>
      </c>
      <c r="J66" s="120"/>
      <c r="K66" s="265">
        <f>D66*'Key assumptions'!$C$45</f>
        <v>0</v>
      </c>
      <c r="L66" s="263">
        <f>E66*'Key assumptions'!$C$45</f>
        <v>0</v>
      </c>
      <c r="M66" s="263">
        <f>F66*'Key assumptions'!$C$45</f>
        <v>0</v>
      </c>
      <c r="N66" s="263">
        <f>G66*'Key assumptions'!$C$45</f>
        <v>0</v>
      </c>
      <c r="O66" s="263">
        <f>H66*'Key assumptions'!$C$45</f>
        <v>0</v>
      </c>
      <c r="P66" s="264">
        <f>SUM(K66:O66)</f>
        <v>0</v>
      </c>
      <c r="R66" s="265">
        <f>D66-K66</f>
        <v>0</v>
      </c>
      <c r="S66" s="263">
        <f>E66-L66</f>
        <v>0</v>
      </c>
      <c r="T66" s="263">
        <f t="shared" ref="T66:T67" si="45">F66-M66</f>
        <v>16476.972976847534</v>
      </c>
      <c r="U66" s="263">
        <f t="shared" ref="U66:U67" si="46">G66-N66</f>
        <v>21352.812019769535</v>
      </c>
      <c r="V66" s="263">
        <f t="shared" ref="V66:V67" si="47">H66-O66</f>
        <v>0</v>
      </c>
      <c r="W66" s="264">
        <f>SUM(R66:V66)</f>
        <v>37829.784996617069</v>
      </c>
    </row>
    <row r="67" spans="2:24" s="227" customFormat="1" x14ac:dyDescent="0.35">
      <c r="B67" s="256" t="s">
        <v>4</v>
      </c>
      <c r="C67" s="75"/>
      <c r="D67" s="85">
        <v>0</v>
      </c>
      <c r="E67" s="85">
        <f>'s5. Project Development'!S27</f>
        <v>0</v>
      </c>
      <c r="F67" s="85">
        <f>'s5. Project Development'!T27</f>
        <v>100224.87241932127</v>
      </c>
      <c r="G67" s="85">
        <f>'s5. Project Development'!U27</f>
        <v>0</v>
      </c>
      <c r="H67" s="85">
        <f>'s5. Project Development'!V27</f>
        <v>0</v>
      </c>
      <c r="I67" s="235">
        <f t="shared" ref="I67:I72" si="48">SUM(D67:H67)</f>
        <v>100224.87241932127</v>
      </c>
      <c r="J67" s="120"/>
      <c r="K67" s="244">
        <f>D67*'Key assumptions'!$C$45</f>
        <v>0</v>
      </c>
      <c r="L67" s="85">
        <f>E67*'Key assumptions'!$C$45</f>
        <v>0</v>
      </c>
      <c r="M67" s="85">
        <f>F67*'Key assumptions'!$C$45</f>
        <v>0</v>
      </c>
      <c r="N67" s="85">
        <f>G67*'Key assumptions'!$C$45</f>
        <v>0</v>
      </c>
      <c r="O67" s="85">
        <f>H67*'Key assumptions'!$C$45</f>
        <v>0</v>
      </c>
      <c r="P67" s="235">
        <f t="shared" ref="P67:P69" si="49">SUM(K67:O67)</f>
        <v>0</v>
      </c>
      <c r="R67" s="244">
        <f t="shared" ref="R67" si="50">D67-K67</f>
        <v>0</v>
      </c>
      <c r="S67" s="85">
        <f t="shared" ref="S67" si="51">E67-L67</f>
        <v>0</v>
      </c>
      <c r="T67" s="85">
        <f t="shared" si="45"/>
        <v>100224.87241932127</v>
      </c>
      <c r="U67" s="85">
        <f t="shared" si="46"/>
        <v>0</v>
      </c>
      <c r="V67" s="85">
        <f t="shared" si="47"/>
        <v>0</v>
      </c>
      <c r="W67" s="235">
        <f t="shared" ref="W67:W69" si="52">SUM(R67:V67)</f>
        <v>100224.87241932127</v>
      </c>
    </row>
    <row r="68" spans="2:24" s="227" customFormat="1" x14ac:dyDescent="0.35">
      <c r="B68" s="256" t="s">
        <v>141</v>
      </c>
      <c r="C68" s="75"/>
      <c r="D68" s="85">
        <f>SUM(D69:D71)</f>
        <v>0</v>
      </c>
      <c r="E68" s="85">
        <f t="shared" ref="E68" si="53">SUM(E69:E71)</f>
        <v>0</v>
      </c>
      <c r="F68" s="85">
        <f t="shared" ref="F68" si="54">SUM(F69:F71)</f>
        <v>36225.206668461557</v>
      </c>
      <c r="G68" s="85">
        <f t="shared" ref="G68" si="55">SUM(G69:G71)</f>
        <v>46575.265716593436</v>
      </c>
      <c r="H68" s="85">
        <f t="shared" ref="H68" si="56">SUM(H69:H71)</f>
        <v>0</v>
      </c>
      <c r="I68" s="235">
        <f t="shared" si="48"/>
        <v>82800.472385054993</v>
      </c>
      <c r="J68" s="120"/>
      <c r="K68" s="244">
        <f t="shared" ref="K68" si="57">SUM(K69:K71)</f>
        <v>0</v>
      </c>
      <c r="L68" s="85">
        <f t="shared" ref="L68" si="58">SUM(L69:L71)</f>
        <v>0</v>
      </c>
      <c r="M68" s="85">
        <f t="shared" ref="M68" si="59">SUM(M69:M71)</f>
        <v>0</v>
      </c>
      <c r="N68" s="85">
        <f t="shared" ref="N68" si="60">SUM(N69:N71)</f>
        <v>0</v>
      </c>
      <c r="O68" s="85">
        <f t="shared" ref="O68" si="61">SUM(O69:O71)</f>
        <v>0</v>
      </c>
      <c r="P68" s="235">
        <f t="shared" si="49"/>
        <v>0</v>
      </c>
      <c r="R68" s="244">
        <f t="shared" ref="R68" si="62">SUM(R69:R71)</f>
        <v>0</v>
      </c>
      <c r="S68" s="85">
        <f t="shared" ref="S68" si="63">SUM(S69:S71)</f>
        <v>0</v>
      </c>
      <c r="T68" s="85">
        <f t="shared" ref="T68" si="64">SUM(T69:T71)</f>
        <v>36225.206668461557</v>
      </c>
      <c r="U68" s="85">
        <f t="shared" ref="U68" si="65">SUM(U69:U71)</f>
        <v>46575.265716593436</v>
      </c>
      <c r="V68" s="85">
        <f t="shared" ref="V68" si="66">SUM(V69:V71)</f>
        <v>0</v>
      </c>
      <c r="W68" s="235">
        <f t="shared" si="52"/>
        <v>82800.472385054993</v>
      </c>
    </row>
    <row r="69" spans="2:24" s="227" customFormat="1" x14ac:dyDescent="0.35">
      <c r="B69" s="257" t="s">
        <v>17</v>
      </c>
      <c r="C69" s="118"/>
      <c r="D69" s="157">
        <v>0</v>
      </c>
      <c r="E69" s="157">
        <f>'s6.1 Land &amp; Environment'!S9</f>
        <v>0</v>
      </c>
      <c r="F69" s="157">
        <f>'s6.1 Land &amp; Environment'!T9</f>
        <v>0</v>
      </c>
      <c r="G69" s="157">
        <f>'s6.1 Land &amp; Environment'!U9</f>
        <v>0</v>
      </c>
      <c r="H69" s="157">
        <f>'s6.1 Land &amp; Environment'!V9</f>
        <v>0</v>
      </c>
      <c r="I69" s="251">
        <f t="shared" si="48"/>
        <v>0</v>
      </c>
      <c r="J69" s="120"/>
      <c r="K69" s="250">
        <f>D69*'Key assumptions'!$C$45</f>
        <v>0</v>
      </c>
      <c r="L69" s="157">
        <f>E69*'Key assumptions'!$C$45</f>
        <v>0</v>
      </c>
      <c r="M69" s="157">
        <f>F69*'Key assumptions'!$C$45</f>
        <v>0</v>
      </c>
      <c r="N69" s="157">
        <f>G69*'Key assumptions'!$C$45</f>
        <v>0</v>
      </c>
      <c r="O69" s="157">
        <f>H69*'Key assumptions'!$C$45</f>
        <v>0</v>
      </c>
      <c r="P69" s="251">
        <f t="shared" si="49"/>
        <v>0</v>
      </c>
      <c r="R69" s="250">
        <f t="shared" ref="R69:R71" si="67">D69-K69</f>
        <v>0</v>
      </c>
      <c r="S69" s="157">
        <f t="shared" ref="S69:S71" si="68">E69-L69</f>
        <v>0</v>
      </c>
      <c r="T69" s="157">
        <f t="shared" ref="T69:T71" si="69">F69-M69</f>
        <v>0</v>
      </c>
      <c r="U69" s="157">
        <f t="shared" ref="U69:U71" si="70">G69-N69</f>
        <v>0</v>
      </c>
      <c r="V69" s="157">
        <f t="shared" ref="V69:V71" si="71">H69-O69</f>
        <v>0</v>
      </c>
      <c r="W69" s="251">
        <f t="shared" si="52"/>
        <v>0</v>
      </c>
    </row>
    <row r="70" spans="2:24" s="227" customFormat="1" x14ac:dyDescent="0.35">
      <c r="B70" s="257" t="s">
        <v>32</v>
      </c>
      <c r="C70" s="118"/>
      <c r="D70" s="157">
        <v>0</v>
      </c>
      <c r="E70" s="157">
        <v>0</v>
      </c>
      <c r="F70" s="157">
        <v>0</v>
      </c>
      <c r="G70" s="157">
        <v>0</v>
      </c>
      <c r="H70" s="157">
        <v>0</v>
      </c>
      <c r="I70" s="251">
        <f t="shared" si="48"/>
        <v>0</v>
      </c>
      <c r="J70" s="120"/>
      <c r="K70" s="250">
        <f>D70*'Key assumptions'!$C$45</f>
        <v>0</v>
      </c>
      <c r="L70" s="157">
        <f>E70*'Key assumptions'!$C$45</f>
        <v>0</v>
      </c>
      <c r="M70" s="157">
        <f>F70*'Key assumptions'!$C$45</f>
        <v>0</v>
      </c>
      <c r="N70" s="157">
        <f>G70*'Key assumptions'!$C$45</f>
        <v>0</v>
      </c>
      <c r="O70" s="157">
        <f>H70*'Key assumptions'!$C$45</f>
        <v>0</v>
      </c>
      <c r="P70" s="251">
        <f t="shared" ref="P70:P72" si="72">SUM(K70:O70)</f>
        <v>0</v>
      </c>
      <c r="R70" s="250">
        <f t="shared" si="67"/>
        <v>0</v>
      </c>
      <c r="S70" s="157">
        <f t="shared" si="68"/>
        <v>0</v>
      </c>
      <c r="T70" s="157">
        <f t="shared" si="69"/>
        <v>0</v>
      </c>
      <c r="U70" s="157">
        <f t="shared" si="70"/>
        <v>0</v>
      </c>
      <c r="V70" s="157">
        <f t="shared" si="71"/>
        <v>0</v>
      </c>
      <c r="W70" s="251">
        <f t="shared" ref="W70:W72" si="73">SUM(R70:V70)</f>
        <v>0</v>
      </c>
    </row>
    <row r="71" spans="2:24" s="227" customFormat="1" ht="15" thickBot="1" x14ac:dyDescent="0.4">
      <c r="B71" s="257" t="s">
        <v>31</v>
      </c>
      <c r="C71" s="118"/>
      <c r="D71" s="157">
        <v>0</v>
      </c>
      <c r="E71" s="157">
        <f>'s6.3. Insurance'!BO5</f>
        <v>0</v>
      </c>
      <c r="F71" s="157">
        <f>'s6.3. Insurance'!BP5</f>
        <v>36225.206668461557</v>
      </c>
      <c r="G71" s="157">
        <f>'s6.3. Insurance'!BQ5</f>
        <v>46575.265716593436</v>
      </c>
      <c r="H71" s="157">
        <f>'s6.3. Insurance'!BR5</f>
        <v>0</v>
      </c>
      <c r="I71" s="251">
        <f t="shared" si="48"/>
        <v>82800.472385054993</v>
      </c>
      <c r="J71" s="120"/>
      <c r="K71" s="250">
        <f>D71*'Key assumptions'!$C$45</f>
        <v>0</v>
      </c>
      <c r="L71" s="157">
        <f>E71*'Key assumptions'!$C$45</f>
        <v>0</v>
      </c>
      <c r="M71" s="157">
        <f>F71*'Key assumptions'!$C$45</f>
        <v>0</v>
      </c>
      <c r="N71" s="157">
        <f>G71*'Key assumptions'!$C$45</f>
        <v>0</v>
      </c>
      <c r="O71" s="157">
        <f>H71*'Key assumptions'!$C$45</f>
        <v>0</v>
      </c>
      <c r="P71" s="251">
        <f t="shared" si="72"/>
        <v>0</v>
      </c>
      <c r="R71" s="250">
        <f t="shared" si="67"/>
        <v>0</v>
      </c>
      <c r="S71" s="157">
        <f t="shared" si="68"/>
        <v>0</v>
      </c>
      <c r="T71" s="157">
        <f t="shared" si="69"/>
        <v>36225.206668461557</v>
      </c>
      <c r="U71" s="157">
        <f t="shared" si="70"/>
        <v>46575.265716593436</v>
      </c>
      <c r="V71" s="157">
        <f t="shared" si="71"/>
        <v>0</v>
      </c>
      <c r="W71" s="251">
        <f t="shared" si="73"/>
        <v>82800.472385054993</v>
      </c>
    </row>
    <row r="72" spans="2:24" s="227" customFormat="1" ht="15" thickBot="1" x14ac:dyDescent="0.4">
      <c r="B72" s="237" t="s">
        <v>43</v>
      </c>
      <c r="C72" s="238"/>
      <c r="D72" s="239">
        <f>SUM(D66:D68)</f>
        <v>0</v>
      </c>
      <c r="E72" s="239">
        <f>SUM(E66:E68)</f>
        <v>0</v>
      </c>
      <c r="F72" s="239">
        <f>SUM(F66:F68)</f>
        <v>152927.05206463038</v>
      </c>
      <c r="G72" s="239">
        <f>SUM(G66:G68)</f>
        <v>67928.077736362975</v>
      </c>
      <c r="H72" s="239">
        <f>SUM(H66:H68)</f>
        <v>0</v>
      </c>
      <c r="I72" s="240">
        <f t="shared" si="48"/>
        <v>220855.12980099337</v>
      </c>
      <c r="J72" s="120"/>
      <c r="K72" s="245">
        <f>SUM(K66:K68)</f>
        <v>0</v>
      </c>
      <c r="L72" s="239">
        <f>SUM(L66:L68)</f>
        <v>0</v>
      </c>
      <c r="M72" s="239">
        <f>SUM(M66:M68)</f>
        <v>0</v>
      </c>
      <c r="N72" s="239">
        <f>SUM(N66:N68)</f>
        <v>0</v>
      </c>
      <c r="O72" s="239">
        <f>SUM(O66:O68)</f>
        <v>0</v>
      </c>
      <c r="P72" s="240">
        <f t="shared" si="72"/>
        <v>0</v>
      </c>
      <c r="R72" s="245">
        <f>SUM(R66:R68)</f>
        <v>0</v>
      </c>
      <c r="S72" s="239">
        <f>SUM(S66:S68)</f>
        <v>0</v>
      </c>
      <c r="T72" s="239">
        <f>SUM(T66:T68)</f>
        <v>152927.05206463038</v>
      </c>
      <c r="U72" s="239">
        <f>SUM(U66:U68)</f>
        <v>67928.077736362975</v>
      </c>
      <c r="V72" s="239">
        <f>SUM(V66:V68)</f>
        <v>0</v>
      </c>
      <c r="W72" s="240">
        <f t="shared" si="73"/>
        <v>220855.12980099337</v>
      </c>
    </row>
    <row r="73" spans="2:24" s="227" customFormat="1" ht="15" thickBot="1" x14ac:dyDescent="0.4">
      <c r="J73" s="120"/>
    </row>
    <row r="74" spans="2:24" s="227" customFormat="1" ht="15" thickBot="1" x14ac:dyDescent="0.4">
      <c r="B74" s="259" t="s">
        <v>216</v>
      </c>
      <c r="C74" s="260"/>
      <c r="J74" s="120"/>
    </row>
    <row r="75" spans="2:24" ht="15" thickBot="1" x14ac:dyDescent="0.4">
      <c r="B75" s="258" t="s">
        <v>43</v>
      </c>
      <c r="C75" s="267"/>
      <c r="D75" s="252">
        <f>D54+D63+D72</f>
        <v>0</v>
      </c>
      <c r="E75" s="253">
        <f t="shared" ref="E75:H75" si="74">E54+E63+E72</f>
        <v>0</v>
      </c>
      <c r="F75" s="253">
        <f t="shared" si="74"/>
        <v>2400998.7449295619</v>
      </c>
      <c r="G75" s="253">
        <f t="shared" si="74"/>
        <v>1899206.1978708406</v>
      </c>
      <c r="H75" s="253">
        <f t="shared" si="74"/>
        <v>0</v>
      </c>
      <c r="I75" s="254">
        <f t="shared" si="6"/>
        <v>4300204.9428004026</v>
      </c>
      <c r="K75" s="252">
        <f>K54+K63+K72</f>
        <v>0</v>
      </c>
      <c r="L75" s="253">
        <f t="shared" ref="L75:O75" si="75">L54+L63+L72</f>
        <v>0</v>
      </c>
      <c r="M75" s="253">
        <f t="shared" si="75"/>
        <v>1573650.185005452</v>
      </c>
      <c r="N75" s="253">
        <f t="shared" si="75"/>
        <v>1281894.684094134</v>
      </c>
      <c r="O75" s="253">
        <f t="shared" si="75"/>
        <v>0</v>
      </c>
      <c r="P75" s="254">
        <f t="shared" ref="P75" si="76">SUM(K75:O75)</f>
        <v>2855544.8690995863</v>
      </c>
      <c r="Q75" s="227"/>
      <c r="R75" s="252">
        <f>R54+R63+R72</f>
        <v>0</v>
      </c>
      <c r="S75" s="253">
        <f t="shared" ref="S75:V75" si="77">S54+S63+S72</f>
        <v>0</v>
      </c>
      <c r="T75" s="253">
        <f t="shared" si="77"/>
        <v>827348.55992411007</v>
      </c>
      <c r="U75" s="253">
        <f t="shared" si="77"/>
        <v>617311.51377670618</v>
      </c>
      <c r="V75" s="253">
        <f t="shared" si="77"/>
        <v>0</v>
      </c>
      <c r="W75" s="254">
        <f t="shared" ref="W75" si="78">SUM(R75:V75)</f>
        <v>1444660.0737008164</v>
      </c>
      <c r="X75" s="227"/>
    </row>
    <row r="77" spans="2:24" s="227" customFormat="1" x14ac:dyDescent="0.35">
      <c r="J77" s="120"/>
    </row>
    <row r="78" spans="2:24" s="227" customFormat="1" ht="23.5" x14ac:dyDescent="0.55000000000000004">
      <c r="B78" s="372" t="s">
        <v>209</v>
      </c>
      <c r="C78" s="372"/>
      <c r="D78" s="268"/>
      <c r="E78" s="268"/>
      <c r="F78" s="268"/>
      <c r="G78" s="268"/>
      <c r="H78" s="268"/>
      <c r="I78" s="268"/>
      <c r="J78" s="269"/>
      <c r="K78" s="268"/>
      <c r="L78" s="268"/>
      <c r="M78" s="268"/>
      <c r="N78" s="268"/>
      <c r="O78" s="268"/>
      <c r="P78" s="268"/>
      <c r="Q78" s="268"/>
      <c r="R78" s="268"/>
      <c r="S78" s="268"/>
      <c r="T78" s="268"/>
      <c r="U78" s="268"/>
      <c r="V78" s="268"/>
      <c r="W78" s="268"/>
    </row>
    <row r="79" spans="2:24" ht="15" thickBot="1" x14ac:dyDescent="0.4"/>
    <row r="80" spans="2:24" s="227" customFormat="1" ht="15" thickBot="1" x14ac:dyDescent="0.4">
      <c r="D80" s="369" t="s">
        <v>209</v>
      </c>
      <c r="E80" s="370"/>
      <c r="F80" s="370"/>
      <c r="G80" s="370"/>
      <c r="H80" s="370"/>
      <c r="I80" s="371"/>
      <c r="J80" s="120"/>
      <c r="K80" s="369" t="s">
        <v>207</v>
      </c>
      <c r="L80" s="370"/>
      <c r="M80" s="370"/>
      <c r="N80" s="370"/>
      <c r="O80" s="370"/>
      <c r="P80" s="371"/>
      <c r="R80" s="369" t="s">
        <v>208</v>
      </c>
      <c r="S80" s="370"/>
      <c r="T80" s="370"/>
      <c r="U80" s="370"/>
      <c r="V80" s="370"/>
      <c r="W80" s="371"/>
    </row>
    <row r="81" spans="2:23" ht="29.5" thickBot="1" x14ac:dyDescent="0.4">
      <c r="B81" s="227"/>
      <c r="C81" s="40"/>
      <c r="D81" s="241" t="s">
        <v>121</v>
      </c>
      <c r="E81" s="242" t="s">
        <v>122</v>
      </c>
      <c r="F81" s="242" t="s">
        <v>123</v>
      </c>
      <c r="G81" s="242" t="s">
        <v>124</v>
      </c>
      <c r="H81" s="242" t="s">
        <v>125</v>
      </c>
      <c r="I81" s="243" t="s">
        <v>88</v>
      </c>
      <c r="K81" s="241" t="s">
        <v>121</v>
      </c>
      <c r="L81" s="242" t="s">
        <v>122</v>
      </c>
      <c r="M81" s="242" t="s">
        <v>123</v>
      </c>
      <c r="N81" s="242" t="s">
        <v>124</v>
      </c>
      <c r="O81" s="242" t="s">
        <v>125</v>
      </c>
      <c r="P81" s="243" t="s">
        <v>88</v>
      </c>
      <c r="R81" s="241" t="s">
        <v>121</v>
      </c>
      <c r="S81" s="242" t="s">
        <v>122</v>
      </c>
      <c r="T81" s="242" t="s">
        <v>123</v>
      </c>
      <c r="U81" s="242" t="s">
        <v>124</v>
      </c>
      <c r="V81" s="242" t="s">
        <v>125</v>
      </c>
      <c r="W81" s="243" t="s">
        <v>88</v>
      </c>
    </row>
    <row r="82" spans="2:23" ht="15" thickBot="1" x14ac:dyDescent="0.4">
      <c r="B82" s="88" t="s">
        <v>263</v>
      </c>
      <c r="C82" s="89"/>
      <c r="D82" s="231" t="s">
        <v>156</v>
      </c>
      <c r="E82" s="231" t="s">
        <v>156</v>
      </c>
      <c r="F82" s="232" t="s">
        <v>156</v>
      </c>
      <c r="G82" s="232" t="s">
        <v>156</v>
      </c>
      <c r="H82" s="232" t="s">
        <v>156</v>
      </c>
      <c r="I82" s="233" t="s">
        <v>156</v>
      </c>
      <c r="K82" s="246" t="s">
        <v>156</v>
      </c>
      <c r="L82" s="247" t="s">
        <v>156</v>
      </c>
      <c r="M82" s="247" t="s">
        <v>156</v>
      </c>
      <c r="N82" s="247" t="s">
        <v>156</v>
      </c>
      <c r="O82" s="247" t="s">
        <v>156</v>
      </c>
      <c r="P82" s="248" t="s">
        <v>156</v>
      </c>
      <c r="R82" s="246" t="s">
        <v>156</v>
      </c>
      <c r="S82" s="247" t="s">
        <v>156</v>
      </c>
      <c r="T82" s="247" t="s">
        <v>156</v>
      </c>
      <c r="U82" s="247" t="s">
        <v>156</v>
      </c>
      <c r="V82" s="247" t="s">
        <v>156</v>
      </c>
      <c r="W82" s="248" t="s">
        <v>156</v>
      </c>
    </row>
    <row r="83" spans="2:23" ht="18.649999999999999" customHeight="1" x14ac:dyDescent="0.35">
      <c r="B83" s="249" t="s">
        <v>34</v>
      </c>
      <c r="C83" s="230"/>
      <c r="D83" s="85">
        <f>'s2. Historical Indirect Capex'!M6</f>
        <v>65247.730686758267</v>
      </c>
      <c r="E83" s="85">
        <f>'s2. Historical Indirect Capex'!N6</f>
        <v>688265.89579574624</v>
      </c>
      <c r="F83" s="85">
        <f>'s2. Historical Indirect Capex'!O6</f>
        <v>294639.48047981056</v>
      </c>
      <c r="G83" s="85">
        <v>0</v>
      </c>
      <c r="H83" s="85">
        <v>0</v>
      </c>
      <c r="I83" s="235">
        <f t="shared" ref="I83:I85" si="79">SUM(E83:H83)</f>
        <v>982905.37627555686</v>
      </c>
      <c r="K83" s="244">
        <f>D83*'Key assumptions'!$C$43</f>
        <v>45673.411480730785</v>
      </c>
      <c r="L83" s="85">
        <f>E83*'Key assumptions'!$C$43</f>
        <v>481786.12705702236</v>
      </c>
      <c r="M83" s="85">
        <f>F83*'Key assumptions'!$C$43</f>
        <v>206247.63633586737</v>
      </c>
      <c r="N83" s="85">
        <f>G83*'Key assumptions'!$C$43</f>
        <v>0</v>
      </c>
      <c r="O83" s="85">
        <f>H83*'Key assumptions'!$C$43</f>
        <v>0</v>
      </c>
      <c r="P83" s="235">
        <f t="shared" ref="P83:P86" si="80">SUM(K83:O83)</f>
        <v>733707.1748736205</v>
      </c>
      <c r="Q83" s="227"/>
      <c r="R83" s="244">
        <f t="shared" ref="R83:R85" si="81">D83-K83</f>
        <v>19574.319206027481</v>
      </c>
      <c r="S83" s="85">
        <f t="shared" ref="S83:S85" si="82">E83-L83</f>
        <v>206479.76873872388</v>
      </c>
      <c r="T83" s="85">
        <f t="shared" ref="T83:T85" si="83">F83-M83</f>
        <v>88391.844143943192</v>
      </c>
      <c r="U83" s="85">
        <f t="shared" ref="U83:U85" si="84">G83-N83</f>
        <v>0</v>
      </c>
      <c r="V83" s="85">
        <f t="shared" ref="V83:V85" si="85">H83-O83</f>
        <v>0</v>
      </c>
      <c r="W83" s="235">
        <f t="shared" ref="W83:W86" si="86">SUM(R83:V83)</f>
        <v>314445.93208869454</v>
      </c>
    </row>
    <row r="84" spans="2:23" s="227" customFormat="1" ht="18.649999999999999" customHeight="1" x14ac:dyDescent="0.35">
      <c r="B84" s="236" t="s">
        <v>74</v>
      </c>
      <c r="C84" s="184"/>
      <c r="D84" s="85">
        <f>'s2. Historical Indirect Capex'!M8</f>
        <v>20.858352200019688</v>
      </c>
      <c r="E84" s="85">
        <f>'s2. Historical Indirect Capex'!N8</f>
        <v>60234.214874010249</v>
      </c>
      <c r="F84" s="85">
        <f>'s2. Historical Indirect Capex'!O8</f>
        <v>1473.9789852702274</v>
      </c>
      <c r="G84" s="85">
        <v>0</v>
      </c>
      <c r="H84" s="85">
        <v>0</v>
      </c>
      <c r="I84" s="235">
        <f t="shared" si="79"/>
        <v>61708.19385928048</v>
      </c>
      <c r="J84" s="120"/>
      <c r="K84" s="244">
        <f>D84*'Key assumptions'!$C$44</f>
        <v>14.60084654001378</v>
      </c>
      <c r="L84" s="85">
        <f>E84*'Key assumptions'!$C$44</f>
        <v>42163.950411807171</v>
      </c>
      <c r="M84" s="85">
        <f>F84*'Key assumptions'!$C$44</f>
        <v>1031.7852896891591</v>
      </c>
      <c r="N84" s="85">
        <f>G84*'Key assumptions'!$C$44</f>
        <v>0</v>
      </c>
      <c r="O84" s="85">
        <f>H84*'Key assumptions'!$C$44</f>
        <v>0</v>
      </c>
      <c r="P84" s="235">
        <f t="shared" ref="P84" si="87">SUM(K84:O84)</f>
        <v>43210.336548036343</v>
      </c>
      <c r="R84" s="244">
        <f t="shared" ref="R84" si="88">D84-K84</f>
        <v>6.2575056600059078</v>
      </c>
      <c r="S84" s="85">
        <f t="shared" ref="S84" si="89">E84-L84</f>
        <v>18070.264462203078</v>
      </c>
      <c r="T84" s="85">
        <f t="shared" ref="T84" si="90">F84-M84</f>
        <v>442.19369558106837</v>
      </c>
      <c r="U84" s="85">
        <f t="shared" ref="U84" si="91">G84-N84</f>
        <v>0</v>
      </c>
      <c r="V84" s="85">
        <f t="shared" ref="V84" si="92">H84-O84</f>
        <v>0</v>
      </c>
      <c r="W84" s="235">
        <f t="shared" ref="W84" si="93">SUM(R84:V84)</f>
        <v>18518.715663444153</v>
      </c>
    </row>
    <row r="85" spans="2:23" ht="18.649999999999999" customHeight="1" thickBot="1" x14ac:dyDescent="0.4">
      <c r="B85" s="236" t="s">
        <v>53</v>
      </c>
      <c r="C85" s="165"/>
      <c r="D85" s="85">
        <f>'s2. Historical Indirect Capex'!M12</f>
        <v>199333.67457426916</v>
      </c>
      <c r="E85" s="85">
        <f>'s2. Historical Indirect Capex'!N12</f>
        <v>965892.81229949405</v>
      </c>
      <c r="F85" s="85">
        <f>'s2. Historical Indirect Capex'!O12</f>
        <v>673938.06021423405</v>
      </c>
      <c r="G85" s="85">
        <v>0</v>
      </c>
      <c r="H85" s="85">
        <v>0</v>
      </c>
      <c r="I85" s="235">
        <f t="shared" si="79"/>
        <v>1639830.8725137282</v>
      </c>
      <c r="K85" s="244">
        <f>D85*'Key assumptions'!$C$45</f>
        <v>0</v>
      </c>
      <c r="L85" s="85">
        <f>E85*'Key assumptions'!$C$45</f>
        <v>0</v>
      </c>
      <c r="M85" s="85">
        <f>F85*'Key assumptions'!$C$45</f>
        <v>0</v>
      </c>
      <c r="N85" s="85">
        <f>G85*'Key assumptions'!$C$45</f>
        <v>0</v>
      </c>
      <c r="O85" s="85">
        <f>H85*'Key assumptions'!$C$45</f>
        <v>0</v>
      </c>
      <c r="P85" s="235">
        <f t="shared" si="80"/>
        <v>0</v>
      </c>
      <c r="Q85" s="227"/>
      <c r="R85" s="244">
        <f t="shared" si="81"/>
        <v>199333.67457426916</v>
      </c>
      <c r="S85" s="85">
        <f t="shared" si="82"/>
        <v>965892.81229949405</v>
      </c>
      <c r="T85" s="85">
        <f t="shared" si="83"/>
        <v>673938.06021423405</v>
      </c>
      <c r="U85" s="85">
        <f t="shared" si="84"/>
        <v>0</v>
      </c>
      <c r="V85" s="85">
        <f t="shared" si="85"/>
        <v>0</v>
      </c>
      <c r="W85" s="235">
        <f t="shared" si="86"/>
        <v>1839164.5470879972</v>
      </c>
    </row>
    <row r="86" spans="2:23" ht="19.149999999999999" customHeight="1" thickBot="1" x14ac:dyDescent="0.4">
      <c r="B86" s="237" t="s">
        <v>43</v>
      </c>
      <c r="C86" s="238"/>
      <c r="D86" s="239">
        <f>SUM(D83:D85)</f>
        <v>264602.26361322746</v>
      </c>
      <c r="E86" s="239">
        <f t="shared" ref="E86:H86" si="94">SUM(E83:E85)</f>
        <v>1714392.9229692505</v>
      </c>
      <c r="F86" s="239">
        <f t="shared" si="94"/>
        <v>970051.51967931492</v>
      </c>
      <c r="G86" s="239">
        <f t="shared" si="94"/>
        <v>0</v>
      </c>
      <c r="H86" s="239">
        <f t="shared" si="94"/>
        <v>0</v>
      </c>
      <c r="I86" s="240">
        <f t="shared" ref="I86" si="95">SUM(D86:H86)</f>
        <v>2949046.7062617932</v>
      </c>
      <c r="K86" s="245">
        <f>SUM(K83:K85)</f>
        <v>45688.012327270801</v>
      </c>
      <c r="L86" s="239">
        <f t="shared" ref="L86" si="96">SUM(L83:L85)</f>
        <v>523950.07746882952</v>
      </c>
      <c r="M86" s="239">
        <f t="shared" ref="M86" si="97">SUM(M83:M85)</f>
        <v>207279.42162555654</v>
      </c>
      <c r="N86" s="239">
        <f t="shared" ref="N86" si="98">SUM(N83:N85)</f>
        <v>0</v>
      </c>
      <c r="O86" s="239">
        <f t="shared" ref="O86" si="99">SUM(O83:O85)</f>
        <v>0</v>
      </c>
      <c r="P86" s="240">
        <f t="shared" si="80"/>
        <v>776917.51142165682</v>
      </c>
      <c r="R86" s="245">
        <f>SUM(R83:R85)</f>
        <v>218914.25128595665</v>
      </c>
      <c r="S86" s="239">
        <f t="shared" ref="S86" si="100">SUM(S83:S85)</f>
        <v>1190442.845500421</v>
      </c>
      <c r="T86" s="239">
        <f t="shared" ref="T86" si="101">SUM(T83:T85)</f>
        <v>762772.09805375827</v>
      </c>
      <c r="U86" s="239">
        <f t="shared" ref="U86" si="102">SUM(U83:U85)</f>
        <v>0</v>
      </c>
      <c r="V86" s="239">
        <f t="shared" ref="V86" si="103">SUM(V83:V85)</f>
        <v>0</v>
      </c>
      <c r="W86" s="240">
        <f t="shared" si="86"/>
        <v>2172129.194840136</v>
      </c>
    </row>
    <row r="87" spans="2:23" s="227" customFormat="1" ht="19.149999999999999" customHeight="1" x14ac:dyDescent="0.35">
      <c r="J87" s="120"/>
    </row>
    <row r="88" spans="2:23" s="227" customFormat="1" ht="19.149999999999999" customHeight="1" x14ac:dyDescent="0.35">
      <c r="J88" s="120"/>
    </row>
    <row r="89" spans="2:23" s="227" customFormat="1" ht="23.5" x14ac:dyDescent="0.55000000000000004">
      <c r="B89" s="373" t="s">
        <v>211</v>
      </c>
      <c r="C89" s="373"/>
      <c r="D89" s="373"/>
      <c r="E89" s="268"/>
      <c r="F89" s="268"/>
      <c r="G89" s="268"/>
      <c r="H89" s="268"/>
      <c r="I89" s="268"/>
      <c r="J89" s="269"/>
      <c r="K89" s="268"/>
      <c r="L89" s="268"/>
      <c r="M89" s="268"/>
      <c r="N89" s="268"/>
      <c r="O89" s="268"/>
      <c r="P89" s="268"/>
      <c r="Q89" s="268"/>
      <c r="R89" s="268"/>
      <c r="S89" s="268"/>
      <c r="T89" s="268"/>
      <c r="U89" s="268"/>
      <c r="V89" s="268"/>
      <c r="W89" s="268"/>
    </row>
    <row r="90" spans="2:23" s="227" customFormat="1" ht="15" thickBot="1" x14ac:dyDescent="0.4">
      <c r="J90" s="120"/>
    </row>
    <row r="91" spans="2:23" s="227" customFormat="1" ht="15" thickBot="1" x14ac:dyDescent="0.4">
      <c r="D91" s="369" t="s">
        <v>211</v>
      </c>
      <c r="E91" s="370"/>
      <c r="F91" s="370"/>
      <c r="G91" s="370"/>
      <c r="H91" s="370"/>
      <c r="I91" s="371"/>
      <c r="J91" s="120"/>
      <c r="K91" s="369" t="s">
        <v>212</v>
      </c>
      <c r="L91" s="370"/>
      <c r="M91" s="370"/>
      <c r="N91" s="370"/>
      <c r="O91" s="370"/>
      <c r="P91" s="371"/>
      <c r="R91" s="369" t="s">
        <v>213</v>
      </c>
      <c r="S91" s="370"/>
      <c r="T91" s="370"/>
      <c r="U91" s="370"/>
      <c r="V91" s="370"/>
      <c r="W91" s="371"/>
    </row>
    <row r="92" spans="2:23" ht="29.5" thickBot="1" x14ac:dyDescent="0.4">
      <c r="D92" s="241" t="s">
        <v>121</v>
      </c>
      <c r="E92" s="242" t="s">
        <v>122</v>
      </c>
      <c r="F92" s="242" t="s">
        <v>123</v>
      </c>
      <c r="G92" s="242" t="s">
        <v>124</v>
      </c>
      <c r="H92" s="242" t="s">
        <v>125</v>
      </c>
      <c r="I92" s="243" t="s">
        <v>157</v>
      </c>
      <c r="J92" s="5"/>
      <c r="K92" s="241" t="s">
        <v>121</v>
      </c>
      <c r="L92" s="242" t="s">
        <v>122</v>
      </c>
      <c r="M92" s="242" t="s">
        <v>123</v>
      </c>
      <c r="N92" s="242" t="s">
        <v>124</v>
      </c>
      <c r="O92" s="242" t="s">
        <v>125</v>
      </c>
      <c r="P92" s="243" t="s">
        <v>157</v>
      </c>
      <c r="R92" s="241" t="s">
        <v>121</v>
      </c>
      <c r="S92" s="242" t="s">
        <v>122</v>
      </c>
      <c r="T92" s="242" t="s">
        <v>123</v>
      </c>
      <c r="U92" s="242" t="s">
        <v>124</v>
      </c>
      <c r="V92" s="242" t="s">
        <v>125</v>
      </c>
      <c r="W92" s="243" t="s">
        <v>157</v>
      </c>
    </row>
    <row r="93" spans="2:23" ht="15" thickBot="1" x14ac:dyDescent="0.4">
      <c r="B93" s="88" t="s">
        <v>158</v>
      </c>
      <c r="C93" s="89"/>
      <c r="D93" s="231" t="s">
        <v>156</v>
      </c>
      <c r="E93" s="232" t="s">
        <v>156</v>
      </c>
      <c r="F93" s="232" t="s">
        <v>156</v>
      </c>
      <c r="G93" s="232" t="s">
        <v>156</v>
      </c>
      <c r="H93" s="232" t="s">
        <v>156</v>
      </c>
      <c r="I93" s="233" t="s">
        <v>156</v>
      </c>
      <c r="J93" s="5"/>
      <c r="K93" s="266" t="s">
        <v>156</v>
      </c>
      <c r="L93" s="232" t="s">
        <v>156</v>
      </c>
      <c r="M93" s="232" t="s">
        <v>156</v>
      </c>
      <c r="N93" s="232" t="s">
        <v>156</v>
      </c>
      <c r="O93" s="232" t="s">
        <v>156</v>
      </c>
      <c r="P93" s="233" t="s">
        <v>156</v>
      </c>
      <c r="R93" s="246" t="s">
        <v>156</v>
      </c>
      <c r="S93" s="247" t="s">
        <v>156</v>
      </c>
      <c r="T93" s="247" t="s">
        <v>156</v>
      </c>
      <c r="U93" s="247" t="s">
        <v>156</v>
      </c>
      <c r="V93" s="247" t="s">
        <v>156</v>
      </c>
      <c r="W93" s="248" t="s">
        <v>156</v>
      </c>
    </row>
    <row r="94" spans="2:23" x14ac:dyDescent="0.35">
      <c r="B94" s="234" t="s">
        <v>217</v>
      </c>
      <c r="C94" s="184"/>
      <c r="D94" s="185">
        <f>D86</f>
        <v>264602.26361322746</v>
      </c>
      <c r="E94" s="186">
        <f t="shared" ref="E94:H94" si="104">E86</f>
        <v>1714392.9229692505</v>
      </c>
      <c r="F94" s="186">
        <f t="shared" si="104"/>
        <v>970051.51967931492</v>
      </c>
      <c r="G94" s="186">
        <f t="shared" si="104"/>
        <v>0</v>
      </c>
      <c r="H94" s="186">
        <f t="shared" si="104"/>
        <v>0</v>
      </c>
      <c r="I94" s="235">
        <f>SUM(D94:H94)</f>
        <v>2949046.7062617932</v>
      </c>
      <c r="J94" s="5"/>
      <c r="K94" s="244">
        <f>K86</f>
        <v>45688.012327270801</v>
      </c>
      <c r="L94" s="85">
        <f t="shared" ref="L94:O94" si="105">L86</f>
        <v>523950.07746882952</v>
      </c>
      <c r="M94" s="85">
        <f t="shared" si="105"/>
        <v>207279.42162555654</v>
      </c>
      <c r="N94" s="85">
        <f t="shared" si="105"/>
        <v>0</v>
      </c>
      <c r="O94" s="85">
        <f t="shared" si="105"/>
        <v>0</v>
      </c>
      <c r="P94" s="235">
        <f>SUM(K94:O94)</f>
        <v>776917.51142165682</v>
      </c>
      <c r="R94" s="244">
        <f>R86</f>
        <v>218914.25128595665</v>
      </c>
      <c r="S94" s="85">
        <f t="shared" ref="S94:V94" si="106">S86</f>
        <v>1190442.845500421</v>
      </c>
      <c r="T94" s="85">
        <f t="shared" si="106"/>
        <v>762772.09805375827</v>
      </c>
      <c r="U94" s="85">
        <f t="shared" si="106"/>
        <v>0</v>
      </c>
      <c r="V94" s="85">
        <f t="shared" si="106"/>
        <v>0</v>
      </c>
      <c r="W94" s="235">
        <f>SUM(R94:V94)</f>
        <v>2172129.194840136</v>
      </c>
    </row>
    <row r="95" spans="2:23" ht="15" thickBot="1" x14ac:dyDescent="0.4">
      <c r="B95" s="236" t="s">
        <v>145</v>
      </c>
      <c r="C95" s="165"/>
      <c r="D95" s="166">
        <f>D54+D63+D72</f>
        <v>0</v>
      </c>
      <c r="E95" s="166">
        <f t="shared" ref="E95:H95" si="107">E54+E63+E72</f>
        <v>0</v>
      </c>
      <c r="F95" s="166">
        <f t="shared" si="107"/>
        <v>2400998.7449295619</v>
      </c>
      <c r="G95" s="166">
        <f t="shared" si="107"/>
        <v>1899206.1978708406</v>
      </c>
      <c r="H95" s="166">
        <f t="shared" si="107"/>
        <v>0</v>
      </c>
      <c r="I95" s="235">
        <f>SUM(D95:H95)</f>
        <v>4300204.9428004026</v>
      </c>
      <c r="J95" s="5"/>
      <c r="K95" s="244">
        <f>K54+K63+K72</f>
        <v>0</v>
      </c>
      <c r="L95" s="85">
        <f t="shared" ref="L95:O95" si="108">L54+L63+L72</f>
        <v>0</v>
      </c>
      <c r="M95" s="85">
        <f t="shared" si="108"/>
        <v>1573650.185005452</v>
      </c>
      <c r="N95" s="85">
        <f t="shared" si="108"/>
        <v>1281894.684094134</v>
      </c>
      <c r="O95" s="85">
        <f t="shared" si="108"/>
        <v>0</v>
      </c>
      <c r="P95" s="235">
        <f>SUM(K95:O95)</f>
        <v>2855544.8690995863</v>
      </c>
      <c r="R95" s="244">
        <f t="shared" ref="R95:V95" si="109">R54+R63+R72</f>
        <v>0</v>
      </c>
      <c r="S95" s="85">
        <f t="shared" si="109"/>
        <v>0</v>
      </c>
      <c r="T95" s="85">
        <f t="shared" si="109"/>
        <v>827348.55992411007</v>
      </c>
      <c r="U95" s="85">
        <f t="shared" si="109"/>
        <v>617311.51377670618</v>
      </c>
      <c r="V95" s="85">
        <f t="shared" si="109"/>
        <v>0</v>
      </c>
      <c r="W95" s="235">
        <f>SUM(R95:V95)</f>
        <v>1444660.0737008164</v>
      </c>
    </row>
    <row r="96" spans="2:23" s="227" customFormat="1" ht="19.149999999999999" customHeight="1" thickBot="1" x14ac:dyDescent="0.4">
      <c r="B96" s="237" t="s">
        <v>185</v>
      </c>
      <c r="C96" s="238"/>
      <c r="D96" s="239">
        <f>SUM(D94:D95)</f>
        <v>264602.26361322746</v>
      </c>
      <c r="E96" s="239">
        <f t="shared" ref="E96:H96" si="110">SUM(E94:E95)</f>
        <v>1714392.9229692505</v>
      </c>
      <c r="F96" s="239">
        <f t="shared" si="110"/>
        <v>3371050.2646088768</v>
      </c>
      <c r="G96" s="239">
        <f t="shared" si="110"/>
        <v>1899206.1978708406</v>
      </c>
      <c r="H96" s="239">
        <f t="shared" si="110"/>
        <v>0</v>
      </c>
      <c r="I96" s="240">
        <f>SUM(I94:I95)</f>
        <v>7249251.6490621958</v>
      </c>
      <c r="J96" s="120"/>
      <c r="K96" s="245">
        <f>SUM(K94:K95)</f>
        <v>45688.012327270801</v>
      </c>
      <c r="L96" s="239">
        <f t="shared" ref="L96:O96" si="111">SUM(L94:L95)</f>
        <v>523950.07746882952</v>
      </c>
      <c r="M96" s="239">
        <f t="shared" si="111"/>
        <v>1780929.6066310084</v>
      </c>
      <c r="N96" s="239">
        <f t="shared" si="111"/>
        <v>1281894.684094134</v>
      </c>
      <c r="O96" s="239">
        <f t="shared" si="111"/>
        <v>0</v>
      </c>
      <c r="P96" s="240">
        <f>SUM(P94:P95)</f>
        <v>3632462.380521243</v>
      </c>
      <c r="R96" s="245">
        <f>SUM(R94:R95)</f>
        <v>218914.25128595665</v>
      </c>
      <c r="S96" s="239">
        <f t="shared" ref="S96:V96" si="112">SUM(S94:S95)</f>
        <v>1190442.845500421</v>
      </c>
      <c r="T96" s="239">
        <f t="shared" si="112"/>
        <v>1590120.6579778683</v>
      </c>
      <c r="U96" s="239">
        <f t="shared" si="112"/>
        <v>617311.51377670618</v>
      </c>
      <c r="V96" s="239">
        <f t="shared" si="112"/>
        <v>0</v>
      </c>
      <c r="W96" s="240">
        <f>SUM(W94:W95)</f>
        <v>3616789.2685409524</v>
      </c>
    </row>
  </sheetData>
  <mergeCells count="12">
    <mergeCell ref="D91:I91"/>
    <mergeCell ref="K91:P91"/>
    <mergeCell ref="R91:W91"/>
    <mergeCell ref="B43:C43"/>
    <mergeCell ref="B78:C78"/>
    <mergeCell ref="B89:D89"/>
    <mergeCell ref="D45:I45"/>
    <mergeCell ref="K45:P45"/>
    <mergeCell ref="R45:W45"/>
    <mergeCell ref="D80:I80"/>
    <mergeCell ref="K80:P80"/>
    <mergeCell ref="R80:W80"/>
  </mergeCells>
  <pageMargins left="0.70866141732283472" right="0.70866141732283472" top="0.74803149606299213" bottom="0.74803149606299213" header="0.31496062992125984" footer="0.31496062992125984"/>
  <pageSetup paperSize="9"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pageSetUpPr fitToPage="1"/>
  </sheetPr>
  <dimension ref="B1:X40"/>
  <sheetViews>
    <sheetView showGridLines="0" zoomScale="80" zoomScaleNormal="80" zoomScaleSheetLayoutView="55" workbookViewId="0">
      <pane xSplit="2" ySplit="3" topLeftCell="C10" activePane="bottomRight" state="frozen"/>
      <selection activeCell="F19" sqref="F19"/>
      <selection pane="topRight" activeCell="F19" sqref="F19"/>
      <selection pane="bottomLeft" activeCell="F19" sqref="F19"/>
      <selection pane="bottomRight"/>
    </sheetView>
  </sheetViews>
  <sheetFormatPr defaultColWidth="8.81640625" defaultRowHeight="21" customHeight="1" x14ac:dyDescent="0.35"/>
  <cols>
    <col min="1" max="1" width="4.7265625" style="5" customWidth="1"/>
    <col min="2" max="2" width="45.7265625" style="5" customWidth="1"/>
    <col min="3" max="5" width="13.81640625" style="5" customWidth="1"/>
    <col min="6" max="6" width="4.7265625" style="27" customWidth="1"/>
    <col min="7" max="11" width="13.81640625" style="5" customWidth="1"/>
    <col min="12" max="12" width="4.7265625" style="5" customWidth="1"/>
    <col min="13" max="17" width="13.81640625" style="5" customWidth="1"/>
    <col min="18" max="18" width="4.7265625" style="5" customWidth="1"/>
    <col min="19" max="23" width="13.81640625" style="5" customWidth="1"/>
    <col min="24" max="24" width="4.7265625" style="5" customWidth="1"/>
    <col min="25" max="16384" width="8.81640625" style="5"/>
  </cols>
  <sheetData>
    <row r="1" spans="2:24" ht="21" customHeight="1" thickBot="1" x14ac:dyDescent="0.4">
      <c r="G1" s="35" t="s">
        <v>170</v>
      </c>
      <c r="H1" s="36"/>
      <c r="I1" s="36"/>
      <c r="J1" s="36"/>
      <c r="K1" s="36"/>
      <c r="L1" s="227"/>
      <c r="M1" s="20" t="s">
        <v>126</v>
      </c>
      <c r="N1" s="114"/>
      <c r="O1" s="114"/>
      <c r="P1" s="114"/>
      <c r="Q1" s="115"/>
      <c r="R1" s="227"/>
      <c r="S1" s="12" t="s">
        <v>171</v>
      </c>
      <c r="T1" s="116"/>
      <c r="U1" s="116"/>
      <c r="V1" s="116"/>
      <c r="W1" s="117"/>
    </row>
    <row r="3" spans="2:24" ht="42" customHeight="1" x14ac:dyDescent="0.35">
      <c r="B3" s="153" t="s">
        <v>112</v>
      </c>
      <c r="C3" s="140" t="s">
        <v>155</v>
      </c>
      <c r="D3" s="140" t="s">
        <v>51</v>
      </c>
      <c r="E3" s="140" t="s">
        <v>90</v>
      </c>
      <c r="G3" s="138" t="s">
        <v>122</v>
      </c>
      <c r="H3" s="138" t="s">
        <v>123</v>
      </c>
      <c r="I3" s="138" t="s">
        <v>124</v>
      </c>
      <c r="J3" s="138" t="s">
        <v>125</v>
      </c>
      <c r="K3" s="139" t="s">
        <v>2</v>
      </c>
      <c r="M3" s="138" t="s">
        <v>122</v>
      </c>
      <c r="N3" s="138" t="s">
        <v>123</v>
      </c>
      <c r="O3" s="138" t="s">
        <v>124</v>
      </c>
      <c r="P3" s="138" t="s">
        <v>125</v>
      </c>
      <c r="Q3" s="139" t="s">
        <v>2</v>
      </c>
      <c r="S3" s="138" t="s">
        <v>122</v>
      </c>
      <c r="T3" s="138" t="s">
        <v>123</v>
      </c>
      <c r="U3" s="138" t="s">
        <v>124</v>
      </c>
      <c r="V3" s="138" t="s">
        <v>125</v>
      </c>
      <c r="W3" s="139" t="s">
        <v>2</v>
      </c>
    </row>
    <row r="4" spans="2:24" ht="21" customHeight="1" x14ac:dyDescent="0.35">
      <c r="C4" s="187"/>
      <c r="D4" s="188"/>
      <c r="E4" s="189"/>
      <c r="F4" s="34"/>
      <c r="G4" s="190"/>
      <c r="H4" s="190"/>
      <c r="I4" s="190"/>
      <c r="J4" s="190"/>
      <c r="K4" s="280"/>
      <c r="L4" s="29"/>
      <c r="M4" s="29"/>
      <c r="N4" s="29"/>
      <c r="O4" s="29"/>
      <c r="P4" s="29"/>
      <c r="Q4" s="29"/>
      <c r="R4" s="29"/>
      <c r="S4" s="190"/>
      <c r="T4" s="190"/>
      <c r="U4" s="190"/>
      <c r="V4" s="190"/>
      <c r="W4" s="190"/>
    </row>
    <row r="5" spans="2:24" ht="21" customHeight="1" thickBot="1" x14ac:dyDescent="0.4">
      <c r="B5" s="1" t="s">
        <v>52</v>
      </c>
      <c r="C5" s="141"/>
      <c r="D5" s="141"/>
      <c r="E5" s="141"/>
      <c r="F5" s="39"/>
      <c r="K5" s="1"/>
      <c r="L5" s="43"/>
      <c r="R5" s="43"/>
      <c r="X5" s="43"/>
    </row>
    <row r="6" spans="2:24" ht="21" customHeight="1" thickBot="1" x14ac:dyDescent="0.4">
      <c r="B6" s="91" t="s">
        <v>21</v>
      </c>
      <c r="C6" s="92">
        <v>1518974.33</v>
      </c>
      <c r="D6" s="92">
        <v>1506753.0247411286</v>
      </c>
      <c r="E6" s="93">
        <v>1483170.6120101667</v>
      </c>
      <c r="F6" s="94"/>
      <c r="G6" s="95">
        <v>0</v>
      </c>
      <c r="H6" s="96">
        <v>707354.63800000004</v>
      </c>
      <c r="I6" s="96">
        <v>811619.69200000004</v>
      </c>
      <c r="J6" s="97">
        <v>0</v>
      </c>
      <c r="K6" s="93">
        <v>1518974.33</v>
      </c>
      <c r="L6" s="44"/>
      <c r="M6" s="95">
        <v>0</v>
      </c>
      <c r="N6" s="95">
        <v>701663.43125177501</v>
      </c>
      <c r="O6" s="95">
        <v>805089.59348935343</v>
      </c>
      <c r="P6" s="95">
        <v>0</v>
      </c>
      <c r="Q6" s="97">
        <v>1506753.0247411286</v>
      </c>
      <c r="R6" s="44"/>
      <c r="S6" s="95">
        <v>0</v>
      </c>
      <c r="T6" s="95">
        <v>690681.59390862775</v>
      </c>
      <c r="U6" s="95">
        <v>792489.018101539</v>
      </c>
      <c r="V6" s="95">
        <v>0</v>
      </c>
      <c r="W6" s="97">
        <v>1483170.6120101667</v>
      </c>
      <c r="X6" s="44"/>
    </row>
    <row r="7" spans="2:24" ht="21" customHeight="1" thickTop="1" thickBot="1" x14ac:dyDescent="0.4">
      <c r="B7" s="98" t="s">
        <v>22</v>
      </c>
      <c r="C7" s="92">
        <v>964212.28</v>
      </c>
      <c r="D7" s="92">
        <v>956454.45791209652</v>
      </c>
      <c r="E7" s="93">
        <v>941484.84881592321</v>
      </c>
      <c r="F7" s="94"/>
      <c r="G7" s="99">
        <v>0</v>
      </c>
      <c r="H7" s="96">
        <v>534689.59000000008</v>
      </c>
      <c r="I7" s="96">
        <v>429522.69</v>
      </c>
      <c r="J7" s="97">
        <v>0</v>
      </c>
      <c r="K7" s="93">
        <v>964212.28</v>
      </c>
      <c r="L7" s="44"/>
      <c r="M7" s="95">
        <v>0</v>
      </c>
      <c r="N7" s="95">
        <v>530387.60505590239</v>
      </c>
      <c r="O7" s="95">
        <v>426066.85285619408</v>
      </c>
      <c r="P7" s="95">
        <v>0</v>
      </c>
      <c r="Q7" s="97">
        <v>956454.45791209652</v>
      </c>
      <c r="R7" s="44"/>
      <c r="S7" s="95">
        <v>0</v>
      </c>
      <c r="T7" s="95">
        <v>522086.43080608558</v>
      </c>
      <c r="U7" s="95">
        <v>419398.41800983762</v>
      </c>
      <c r="V7" s="95">
        <v>0</v>
      </c>
      <c r="W7" s="97">
        <v>941484.84881592321</v>
      </c>
      <c r="X7" s="44"/>
    </row>
    <row r="8" spans="2:24" ht="21" customHeight="1" thickBot="1" x14ac:dyDescent="0.4">
      <c r="B8" s="100" t="s">
        <v>23</v>
      </c>
      <c r="C8" s="92">
        <v>157757.39000000001</v>
      </c>
      <c r="D8" s="92">
        <v>156488.11165740096</v>
      </c>
      <c r="E8" s="93">
        <v>154038.89325465201</v>
      </c>
      <c r="F8" s="94"/>
      <c r="G8" s="97">
        <v>0</v>
      </c>
      <c r="H8" s="96">
        <v>121058.7</v>
      </c>
      <c r="I8" s="96">
        <v>36698.69</v>
      </c>
      <c r="J8" s="97">
        <v>0</v>
      </c>
      <c r="K8" s="93">
        <v>157757.39000000001</v>
      </c>
      <c r="L8" s="44"/>
      <c r="M8" s="95">
        <v>0</v>
      </c>
      <c r="N8" s="95">
        <v>120084.69056631709</v>
      </c>
      <c r="O8" s="95">
        <v>36403.421091083881</v>
      </c>
      <c r="P8" s="95">
        <v>0</v>
      </c>
      <c r="Q8" s="97">
        <v>156488.11165740096</v>
      </c>
      <c r="R8" s="44"/>
      <c r="S8" s="95">
        <v>0</v>
      </c>
      <c r="T8" s="95">
        <v>118205.22744986425</v>
      </c>
      <c r="U8" s="95">
        <v>35833.665804787757</v>
      </c>
      <c r="V8" s="95">
        <v>0</v>
      </c>
      <c r="W8" s="97">
        <v>154038.89325465201</v>
      </c>
      <c r="X8" s="44"/>
    </row>
    <row r="9" spans="2:24" ht="21" customHeight="1" thickBot="1" x14ac:dyDescent="0.4">
      <c r="B9" s="100" t="s">
        <v>24</v>
      </c>
      <c r="C9" s="92">
        <v>0</v>
      </c>
      <c r="D9" s="92">
        <v>0</v>
      </c>
      <c r="E9" s="93">
        <v>0</v>
      </c>
      <c r="F9" s="94"/>
      <c r="G9" s="97">
        <v>0</v>
      </c>
      <c r="H9" s="96">
        <v>0</v>
      </c>
      <c r="I9" s="96">
        <v>0</v>
      </c>
      <c r="J9" s="97">
        <v>0</v>
      </c>
      <c r="K9" s="93">
        <v>0</v>
      </c>
      <c r="L9" s="44"/>
      <c r="M9" s="95">
        <v>0</v>
      </c>
      <c r="N9" s="95">
        <v>0</v>
      </c>
      <c r="O9" s="95">
        <v>0</v>
      </c>
      <c r="P9" s="95">
        <v>0</v>
      </c>
      <c r="Q9" s="97">
        <v>0</v>
      </c>
      <c r="R9" s="44"/>
      <c r="S9" s="95">
        <v>0</v>
      </c>
      <c r="T9" s="95">
        <v>0</v>
      </c>
      <c r="U9" s="95">
        <v>0</v>
      </c>
      <c r="V9" s="95">
        <v>0</v>
      </c>
      <c r="W9" s="97">
        <v>0</v>
      </c>
      <c r="X9" s="44"/>
    </row>
    <row r="10" spans="2:24" ht="21" customHeight="1" thickBot="1" x14ac:dyDescent="0.4">
      <c r="B10" s="100" t="s">
        <v>15</v>
      </c>
      <c r="C10" s="92">
        <v>35107.369999999995</v>
      </c>
      <c r="D10" s="92">
        <v>34824.904472352697</v>
      </c>
      <c r="E10" s="93">
        <v>34279.854781329559</v>
      </c>
      <c r="F10" s="94"/>
      <c r="G10" s="97">
        <v>0</v>
      </c>
      <c r="H10" s="96">
        <v>17016.519999999997</v>
      </c>
      <c r="I10" s="96">
        <v>18090.849999999999</v>
      </c>
      <c r="J10" s="97">
        <v>0</v>
      </c>
      <c r="K10" s="93">
        <v>35107.369999999995</v>
      </c>
      <c r="L10" s="44"/>
      <c r="M10" s="95">
        <v>0</v>
      </c>
      <c r="N10" s="95">
        <v>16879.609137679043</v>
      </c>
      <c r="O10" s="95">
        <v>17945.295334673654</v>
      </c>
      <c r="P10" s="95">
        <v>0</v>
      </c>
      <c r="Q10" s="97">
        <v>34824.904472352697</v>
      </c>
      <c r="R10" s="44"/>
      <c r="S10" s="95">
        <v>0</v>
      </c>
      <c r="T10" s="95">
        <v>16615.423897705525</v>
      </c>
      <c r="U10" s="95">
        <v>17664.430883624031</v>
      </c>
      <c r="V10" s="95">
        <v>0</v>
      </c>
      <c r="W10" s="97">
        <v>34279.854781329559</v>
      </c>
      <c r="X10" s="44"/>
    </row>
    <row r="11" spans="2:24" s="1" customFormat="1" ht="21" customHeight="1" thickBot="1" x14ac:dyDescent="0.4">
      <c r="B11" s="283" t="s">
        <v>41</v>
      </c>
      <c r="C11" s="112">
        <v>2676051.3700000006</v>
      </c>
      <c r="D11" s="286">
        <v>2654520.4987829784</v>
      </c>
      <c r="E11" s="104">
        <v>2612974.2088620719</v>
      </c>
      <c r="F11" s="284"/>
      <c r="G11" s="281">
        <v>0</v>
      </c>
      <c r="H11" s="281">
        <v>1380119.4480000001</v>
      </c>
      <c r="I11" s="281">
        <v>1295931.922</v>
      </c>
      <c r="J11" s="281">
        <v>0</v>
      </c>
      <c r="K11" s="281">
        <v>2676051.3700000006</v>
      </c>
      <c r="L11" s="285"/>
      <c r="M11" s="281">
        <v>0</v>
      </c>
      <c r="N11" s="281">
        <v>1369015.3360116736</v>
      </c>
      <c r="O11" s="281">
        <v>1285505.1627713051</v>
      </c>
      <c r="P11" s="281">
        <v>0</v>
      </c>
      <c r="Q11" s="281">
        <v>2654520.4987829784</v>
      </c>
      <c r="R11" s="285"/>
      <c r="S11" s="281">
        <v>0</v>
      </c>
      <c r="T11" s="281">
        <v>1347588.6760622831</v>
      </c>
      <c r="U11" s="281">
        <v>1265385.5327997885</v>
      </c>
      <c r="V11" s="281">
        <v>0</v>
      </c>
      <c r="W11" s="281">
        <v>2612974.2088620719</v>
      </c>
      <c r="X11" s="285"/>
    </row>
    <row r="12" spans="2:24" ht="21" customHeight="1" thickBot="1" x14ac:dyDescent="0.4">
      <c r="B12" s="1" t="s">
        <v>35</v>
      </c>
      <c r="C12" s="2"/>
      <c r="D12" s="26"/>
      <c r="E12" s="1"/>
      <c r="F12" s="94"/>
      <c r="K12" s="1"/>
      <c r="M12" s="43"/>
      <c r="N12" s="43"/>
      <c r="O12" s="43"/>
      <c r="P12" s="43"/>
      <c r="Q12" s="43"/>
      <c r="R12" s="43"/>
      <c r="S12" s="43"/>
      <c r="T12" s="43"/>
      <c r="U12" s="43"/>
      <c r="V12" s="43"/>
      <c r="W12" s="43"/>
      <c r="X12" s="43"/>
    </row>
    <row r="13" spans="2:24" ht="21" customHeight="1" thickBot="1" x14ac:dyDescent="0.4">
      <c r="B13" s="100" t="s">
        <v>38</v>
      </c>
      <c r="C13" s="92">
        <v>320974.01</v>
      </c>
      <c r="D13" s="92">
        <v>320974.01</v>
      </c>
      <c r="E13" s="93">
        <v>315950.39866128552</v>
      </c>
      <c r="F13" s="94"/>
      <c r="G13" s="97">
        <v>0</v>
      </c>
      <c r="H13" s="97">
        <v>198568.46799999999</v>
      </c>
      <c r="I13" s="97">
        <v>122405.542</v>
      </c>
      <c r="J13" s="97">
        <v>0</v>
      </c>
      <c r="K13" s="93">
        <v>320974.01</v>
      </c>
      <c r="L13" s="44"/>
      <c r="M13" s="97">
        <v>0</v>
      </c>
      <c r="N13" s="97">
        <v>198568.46799999999</v>
      </c>
      <c r="O13" s="97">
        <v>122405.542</v>
      </c>
      <c r="P13" s="97">
        <v>0</v>
      </c>
      <c r="Q13" s="97">
        <v>320974.01</v>
      </c>
      <c r="R13" s="44"/>
      <c r="S13" s="97">
        <v>0</v>
      </c>
      <c r="T13" s="97">
        <v>195460.64376415001</v>
      </c>
      <c r="U13" s="97">
        <v>120489.75489713554</v>
      </c>
      <c r="V13" s="97">
        <v>0</v>
      </c>
      <c r="W13" s="97">
        <v>315950.39866128552</v>
      </c>
      <c r="X13" s="44"/>
    </row>
    <row r="14" spans="2:24" ht="21" customHeight="1" thickBot="1" x14ac:dyDescent="0.4">
      <c r="B14" s="100" t="s">
        <v>3</v>
      </c>
      <c r="C14" s="92">
        <v>13585.311902748221</v>
      </c>
      <c r="D14" s="92">
        <v>13585.311902748221</v>
      </c>
      <c r="E14" s="93">
        <v>13372.686192290796</v>
      </c>
      <c r="F14" s="94"/>
      <c r="G14" s="97">
        <v>0</v>
      </c>
      <c r="H14" s="97">
        <v>4615.1722309236666</v>
      </c>
      <c r="I14" s="97">
        <v>8970.1396718245542</v>
      </c>
      <c r="J14" s="97">
        <v>0</v>
      </c>
      <c r="K14" s="93">
        <v>13585.311902748221</v>
      </c>
      <c r="L14" s="44"/>
      <c r="M14" s="97">
        <v>0</v>
      </c>
      <c r="N14" s="97">
        <v>4615.1722309236666</v>
      </c>
      <c r="O14" s="97">
        <v>8970.1396718245542</v>
      </c>
      <c r="P14" s="97">
        <v>0</v>
      </c>
      <c r="Q14" s="97">
        <v>13585.311902748221</v>
      </c>
      <c r="R14" s="44"/>
      <c r="S14" s="97">
        <v>0</v>
      </c>
      <c r="T14" s="97">
        <v>4542.9394929852015</v>
      </c>
      <c r="U14" s="97">
        <v>8829.746699305595</v>
      </c>
      <c r="V14" s="97">
        <v>0</v>
      </c>
      <c r="W14" s="97">
        <v>13372.686192290796</v>
      </c>
      <c r="X14" s="44"/>
    </row>
    <row r="15" spans="2:24" ht="21" customHeight="1" thickBot="1" x14ac:dyDescent="0.4">
      <c r="B15" s="100" t="s">
        <v>33</v>
      </c>
      <c r="C15" s="106">
        <v>139620.19725000003</v>
      </c>
      <c r="D15" s="92">
        <v>138496.84643544338</v>
      </c>
      <c r="E15" s="93">
        <v>136329.21196519674</v>
      </c>
      <c r="F15" s="94"/>
      <c r="G15" s="97">
        <v>0</v>
      </c>
      <c r="H15" s="97">
        <v>74186.391749999995</v>
      </c>
      <c r="I15" s="97">
        <v>65433.805500000017</v>
      </c>
      <c r="J15" s="97">
        <v>0</v>
      </c>
      <c r="K15" s="93">
        <v>139620.19725000003</v>
      </c>
      <c r="L15" s="44"/>
      <c r="M15" s="97">
        <v>0</v>
      </c>
      <c r="N15" s="97">
        <v>73589.505731767553</v>
      </c>
      <c r="O15" s="97">
        <v>64907.340703675822</v>
      </c>
      <c r="P15" s="97">
        <v>0</v>
      </c>
      <c r="Q15" s="97">
        <v>138496.84643544338</v>
      </c>
      <c r="R15" s="44"/>
      <c r="S15" s="97">
        <v>0</v>
      </c>
      <c r="T15" s="97">
        <v>72437.745577091788</v>
      </c>
      <c r="U15" s="97">
        <v>63891.466388104949</v>
      </c>
      <c r="V15" s="97">
        <v>0</v>
      </c>
      <c r="W15" s="97">
        <v>136329.21196519674</v>
      </c>
      <c r="X15" s="44"/>
    </row>
    <row r="16" spans="2:24" ht="21" customHeight="1" thickBot="1" x14ac:dyDescent="0.4">
      <c r="B16" s="107" t="s">
        <v>39</v>
      </c>
      <c r="C16" s="106">
        <v>241062.53</v>
      </c>
      <c r="D16" s="92">
        <v>241062.53</v>
      </c>
      <c r="E16" s="93">
        <v>237289.62496308691</v>
      </c>
      <c r="F16" s="94"/>
      <c r="G16" s="97">
        <v>0</v>
      </c>
      <c r="H16" s="97">
        <v>136195.15</v>
      </c>
      <c r="I16" s="97">
        <v>104867.38</v>
      </c>
      <c r="J16" s="97">
        <v>0</v>
      </c>
      <c r="K16" s="93">
        <v>241062.53</v>
      </c>
      <c r="L16" s="44"/>
      <c r="M16" s="97">
        <v>0</v>
      </c>
      <c r="N16" s="97">
        <v>136195.15</v>
      </c>
      <c r="O16" s="97">
        <v>104867.38</v>
      </c>
      <c r="P16" s="97">
        <v>0</v>
      </c>
      <c r="Q16" s="97">
        <v>241062.53</v>
      </c>
      <c r="R16" s="44"/>
      <c r="S16" s="97">
        <v>0</v>
      </c>
      <c r="T16" s="97">
        <v>134063.53971847621</v>
      </c>
      <c r="U16" s="97">
        <v>103226.08524461069</v>
      </c>
      <c r="V16" s="97">
        <v>0</v>
      </c>
      <c r="W16" s="97">
        <v>237289.62496308691</v>
      </c>
      <c r="X16" s="44"/>
    </row>
    <row r="17" spans="2:24" ht="21" customHeight="1" thickBot="1" x14ac:dyDescent="0.4">
      <c r="B17" s="107" t="s">
        <v>96</v>
      </c>
      <c r="C17" s="106">
        <v>24000.71769485519</v>
      </c>
      <c r="D17" s="92">
        <v>24000.71769485519</v>
      </c>
      <c r="E17" s="93">
        <v>23625.078939713741</v>
      </c>
      <c r="F17" s="94"/>
      <c r="G17" s="97">
        <v>0</v>
      </c>
      <c r="H17" s="97">
        <v>8153.4709412984785</v>
      </c>
      <c r="I17" s="97">
        <v>15847.24675355671</v>
      </c>
      <c r="J17" s="97">
        <v>0</v>
      </c>
      <c r="K17" s="93">
        <v>24000.71769485519</v>
      </c>
      <c r="L17" s="44"/>
      <c r="M17" s="97">
        <v>0</v>
      </c>
      <c r="N17" s="97">
        <v>8153.4709412984785</v>
      </c>
      <c r="O17" s="97">
        <v>15847.24675355671</v>
      </c>
      <c r="P17" s="97">
        <v>0</v>
      </c>
      <c r="Q17" s="97">
        <v>24000.71769485519</v>
      </c>
      <c r="R17" s="44"/>
      <c r="S17" s="97">
        <v>0</v>
      </c>
      <c r="T17" s="97">
        <v>8025.859770940524</v>
      </c>
      <c r="U17" s="97">
        <v>15599.219168773216</v>
      </c>
      <c r="V17" s="97">
        <v>0</v>
      </c>
      <c r="W17" s="97">
        <v>23625.078939713741</v>
      </c>
      <c r="X17" s="44"/>
    </row>
    <row r="18" spans="2:24" ht="21" customHeight="1" thickBot="1" x14ac:dyDescent="0.4">
      <c r="B18" s="101" t="s">
        <v>40</v>
      </c>
      <c r="C18" s="102">
        <v>739242.76684760349</v>
      </c>
      <c r="D18" s="103">
        <v>738119.41603304679</v>
      </c>
      <c r="E18" s="104">
        <v>726567.00072157371</v>
      </c>
      <c r="F18" s="94"/>
      <c r="G18" s="105">
        <v>0</v>
      </c>
      <c r="H18" s="105">
        <v>421718.6529222221</v>
      </c>
      <c r="I18" s="105">
        <v>317524.11392538127</v>
      </c>
      <c r="J18" s="105">
        <v>0</v>
      </c>
      <c r="K18" s="281">
        <v>739242.76684760349</v>
      </c>
      <c r="L18" s="44"/>
      <c r="M18" s="105">
        <v>0</v>
      </c>
      <c r="N18" s="105">
        <v>421121.76690398966</v>
      </c>
      <c r="O18" s="105">
        <v>316997.64912905713</v>
      </c>
      <c r="P18" s="105">
        <v>0</v>
      </c>
      <c r="Q18" s="105">
        <v>738119.41603304679</v>
      </c>
      <c r="R18" s="44"/>
      <c r="S18" s="105">
        <v>0</v>
      </c>
      <c r="T18" s="105">
        <v>414530.72832364368</v>
      </c>
      <c r="U18" s="105">
        <v>312036.27239792998</v>
      </c>
      <c r="V18" s="105">
        <v>0</v>
      </c>
      <c r="W18" s="105">
        <v>726567.00072157371</v>
      </c>
      <c r="X18" s="44"/>
    </row>
    <row r="19" spans="2:24" ht="21" customHeight="1" thickBot="1" x14ac:dyDescent="0.4">
      <c r="C19" s="2"/>
      <c r="E19" s="1"/>
      <c r="F19" s="94"/>
      <c r="K19" s="1"/>
      <c r="S19" s="43"/>
      <c r="T19" s="43"/>
      <c r="U19" s="43"/>
      <c r="V19" s="43"/>
      <c r="W19" s="43"/>
      <c r="X19" s="43"/>
    </row>
    <row r="20" spans="2:24" ht="21" customHeight="1" thickBot="1" x14ac:dyDescent="0.4">
      <c r="B20" s="167" t="s">
        <v>146</v>
      </c>
      <c r="C20" s="102">
        <v>38297.869999999995</v>
      </c>
      <c r="D20" s="103">
        <v>38297.869999999995</v>
      </c>
      <c r="E20" s="104">
        <v>37829.784996617069</v>
      </c>
      <c r="F20" s="94"/>
      <c r="G20" s="168">
        <v>0</v>
      </c>
      <c r="H20" s="168">
        <v>16680.849999999999</v>
      </c>
      <c r="I20" s="168">
        <v>21617.019999999997</v>
      </c>
      <c r="J20" s="168">
        <v>0</v>
      </c>
      <c r="K20" s="282">
        <v>38297.869999999995</v>
      </c>
      <c r="L20" s="44"/>
      <c r="M20" s="168">
        <v>0</v>
      </c>
      <c r="N20" s="168">
        <v>16680.849999999999</v>
      </c>
      <c r="O20" s="168">
        <v>21617.019999999997</v>
      </c>
      <c r="P20" s="168">
        <v>0</v>
      </c>
      <c r="Q20" s="168">
        <v>38297.869999999995</v>
      </c>
      <c r="R20" s="44"/>
      <c r="S20" s="168">
        <v>0</v>
      </c>
      <c r="T20" s="168">
        <v>16476.972976847534</v>
      </c>
      <c r="U20" s="168">
        <v>21352.812019769535</v>
      </c>
      <c r="V20" s="168">
        <v>0</v>
      </c>
      <c r="W20" s="168">
        <v>37829.784996617069</v>
      </c>
      <c r="X20" s="44"/>
    </row>
    <row r="21" spans="2:24" ht="21" customHeight="1" thickBot="1" x14ac:dyDescent="0.4">
      <c r="C21" s="2"/>
      <c r="E21" s="1"/>
      <c r="F21" s="94"/>
      <c r="K21" s="1"/>
      <c r="S21" s="43"/>
      <c r="T21" s="43"/>
      <c r="U21" s="43"/>
      <c r="V21" s="43"/>
      <c r="W21" s="43"/>
      <c r="X21" s="43"/>
    </row>
    <row r="22" spans="2:24" s="1" customFormat="1" ht="21" customHeight="1" thickBot="1" x14ac:dyDescent="0.4">
      <c r="B22" s="283" t="s">
        <v>42</v>
      </c>
      <c r="C22" s="112">
        <v>3453592.0068476042</v>
      </c>
      <c r="D22" s="112">
        <v>3430937.7848160253</v>
      </c>
      <c r="E22" s="112">
        <v>3377370.9945802628</v>
      </c>
      <c r="F22" s="284"/>
      <c r="G22" s="281">
        <v>0</v>
      </c>
      <c r="H22" s="281">
        <v>1818518.9509222223</v>
      </c>
      <c r="I22" s="281">
        <v>1635073.0559253814</v>
      </c>
      <c r="J22" s="281">
        <v>0</v>
      </c>
      <c r="K22" s="281">
        <v>3453592.0068476042</v>
      </c>
      <c r="L22" s="285"/>
      <c r="M22" s="281">
        <v>0</v>
      </c>
      <c r="N22" s="281">
        <v>1806817.9529156634</v>
      </c>
      <c r="O22" s="281">
        <v>1624119.8319003622</v>
      </c>
      <c r="P22" s="281">
        <v>0</v>
      </c>
      <c r="Q22" s="281">
        <v>3430937.7848160253</v>
      </c>
      <c r="R22" s="285"/>
      <c r="S22" s="281">
        <v>0</v>
      </c>
      <c r="T22" s="281">
        <v>1778596.3773627742</v>
      </c>
      <c r="U22" s="281">
        <v>1598774.6172174881</v>
      </c>
      <c r="V22" s="281">
        <v>0</v>
      </c>
      <c r="W22" s="281">
        <v>3377370.9945802628</v>
      </c>
      <c r="X22" s="285"/>
    </row>
    <row r="23" spans="2:24" ht="21" customHeight="1" x14ac:dyDescent="0.35">
      <c r="C23" s="2"/>
    </row>
    <row r="24" spans="2:24" ht="21" customHeight="1" x14ac:dyDescent="0.35">
      <c r="C24" s="23"/>
    </row>
    <row r="25" spans="2:24" ht="21" customHeight="1" x14ac:dyDescent="0.35">
      <c r="B25" s="3"/>
      <c r="C25" s="4"/>
    </row>
    <row r="26" spans="2:24" ht="21" customHeight="1" x14ac:dyDescent="0.35">
      <c r="B26" s="3"/>
      <c r="C26" s="4"/>
    </row>
    <row r="27" spans="2:24" ht="21" customHeight="1" x14ac:dyDescent="0.35">
      <c r="B27" s="3"/>
      <c r="C27" s="4"/>
    </row>
    <row r="28" spans="2:24" ht="21" customHeight="1" x14ac:dyDescent="0.35">
      <c r="B28" s="3"/>
      <c r="C28" s="4"/>
    </row>
    <row r="29" spans="2:24" ht="21" customHeight="1" x14ac:dyDescent="0.35">
      <c r="B29" s="3"/>
      <c r="C29" s="4"/>
    </row>
    <row r="30" spans="2:24" ht="21" customHeight="1" x14ac:dyDescent="0.35">
      <c r="B30" s="3"/>
      <c r="C30" s="4"/>
    </row>
    <row r="31" spans="2:24" ht="21" customHeight="1" x14ac:dyDescent="0.35">
      <c r="B31" s="3"/>
      <c r="C31" s="4"/>
    </row>
    <row r="32" spans="2:24" ht="21" customHeight="1" x14ac:dyDescent="0.35">
      <c r="B32" s="3"/>
      <c r="C32" s="4"/>
    </row>
    <row r="33" spans="2:3" ht="21" customHeight="1" x14ac:dyDescent="0.35">
      <c r="B33" s="3"/>
      <c r="C33" s="4"/>
    </row>
    <row r="34" spans="2:3" ht="21" customHeight="1" x14ac:dyDescent="0.35">
      <c r="C34" s="23"/>
    </row>
    <row r="35" spans="2:3" ht="21" customHeight="1" x14ac:dyDescent="0.35">
      <c r="B35" s="3"/>
      <c r="C35" s="4"/>
    </row>
    <row r="36" spans="2:3" ht="21" customHeight="1" x14ac:dyDescent="0.35">
      <c r="B36" s="3"/>
      <c r="C36" s="4"/>
    </row>
    <row r="37" spans="2:3" ht="21" customHeight="1" x14ac:dyDescent="0.35">
      <c r="B37" s="3"/>
      <c r="C37" s="3"/>
    </row>
    <row r="38" spans="2:3" ht="21" customHeight="1" x14ac:dyDescent="0.35">
      <c r="B38" s="3"/>
      <c r="C38" s="4"/>
    </row>
    <row r="39" spans="2:3" ht="21" customHeight="1" x14ac:dyDescent="0.35">
      <c r="B39" s="3"/>
      <c r="C39" s="4"/>
    </row>
    <row r="40" spans="2:3" ht="21" customHeight="1" x14ac:dyDescent="0.35">
      <c r="B40" s="3"/>
      <c r="C40" s="4"/>
    </row>
  </sheetData>
  <pageMargins left="0.7" right="0.7" top="0.75" bottom="0.75" header="0.3" footer="0.3"/>
  <pageSetup paperSize="8" scale="6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B1:FT4"/>
  <sheetViews>
    <sheetView showGridLines="0" zoomScale="80" zoomScaleNormal="80" zoomScaleSheetLayoutView="40" workbookViewId="0">
      <pane xSplit="2" ySplit="2" topLeftCell="C3" activePane="bottomRight" state="frozen"/>
      <selection activeCell="BG65" sqref="BG65"/>
      <selection pane="topRight" activeCell="BG65" sqref="BG65"/>
      <selection pane="bottomLeft" activeCell="BG65" sqref="BG65"/>
      <selection pane="bottomRight"/>
    </sheetView>
  </sheetViews>
  <sheetFormatPr defaultColWidth="8.81640625" defaultRowHeight="14.5" outlineLevelCol="1" x14ac:dyDescent="0.35"/>
  <cols>
    <col min="1" max="1" width="38.7265625" style="227" customWidth="1"/>
    <col min="2" max="2" width="14.7265625" style="227" customWidth="1"/>
    <col min="3" max="3" width="22.54296875" style="227" customWidth="1"/>
    <col min="4" max="4" width="14.7265625" style="278" customWidth="1"/>
    <col min="5" max="5" width="14.7265625" style="279" customWidth="1"/>
    <col min="6" max="44" width="14.7265625" style="227" customWidth="1" outlineLevel="1"/>
    <col min="45" max="62" width="14.7265625" style="227" customWidth="1"/>
    <col min="63" max="63" width="4.7265625" style="34" customWidth="1"/>
    <col min="64" max="64" width="8.81640625" style="34"/>
    <col min="65" max="176" width="8.81640625" style="29"/>
    <col min="177" max="16384" width="8.81640625" style="227"/>
  </cols>
  <sheetData>
    <row r="1" spans="2:4" s="270" customFormat="1" ht="21" x14ac:dyDescent="0.5">
      <c r="B1" s="271"/>
      <c r="C1" s="271" t="s">
        <v>219</v>
      </c>
      <c r="D1" s="277"/>
    </row>
    <row r="2" spans="2:4" s="270" customFormat="1" x14ac:dyDescent="0.35">
      <c r="D2" s="277"/>
    </row>
    <row r="4" spans="2:4" x14ac:dyDescent="0.35">
      <c r="C4" s="359" t="s">
        <v>266</v>
      </c>
    </row>
  </sheetData>
  <pageMargins left="0.7" right="0.7" top="0.75" bottom="0.75" header="0.3" footer="0.3"/>
  <pageSetup paperSize="8" scale="16" orientation="landscape"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FF00"/>
  </sheetPr>
  <dimension ref="A1:D4"/>
  <sheetViews>
    <sheetView showGridLines="0" zoomScale="80" zoomScaleNormal="80" workbookViewId="0">
      <pane ySplit="2" topLeftCell="A3" activePane="bottomLeft" state="frozen"/>
      <selection activeCell="BG65" sqref="BG65"/>
      <selection pane="bottomLeft"/>
    </sheetView>
  </sheetViews>
  <sheetFormatPr defaultColWidth="9.1796875" defaultRowHeight="14.5" x14ac:dyDescent="0.35"/>
  <cols>
    <col min="1" max="1" width="40.81640625" style="29" customWidth="1"/>
    <col min="2" max="6" width="14.26953125" style="29" customWidth="1"/>
    <col min="7" max="11" width="9.26953125" style="29" bestFit="1" customWidth="1"/>
    <col min="12" max="13" width="10.54296875" style="29" bestFit="1" customWidth="1"/>
    <col min="14" max="30" width="9.54296875" style="29" bestFit="1" customWidth="1"/>
    <col min="31" max="16384" width="9.1796875" style="29"/>
  </cols>
  <sheetData>
    <row r="1" spans="1:4" s="273" customFormat="1" ht="21" x14ac:dyDescent="0.5">
      <c r="A1" s="270"/>
      <c r="B1" s="271"/>
      <c r="C1" s="271" t="s">
        <v>219</v>
      </c>
      <c r="D1" s="272"/>
    </row>
    <row r="2" spans="1:4" s="273" customFormat="1" x14ac:dyDescent="0.35">
      <c r="A2" s="270"/>
      <c r="D2" s="272"/>
    </row>
    <row r="4" spans="1:4" x14ac:dyDescent="0.35">
      <c r="C4" s="359" t="s">
        <v>266</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sheetPr>
  <dimension ref="A1:AO4"/>
  <sheetViews>
    <sheetView showGridLines="0" zoomScale="80" zoomScaleNormal="80" workbookViewId="0">
      <pane xSplit="2" ySplit="2" topLeftCell="C3" activePane="bottomRight" state="frozen"/>
      <selection activeCell="BG65" sqref="BG65"/>
      <selection pane="topRight" activeCell="BG65" sqref="BG65"/>
      <selection pane="bottomLeft" activeCell="BG65" sqref="BG65"/>
      <selection pane="bottomRight"/>
    </sheetView>
  </sheetViews>
  <sheetFormatPr defaultColWidth="9.1796875" defaultRowHeight="14.5" x14ac:dyDescent="0.35"/>
  <cols>
    <col min="1" max="1" width="49.54296875" style="5" customWidth="1"/>
    <col min="2" max="2" width="12.26953125" style="5" customWidth="1"/>
    <col min="3" max="7" width="9.26953125" style="5" bestFit="1" customWidth="1"/>
    <col min="8" max="9" width="10.54296875" style="5" bestFit="1" customWidth="1"/>
    <col min="10" max="26" width="9.54296875" style="5" bestFit="1" customWidth="1"/>
    <col min="27" max="41" width="9.54296875" style="227" bestFit="1" customWidth="1"/>
    <col min="42" max="16384" width="9.1796875" style="5"/>
  </cols>
  <sheetData>
    <row r="1" spans="1:4" s="273" customFormat="1" ht="21" x14ac:dyDescent="0.5">
      <c r="A1" s="270"/>
      <c r="B1" s="271"/>
      <c r="C1" s="271" t="s">
        <v>219</v>
      </c>
      <c r="D1" s="272"/>
    </row>
    <row r="2" spans="1:4" s="273" customFormat="1" x14ac:dyDescent="0.35">
      <c r="A2" s="270"/>
      <c r="D2" s="272"/>
    </row>
    <row r="4" spans="1:4" x14ac:dyDescent="0.35">
      <c r="C4" s="359" t="s">
        <v>266</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9746FCA9081C46820D4E657548C777" ma:contentTypeVersion="11" ma:contentTypeDescription="Create a new document." ma:contentTypeScope="" ma:versionID="cc0173860349a1fb22cca81573f7824b">
  <xsd:schema xmlns:xsd="http://www.w3.org/2001/XMLSchema" xmlns:xs="http://www.w3.org/2001/XMLSchema" xmlns:p="http://schemas.microsoft.com/office/2006/metadata/properties" xmlns:ns2="219a03a1-7fe7-42f3-bdad-55ca8d66a738" xmlns:ns3="4eb6023d-658b-4527-be73-24b0518f0bf9" xmlns:ns4="592ff4b6-3fa3-466a-a790-189be7da87a7" targetNamespace="http://schemas.microsoft.com/office/2006/metadata/properties" ma:root="true" ma:fieldsID="e6a2b24753bd2833377ac3183cb28983" ns2:_="" ns3:_="" ns4:_="">
    <xsd:import namespace="219a03a1-7fe7-42f3-bdad-55ca8d66a738"/>
    <xsd:import namespace="4eb6023d-658b-4527-be73-24b0518f0bf9"/>
    <xsd:import namespace="592ff4b6-3fa3-466a-a790-189be7da87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9a03a1-7fe7-42f3-bdad-55ca8d66a7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b6023d-658b-4527-be73-24b0518f0bf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2ff4b6-3fa3-466a-a790-189be7da87a7" elementFormDefault="qualified">
    <xsd:import namespace="http://schemas.microsoft.com/office/2006/documentManagement/types"/>
    <xsd:import namespace="http://schemas.microsoft.com/office/infopath/2007/PartnerControls"/>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AF4B60-0C60-4D6C-80E2-600F2B70E9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9a03a1-7fe7-42f3-bdad-55ca8d66a738"/>
    <ds:schemaRef ds:uri="4eb6023d-658b-4527-be73-24b0518f0bf9"/>
    <ds:schemaRef ds:uri="592ff4b6-3fa3-466a-a790-189be7da87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79F47A-07B8-4991-AC08-B9521CF5B174}">
  <ds:schemaRefs>
    <ds:schemaRef ds:uri="http://schemas.microsoft.com/sharepoint/v3/contenttype/forms"/>
  </ds:schemaRefs>
</ds:datastoreItem>
</file>

<file path=customXml/itemProps3.xml><?xml version="1.0" encoding="utf-8"?>
<ds:datastoreItem xmlns:ds="http://schemas.openxmlformats.org/officeDocument/2006/customXml" ds:itemID="{5C6E1F01-A774-4CB3-B7A9-40F3E20B08E5}">
  <ds:schemaRefs>
    <ds:schemaRef ds:uri="http://schemas.openxmlformats.org/package/2006/metadata/core-properties"/>
    <ds:schemaRef ds:uri="http://schemas.microsoft.com/office/2006/documentManagement/types"/>
    <ds:schemaRef ds:uri="http://schemas.microsoft.com/office/infopath/2007/PartnerControls"/>
    <ds:schemaRef ds:uri="592ff4b6-3fa3-466a-a790-189be7da87a7"/>
    <ds:schemaRef ds:uri="http://purl.org/dc/elements/1.1/"/>
    <ds:schemaRef ds:uri="http://schemas.microsoft.com/office/2006/metadata/properties"/>
    <ds:schemaRef ds:uri="4eb6023d-658b-4527-be73-24b0518f0bf9"/>
    <ds:schemaRef ds:uri="http://purl.org/dc/terms/"/>
    <ds:schemaRef ds:uri="219a03a1-7fe7-42f3-bdad-55ca8d66a73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TRACK</vt:lpstr>
      <vt:lpstr>Overview</vt:lpstr>
      <vt:lpstr>Key assumptions</vt:lpstr>
      <vt:lpstr>s2. Historical Indirect Capex</vt:lpstr>
      <vt:lpstr>s3. VNI Summary forecast</vt:lpstr>
      <vt:lpstr>s4. Works Delivery</vt:lpstr>
      <vt:lpstr>Works Delivery Res Cost</vt:lpstr>
      <vt:lpstr>Works Delivery Labour FTEs</vt:lpstr>
      <vt:lpstr>Works Delivery Labour Hrs</vt:lpstr>
      <vt:lpstr>s5. Project Development</vt:lpstr>
      <vt:lpstr>PD-Labour(&amp;related)</vt:lpstr>
      <vt:lpstr>PD - LabourHours</vt:lpstr>
      <vt:lpstr>PD-NonLabour</vt:lpstr>
      <vt:lpstr>s6.1 Land &amp; Environment</vt:lpstr>
      <vt:lpstr>L&amp;E-NonLabour </vt:lpstr>
      <vt:lpstr>s6.2 Stakeholder &amp; Comm Egmt</vt:lpstr>
      <vt:lpstr>SHC-Labour(&amp;related)</vt:lpstr>
      <vt:lpstr>s6.3. Insurance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2020-07-06T23:47:43Z</dcterms:created>
  <dcterms:modified xsi:type="dcterms:W3CDTF">2020-12-02T12:29:51Z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0x010100D39746FCA9081C46820D4E657548C777</vt:lpwstr>
  </property>
  <property fmtid="{D5CDD505-2E9C-101B-9397-08002B2CF9AE}" pid="3" name="_MarkAsFinal">
    <vt:bool>true</vt:bool>
  </property>
</Properties>
</file>