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76" windowWidth="17016" windowHeight="9516" tabRatio="814"/>
  </bookViews>
  <sheets>
    <sheet name="Input Data Sheet" sheetId="23" r:id="rId1"/>
    <sheet name="EscalatorMapping" sheetId="9" r:id="rId2"/>
    <sheet name="Parameters" sheetId="1" r:id="rId3"/>
    <sheet name="Base Costs" sheetId="3" r:id="rId4"/>
    <sheet name="Cost+LOA" sheetId="4" r:id="rId5"/>
    <sheet name="Cost+Escalation" sheetId="5" r:id="rId6"/>
    <sheet name="Cost+CPI" sheetId="6" r:id="rId7"/>
    <sheet name="Asset Class Summary" sheetId="7" r:id="rId8"/>
    <sheet name="Category Summary" sheetId="20" r:id="rId9"/>
    <sheet name="Capex - By Category" sheetId="12" r:id="rId10"/>
    <sheet name="Capex - By Asset Class" sheetId="11" r:id="rId11"/>
    <sheet name="Capex - Network Projects" sheetId="10" r:id="rId12"/>
    <sheet name="Capex - Non-network Projects" sheetId="13" r:id="rId13"/>
    <sheet name="Asset Growth" sheetId="15" r:id="rId14"/>
    <sheet name="PTRM" sheetId="14" r:id="rId15"/>
  </sheets>
  <definedNames>
    <definedName name="_xlnm._FilterDatabase" localSheetId="3" hidden="1">'Base Costs'!$A$3:$AH$100</definedName>
    <definedName name="_xlnm._FilterDatabase" localSheetId="6" hidden="1">'Cost+CPI'!$A$3:$AH$100</definedName>
    <definedName name="_xlnm._FilterDatabase" localSheetId="0" hidden="1">'Input Data Sheet'!$B$3:$BA$100</definedName>
    <definedName name="a">Parameters!#REF!</definedName>
    <definedName name="Asset10">PTRM!#REF!</definedName>
    <definedName name="Asset11">PTRM!#REF!</definedName>
    <definedName name="Asset12">PTRM!#REF!</definedName>
    <definedName name="Asset13">PTRM!#REF!</definedName>
    <definedName name="Asset14">PTRM!#REF!</definedName>
    <definedName name="Asset15">PTRM!#REF!</definedName>
    <definedName name="Asset16">PTRM!#REF!</definedName>
    <definedName name="Asset17">PTRM!#REF!</definedName>
    <definedName name="Asset18">PTRM!#REF!</definedName>
    <definedName name="Asset19">PTRM!#REF!</definedName>
    <definedName name="Asset20">PTRM!#REF!</definedName>
    <definedName name="Asset21">PTRM!#REF!</definedName>
    <definedName name="Asset22">PTRM!#REF!</definedName>
    <definedName name="Asset23">PTRM!#REF!</definedName>
    <definedName name="Asset24">PTRM!#REF!</definedName>
    <definedName name="Asset25">PTRM!#REF!</definedName>
    <definedName name="Asset26">PTRM!#REF!</definedName>
    <definedName name="Asset27">PTRM!#REF!</definedName>
    <definedName name="Categories" localSheetId="8">Parameters!#REF!</definedName>
    <definedName name="Categories">Parameters!#REF!</definedName>
    <definedName name="_xlnm.Print_Area" localSheetId="7">'Asset Class Summary'!#REF!</definedName>
    <definedName name="_xlnm.Print_Area" localSheetId="8">'Category Summary'!$C$88:$I$112</definedName>
    <definedName name="_xlnm.Print_Area" localSheetId="0">'Input Data Sheet'!$B$3:$Y$90</definedName>
    <definedName name="_xlnm.Print_Area" localSheetId="2">Parameters!$B$4:$D$30</definedName>
  </definedNames>
  <calcPr calcId="145621"/>
</workbook>
</file>

<file path=xl/calcChain.xml><?xml version="1.0" encoding="utf-8"?>
<calcChain xmlns="http://schemas.openxmlformats.org/spreadsheetml/2006/main">
  <c r="S91" i="23" l="1"/>
  <c r="AF118" i="23" l="1"/>
  <c r="AD118" i="23"/>
  <c r="AC118" i="23"/>
  <c r="AF119" i="23"/>
  <c r="AE119" i="23"/>
  <c r="AD119" i="23"/>
  <c r="AC119" i="23"/>
  <c r="AB114" i="23"/>
  <c r="AA114" i="23"/>
  <c r="Z114" i="23"/>
  <c r="AL115" i="23"/>
  <c r="AK115" i="23"/>
  <c r="AJ115" i="23"/>
  <c r="AL112" i="23"/>
  <c r="AK112" i="23"/>
  <c r="AJ112" i="23"/>
  <c r="AF117" i="23"/>
  <c r="AE117" i="23"/>
  <c r="AD117" i="23"/>
  <c r="AC117" i="23"/>
  <c r="AF113" i="23"/>
  <c r="AE113" i="23"/>
  <c r="AD113" i="23"/>
  <c r="AC113" i="23"/>
  <c r="AF111" i="23"/>
  <c r="AE111" i="23"/>
  <c r="AD111" i="23"/>
  <c r="AC111" i="23"/>
  <c r="AF110" i="23"/>
  <c r="AE110" i="23"/>
  <c r="AD110" i="23"/>
  <c r="AC110" i="23"/>
  <c r="AF109" i="23"/>
  <c r="AE109" i="23"/>
  <c r="AD109" i="23"/>
  <c r="AC109" i="23"/>
  <c r="AF108" i="23"/>
  <c r="AE108" i="23"/>
  <c r="AD108" i="23"/>
  <c r="AC108" i="23"/>
  <c r="AE116" i="23"/>
  <c r="AF116" i="23"/>
  <c r="AC116" i="23"/>
  <c r="AD116" i="23"/>
  <c r="R111" i="23" l="1"/>
  <c r="S3" i="23" l="1"/>
  <c r="R3" i="23"/>
  <c r="Z125" i="23" l="1"/>
  <c r="AA125" i="23"/>
  <c r="AB125" i="23"/>
  <c r="AC125" i="23"/>
  <c r="AY125" i="23" s="1"/>
  <c r="AD125" i="23"/>
  <c r="AE125" i="23"/>
  <c r="AF125" i="23"/>
  <c r="AG125" i="23"/>
  <c r="AH125" i="23"/>
  <c r="AI125" i="23"/>
  <c r="AJ125" i="23"/>
  <c r="AK125" i="23"/>
  <c r="AL125" i="23"/>
  <c r="AM125" i="23"/>
  <c r="AN125" i="23"/>
  <c r="AO125" i="23"/>
  <c r="AP125" i="23"/>
  <c r="AQ125" i="23"/>
  <c r="AR125" i="23"/>
  <c r="AS125" i="23"/>
  <c r="AT125" i="23"/>
  <c r="AU125" i="23"/>
  <c r="AV125" i="23"/>
  <c r="AW125" i="23"/>
  <c r="Z126" i="23"/>
  <c r="AA126" i="23"/>
  <c r="AB126" i="23"/>
  <c r="AC126" i="23"/>
  <c r="AY126" i="23" s="1"/>
  <c r="AD126" i="23"/>
  <c r="AE126" i="23"/>
  <c r="AF126" i="23"/>
  <c r="AG126" i="23"/>
  <c r="AH126" i="23"/>
  <c r="AI126" i="23"/>
  <c r="AJ126" i="23"/>
  <c r="AK126" i="23"/>
  <c r="AL126" i="23"/>
  <c r="AM126" i="23"/>
  <c r="AN126" i="23"/>
  <c r="AO126" i="23"/>
  <c r="AP126" i="23"/>
  <c r="AQ126" i="23"/>
  <c r="AR126" i="23"/>
  <c r="AS126" i="23"/>
  <c r="AT126" i="23"/>
  <c r="AU126" i="23"/>
  <c r="AV126" i="23"/>
  <c r="AW126" i="23"/>
  <c r="Z127" i="23"/>
  <c r="AA127" i="23"/>
  <c r="AB127" i="23"/>
  <c r="AC127" i="23"/>
  <c r="AY127" i="23" s="1"/>
  <c r="AD127" i="23"/>
  <c r="AE127" i="23"/>
  <c r="AF127" i="23"/>
  <c r="AG127" i="23"/>
  <c r="AH127" i="23"/>
  <c r="AI127" i="23"/>
  <c r="AJ127" i="23"/>
  <c r="AK127" i="23"/>
  <c r="AL127" i="23"/>
  <c r="AM127" i="23"/>
  <c r="AN127" i="23"/>
  <c r="AO127" i="23"/>
  <c r="AP127" i="23"/>
  <c r="AQ127" i="23"/>
  <c r="AR127" i="23"/>
  <c r="AS127" i="23"/>
  <c r="AT127" i="23"/>
  <c r="AU127" i="23"/>
  <c r="AV127" i="23"/>
  <c r="AW127" i="23"/>
  <c r="Z128" i="23"/>
  <c r="AA128" i="23"/>
  <c r="AB128" i="23"/>
  <c r="AC128" i="23"/>
  <c r="AD128" i="23"/>
  <c r="AE128" i="23"/>
  <c r="AF128" i="23"/>
  <c r="AG128" i="23"/>
  <c r="AH128" i="23"/>
  <c r="AI128" i="23"/>
  <c r="AJ128" i="23"/>
  <c r="AK128" i="23"/>
  <c r="AL128" i="23"/>
  <c r="AM128" i="23"/>
  <c r="AN128" i="23"/>
  <c r="AO128" i="23"/>
  <c r="AP128" i="23"/>
  <c r="AQ128" i="23"/>
  <c r="AR128" i="23"/>
  <c r="AS128" i="23"/>
  <c r="AT128" i="23"/>
  <c r="AU128" i="23"/>
  <c r="AV128" i="23"/>
  <c r="AW128" i="23"/>
  <c r="Z129" i="23"/>
  <c r="AA129" i="23"/>
  <c r="AB129" i="23"/>
  <c r="AC129" i="23"/>
  <c r="AY129" i="23" s="1"/>
  <c r="AD129" i="23"/>
  <c r="AE129" i="23"/>
  <c r="AF129" i="23"/>
  <c r="AG129" i="23"/>
  <c r="AH129" i="23"/>
  <c r="AI129" i="23"/>
  <c r="AJ129" i="23"/>
  <c r="AK129" i="23"/>
  <c r="AL129" i="23"/>
  <c r="AM129" i="23"/>
  <c r="AN129" i="23"/>
  <c r="AO129" i="23"/>
  <c r="AP129" i="23"/>
  <c r="AQ129" i="23"/>
  <c r="AR129" i="23"/>
  <c r="AS129" i="23"/>
  <c r="AT129" i="23"/>
  <c r="AU129" i="23"/>
  <c r="AV129" i="23"/>
  <c r="AW129" i="23"/>
  <c r="Z130" i="23"/>
  <c r="AA130" i="23"/>
  <c r="AB130" i="23"/>
  <c r="AC130" i="23"/>
  <c r="AD130" i="23"/>
  <c r="AE130" i="23"/>
  <c r="AF130" i="23"/>
  <c r="AG130" i="23"/>
  <c r="AH130" i="23"/>
  <c r="AI130" i="23"/>
  <c r="AJ130" i="23"/>
  <c r="AK130" i="23"/>
  <c r="AL130" i="23"/>
  <c r="AM130" i="23"/>
  <c r="AN130" i="23"/>
  <c r="AO130" i="23"/>
  <c r="AP130" i="23"/>
  <c r="AQ130" i="23"/>
  <c r="AR130" i="23"/>
  <c r="AS130" i="23"/>
  <c r="AT130" i="23"/>
  <c r="AU130" i="23"/>
  <c r="AV130" i="23"/>
  <c r="AW130" i="23"/>
  <c r="Z131" i="23"/>
  <c r="AA131" i="23"/>
  <c r="AB131" i="23"/>
  <c r="AC131" i="23"/>
  <c r="AD131" i="23"/>
  <c r="AE131" i="23"/>
  <c r="AF131" i="23"/>
  <c r="AG131" i="23"/>
  <c r="AH131" i="23"/>
  <c r="AI131" i="23"/>
  <c r="AJ131" i="23"/>
  <c r="AY131" i="23" s="1"/>
  <c r="AK131" i="23"/>
  <c r="AL131" i="23"/>
  <c r="AM131" i="23"/>
  <c r="AN131" i="23"/>
  <c r="AO131" i="23"/>
  <c r="AP131" i="23"/>
  <c r="AQ131" i="23"/>
  <c r="AR131" i="23"/>
  <c r="AS131" i="23"/>
  <c r="AT131" i="23"/>
  <c r="AU131" i="23"/>
  <c r="AV131" i="23"/>
  <c r="AW131" i="23"/>
  <c r="Z132" i="23"/>
  <c r="AA132" i="23"/>
  <c r="AB132" i="23"/>
  <c r="AC132" i="23"/>
  <c r="AD132" i="23"/>
  <c r="AE132" i="23"/>
  <c r="AF132" i="23"/>
  <c r="AG132" i="23"/>
  <c r="AH132" i="23"/>
  <c r="AI132" i="23"/>
  <c r="AJ132" i="23"/>
  <c r="AK132" i="23"/>
  <c r="AL132" i="23"/>
  <c r="AM132" i="23"/>
  <c r="AN132" i="23"/>
  <c r="AO132" i="23"/>
  <c r="AP132" i="23"/>
  <c r="AQ132" i="23"/>
  <c r="AR132" i="23"/>
  <c r="AS132" i="23"/>
  <c r="AT132" i="23"/>
  <c r="AU132" i="23"/>
  <c r="AV132" i="23"/>
  <c r="AW132" i="23"/>
  <c r="Z133" i="23"/>
  <c r="AA133" i="23"/>
  <c r="AB133" i="23"/>
  <c r="AC133" i="23"/>
  <c r="AY133" i="23" s="1"/>
  <c r="AD133" i="23"/>
  <c r="AE133" i="23"/>
  <c r="AF133" i="23"/>
  <c r="AG133" i="23"/>
  <c r="AH133" i="23"/>
  <c r="AI133" i="23"/>
  <c r="AJ133" i="23"/>
  <c r="AK133" i="23"/>
  <c r="AL133" i="23"/>
  <c r="AM133" i="23"/>
  <c r="AN133" i="23"/>
  <c r="AO133" i="23"/>
  <c r="AP133" i="23"/>
  <c r="AQ133" i="23"/>
  <c r="AR133" i="23"/>
  <c r="AS133" i="23"/>
  <c r="AT133" i="23"/>
  <c r="AU133" i="23"/>
  <c r="AV133" i="23"/>
  <c r="AW133" i="23"/>
  <c r="Z134" i="23"/>
  <c r="AA134" i="23"/>
  <c r="AB134" i="23"/>
  <c r="AC134" i="23"/>
  <c r="AY134" i="23" s="1"/>
  <c r="AD134" i="23"/>
  <c r="AE134" i="23"/>
  <c r="AF134" i="23"/>
  <c r="AG134" i="23"/>
  <c r="AH134" i="23"/>
  <c r="AI134" i="23"/>
  <c r="AJ134" i="23"/>
  <c r="AK134" i="23"/>
  <c r="AL134" i="23"/>
  <c r="AM134" i="23"/>
  <c r="AN134" i="23"/>
  <c r="AO134" i="23"/>
  <c r="AP134" i="23"/>
  <c r="AQ134" i="23"/>
  <c r="AR134" i="23"/>
  <c r="AS134" i="23"/>
  <c r="AT134" i="23"/>
  <c r="AU134" i="23"/>
  <c r="AV134" i="23"/>
  <c r="AW134" i="23"/>
  <c r="Z135" i="23"/>
  <c r="AA135" i="23"/>
  <c r="AB135" i="23"/>
  <c r="AC135" i="23"/>
  <c r="AY135" i="23" s="1"/>
  <c r="AD135" i="23"/>
  <c r="AE135" i="23"/>
  <c r="AF135" i="23"/>
  <c r="AG135" i="23"/>
  <c r="AH135" i="23"/>
  <c r="AI135" i="23"/>
  <c r="AJ135" i="23"/>
  <c r="AK135" i="23"/>
  <c r="AL135" i="23"/>
  <c r="AM135" i="23"/>
  <c r="AN135" i="23"/>
  <c r="AO135" i="23"/>
  <c r="AP135" i="23"/>
  <c r="AQ135" i="23"/>
  <c r="AR135" i="23"/>
  <c r="AS135" i="23"/>
  <c r="AT135" i="23"/>
  <c r="AU135" i="23"/>
  <c r="AV135" i="23"/>
  <c r="AW135" i="23"/>
  <c r="AA124" i="23"/>
  <c r="AB124" i="23"/>
  <c r="AC124" i="23"/>
  <c r="AD124" i="23"/>
  <c r="AE124" i="23"/>
  <c r="AF124" i="23"/>
  <c r="AG124" i="23"/>
  <c r="AH124" i="23"/>
  <c r="AI124" i="23"/>
  <c r="AJ124" i="23"/>
  <c r="AK124" i="23"/>
  <c r="AL124" i="23"/>
  <c r="AM124" i="23"/>
  <c r="AN124" i="23"/>
  <c r="AO124" i="23"/>
  <c r="AP124" i="23"/>
  <c r="AQ124" i="23"/>
  <c r="AR124" i="23"/>
  <c r="AS124" i="23"/>
  <c r="AT124" i="23"/>
  <c r="AU124" i="23"/>
  <c r="AV124" i="23"/>
  <c r="AW124" i="23"/>
  <c r="AX111" i="23"/>
  <c r="AY111" i="23"/>
  <c r="AX112" i="23"/>
  <c r="AY112" i="23"/>
  <c r="AX113" i="23"/>
  <c r="AY113" i="23"/>
  <c r="AX114" i="23"/>
  <c r="AY114" i="23"/>
  <c r="AX115" i="23"/>
  <c r="AY115" i="23"/>
  <c r="AX116" i="23"/>
  <c r="AY116" i="23"/>
  <c r="AX117" i="23"/>
  <c r="AY117" i="23"/>
  <c r="AX118" i="23"/>
  <c r="AY118" i="23"/>
  <c r="AX119" i="23"/>
  <c r="AY119" i="23"/>
  <c r="AY130" i="23" l="1"/>
  <c r="AY128" i="23"/>
  <c r="AY132" i="23"/>
  <c r="R125" i="23"/>
  <c r="AX125" i="23" s="1"/>
  <c r="S125" i="23"/>
  <c r="R126" i="23"/>
  <c r="AX126" i="23" s="1"/>
  <c r="S126" i="23"/>
  <c r="R127" i="23"/>
  <c r="AX127" i="23" s="1"/>
  <c r="S127" i="23"/>
  <c r="R128" i="23"/>
  <c r="AX128" i="23" s="1"/>
  <c r="S128" i="23"/>
  <c r="R129" i="23"/>
  <c r="AX129" i="23" s="1"/>
  <c r="S129" i="23"/>
  <c r="R130" i="23"/>
  <c r="AX130" i="23" s="1"/>
  <c r="S130" i="23"/>
  <c r="R131" i="23"/>
  <c r="AX131" i="23" s="1"/>
  <c r="S131" i="23"/>
  <c r="R132" i="23"/>
  <c r="AX132" i="23" s="1"/>
  <c r="S132" i="23"/>
  <c r="R133" i="23"/>
  <c r="AX133" i="23" s="1"/>
  <c r="S133" i="23"/>
  <c r="R134" i="23"/>
  <c r="AX134" i="23" s="1"/>
  <c r="S134" i="23"/>
  <c r="R135" i="23"/>
  <c r="AX135" i="23" s="1"/>
  <c r="S135" i="23"/>
  <c r="P109" i="23"/>
  <c r="P110" i="23"/>
  <c r="P111" i="23"/>
  <c r="AZ111" i="23" s="1"/>
  <c r="BA111" i="23" s="1"/>
  <c r="P112" i="23"/>
  <c r="P113" i="23"/>
  <c r="AZ113" i="23" s="1"/>
  <c r="BA113" i="23" s="1"/>
  <c r="P114" i="23"/>
  <c r="AZ114" i="23" s="1"/>
  <c r="BA114" i="23" s="1"/>
  <c r="P115" i="23"/>
  <c r="AZ115" i="23" s="1"/>
  <c r="BA115" i="23" s="1"/>
  <c r="P116" i="23"/>
  <c r="P117" i="23"/>
  <c r="P118" i="23"/>
  <c r="AZ118" i="23" s="1"/>
  <c r="BA118" i="23" s="1"/>
  <c r="P119" i="23"/>
  <c r="AZ119" i="23" s="1"/>
  <c r="BA119" i="23" s="1"/>
  <c r="P108" i="23"/>
  <c r="B128" i="23"/>
  <c r="C128" i="23"/>
  <c r="D128" i="23"/>
  <c r="E128" i="23"/>
  <c r="H128" i="23"/>
  <c r="I128" i="23"/>
  <c r="J128" i="23"/>
  <c r="K128" i="23"/>
  <c r="B131" i="23"/>
  <c r="C131" i="23"/>
  <c r="D131" i="23"/>
  <c r="E131" i="23"/>
  <c r="H131" i="23"/>
  <c r="I131" i="23"/>
  <c r="J131" i="23"/>
  <c r="K131" i="23"/>
  <c r="B132" i="23"/>
  <c r="C132" i="23"/>
  <c r="D132" i="23"/>
  <c r="E132" i="23"/>
  <c r="H132" i="23"/>
  <c r="I132" i="23"/>
  <c r="J132" i="23"/>
  <c r="K132" i="23"/>
  <c r="B133" i="23"/>
  <c r="C133" i="23"/>
  <c r="D133" i="23"/>
  <c r="E133" i="23"/>
  <c r="H133" i="23"/>
  <c r="I133" i="23"/>
  <c r="J133" i="23"/>
  <c r="K133" i="23"/>
  <c r="P131" i="23" l="1"/>
  <c r="AZ131" i="23" s="1"/>
  <c r="P133" i="23"/>
  <c r="AZ133" i="23" s="1"/>
  <c r="AZ117" i="23"/>
  <c r="BA117" i="23" s="1"/>
  <c r="P132" i="23"/>
  <c r="AZ132" i="23" s="1"/>
  <c r="AZ116" i="23"/>
  <c r="BA116" i="23" s="1"/>
  <c r="P128" i="23"/>
  <c r="AZ128" i="23" s="1"/>
  <c r="AZ112" i="23"/>
  <c r="BA112" i="23" s="1"/>
  <c r="N33" i="15"/>
  <c r="D139" i="23"/>
  <c r="P144" i="23" s="1"/>
  <c r="AZ144" i="23" s="1"/>
  <c r="AX89" i="23"/>
  <c r="AY89" i="23"/>
  <c r="AZ89" i="23"/>
  <c r="AZ141" i="23"/>
  <c r="AY141" i="23"/>
  <c r="AX141" i="23"/>
  <c r="BA141" i="23" l="1"/>
  <c r="R144" i="23"/>
  <c r="AX144" i="23" s="1"/>
  <c r="AP144" i="23"/>
  <c r="AY144" i="23" s="1"/>
  <c r="BA89" i="23"/>
  <c r="BA144" i="2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I3" i="3" a="1"/>
  <c r="AK3" i="3" s="1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AH81" i="6" s="1"/>
  <c r="H80" i="6"/>
  <c r="AH80" i="6" s="1"/>
  <c r="H79" i="6"/>
  <c r="AH79" i="6" s="1"/>
  <c r="H78" i="6"/>
  <c r="AH78" i="6" s="1"/>
  <c r="H77" i="6"/>
  <c r="AH77" i="6" s="1"/>
  <c r="H76" i="6"/>
  <c r="AH76" i="6" s="1"/>
  <c r="H75" i="6"/>
  <c r="AH75" i="6" s="1"/>
  <c r="H74" i="6"/>
  <c r="AH74" i="6" s="1"/>
  <c r="H73" i="6"/>
  <c r="AH73" i="6" s="1"/>
  <c r="H72" i="6"/>
  <c r="AH72" i="6" s="1"/>
  <c r="H71" i="6"/>
  <c r="AH71" i="6" s="1"/>
  <c r="H70" i="6"/>
  <c r="AH70" i="6" s="1"/>
  <c r="H69" i="6"/>
  <c r="AH69" i="6" s="1"/>
  <c r="H68" i="6"/>
  <c r="AH68" i="6" s="1"/>
  <c r="H67" i="6"/>
  <c r="AH67" i="6" s="1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AH25" i="6" s="1"/>
  <c r="H24" i="6"/>
  <c r="AH24" i="6" s="1"/>
  <c r="H23" i="6"/>
  <c r="AH23" i="6" s="1"/>
  <c r="H22" i="6"/>
  <c r="AH22" i="6" s="1"/>
  <c r="H21" i="6"/>
  <c r="AH21" i="6" s="1"/>
  <c r="H20" i="6"/>
  <c r="AH20" i="6" s="1"/>
  <c r="H19" i="6"/>
  <c r="AH19" i="6" s="1"/>
  <c r="H18" i="6"/>
  <c r="AH18" i="6" s="1"/>
  <c r="H17" i="6"/>
  <c r="H16" i="6"/>
  <c r="H15" i="6"/>
  <c r="H14" i="6"/>
  <c r="AH14" i="6" s="1"/>
  <c r="H13" i="6"/>
  <c r="H12" i="6"/>
  <c r="H11" i="6"/>
  <c r="H10" i="6"/>
  <c r="H9" i="6"/>
  <c r="H8" i="6"/>
  <c r="H7" i="6"/>
  <c r="H6" i="6"/>
  <c r="H5" i="6"/>
  <c r="H4" i="6"/>
  <c r="H3" i="6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AH81" i="5" s="1"/>
  <c r="H80" i="5"/>
  <c r="AH80" i="5" s="1"/>
  <c r="H79" i="5"/>
  <c r="AH79" i="5" s="1"/>
  <c r="H78" i="5"/>
  <c r="AH78" i="5" s="1"/>
  <c r="H77" i="5"/>
  <c r="AH77" i="5" s="1"/>
  <c r="H76" i="5"/>
  <c r="AH76" i="5" s="1"/>
  <c r="H75" i="5"/>
  <c r="AH75" i="5" s="1"/>
  <c r="H74" i="5"/>
  <c r="AH74" i="5" s="1"/>
  <c r="H73" i="5"/>
  <c r="AH73" i="5" s="1"/>
  <c r="H72" i="5"/>
  <c r="AH72" i="5" s="1"/>
  <c r="H71" i="5"/>
  <c r="AH71" i="5" s="1"/>
  <c r="H70" i="5"/>
  <c r="AH70" i="5" s="1"/>
  <c r="H69" i="5"/>
  <c r="AH69" i="5" s="1"/>
  <c r="H68" i="5"/>
  <c r="AH68" i="5" s="1"/>
  <c r="H67" i="5"/>
  <c r="AH67" i="5" s="1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AH25" i="5" s="1"/>
  <c r="H24" i="5"/>
  <c r="AH24" i="5" s="1"/>
  <c r="H23" i="5"/>
  <c r="AH23" i="5" s="1"/>
  <c r="H22" i="5"/>
  <c r="AH22" i="5" s="1"/>
  <c r="H21" i="5"/>
  <c r="AH21" i="5" s="1"/>
  <c r="H20" i="5"/>
  <c r="AH20" i="5" s="1"/>
  <c r="H19" i="5"/>
  <c r="AH19" i="5" s="1"/>
  <c r="H18" i="5"/>
  <c r="AH18" i="5" s="1"/>
  <c r="H17" i="5"/>
  <c r="H16" i="5"/>
  <c r="H15" i="5"/>
  <c r="H14" i="5"/>
  <c r="AH14" i="5" s="1"/>
  <c r="H13" i="5"/>
  <c r="H12" i="5"/>
  <c r="H11" i="5"/>
  <c r="H10" i="5"/>
  <c r="H9" i="5"/>
  <c r="H8" i="5"/>
  <c r="H7" i="5"/>
  <c r="H6" i="5"/>
  <c r="H5" i="5"/>
  <c r="H4" i="5"/>
  <c r="H3" i="5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AH81" i="4" s="1"/>
  <c r="H80" i="4"/>
  <c r="AH80" i="4" s="1"/>
  <c r="H79" i="4"/>
  <c r="AH79" i="4" s="1"/>
  <c r="H78" i="4"/>
  <c r="AH78" i="4" s="1"/>
  <c r="H77" i="4"/>
  <c r="AH77" i="4" s="1"/>
  <c r="H76" i="4"/>
  <c r="AH76" i="4" s="1"/>
  <c r="H75" i="4"/>
  <c r="AH75" i="4" s="1"/>
  <c r="H74" i="4"/>
  <c r="AH74" i="4" s="1"/>
  <c r="H73" i="4"/>
  <c r="AH73" i="4" s="1"/>
  <c r="H72" i="4"/>
  <c r="AH72" i="4" s="1"/>
  <c r="H71" i="4"/>
  <c r="AH71" i="4" s="1"/>
  <c r="H70" i="4"/>
  <c r="AH70" i="4" s="1"/>
  <c r="H69" i="4"/>
  <c r="AH69" i="4" s="1"/>
  <c r="H68" i="4"/>
  <c r="AH68" i="4" s="1"/>
  <c r="H67" i="4"/>
  <c r="AH67" i="4" s="1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AH25" i="4" s="1"/>
  <c r="H24" i="4"/>
  <c r="AH24" i="4" s="1"/>
  <c r="H23" i="4"/>
  <c r="AH23" i="4" s="1"/>
  <c r="H22" i="4"/>
  <c r="AH22" i="4" s="1"/>
  <c r="H21" i="4"/>
  <c r="AH21" i="4" s="1"/>
  <c r="H20" i="4"/>
  <c r="AH20" i="4" s="1"/>
  <c r="H19" i="4"/>
  <c r="AH19" i="4" s="1"/>
  <c r="H18" i="4"/>
  <c r="AH18" i="4" s="1"/>
  <c r="H17" i="4"/>
  <c r="H16" i="4"/>
  <c r="H15" i="4"/>
  <c r="H14" i="4"/>
  <c r="AH14" i="4" s="1"/>
  <c r="H13" i="4"/>
  <c r="H12" i="4"/>
  <c r="H11" i="4"/>
  <c r="H10" i="4"/>
  <c r="H9" i="4"/>
  <c r="H8" i="4"/>
  <c r="H7" i="4"/>
  <c r="H6" i="4"/>
  <c r="H5" i="4"/>
  <c r="H4" i="4"/>
  <c r="H3" i="4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AH81" i="3" s="1"/>
  <c r="H80" i="3"/>
  <c r="AH80" i="3" s="1"/>
  <c r="H79" i="3"/>
  <c r="AH79" i="3" s="1"/>
  <c r="H78" i="3"/>
  <c r="AH78" i="3" s="1"/>
  <c r="H77" i="3"/>
  <c r="AH77" i="3" s="1"/>
  <c r="H76" i="3"/>
  <c r="AH76" i="3" s="1"/>
  <c r="H75" i="3"/>
  <c r="AH75" i="3" s="1"/>
  <c r="H74" i="3"/>
  <c r="AH74" i="3" s="1"/>
  <c r="H73" i="3"/>
  <c r="AH73" i="3" s="1"/>
  <c r="H72" i="3"/>
  <c r="AH72" i="3" s="1"/>
  <c r="H71" i="3"/>
  <c r="AH71" i="3" s="1"/>
  <c r="H70" i="3"/>
  <c r="AH70" i="3" s="1"/>
  <c r="H69" i="3"/>
  <c r="AH69" i="3" s="1"/>
  <c r="H68" i="3"/>
  <c r="AH68" i="3" s="1"/>
  <c r="H67" i="3"/>
  <c r="AH67" i="3" s="1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AH25" i="3" s="1"/>
  <c r="H24" i="3"/>
  <c r="AH24" i="3" s="1"/>
  <c r="H23" i="3"/>
  <c r="AH23" i="3" s="1"/>
  <c r="H22" i="3"/>
  <c r="AH22" i="3" s="1"/>
  <c r="H21" i="3"/>
  <c r="AH21" i="3" s="1"/>
  <c r="H20" i="3"/>
  <c r="AH20" i="3" s="1"/>
  <c r="H19" i="3"/>
  <c r="AH19" i="3" s="1"/>
  <c r="H18" i="3"/>
  <c r="AH18" i="3" s="1"/>
  <c r="H17" i="3"/>
  <c r="H16" i="3"/>
  <c r="H15" i="3"/>
  <c r="H14" i="3"/>
  <c r="AH14" i="3" s="1"/>
  <c r="H13" i="3"/>
  <c r="H12" i="3"/>
  <c r="H11" i="3"/>
  <c r="H10" i="3"/>
  <c r="H9" i="3"/>
  <c r="H8" i="3"/>
  <c r="H7" i="3"/>
  <c r="H6" i="3"/>
  <c r="H5" i="3"/>
  <c r="H4" i="3"/>
  <c r="H3" i="3"/>
  <c r="E100" i="3"/>
  <c r="E100" i="6" s="1"/>
  <c r="D100" i="3"/>
  <c r="D100" i="6" s="1"/>
  <c r="C100" i="3"/>
  <c r="B100" i="3"/>
  <c r="B100" i="6" s="1"/>
  <c r="A100" i="3"/>
  <c r="A100" i="6" s="1"/>
  <c r="E99" i="3"/>
  <c r="E99" i="6" s="1"/>
  <c r="D99" i="3"/>
  <c r="D99" i="6" s="1"/>
  <c r="C99" i="3"/>
  <c r="C99" i="6" s="1"/>
  <c r="B99" i="3"/>
  <c r="B99" i="6" s="1"/>
  <c r="A99" i="3"/>
  <c r="E98" i="3"/>
  <c r="E98" i="6" s="1"/>
  <c r="D98" i="3"/>
  <c r="D98" i="6" s="1"/>
  <c r="C98" i="3"/>
  <c r="C98" i="6" s="1"/>
  <c r="B98" i="3"/>
  <c r="B98" i="6" s="1"/>
  <c r="A98" i="3"/>
  <c r="A98" i="4" s="1"/>
  <c r="E97" i="3"/>
  <c r="D97" i="3"/>
  <c r="D97" i="6" s="1"/>
  <c r="C97" i="3"/>
  <c r="C97" i="6" s="1"/>
  <c r="B97" i="3"/>
  <c r="B97" i="6" s="1"/>
  <c r="A97" i="3"/>
  <c r="A97" i="6" s="1"/>
  <c r="E96" i="3"/>
  <c r="E96" i="6" s="1"/>
  <c r="D96" i="3"/>
  <c r="D96" i="6" s="1"/>
  <c r="C96" i="3"/>
  <c r="C96" i="6" s="1"/>
  <c r="B96" i="3"/>
  <c r="A96" i="3"/>
  <c r="A96" i="6" s="1"/>
  <c r="E95" i="3"/>
  <c r="E95" i="6" s="1"/>
  <c r="D95" i="3"/>
  <c r="D95" i="6" s="1"/>
  <c r="C95" i="3"/>
  <c r="C95" i="6" s="1"/>
  <c r="B95" i="3"/>
  <c r="B95" i="6" s="1"/>
  <c r="A95" i="3"/>
  <c r="E94" i="3"/>
  <c r="E94" i="6" s="1"/>
  <c r="D94" i="3"/>
  <c r="D94" i="6" s="1"/>
  <c r="C94" i="3"/>
  <c r="C94" i="6" s="1"/>
  <c r="B94" i="3"/>
  <c r="B94" i="6" s="1"/>
  <c r="A94" i="3"/>
  <c r="E93" i="3"/>
  <c r="E93" i="6" s="1"/>
  <c r="D93" i="3"/>
  <c r="D93" i="6" s="1"/>
  <c r="C93" i="3"/>
  <c r="C93" i="6" s="1"/>
  <c r="B93" i="3"/>
  <c r="B93" i="6" s="1"/>
  <c r="A93" i="3"/>
  <c r="A93" i="6" s="1"/>
  <c r="E92" i="3"/>
  <c r="E92" i="6" s="1"/>
  <c r="D92" i="3"/>
  <c r="C92" i="3"/>
  <c r="C92" i="6" s="1"/>
  <c r="B92" i="3"/>
  <c r="B92" i="6" s="1"/>
  <c r="A92" i="3"/>
  <c r="A92" i="6" s="1"/>
  <c r="E91" i="3"/>
  <c r="E91" i="6" s="1"/>
  <c r="D91" i="3"/>
  <c r="D91" i="6" s="1"/>
  <c r="C91" i="3"/>
  <c r="C91" i="6" s="1"/>
  <c r="B91" i="3"/>
  <c r="B91" i="6" s="1"/>
  <c r="A91" i="3"/>
  <c r="A91" i="6" s="1"/>
  <c r="E90" i="3"/>
  <c r="D90" i="3"/>
  <c r="D90" i="6" s="1"/>
  <c r="C90" i="3"/>
  <c r="C90" i="6" s="1"/>
  <c r="B90" i="3"/>
  <c r="B90" i="6" s="1"/>
  <c r="A90" i="3"/>
  <c r="A90" i="6" s="1"/>
  <c r="E89" i="3"/>
  <c r="E89" i="6" s="1"/>
  <c r="D89" i="3"/>
  <c r="D89" i="6" s="1"/>
  <c r="C89" i="3"/>
  <c r="C89" i="6" s="1"/>
  <c r="B89" i="3"/>
  <c r="B89" i="6" s="1"/>
  <c r="A89" i="3"/>
  <c r="A89" i="6" s="1"/>
  <c r="E88" i="3"/>
  <c r="E88" i="6" s="1"/>
  <c r="D88" i="3"/>
  <c r="C88" i="3"/>
  <c r="C88" i="5" s="1"/>
  <c r="B88" i="3"/>
  <c r="B88" i="6" s="1"/>
  <c r="A88" i="3"/>
  <c r="A88" i="6" s="1"/>
  <c r="E87" i="3"/>
  <c r="E87" i="6" s="1"/>
  <c r="D87" i="3"/>
  <c r="C87" i="3"/>
  <c r="C87" i="6" s="1"/>
  <c r="B87" i="3"/>
  <c r="B87" i="6" s="1"/>
  <c r="A87" i="3"/>
  <c r="A87" i="6" s="1"/>
  <c r="E86" i="3"/>
  <c r="E86" i="6" s="1"/>
  <c r="D86" i="3"/>
  <c r="D86" i="6" s="1"/>
  <c r="C86" i="3"/>
  <c r="C86" i="6" s="1"/>
  <c r="B86" i="3"/>
  <c r="B86" i="6" s="1"/>
  <c r="A86" i="3"/>
  <c r="A86" i="6" s="1"/>
  <c r="E85" i="3"/>
  <c r="E85" i="6" s="1"/>
  <c r="D85" i="3"/>
  <c r="D85" i="6" s="1"/>
  <c r="C85" i="3"/>
  <c r="C85" i="5" s="1"/>
  <c r="B85" i="3"/>
  <c r="B85" i="6" s="1"/>
  <c r="A85" i="3"/>
  <c r="A85" i="6" s="1"/>
  <c r="E84" i="3"/>
  <c r="E84" i="6" s="1"/>
  <c r="D84" i="3"/>
  <c r="D84" i="6" s="1"/>
  <c r="C84" i="3"/>
  <c r="C84" i="6" s="1"/>
  <c r="B84" i="3"/>
  <c r="B84" i="6" s="1"/>
  <c r="A84" i="3"/>
  <c r="A84" i="6" s="1"/>
  <c r="E83" i="3"/>
  <c r="E83" i="6" s="1"/>
  <c r="D83" i="3"/>
  <c r="D83" i="6" s="1"/>
  <c r="C83" i="3"/>
  <c r="C83" i="6" s="1"/>
  <c r="B83" i="3"/>
  <c r="B83" i="6" s="1"/>
  <c r="A83" i="3"/>
  <c r="E82" i="3"/>
  <c r="D82" i="3"/>
  <c r="D82" i="6" s="1"/>
  <c r="C82" i="3"/>
  <c r="C82" i="6" s="1"/>
  <c r="B82" i="3"/>
  <c r="A82" i="3"/>
  <c r="A82" i="5" s="1"/>
  <c r="E81" i="3"/>
  <c r="E81" i="6" s="1"/>
  <c r="D81" i="3"/>
  <c r="D81" i="6" s="1"/>
  <c r="C81" i="3"/>
  <c r="C81" i="6" s="1"/>
  <c r="B81" i="3"/>
  <c r="B81" i="6" s="1"/>
  <c r="A81" i="3"/>
  <c r="A81" i="6" s="1"/>
  <c r="E80" i="3"/>
  <c r="E80" i="6" s="1"/>
  <c r="D80" i="3"/>
  <c r="D80" i="6" s="1"/>
  <c r="C80" i="3"/>
  <c r="C80" i="6" s="1"/>
  <c r="B80" i="3"/>
  <c r="B80" i="6" s="1"/>
  <c r="A80" i="3"/>
  <c r="A80" i="6" s="1"/>
  <c r="E79" i="3"/>
  <c r="D79" i="3"/>
  <c r="D79" i="5" s="1"/>
  <c r="C79" i="3"/>
  <c r="C79" i="6" s="1"/>
  <c r="B79" i="3"/>
  <c r="B79" i="6" s="1"/>
  <c r="A79" i="3"/>
  <c r="E78" i="3"/>
  <c r="E78" i="6" s="1"/>
  <c r="D78" i="3"/>
  <c r="D78" i="6" s="1"/>
  <c r="C78" i="3"/>
  <c r="C78" i="6" s="1"/>
  <c r="B78" i="3"/>
  <c r="B78" i="6" s="1"/>
  <c r="A78" i="3"/>
  <c r="E77" i="3"/>
  <c r="E77" i="6" s="1"/>
  <c r="D77" i="3"/>
  <c r="D77" i="6" s="1"/>
  <c r="C77" i="3"/>
  <c r="B77" i="3"/>
  <c r="B77" i="6" s="1"/>
  <c r="A77" i="3"/>
  <c r="A77" i="6" s="1"/>
  <c r="E76" i="3"/>
  <c r="E76" i="6" s="1"/>
  <c r="D76" i="3"/>
  <c r="D76" i="5" s="1"/>
  <c r="C76" i="3"/>
  <c r="C76" i="6" s="1"/>
  <c r="B76" i="3"/>
  <c r="B76" i="6" s="1"/>
  <c r="A76" i="3"/>
  <c r="A76" i="6" s="1"/>
  <c r="E75" i="3"/>
  <c r="E75" i="6" s="1"/>
  <c r="D75" i="3"/>
  <c r="D75" i="6" s="1"/>
  <c r="C75" i="3"/>
  <c r="C75" i="6" s="1"/>
  <c r="B75" i="3"/>
  <c r="B75" i="6" s="1"/>
  <c r="A75" i="3"/>
  <c r="A75" i="6" s="1"/>
  <c r="E74" i="3"/>
  <c r="D74" i="3"/>
  <c r="D74" i="6" s="1"/>
  <c r="C74" i="3"/>
  <c r="C74" i="6" s="1"/>
  <c r="B74" i="3"/>
  <c r="A74" i="3"/>
  <c r="A74" i="6" s="1"/>
  <c r="E73" i="3"/>
  <c r="E73" i="6" s="1"/>
  <c r="D73" i="3"/>
  <c r="D73" i="6" s="1"/>
  <c r="C73" i="3"/>
  <c r="C73" i="6" s="1"/>
  <c r="B73" i="3"/>
  <c r="B73" i="6" s="1"/>
  <c r="A73" i="3"/>
  <c r="A73" i="6" s="1"/>
  <c r="E72" i="3"/>
  <c r="E72" i="6" s="1"/>
  <c r="D72" i="3"/>
  <c r="C72" i="3"/>
  <c r="C72" i="5" s="1"/>
  <c r="B72" i="3"/>
  <c r="B72" i="6" s="1"/>
  <c r="A72" i="3"/>
  <c r="A72" i="6" s="1"/>
  <c r="E71" i="3"/>
  <c r="E71" i="6" s="1"/>
  <c r="D71" i="3"/>
  <c r="C71" i="3"/>
  <c r="C71" i="6" s="1"/>
  <c r="B71" i="3"/>
  <c r="B71" i="6" s="1"/>
  <c r="A71" i="3"/>
  <c r="A71" i="5" s="1"/>
  <c r="E70" i="3"/>
  <c r="E70" i="6" s="1"/>
  <c r="D70" i="3"/>
  <c r="C70" i="3"/>
  <c r="C70" i="6" s="1"/>
  <c r="B70" i="3"/>
  <c r="B70" i="6" s="1"/>
  <c r="A70" i="3"/>
  <c r="E69" i="3"/>
  <c r="E69" i="6" s="1"/>
  <c r="D69" i="3"/>
  <c r="D69" i="6" s="1"/>
  <c r="C69" i="3"/>
  <c r="C69" i="5" s="1"/>
  <c r="B69" i="3"/>
  <c r="B69" i="6" s="1"/>
  <c r="A69" i="3"/>
  <c r="A69" i="6" s="1"/>
  <c r="E68" i="3"/>
  <c r="E68" i="6" s="1"/>
  <c r="D68" i="3"/>
  <c r="D68" i="6" s="1"/>
  <c r="C68" i="3"/>
  <c r="C68" i="6" s="1"/>
  <c r="B68" i="3"/>
  <c r="B68" i="6" s="1"/>
  <c r="A68" i="3"/>
  <c r="A68" i="6" s="1"/>
  <c r="E67" i="3"/>
  <c r="E67" i="6" s="1"/>
  <c r="D67" i="3"/>
  <c r="D67" i="6" s="1"/>
  <c r="C67" i="3"/>
  <c r="C67" i="6" s="1"/>
  <c r="B67" i="3"/>
  <c r="B67" i="6" s="1"/>
  <c r="A67" i="3"/>
  <c r="E66" i="3"/>
  <c r="D66" i="3"/>
  <c r="D66" i="6" s="1"/>
  <c r="C66" i="3"/>
  <c r="C66" i="6" s="1"/>
  <c r="B66" i="3"/>
  <c r="B66" i="6" s="1"/>
  <c r="A66" i="3"/>
  <c r="A66" i="5" s="1"/>
  <c r="E65" i="3"/>
  <c r="E65" i="6" s="1"/>
  <c r="D65" i="3"/>
  <c r="D65" i="6" s="1"/>
  <c r="C65" i="3"/>
  <c r="C65" i="6" s="1"/>
  <c r="B65" i="3"/>
  <c r="B65" i="6" s="1"/>
  <c r="A65" i="3"/>
  <c r="E64" i="3"/>
  <c r="E64" i="6" s="1"/>
  <c r="D64" i="3"/>
  <c r="D64" i="6" s="1"/>
  <c r="C64" i="3"/>
  <c r="C64" i="6" s="1"/>
  <c r="B64" i="3"/>
  <c r="B64" i="6" s="1"/>
  <c r="A64" i="3"/>
  <c r="A64" i="6" s="1"/>
  <c r="E63" i="3"/>
  <c r="E63" i="6" s="1"/>
  <c r="D63" i="3"/>
  <c r="C63" i="3"/>
  <c r="C63" i="6" s="1"/>
  <c r="B63" i="3"/>
  <c r="B63" i="6" s="1"/>
  <c r="A63" i="3"/>
  <c r="E62" i="3"/>
  <c r="E62" i="6" s="1"/>
  <c r="D62" i="3"/>
  <c r="D62" i="6" s="1"/>
  <c r="C62" i="3"/>
  <c r="C62" i="6" s="1"/>
  <c r="B62" i="3"/>
  <c r="B62" i="6" s="1"/>
  <c r="A62" i="3"/>
  <c r="E61" i="3"/>
  <c r="E61" i="6" s="1"/>
  <c r="D61" i="3"/>
  <c r="D61" i="6" s="1"/>
  <c r="C61" i="3"/>
  <c r="B61" i="3"/>
  <c r="B61" i="6" s="1"/>
  <c r="A61" i="3"/>
  <c r="A61" i="6" s="1"/>
  <c r="E60" i="3"/>
  <c r="E60" i="6" s="1"/>
  <c r="D60" i="3"/>
  <c r="D60" i="5" s="1"/>
  <c r="C60" i="3"/>
  <c r="C60" i="6" s="1"/>
  <c r="B60" i="3"/>
  <c r="B60" i="6" s="1"/>
  <c r="A60" i="3"/>
  <c r="A60" i="6" s="1"/>
  <c r="E59" i="3"/>
  <c r="D59" i="3"/>
  <c r="D59" i="6" s="1"/>
  <c r="C59" i="3"/>
  <c r="C59" i="6" s="1"/>
  <c r="B59" i="3"/>
  <c r="B59" i="6" s="1"/>
  <c r="A59" i="3"/>
  <c r="A59" i="6" s="1"/>
  <c r="E58" i="3"/>
  <c r="D58" i="3"/>
  <c r="D58" i="6" s="1"/>
  <c r="C58" i="3"/>
  <c r="C58" i="6" s="1"/>
  <c r="B58" i="3"/>
  <c r="A58" i="3"/>
  <c r="A58" i="6" s="1"/>
  <c r="E57" i="3"/>
  <c r="D57" i="3"/>
  <c r="D57" i="6" s="1"/>
  <c r="C57" i="3"/>
  <c r="C57" i="6" s="1"/>
  <c r="B57" i="3"/>
  <c r="B57" i="6" s="1"/>
  <c r="A57" i="3"/>
  <c r="A57" i="6" s="1"/>
  <c r="E56" i="3"/>
  <c r="E56" i="6" s="1"/>
  <c r="D56" i="3"/>
  <c r="D56" i="6" s="1"/>
  <c r="C56" i="3"/>
  <c r="C56" i="5" s="1"/>
  <c r="B56" i="3"/>
  <c r="B56" i="6" s="1"/>
  <c r="A56" i="3"/>
  <c r="A56" i="6" s="1"/>
  <c r="E55" i="3"/>
  <c r="E55" i="6" s="1"/>
  <c r="D55" i="3"/>
  <c r="C55" i="3"/>
  <c r="C55" i="6" s="1"/>
  <c r="B55" i="3"/>
  <c r="B55" i="6" s="1"/>
  <c r="A55" i="3"/>
  <c r="A55" i="5" s="1"/>
  <c r="E54" i="3"/>
  <c r="E54" i="6" s="1"/>
  <c r="D54" i="3"/>
  <c r="D54" i="6" s="1"/>
  <c r="C54" i="3"/>
  <c r="C54" i="6" s="1"/>
  <c r="B54" i="3"/>
  <c r="A54" i="3"/>
  <c r="E53" i="3"/>
  <c r="E53" i="6" s="1"/>
  <c r="D53" i="3"/>
  <c r="D53" i="6" s="1"/>
  <c r="C53" i="3"/>
  <c r="C53" i="5" s="1"/>
  <c r="B53" i="3"/>
  <c r="B53" i="6" s="1"/>
  <c r="A53" i="3"/>
  <c r="A53" i="6" s="1"/>
  <c r="E52" i="3"/>
  <c r="E52" i="6" s="1"/>
  <c r="D52" i="3"/>
  <c r="D52" i="6" s="1"/>
  <c r="C52" i="3"/>
  <c r="C52" i="6" s="1"/>
  <c r="B52" i="3"/>
  <c r="B52" i="6" s="1"/>
  <c r="A52" i="3"/>
  <c r="A52" i="6" s="1"/>
  <c r="E51" i="3"/>
  <c r="E51" i="6" s="1"/>
  <c r="D51" i="3"/>
  <c r="D51" i="6" s="1"/>
  <c r="C51" i="3"/>
  <c r="C51" i="6" s="1"/>
  <c r="B51" i="3"/>
  <c r="B51" i="6" s="1"/>
  <c r="A51" i="3"/>
  <c r="E50" i="3"/>
  <c r="D50" i="3"/>
  <c r="D50" i="6" s="1"/>
  <c r="C50" i="3"/>
  <c r="C50" i="6" s="1"/>
  <c r="B50" i="3"/>
  <c r="B50" i="6" s="1"/>
  <c r="A50" i="3"/>
  <c r="A50" i="5" s="1"/>
  <c r="E49" i="3"/>
  <c r="E49" i="6" s="1"/>
  <c r="D49" i="3"/>
  <c r="D49" i="6" s="1"/>
  <c r="C49" i="3"/>
  <c r="C49" i="6" s="1"/>
  <c r="B49" i="3"/>
  <c r="B49" i="6" s="1"/>
  <c r="A49" i="3"/>
  <c r="A49" i="6" s="1"/>
  <c r="E48" i="3"/>
  <c r="E48" i="6" s="1"/>
  <c r="D48" i="3"/>
  <c r="C48" i="3"/>
  <c r="C48" i="6" s="1"/>
  <c r="B48" i="3"/>
  <c r="B48" i="6" s="1"/>
  <c r="A48" i="3"/>
  <c r="A48" i="6" s="1"/>
  <c r="E47" i="3"/>
  <c r="E47" i="6" s="1"/>
  <c r="D47" i="3"/>
  <c r="C47" i="3"/>
  <c r="C47" i="6" s="1"/>
  <c r="B47" i="3"/>
  <c r="B47" i="6" s="1"/>
  <c r="A47" i="3"/>
  <c r="E46" i="3"/>
  <c r="E46" i="6" s="1"/>
  <c r="D46" i="3"/>
  <c r="C46" i="3"/>
  <c r="C46" i="6" s="1"/>
  <c r="B46" i="3"/>
  <c r="B46" i="6" s="1"/>
  <c r="A46" i="3"/>
  <c r="E45" i="3"/>
  <c r="E45" i="6" s="1"/>
  <c r="D45" i="3"/>
  <c r="D45" i="6" s="1"/>
  <c r="C45" i="3"/>
  <c r="B45" i="3"/>
  <c r="B45" i="6" s="1"/>
  <c r="A45" i="3"/>
  <c r="E44" i="3"/>
  <c r="E44" i="6" s="1"/>
  <c r="D44" i="3"/>
  <c r="C44" i="3"/>
  <c r="C44" i="6" s="1"/>
  <c r="B44" i="3"/>
  <c r="B44" i="6" s="1"/>
  <c r="A44" i="3"/>
  <c r="A44" i="6" s="1"/>
  <c r="E43" i="3"/>
  <c r="E43" i="6" s="1"/>
  <c r="D43" i="3"/>
  <c r="D43" i="6" s="1"/>
  <c r="C43" i="3"/>
  <c r="C43" i="6" s="1"/>
  <c r="B43" i="3"/>
  <c r="B43" i="6" s="1"/>
  <c r="A43" i="3"/>
  <c r="A43" i="6" s="1"/>
  <c r="E42" i="3"/>
  <c r="D42" i="3"/>
  <c r="D42" i="6" s="1"/>
  <c r="C42" i="3"/>
  <c r="C42" i="6" s="1"/>
  <c r="B42" i="3"/>
  <c r="A42" i="3"/>
  <c r="A42" i="6" s="1"/>
  <c r="E41" i="3"/>
  <c r="E41" i="6" s="1"/>
  <c r="D41" i="3"/>
  <c r="D41" i="6" s="1"/>
  <c r="C41" i="3"/>
  <c r="B41" i="3"/>
  <c r="B41" i="6" s="1"/>
  <c r="A41" i="3"/>
  <c r="A41" i="6" s="1"/>
  <c r="E40" i="3"/>
  <c r="E40" i="6" s="1"/>
  <c r="D40" i="3"/>
  <c r="D40" i="6" s="1"/>
  <c r="C40" i="3"/>
  <c r="C40" i="6" s="1"/>
  <c r="B40" i="3"/>
  <c r="B40" i="6" s="1"/>
  <c r="A40" i="3"/>
  <c r="A40" i="6" s="1"/>
  <c r="E39" i="3"/>
  <c r="E39" i="6" s="1"/>
  <c r="D39" i="3"/>
  <c r="D39" i="5" s="1"/>
  <c r="C39" i="3"/>
  <c r="C39" i="6" s="1"/>
  <c r="B39" i="3"/>
  <c r="B39" i="6" s="1"/>
  <c r="A39" i="3"/>
  <c r="E38" i="3"/>
  <c r="E38" i="6" s="1"/>
  <c r="D38" i="3"/>
  <c r="D38" i="6" s="1"/>
  <c r="C38" i="3"/>
  <c r="C38" i="6" s="1"/>
  <c r="B38" i="3"/>
  <c r="A38" i="3"/>
  <c r="A38" i="5" s="1"/>
  <c r="E37" i="3"/>
  <c r="E37" i="6" s="1"/>
  <c r="D37" i="3"/>
  <c r="D37" i="6" s="1"/>
  <c r="C37" i="3"/>
  <c r="B37" i="3"/>
  <c r="B37" i="6" s="1"/>
  <c r="A37" i="3"/>
  <c r="A37" i="6" s="1"/>
  <c r="E36" i="3"/>
  <c r="E36" i="6" s="1"/>
  <c r="D36" i="3"/>
  <c r="D36" i="6" s="1"/>
  <c r="C36" i="3"/>
  <c r="C36" i="6" s="1"/>
  <c r="B36" i="3"/>
  <c r="B36" i="6" s="1"/>
  <c r="A36" i="3"/>
  <c r="A36" i="6" s="1"/>
  <c r="E35" i="3"/>
  <c r="D35" i="3"/>
  <c r="D35" i="6" s="1"/>
  <c r="C35" i="3"/>
  <c r="C35" i="6" s="1"/>
  <c r="B35" i="3"/>
  <c r="B35" i="6" s="1"/>
  <c r="A35" i="3"/>
  <c r="E34" i="3"/>
  <c r="D34" i="3"/>
  <c r="D34" i="6" s="1"/>
  <c r="C34" i="3"/>
  <c r="C34" i="6" s="1"/>
  <c r="B34" i="3"/>
  <c r="A34" i="3"/>
  <c r="A34" i="5" s="1"/>
  <c r="E33" i="3"/>
  <c r="D33" i="3"/>
  <c r="D33" i="6" s="1"/>
  <c r="C33" i="3"/>
  <c r="C33" i="6" s="1"/>
  <c r="B33" i="3"/>
  <c r="B33" i="6" s="1"/>
  <c r="A33" i="3"/>
  <c r="A33" i="6" s="1"/>
  <c r="E32" i="3"/>
  <c r="E32" i="6" s="1"/>
  <c r="D32" i="3"/>
  <c r="D32" i="5" s="1"/>
  <c r="C32" i="3"/>
  <c r="C32" i="6" s="1"/>
  <c r="B32" i="3"/>
  <c r="B32" i="6" s="1"/>
  <c r="A32" i="3"/>
  <c r="A32" i="6" s="1"/>
  <c r="E31" i="3"/>
  <c r="E31" i="6" s="1"/>
  <c r="D31" i="3"/>
  <c r="D31" i="5" s="1"/>
  <c r="C31" i="3"/>
  <c r="C31" i="6" s="1"/>
  <c r="B31" i="3"/>
  <c r="B31" i="6" s="1"/>
  <c r="A31" i="3"/>
  <c r="A31" i="4" s="1"/>
  <c r="E30" i="3"/>
  <c r="D30" i="3"/>
  <c r="D30" i="6" s="1"/>
  <c r="C30" i="3"/>
  <c r="C30" i="6" s="1"/>
  <c r="B30" i="3"/>
  <c r="B30" i="6" s="1"/>
  <c r="A30" i="3"/>
  <c r="E29" i="3"/>
  <c r="E29" i="6" s="1"/>
  <c r="D29" i="3"/>
  <c r="D29" i="6" s="1"/>
  <c r="C29" i="3"/>
  <c r="C29" i="4" s="1"/>
  <c r="B29" i="3"/>
  <c r="B29" i="6" s="1"/>
  <c r="A29" i="3"/>
  <c r="A29" i="6" s="1"/>
  <c r="E28" i="3"/>
  <c r="E28" i="6" s="1"/>
  <c r="D28" i="3"/>
  <c r="D28" i="4" s="1"/>
  <c r="C28" i="3"/>
  <c r="B28" i="3"/>
  <c r="B28" i="6" s="1"/>
  <c r="A28" i="3"/>
  <c r="A28" i="6" s="1"/>
  <c r="E27" i="3"/>
  <c r="E27" i="5" s="1"/>
  <c r="D27" i="3"/>
  <c r="D27" i="6" s="1"/>
  <c r="C27" i="3"/>
  <c r="C27" i="6" s="1"/>
  <c r="B27" i="3"/>
  <c r="B27" i="6" s="1"/>
  <c r="A27" i="3"/>
  <c r="A27" i="4" s="1"/>
  <c r="E26" i="3"/>
  <c r="D26" i="3"/>
  <c r="D26" i="6" s="1"/>
  <c r="C26" i="3"/>
  <c r="C26" i="6" s="1"/>
  <c r="B26" i="3"/>
  <c r="B26" i="5" s="1"/>
  <c r="A26" i="3"/>
  <c r="A26" i="4" s="1"/>
  <c r="E25" i="3"/>
  <c r="E25" i="6" s="1"/>
  <c r="D25" i="3"/>
  <c r="D25" i="6" s="1"/>
  <c r="C25" i="3"/>
  <c r="C25" i="6" s="1"/>
  <c r="B25" i="3"/>
  <c r="A25" i="3"/>
  <c r="A25" i="6" s="1"/>
  <c r="E24" i="3"/>
  <c r="E24" i="6" s="1"/>
  <c r="D24" i="3"/>
  <c r="D24" i="5" s="1"/>
  <c r="C24" i="3"/>
  <c r="C24" i="6" s="1"/>
  <c r="B24" i="3"/>
  <c r="A24" i="3"/>
  <c r="A24" i="6" s="1"/>
  <c r="E23" i="3"/>
  <c r="E23" i="6" s="1"/>
  <c r="D23" i="3"/>
  <c r="C23" i="3"/>
  <c r="C23" i="6" s="1"/>
  <c r="B23" i="3"/>
  <c r="B23" i="6" s="1"/>
  <c r="A23" i="3"/>
  <c r="A23" i="4" s="1"/>
  <c r="E22" i="3"/>
  <c r="E22" i="6" s="1"/>
  <c r="D22" i="3"/>
  <c r="D22" i="6" s="1"/>
  <c r="C22" i="3"/>
  <c r="C22" i="6" s="1"/>
  <c r="B22" i="3"/>
  <c r="B22" i="5" s="1"/>
  <c r="A22" i="3"/>
  <c r="E21" i="3"/>
  <c r="E21" i="6" s="1"/>
  <c r="D21" i="3"/>
  <c r="D21" i="6" s="1"/>
  <c r="C21" i="3"/>
  <c r="C21" i="4" s="1"/>
  <c r="B21" i="3"/>
  <c r="B21" i="6" s="1"/>
  <c r="A21" i="3"/>
  <c r="E20" i="3"/>
  <c r="E20" i="6" s="1"/>
  <c r="D20" i="3"/>
  <c r="D20" i="4" s="1"/>
  <c r="C20" i="3"/>
  <c r="C20" i="6" s="1"/>
  <c r="B20" i="3"/>
  <c r="B20" i="6" s="1"/>
  <c r="A20" i="3"/>
  <c r="A20" i="6" s="1"/>
  <c r="E19" i="3"/>
  <c r="E19" i="5" s="1"/>
  <c r="D19" i="3"/>
  <c r="D19" i="6" s="1"/>
  <c r="C19" i="3"/>
  <c r="C19" i="6" s="1"/>
  <c r="B19" i="3"/>
  <c r="B19" i="6" s="1"/>
  <c r="A19" i="3"/>
  <c r="A19" i="4" s="1"/>
  <c r="E18" i="3"/>
  <c r="D18" i="3"/>
  <c r="D18" i="6" s="1"/>
  <c r="C18" i="3"/>
  <c r="C18" i="6" s="1"/>
  <c r="B18" i="3"/>
  <c r="B18" i="5" s="1"/>
  <c r="A18" i="3"/>
  <c r="A18" i="5" s="1"/>
  <c r="E17" i="3"/>
  <c r="D17" i="3"/>
  <c r="D17" i="6" s="1"/>
  <c r="C17" i="3"/>
  <c r="C17" i="6" s="1"/>
  <c r="B17" i="3"/>
  <c r="B17" i="6" s="1"/>
  <c r="A17" i="3"/>
  <c r="A17" i="6" s="1"/>
  <c r="E16" i="3"/>
  <c r="E16" i="6" s="1"/>
  <c r="D16" i="3"/>
  <c r="D16" i="5" s="1"/>
  <c r="C16" i="3"/>
  <c r="C16" i="6" s="1"/>
  <c r="B16" i="3"/>
  <c r="B16" i="6" s="1"/>
  <c r="A16" i="3"/>
  <c r="A16" i="6" s="1"/>
  <c r="E15" i="3"/>
  <c r="E15" i="5" s="1"/>
  <c r="D15" i="3"/>
  <c r="D15" i="5" s="1"/>
  <c r="C15" i="3"/>
  <c r="C15" i="6" s="1"/>
  <c r="B15" i="3"/>
  <c r="B15" i="6" s="1"/>
  <c r="A15" i="3"/>
  <c r="A15" i="4" s="1"/>
  <c r="E14" i="3"/>
  <c r="E14" i="6" s="1"/>
  <c r="D14" i="3"/>
  <c r="D14" i="6" s="1"/>
  <c r="C14" i="3"/>
  <c r="C14" i="6" s="1"/>
  <c r="B14" i="3"/>
  <c r="B14" i="6" s="1"/>
  <c r="A14" i="3"/>
  <c r="E13" i="3"/>
  <c r="E13" i="6" s="1"/>
  <c r="D13" i="3"/>
  <c r="D13" i="6" s="1"/>
  <c r="C13" i="3"/>
  <c r="C13" i="5" s="1"/>
  <c r="B13" i="3"/>
  <c r="B13" i="6" s="1"/>
  <c r="A13" i="3"/>
  <c r="A13" i="6" s="1"/>
  <c r="E12" i="3"/>
  <c r="E12" i="6" s="1"/>
  <c r="D12" i="3"/>
  <c r="D12" i="5" s="1"/>
  <c r="C12" i="3"/>
  <c r="C12" i="5" s="1"/>
  <c r="B12" i="3"/>
  <c r="B12" i="6" s="1"/>
  <c r="A12" i="3"/>
  <c r="A12" i="6" s="1"/>
  <c r="E11" i="3"/>
  <c r="E11" i="5" s="1"/>
  <c r="D11" i="3"/>
  <c r="D11" i="6" s="1"/>
  <c r="C11" i="3"/>
  <c r="C11" i="6" s="1"/>
  <c r="B11" i="3"/>
  <c r="B11" i="6" s="1"/>
  <c r="A11" i="3"/>
  <c r="A11" i="4" s="1"/>
  <c r="E10" i="3"/>
  <c r="D10" i="3"/>
  <c r="D10" i="6" s="1"/>
  <c r="C10" i="3"/>
  <c r="C10" i="6" s="1"/>
  <c r="B10" i="3"/>
  <c r="B10" i="5" s="1"/>
  <c r="A10" i="3"/>
  <c r="E9" i="3"/>
  <c r="E9" i="6" s="1"/>
  <c r="D9" i="3"/>
  <c r="D9" i="6" s="1"/>
  <c r="C9" i="3"/>
  <c r="C9" i="5" s="1"/>
  <c r="B9" i="3"/>
  <c r="B9" i="6" s="1"/>
  <c r="A9" i="3"/>
  <c r="A9" i="6" s="1"/>
  <c r="E8" i="3"/>
  <c r="E8" i="6" s="1"/>
  <c r="D8" i="3"/>
  <c r="D8" i="5" s="1"/>
  <c r="C8" i="3"/>
  <c r="C8" i="5" s="1"/>
  <c r="B8" i="3"/>
  <c r="B8" i="6" s="1"/>
  <c r="A8" i="3"/>
  <c r="A8" i="6" s="1"/>
  <c r="E7" i="3"/>
  <c r="E7" i="5" s="1"/>
  <c r="D7" i="3"/>
  <c r="D7" i="5" s="1"/>
  <c r="C7" i="3"/>
  <c r="C7" i="6" s="1"/>
  <c r="B7" i="3"/>
  <c r="B7" i="6" s="1"/>
  <c r="A7" i="3"/>
  <c r="A7" i="4" s="1"/>
  <c r="E6" i="3"/>
  <c r="E6" i="6" s="1"/>
  <c r="D6" i="3"/>
  <c r="D6" i="6" s="1"/>
  <c r="C6" i="3"/>
  <c r="C6" i="6" s="1"/>
  <c r="B6" i="3"/>
  <c r="B6" i="5" s="1"/>
  <c r="A6" i="3"/>
  <c r="A6" i="5" s="1"/>
  <c r="E5" i="3"/>
  <c r="E5" i="6" s="1"/>
  <c r="D5" i="3"/>
  <c r="D5" i="6" s="1"/>
  <c r="C5" i="3"/>
  <c r="C5" i="5" s="1"/>
  <c r="B5" i="3"/>
  <c r="B5" i="6" s="1"/>
  <c r="A5" i="3"/>
  <c r="A5" i="4" s="1"/>
  <c r="E4" i="3"/>
  <c r="E4" i="6" s="1"/>
  <c r="D4" i="3"/>
  <c r="D4" i="5" s="1"/>
  <c r="C4" i="3"/>
  <c r="C4" i="5" s="1"/>
  <c r="B4" i="3"/>
  <c r="B4" i="6" s="1"/>
  <c r="E3" i="3"/>
  <c r="E3" i="6" s="1"/>
  <c r="D3" i="3"/>
  <c r="D3" i="6" s="1"/>
  <c r="C3" i="3"/>
  <c r="B3" i="3"/>
  <c r="B3" i="6" s="1"/>
  <c r="A3" i="3"/>
  <c r="A3" i="6" s="1"/>
  <c r="A4" i="3"/>
  <c r="A4" i="4" s="1"/>
  <c r="AV3" i="3" l="1"/>
  <c r="BC3" i="3"/>
  <c r="AP3" i="3"/>
  <c r="AH94" i="3"/>
  <c r="AH98" i="3"/>
  <c r="BG15" i="3"/>
  <c r="BG19" i="3"/>
  <c r="BG23" i="3"/>
  <c r="BG27" i="3"/>
  <c r="BG31" i="3"/>
  <c r="BG35" i="3"/>
  <c r="BG39" i="3"/>
  <c r="BG43" i="3"/>
  <c r="BG47" i="3"/>
  <c r="BG51" i="3"/>
  <c r="BG55" i="3"/>
  <c r="BG5" i="3"/>
  <c r="BG6" i="3"/>
  <c r="BG7" i="3"/>
  <c r="BG8" i="3"/>
  <c r="BG9" i="3"/>
  <c r="BG10" i="3"/>
  <c r="BG11" i="3"/>
  <c r="BG12" i="3"/>
  <c r="BG13" i="3"/>
  <c r="BG14" i="3"/>
  <c r="BG16" i="3"/>
  <c r="BG17" i="3"/>
  <c r="BG18" i="3"/>
  <c r="BG20" i="3"/>
  <c r="BG21" i="3"/>
  <c r="BG22" i="3"/>
  <c r="BG24" i="3"/>
  <c r="BG25" i="3"/>
  <c r="BG26" i="3"/>
  <c r="BG28" i="3"/>
  <c r="BG29" i="3"/>
  <c r="BG30" i="3"/>
  <c r="BG32" i="3"/>
  <c r="BG33" i="3"/>
  <c r="BG34" i="3"/>
  <c r="BG36" i="3"/>
  <c r="BG37" i="3"/>
  <c r="BG38" i="3"/>
  <c r="BG40" i="3"/>
  <c r="BG41" i="3"/>
  <c r="BG42" i="3"/>
  <c r="BG44" i="3"/>
  <c r="BG45" i="3"/>
  <c r="BG46" i="3"/>
  <c r="BG48" i="3"/>
  <c r="BG49" i="3"/>
  <c r="BG50" i="3"/>
  <c r="BG52" i="3"/>
  <c r="BG53" i="3"/>
  <c r="BG54" i="3"/>
  <c r="BG56" i="3"/>
  <c r="BG57" i="3"/>
  <c r="BG58" i="3"/>
  <c r="BG59" i="3"/>
  <c r="BG63" i="3"/>
  <c r="BG67" i="3"/>
  <c r="BG71" i="3"/>
  <c r="BG75" i="3"/>
  <c r="BG79" i="3"/>
  <c r="BG83" i="3"/>
  <c r="BG87" i="3"/>
  <c r="BG91" i="3"/>
  <c r="BG95" i="3"/>
  <c r="BG99" i="3"/>
  <c r="BG60" i="3"/>
  <c r="BG61" i="3"/>
  <c r="BG62" i="3"/>
  <c r="BG64" i="3"/>
  <c r="BG65" i="3"/>
  <c r="BG66" i="3"/>
  <c r="BG68" i="3"/>
  <c r="BG69" i="3"/>
  <c r="BG70" i="3"/>
  <c r="BG72" i="3"/>
  <c r="BG73" i="3"/>
  <c r="BG74" i="3"/>
  <c r="BG76" i="3"/>
  <c r="BG77" i="3"/>
  <c r="BG78" i="3"/>
  <c r="BG80" i="3"/>
  <c r="BG81" i="3"/>
  <c r="BG82" i="3"/>
  <c r="BG84" i="3"/>
  <c r="BG85" i="3"/>
  <c r="BG86" i="3"/>
  <c r="BG88" i="3"/>
  <c r="BG89" i="3"/>
  <c r="BG90" i="3"/>
  <c r="BG92" i="3"/>
  <c r="BG93" i="3"/>
  <c r="BG94" i="3"/>
  <c r="BG96" i="3"/>
  <c r="BG97" i="3"/>
  <c r="BG98" i="3"/>
  <c r="BG100" i="3"/>
  <c r="BG4" i="3"/>
  <c r="AZ3" i="3"/>
  <c r="AR3" i="3"/>
  <c r="AL3" i="3"/>
  <c r="BB3" i="3"/>
  <c r="AU3" i="3"/>
  <c r="AM3" i="3"/>
  <c r="BF3" i="3"/>
  <c r="AX3" i="3"/>
  <c r="AQ3" i="3"/>
  <c r="AJ3" i="3"/>
  <c r="BD3" i="3"/>
  <c r="AY3" i="3"/>
  <c r="AT3" i="3"/>
  <c r="AN3" i="3"/>
  <c r="AI3" i="3"/>
  <c r="BE3" i="3"/>
  <c r="BA3" i="3"/>
  <c r="AW3" i="3"/>
  <c r="AS3" i="3"/>
  <c r="AO3" i="3"/>
  <c r="AH97" i="3"/>
  <c r="AH95" i="6"/>
  <c r="AH99" i="6"/>
  <c r="AH97" i="6"/>
  <c r="AH100" i="3"/>
  <c r="AH94" i="6"/>
  <c r="AH98" i="6"/>
  <c r="A7" i="6"/>
  <c r="AH96" i="3"/>
  <c r="AH95" i="3"/>
  <c r="AH99" i="3"/>
  <c r="AH96" i="6"/>
  <c r="AH100" i="6"/>
  <c r="C29" i="5"/>
  <c r="B18" i="6"/>
  <c r="C32" i="4"/>
  <c r="D32" i="6"/>
  <c r="D3" i="5"/>
  <c r="E31" i="5"/>
  <c r="C76" i="5"/>
  <c r="E19" i="6"/>
  <c r="C16" i="4"/>
  <c r="D11" i="5"/>
  <c r="B49" i="5"/>
  <c r="C5" i="6"/>
  <c r="A31" i="6"/>
  <c r="D43" i="4"/>
  <c r="A7" i="5"/>
  <c r="B21" i="5"/>
  <c r="E11" i="6"/>
  <c r="D24" i="6"/>
  <c r="E6" i="4"/>
  <c r="AI6" i="4" s="1"/>
  <c r="D75" i="4"/>
  <c r="B9" i="5"/>
  <c r="C24" i="5"/>
  <c r="D43" i="5"/>
  <c r="B65" i="5"/>
  <c r="E91" i="5"/>
  <c r="C13" i="6"/>
  <c r="B26" i="6"/>
  <c r="E17" i="6"/>
  <c r="E17" i="5"/>
  <c r="D19" i="4"/>
  <c r="A50" i="4"/>
  <c r="C25" i="5"/>
  <c r="E43" i="5"/>
  <c r="B66" i="5"/>
  <c r="E94" i="5"/>
  <c r="D8" i="6"/>
  <c r="A15" i="6"/>
  <c r="C21" i="6"/>
  <c r="E27" i="6"/>
  <c r="B29" i="4"/>
  <c r="B69" i="4"/>
  <c r="E14" i="5"/>
  <c r="D28" i="5"/>
  <c r="E47" i="5"/>
  <c r="D59" i="5"/>
  <c r="D80" i="5"/>
  <c r="B10" i="6"/>
  <c r="D16" i="6"/>
  <c r="A23" i="6"/>
  <c r="C29" i="6"/>
  <c r="A21" i="4"/>
  <c r="A21" i="6"/>
  <c r="B24" i="5"/>
  <c r="B24" i="6"/>
  <c r="A45" i="4"/>
  <c r="A45" i="6"/>
  <c r="E57" i="5"/>
  <c r="E57" i="6"/>
  <c r="B96" i="5"/>
  <c r="B96" i="6"/>
  <c r="E97" i="4"/>
  <c r="AI97" i="4" s="1"/>
  <c r="E97" i="6"/>
  <c r="B34" i="5"/>
  <c r="B34" i="6"/>
  <c r="A35" i="4"/>
  <c r="A35" i="6"/>
  <c r="E35" i="5"/>
  <c r="E35" i="6"/>
  <c r="C37" i="4"/>
  <c r="C37" i="6"/>
  <c r="B38" i="6"/>
  <c r="B38" i="5"/>
  <c r="A39" i="4"/>
  <c r="A39" i="6"/>
  <c r="C41" i="5"/>
  <c r="C41" i="6"/>
  <c r="B42" i="6"/>
  <c r="B42" i="5"/>
  <c r="D44" i="4"/>
  <c r="D44" i="6"/>
  <c r="C45" i="4"/>
  <c r="C45" i="6"/>
  <c r="A47" i="4"/>
  <c r="A47" i="6"/>
  <c r="D48" i="5"/>
  <c r="D48" i="6"/>
  <c r="A51" i="4"/>
  <c r="A51" i="6"/>
  <c r="C53" i="4"/>
  <c r="C53" i="6"/>
  <c r="B54" i="5"/>
  <c r="B54" i="6"/>
  <c r="A55" i="4"/>
  <c r="A55" i="6"/>
  <c r="B58" i="6"/>
  <c r="B58" i="5"/>
  <c r="E59" i="5"/>
  <c r="E59" i="6"/>
  <c r="D60" i="4"/>
  <c r="D60" i="6"/>
  <c r="C61" i="4"/>
  <c r="C61" i="6"/>
  <c r="A63" i="4"/>
  <c r="A63" i="6"/>
  <c r="A67" i="4"/>
  <c r="A67" i="6"/>
  <c r="C69" i="4"/>
  <c r="C69" i="6"/>
  <c r="A71" i="4"/>
  <c r="A71" i="6"/>
  <c r="D72" i="5"/>
  <c r="D72" i="6"/>
  <c r="B74" i="5"/>
  <c r="B74" i="6"/>
  <c r="D76" i="4"/>
  <c r="D76" i="6"/>
  <c r="C77" i="4"/>
  <c r="C77" i="6"/>
  <c r="A79" i="4"/>
  <c r="A79" i="6"/>
  <c r="A79" i="5"/>
  <c r="E79" i="5"/>
  <c r="E79" i="6"/>
  <c r="B82" i="6"/>
  <c r="B82" i="5"/>
  <c r="A83" i="4"/>
  <c r="A83" i="6"/>
  <c r="C85" i="4"/>
  <c r="C85" i="6"/>
  <c r="D88" i="5"/>
  <c r="D88" i="6"/>
  <c r="D92" i="4"/>
  <c r="D92" i="6"/>
  <c r="D92" i="5"/>
  <c r="A95" i="4"/>
  <c r="A95" i="6"/>
  <c r="A99" i="4"/>
  <c r="A99" i="6"/>
  <c r="A99" i="5"/>
  <c r="D3" i="4"/>
  <c r="B13" i="4"/>
  <c r="B37" i="4"/>
  <c r="E62" i="4"/>
  <c r="AI62" i="4" s="1"/>
  <c r="C88" i="4"/>
  <c r="B5" i="5"/>
  <c r="E6" i="5"/>
  <c r="A19" i="5"/>
  <c r="A23" i="5"/>
  <c r="D27" i="5"/>
  <c r="C36" i="5"/>
  <c r="B41" i="5"/>
  <c r="E46" i="5"/>
  <c r="C52" i="5"/>
  <c r="D56" i="5"/>
  <c r="E63" i="5"/>
  <c r="B69" i="5"/>
  <c r="C73" i="5"/>
  <c r="E89" i="5"/>
  <c r="D4" i="6"/>
  <c r="B6" i="6"/>
  <c r="E7" i="6"/>
  <c r="C9" i="6"/>
  <c r="A11" i="6"/>
  <c r="D12" i="6"/>
  <c r="E15" i="6"/>
  <c r="A19" i="6"/>
  <c r="D20" i="6"/>
  <c r="B22" i="6"/>
  <c r="A27" i="6"/>
  <c r="D28" i="6"/>
  <c r="A34" i="6"/>
  <c r="A50" i="6"/>
  <c r="C56" i="6"/>
  <c r="A66" i="6"/>
  <c r="C72" i="6"/>
  <c r="A82" i="6"/>
  <c r="C88" i="6"/>
  <c r="A98" i="6"/>
  <c r="A5" i="5"/>
  <c r="A5" i="6"/>
  <c r="E33" i="5"/>
  <c r="E33" i="6"/>
  <c r="D46" i="6"/>
  <c r="D46" i="5"/>
  <c r="A65" i="4"/>
  <c r="A65" i="6"/>
  <c r="D70" i="6"/>
  <c r="D70" i="5"/>
  <c r="C3" i="5"/>
  <c r="C3" i="6"/>
  <c r="C4" i="4"/>
  <c r="C4" i="6"/>
  <c r="A6" i="4"/>
  <c r="A6" i="6"/>
  <c r="D7" i="4"/>
  <c r="D7" i="6"/>
  <c r="C8" i="4"/>
  <c r="C8" i="6"/>
  <c r="A10" i="5"/>
  <c r="A10" i="6"/>
  <c r="E10" i="4"/>
  <c r="AI10" i="4" s="1"/>
  <c r="E10" i="6"/>
  <c r="C12" i="4"/>
  <c r="C12" i="6"/>
  <c r="A14" i="4"/>
  <c r="A14" i="6"/>
  <c r="D15" i="4"/>
  <c r="D15" i="6"/>
  <c r="A18" i="4"/>
  <c r="A18" i="6"/>
  <c r="E18" i="4"/>
  <c r="AI18" i="4" s="1"/>
  <c r="E18" i="6"/>
  <c r="A22" i="4"/>
  <c r="A22" i="6"/>
  <c r="A22" i="5"/>
  <c r="D23" i="4"/>
  <c r="D23" i="6"/>
  <c r="B25" i="6"/>
  <c r="B25" i="5"/>
  <c r="A26" i="5"/>
  <c r="A26" i="6"/>
  <c r="E26" i="4"/>
  <c r="AI26" i="4" s="1"/>
  <c r="E26" i="6"/>
  <c r="C28" i="6"/>
  <c r="C28" i="5"/>
  <c r="A30" i="4"/>
  <c r="A30" i="6"/>
  <c r="E30" i="6"/>
  <c r="E30" i="5"/>
  <c r="D31" i="4"/>
  <c r="D31" i="6"/>
  <c r="E34" i="4"/>
  <c r="AI34" i="4" s="1"/>
  <c r="E34" i="6"/>
  <c r="A38" i="4"/>
  <c r="A38" i="6"/>
  <c r="D39" i="4"/>
  <c r="D39" i="6"/>
  <c r="E42" i="4"/>
  <c r="AI42" i="4" s="1"/>
  <c r="E42" i="6"/>
  <c r="A46" i="4"/>
  <c r="A46" i="6"/>
  <c r="D47" i="4"/>
  <c r="D47" i="6"/>
  <c r="E50" i="4"/>
  <c r="AI50" i="4" s="1"/>
  <c r="E50" i="6"/>
  <c r="E50" i="5"/>
  <c r="A54" i="4"/>
  <c r="A54" i="6"/>
  <c r="A54" i="5"/>
  <c r="D55" i="4"/>
  <c r="D55" i="6"/>
  <c r="E58" i="4"/>
  <c r="AI58" i="4" s="1"/>
  <c r="E58" i="6"/>
  <c r="A62" i="4"/>
  <c r="A62" i="6"/>
  <c r="D63" i="4"/>
  <c r="D63" i="6"/>
  <c r="D63" i="5"/>
  <c r="E66" i="4"/>
  <c r="AI66" i="4" s="1"/>
  <c r="E66" i="6"/>
  <c r="E66" i="5"/>
  <c r="A70" i="4"/>
  <c r="A70" i="6"/>
  <c r="D71" i="4"/>
  <c r="D71" i="6"/>
  <c r="E74" i="4"/>
  <c r="AI74" i="4" s="1"/>
  <c r="E74" i="6"/>
  <c r="E74" i="5"/>
  <c r="A78" i="4"/>
  <c r="A78" i="6"/>
  <c r="A78" i="5"/>
  <c r="D79" i="4"/>
  <c r="D79" i="6"/>
  <c r="E82" i="4"/>
  <c r="AI82" i="4" s="1"/>
  <c r="E82" i="6"/>
  <c r="D87" i="4"/>
  <c r="D87" i="6"/>
  <c r="D87" i="5"/>
  <c r="E90" i="4"/>
  <c r="AI90" i="4" s="1"/>
  <c r="E90" i="6"/>
  <c r="A94" i="4"/>
  <c r="A94" i="5"/>
  <c r="A94" i="6"/>
  <c r="C100" i="5"/>
  <c r="C100" i="6"/>
  <c r="A10" i="4"/>
  <c r="E22" i="4"/>
  <c r="AI22" i="4" s="1"/>
  <c r="A34" i="4"/>
  <c r="C56" i="4"/>
  <c r="A82" i="4"/>
  <c r="E18" i="5"/>
  <c r="D30" i="5"/>
  <c r="A35" i="5"/>
  <c r="D40" i="5"/>
  <c r="C45" i="5"/>
  <c r="A51" i="5"/>
  <c r="A62" i="5"/>
  <c r="E67" i="5"/>
  <c r="E77" i="5"/>
  <c r="B86" i="5"/>
  <c r="B98" i="5"/>
  <c r="A4" i="6"/>
  <c r="D5" i="4"/>
  <c r="D5" i="5"/>
  <c r="B7" i="4"/>
  <c r="B7" i="5"/>
  <c r="E8" i="4"/>
  <c r="AI8" i="4" s="1"/>
  <c r="E8" i="5"/>
  <c r="C10" i="4"/>
  <c r="C10" i="5"/>
  <c r="A12" i="4"/>
  <c r="A12" i="5"/>
  <c r="E12" i="4"/>
  <c r="AI12" i="4" s="1"/>
  <c r="E12" i="5"/>
  <c r="B15" i="4"/>
  <c r="B15" i="5"/>
  <c r="E16" i="4"/>
  <c r="AI16" i="4" s="1"/>
  <c r="E16" i="5"/>
  <c r="D17" i="4"/>
  <c r="D17" i="5"/>
  <c r="B19" i="4"/>
  <c r="B19" i="5"/>
  <c r="D21" i="4"/>
  <c r="D21" i="5"/>
  <c r="B23" i="4"/>
  <c r="B23" i="5"/>
  <c r="D25" i="4"/>
  <c r="D25" i="5"/>
  <c r="B27" i="4"/>
  <c r="B27" i="5"/>
  <c r="C30" i="4"/>
  <c r="C30" i="5"/>
  <c r="A32" i="4"/>
  <c r="A32" i="5"/>
  <c r="E32" i="4"/>
  <c r="AI32" i="4" s="1"/>
  <c r="E32" i="5"/>
  <c r="A36" i="4"/>
  <c r="A36" i="5"/>
  <c r="D37" i="4"/>
  <c r="D37" i="5"/>
  <c r="B39" i="4"/>
  <c r="B39" i="5"/>
  <c r="E40" i="4"/>
  <c r="AI40" i="4" s="1"/>
  <c r="E40" i="5"/>
  <c r="C42" i="4"/>
  <c r="C42" i="5"/>
  <c r="A44" i="4"/>
  <c r="A44" i="5"/>
  <c r="D45" i="4"/>
  <c r="D45" i="5"/>
  <c r="B47" i="4"/>
  <c r="B47" i="5"/>
  <c r="D49" i="4"/>
  <c r="D49" i="5"/>
  <c r="B55" i="4"/>
  <c r="B55" i="5"/>
  <c r="A56" i="4"/>
  <c r="A56" i="5"/>
  <c r="D57" i="4"/>
  <c r="D57" i="5"/>
  <c r="B59" i="4"/>
  <c r="B59" i="5"/>
  <c r="E60" i="4"/>
  <c r="AI60" i="4" s="1"/>
  <c r="E60" i="5"/>
  <c r="C62" i="4"/>
  <c r="C62" i="5"/>
  <c r="A64" i="4"/>
  <c r="A64" i="5"/>
  <c r="E64" i="4"/>
  <c r="AI64" i="4" s="1"/>
  <c r="E64" i="5"/>
  <c r="C66" i="4"/>
  <c r="C66" i="5"/>
  <c r="A68" i="4"/>
  <c r="A68" i="5"/>
  <c r="E68" i="4"/>
  <c r="AI68" i="4" s="1"/>
  <c r="E68" i="5"/>
  <c r="B71" i="4"/>
  <c r="B71" i="5"/>
  <c r="E72" i="4"/>
  <c r="AI72" i="4" s="1"/>
  <c r="E72" i="5"/>
  <c r="C74" i="4"/>
  <c r="C74" i="5"/>
  <c r="A76" i="4"/>
  <c r="A76" i="5"/>
  <c r="E76" i="4"/>
  <c r="AI76" i="4" s="1"/>
  <c r="E76" i="5"/>
  <c r="C78" i="4"/>
  <c r="C78" i="5"/>
  <c r="A80" i="4"/>
  <c r="A80" i="5"/>
  <c r="C82" i="4"/>
  <c r="C82" i="5"/>
  <c r="A84" i="4"/>
  <c r="A84" i="5"/>
  <c r="C86" i="4"/>
  <c r="C86" i="5"/>
  <c r="A88" i="4"/>
  <c r="A88" i="5"/>
  <c r="E88" i="4"/>
  <c r="AI88" i="4" s="1"/>
  <c r="E88" i="5"/>
  <c r="C90" i="4"/>
  <c r="C90" i="5"/>
  <c r="A92" i="4"/>
  <c r="A92" i="5"/>
  <c r="E92" i="4"/>
  <c r="AI92" i="4" s="1"/>
  <c r="E92" i="5"/>
  <c r="C94" i="4"/>
  <c r="C94" i="5"/>
  <c r="A96" i="4"/>
  <c r="A96" i="5"/>
  <c r="C98" i="4"/>
  <c r="C98" i="5"/>
  <c r="A100" i="4"/>
  <c r="A100" i="5"/>
  <c r="D6" i="5"/>
  <c r="D6" i="4"/>
  <c r="B8" i="5"/>
  <c r="D10" i="4"/>
  <c r="D10" i="5"/>
  <c r="C11" i="4"/>
  <c r="A13" i="4"/>
  <c r="A13" i="5"/>
  <c r="E13" i="4"/>
  <c r="AI13" i="4" s="1"/>
  <c r="E13" i="5"/>
  <c r="D14" i="4"/>
  <c r="B16" i="4"/>
  <c r="B16" i="5"/>
  <c r="E17" i="4"/>
  <c r="AI17" i="4" s="1"/>
  <c r="C19" i="4"/>
  <c r="C19" i="5"/>
  <c r="B20" i="4"/>
  <c r="B20" i="5"/>
  <c r="C23" i="4"/>
  <c r="C23" i="5"/>
  <c r="A25" i="4"/>
  <c r="A25" i="5"/>
  <c r="E25" i="4"/>
  <c r="AI25" i="4" s="1"/>
  <c r="E25" i="5"/>
  <c r="C27" i="4"/>
  <c r="D30" i="4"/>
  <c r="B32" i="4"/>
  <c r="B32" i="5"/>
  <c r="D34" i="4"/>
  <c r="D34" i="5"/>
  <c r="B36" i="4"/>
  <c r="B36" i="5"/>
  <c r="D38" i="4"/>
  <c r="D38" i="5"/>
  <c r="B40" i="4"/>
  <c r="B40" i="5"/>
  <c r="D42" i="4"/>
  <c r="D42" i="5"/>
  <c r="E45" i="4"/>
  <c r="AI45" i="4" s="1"/>
  <c r="E45" i="5"/>
  <c r="C47" i="4"/>
  <c r="C47" i="5"/>
  <c r="A49" i="4"/>
  <c r="A49" i="5"/>
  <c r="E49" i="4"/>
  <c r="AI49" i="4" s="1"/>
  <c r="E49" i="5"/>
  <c r="B52" i="4"/>
  <c r="D54" i="4"/>
  <c r="D54" i="5"/>
  <c r="B56" i="5"/>
  <c r="B56" i="4"/>
  <c r="D58" i="4"/>
  <c r="D58" i="5"/>
  <c r="B60" i="4"/>
  <c r="B60" i="5"/>
  <c r="E61" i="4"/>
  <c r="AI61" i="4" s="1"/>
  <c r="E61" i="5"/>
  <c r="C63" i="4"/>
  <c r="C63" i="5"/>
  <c r="B64" i="4"/>
  <c r="B64" i="5"/>
  <c r="D66" i="4"/>
  <c r="D66" i="5"/>
  <c r="B68" i="4"/>
  <c r="B68" i="5"/>
  <c r="D70" i="4"/>
  <c r="B72" i="4"/>
  <c r="D74" i="4"/>
  <c r="D74" i="5"/>
  <c r="B76" i="4"/>
  <c r="B76" i="5"/>
  <c r="D78" i="5"/>
  <c r="D78" i="4"/>
  <c r="B80" i="4"/>
  <c r="B80" i="5"/>
  <c r="E81" i="5"/>
  <c r="E81" i="4"/>
  <c r="AI81" i="4" s="1"/>
  <c r="C83" i="4"/>
  <c r="A85" i="5"/>
  <c r="A85" i="4"/>
  <c r="E85" i="4"/>
  <c r="AI85" i="4" s="1"/>
  <c r="E85" i="5"/>
  <c r="C87" i="4"/>
  <c r="C87" i="5"/>
  <c r="A89" i="4"/>
  <c r="A89" i="5"/>
  <c r="D90" i="4"/>
  <c r="D90" i="5"/>
  <c r="B92" i="4"/>
  <c r="B92" i="5"/>
  <c r="E93" i="4"/>
  <c r="AI93" i="4" s="1"/>
  <c r="E93" i="5"/>
  <c r="A97" i="4"/>
  <c r="A97" i="5"/>
  <c r="A65" i="5"/>
  <c r="B8" i="4"/>
  <c r="C11" i="5"/>
  <c r="A45" i="5"/>
  <c r="B52" i="5"/>
  <c r="B72" i="5"/>
  <c r="A3" i="4"/>
  <c r="A3" i="5"/>
  <c r="E3" i="4"/>
  <c r="E3" i="5"/>
  <c r="E4" i="4"/>
  <c r="AI4" i="4" s="1"/>
  <c r="E4" i="5"/>
  <c r="C6" i="4"/>
  <c r="C6" i="5"/>
  <c r="A8" i="4"/>
  <c r="A8" i="5"/>
  <c r="D9" i="4"/>
  <c r="D9" i="5"/>
  <c r="B11" i="4"/>
  <c r="B11" i="5"/>
  <c r="D13" i="4"/>
  <c r="D13" i="5"/>
  <c r="C14" i="4"/>
  <c r="C14" i="5"/>
  <c r="A16" i="4"/>
  <c r="A16" i="5"/>
  <c r="C18" i="4"/>
  <c r="C18" i="5"/>
  <c r="A20" i="4"/>
  <c r="A20" i="5"/>
  <c r="E20" i="4"/>
  <c r="AI20" i="4" s="1"/>
  <c r="E20" i="5"/>
  <c r="C22" i="4"/>
  <c r="C22" i="5"/>
  <c r="A24" i="4"/>
  <c r="A24" i="5"/>
  <c r="E24" i="4"/>
  <c r="AI24" i="4" s="1"/>
  <c r="E24" i="5"/>
  <c r="C26" i="4"/>
  <c r="C26" i="5"/>
  <c r="A28" i="4"/>
  <c r="A28" i="5"/>
  <c r="E28" i="4"/>
  <c r="AI28" i="4" s="1"/>
  <c r="E28" i="5"/>
  <c r="D29" i="4"/>
  <c r="D29" i="5"/>
  <c r="B31" i="4"/>
  <c r="B31" i="5"/>
  <c r="D33" i="4"/>
  <c r="D33" i="5"/>
  <c r="C34" i="5"/>
  <c r="C34" i="4"/>
  <c r="B35" i="4"/>
  <c r="B35" i="5"/>
  <c r="E36" i="4"/>
  <c r="AI36" i="4" s="1"/>
  <c r="E36" i="5"/>
  <c r="C38" i="4"/>
  <c r="C38" i="5"/>
  <c r="A40" i="4"/>
  <c r="A40" i="5"/>
  <c r="D41" i="4"/>
  <c r="D41" i="5"/>
  <c r="B43" i="4"/>
  <c r="B43" i="5"/>
  <c r="E44" i="4"/>
  <c r="AI44" i="4" s="1"/>
  <c r="E44" i="5"/>
  <c r="C46" i="4"/>
  <c r="C46" i="5"/>
  <c r="A48" i="4"/>
  <c r="A48" i="5"/>
  <c r="E48" i="4"/>
  <c r="AI48" i="4" s="1"/>
  <c r="E48" i="5"/>
  <c r="C50" i="4"/>
  <c r="C50" i="5"/>
  <c r="B51" i="4"/>
  <c r="B51" i="5"/>
  <c r="A52" i="4"/>
  <c r="A52" i="5"/>
  <c r="E52" i="4"/>
  <c r="AI52" i="4" s="1"/>
  <c r="E52" i="5"/>
  <c r="D53" i="4"/>
  <c r="D53" i="5"/>
  <c r="C54" i="4"/>
  <c r="C54" i="5"/>
  <c r="E56" i="4"/>
  <c r="AI56" i="4" s="1"/>
  <c r="E56" i="5"/>
  <c r="C58" i="4"/>
  <c r="C58" i="5"/>
  <c r="A60" i="4"/>
  <c r="A60" i="5"/>
  <c r="D61" i="4"/>
  <c r="D61" i="5"/>
  <c r="B63" i="4"/>
  <c r="B63" i="5"/>
  <c r="D65" i="4"/>
  <c r="D65" i="5"/>
  <c r="B67" i="4"/>
  <c r="B67" i="5"/>
  <c r="D69" i="4"/>
  <c r="D69" i="5"/>
  <c r="C70" i="4"/>
  <c r="C70" i="5"/>
  <c r="A72" i="4"/>
  <c r="A72" i="5"/>
  <c r="D73" i="4"/>
  <c r="D73" i="5"/>
  <c r="B75" i="4"/>
  <c r="B75" i="5"/>
  <c r="D77" i="4"/>
  <c r="D77" i="5"/>
  <c r="B79" i="4"/>
  <c r="B79" i="5"/>
  <c r="E80" i="4"/>
  <c r="AI80" i="4" s="1"/>
  <c r="E80" i="5"/>
  <c r="D81" i="4"/>
  <c r="D81" i="5"/>
  <c r="B83" i="4"/>
  <c r="B83" i="5"/>
  <c r="E84" i="4"/>
  <c r="AI84" i="4" s="1"/>
  <c r="E84" i="5"/>
  <c r="D85" i="4"/>
  <c r="D85" i="5"/>
  <c r="B87" i="4"/>
  <c r="B87" i="5"/>
  <c r="D89" i="4"/>
  <c r="D89" i="5"/>
  <c r="B91" i="4"/>
  <c r="B91" i="5"/>
  <c r="D93" i="4"/>
  <c r="D93" i="5"/>
  <c r="B95" i="4"/>
  <c r="B95" i="5"/>
  <c r="E96" i="4"/>
  <c r="AI96" i="4" s="1"/>
  <c r="E96" i="5"/>
  <c r="D97" i="4"/>
  <c r="AH97" i="4" s="1"/>
  <c r="D97" i="5"/>
  <c r="AH97" i="5" s="1"/>
  <c r="B99" i="4"/>
  <c r="B99" i="5"/>
  <c r="E100" i="4"/>
  <c r="AI100" i="4" s="1"/>
  <c r="E100" i="5"/>
  <c r="B3" i="4"/>
  <c r="B3" i="5"/>
  <c r="B4" i="4"/>
  <c r="B4" i="5"/>
  <c r="E5" i="4"/>
  <c r="AI5" i="4" s="1"/>
  <c r="E5" i="5"/>
  <c r="C7" i="4"/>
  <c r="C7" i="5"/>
  <c r="A9" i="4"/>
  <c r="A9" i="5"/>
  <c r="E9" i="4"/>
  <c r="AI9" i="4" s="1"/>
  <c r="E9" i="5"/>
  <c r="B12" i="4"/>
  <c r="B12" i="5"/>
  <c r="C15" i="4"/>
  <c r="C15" i="5"/>
  <c r="A17" i="4"/>
  <c r="A17" i="5"/>
  <c r="D18" i="4"/>
  <c r="D18" i="5"/>
  <c r="E21" i="4"/>
  <c r="AI21" i="4" s="1"/>
  <c r="E21" i="5"/>
  <c r="D22" i="4"/>
  <c r="D22" i="5"/>
  <c r="B24" i="4"/>
  <c r="D26" i="4"/>
  <c r="D26" i="5"/>
  <c r="B28" i="4"/>
  <c r="B28" i="5"/>
  <c r="A29" i="4"/>
  <c r="A29" i="5"/>
  <c r="E29" i="4"/>
  <c r="AI29" i="4" s="1"/>
  <c r="E29" i="5"/>
  <c r="C31" i="4"/>
  <c r="C31" i="5"/>
  <c r="A33" i="4"/>
  <c r="A33" i="5"/>
  <c r="E33" i="4"/>
  <c r="AI33" i="4" s="1"/>
  <c r="C35" i="4"/>
  <c r="C35" i="5"/>
  <c r="A37" i="4"/>
  <c r="A37" i="5"/>
  <c r="E37" i="4"/>
  <c r="AI37" i="4" s="1"/>
  <c r="E37" i="5"/>
  <c r="C39" i="4"/>
  <c r="A41" i="4"/>
  <c r="A41" i="5"/>
  <c r="E41" i="4"/>
  <c r="AI41" i="4" s="1"/>
  <c r="E41" i="5"/>
  <c r="C43" i="5"/>
  <c r="C43" i="4"/>
  <c r="B44" i="4"/>
  <c r="B44" i="5"/>
  <c r="D46" i="4"/>
  <c r="B48" i="4"/>
  <c r="B48" i="5"/>
  <c r="D50" i="4"/>
  <c r="D50" i="5"/>
  <c r="C51" i="4"/>
  <c r="C51" i="5"/>
  <c r="A53" i="5"/>
  <c r="A53" i="4"/>
  <c r="E53" i="4"/>
  <c r="AI53" i="4" s="1"/>
  <c r="E53" i="5"/>
  <c r="C55" i="4"/>
  <c r="C55" i="5"/>
  <c r="A57" i="4"/>
  <c r="A57" i="5"/>
  <c r="E57" i="4"/>
  <c r="AI57" i="4" s="1"/>
  <c r="C59" i="4"/>
  <c r="A61" i="4"/>
  <c r="A61" i="5"/>
  <c r="D62" i="4"/>
  <c r="D62" i="5"/>
  <c r="E65" i="5"/>
  <c r="E65" i="4"/>
  <c r="AI65" i="4" s="1"/>
  <c r="C67" i="4"/>
  <c r="C67" i="5"/>
  <c r="A69" i="5"/>
  <c r="A69" i="4"/>
  <c r="E69" i="4"/>
  <c r="AI69" i="4" s="1"/>
  <c r="E69" i="5"/>
  <c r="C71" i="4"/>
  <c r="C71" i="5"/>
  <c r="A73" i="4"/>
  <c r="A73" i="5"/>
  <c r="E73" i="4"/>
  <c r="AI73" i="4" s="1"/>
  <c r="E73" i="5"/>
  <c r="C75" i="4"/>
  <c r="C75" i="5"/>
  <c r="A77" i="4"/>
  <c r="A77" i="5"/>
  <c r="E77" i="4"/>
  <c r="AI77" i="4" s="1"/>
  <c r="C79" i="4"/>
  <c r="C79" i="5"/>
  <c r="A81" i="4"/>
  <c r="A81" i="5"/>
  <c r="D82" i="4"/>
  <c r="D82" i="5"/>
  <c r="B84" i="4"/>
  <c r="B84" i="5"/>
  <c r="D86" i="4"/>
  <c r="D86" i="5"/>
  <c r="B88" i="5"/>
  <c r="B88" i="4"/>
  <c r="E89" i="4"/>
  <c r="AI89" i="4" s="1"/>
  <c r="C91" i="5"/>
  <c r="C91" i="4"/>
  <c r="A93" i="4"/>
  <c r="A93" i="5"/>
  <c r="D94" i="4"/>
  <c r="AH94" i="4" s="1"/>
  <c r="D94" i="5"/>
  <c r="AH94" i="5" s="1"/>
  <c r="C95" i="4"/>
  <c r="C95" i="5"/>
  <c r="B96" i="4"/>
  <c r="E97" i="5"/>
  <c r="D98" i="4"/>
  <c r="AH98" i="4" s="1"/>
  <c r="D98" i="5"/>
  <c r="AH98" i="5" s="1"/>
  <c r="C99" i="4"/>
  <c r="C99" i="5"/>
  <c r="B100" i="4"/>
  <c r="B100" i="5"/>
  <c r="A21" i="5"/>
  <c r="D14" i="5"/>
  <c r="C27" i="5"/>
  <c r="C39" i="5"/>
  <c r="C59" i="5"/>
  <c r="C83" i="5"/>
  <c r="B9" i="4"/>
  <c r="B17" i="4"/>
  <c r="C20" i="4"/>
  <c r="B25" i="4"/>
  <c r="C28" i="4"/>
  <c r="B33" i="4"/>
  <c r="D35" i="4"/>
  <c r="D35" i="5"/>
  <c r="C36" i="4"/>
  <c r="E38" i="4"/>
  <c r="AI38" i="4" s="1"/>
  <c r="E38" i="5"/>
  <c r="B41" i="4"/>
  <c r="A42" i="4"/>
  <c r="A42" i="5"/>
  <c r="C44" i="4"/>
  <c r="B45" i="4"/>
  <c r="B45" i="5"/>
  <c r="C48" i="4"/>
  <c r="C48" i="5"/>
  <c r="B49" i="4"/>
  <c r="D51" i="4"/>
  <c r="D51" i="5"/>
  <c r="C52" i="4"/>
  <c r="E54" i="4"/>
  <c r="AI54" i="4" s="1"/>
  <c r="E54" i="5"/>
  <c r="B57" i="4"/>
  <c r="A58" i="4"/>
  <c r="A58" i="5"/>
  <c r="C60" i="4"/>
  <c r="B61" i="4"/>
  <c r="B61" i="5"/>
  <c r="C64" i="4"/>
  <c r="C64" i="5"/>
  <c r="B65" i="4"/>
  <c r="D67" i="4"/>
  <c r="D67" i="5"/>
  <c r="C68" i="4"/>
  <c r="E70" i="4"/>
  <c r="AI70" i="4" s="1"/>
  <c r="E70" i="5"/>
  <c r="B73" i="4"/>
  <c r="A74" i="4"/>
  <c r="A74" i="5"/>
  <c r="C76" i="4"/>
  <c r="B77" i="4"/>
  <c r="B77" i="5"/>
  <c r="C80" i="4"/>
  <c r="C80" i="5"/>
  <c r="B81" i="4"/>
  <c r="D83" i="4"/>
  <c r="D83" i="5"/>
  <c r="C84" i="4"/>
  <c r="A86" i="4"/>
  <c r="A86" i="5"/>
  <c r="E86" i="4"/>
  <c r="AI86" i="4" s="1"/>
  <c r="E86" i="5"/>
  <c r="B89" i="4"/>
  <c r="B89" i="5"/>
  <c r="A90" i="4"/>
  <c r="A90" i="5"/>
  <c r="C92" i="4"/>
  <c r="C92" i="5"/>
  <c r="B93" i="4"/>
  <c r="B93" i="5"/>
  <c r="E94" i="4"/>
  <c r="AI94" i="4" s="1"/>
  <c r="D95" i="4"/>
  <c r="AH95" i="4" s="1"/>
  <c r="D95" i="5"/>
  <c r="AH95" i="5" s="1"/>
  <c r="C96" i="4"/>
  <c r="C96" i="5"/>
  <c r="B97" i="4"/>
  <c r="E98" i="4"/>
  <c r="AI98" i="4" s="1"/>
  <c r="E98" i="5"/>
  <c r="D99" i="4"/>
  <c r="AH99" i="4" s="1"/>
  <c r="D99" i="5"/>
  <c r="AH99" i="5" s="1"/>
  <c r="C100" i="4"/>
  <c r="B5" i="4"/>
  <c r="D11" i="4"/>
  <c r="E14" i="4"/>
  <c r="AI14" i="4" s="1"/>
  <c r="B21" i="4"/>
  <c r="C24" i="4"/>
  <c r="D27" i="4"/>
  <c r="E30" i="4"/>
  <c r="AI30" i="4" s="1"/>
  <c r="C40" i="4"/>
  <c r="E46" i="4"/>
  <c r="AI46" i="4" s="1"/>
  <c r="B53" i="4"/>
  <c r="D59" i="4"/>
  <c r="A66" i="4"/>
  <c r="C72" i="4"/>
  <c r="E78" i="4"/>
  <c r="AI78" i="4" s="1"/>
  <c r="B85" i="4"/>
  <c r="D91" i="4"/>
  <c r="A4" i="5"/>
  <c r="E10" i="5"/>
  <c r="A14" i="5"/>
  <c r="A15" i="5"/>
  <c r="B17" i="5"/>
  <c r="C20" i="5"/>
  <c r="C21" i="5"/>
  <c r="D23" i="5"/>
  <c r="E26" i="5"/>
  <c r="A30" i="5"/>
  <c r="A31" i="5"/>
  <c r="B33" i="5"/>
  <c r="B37" i="5"/>
  <c r="E42" i="5"/>
  <c r="C44" i="5"/>
  <c r="A47" i="5"/>
  <c r="D55" i="5"/>
  <c r="B57" i="5"/>
  <c r="C61" i="5"/>
  <c r="E62" i="5"/>
  <c r="A67" i="5"/>
  <c r="C68" i="5"/>
  <c r="A70" i="5"/>
  <c r="D75" i="5"/>
  <c r="B81" i="5"/>
  <c r="E82" i="5"/>
  <c r="C84" i="5"/>
  <c r="E90" i="5"/>
  <c r="A95" i="5"/>
  <c r="B97" i="5"/>
  <c r="D4" i="4"/>
  <c r="C5" i="4"/>
  <c r="B6" i="4"/>
  <c r="E7" i="4"/>
  <c r="AI7" i="4" s="1"/>
  <c r="D8" i="4"/>
  <c r="C9" i="4"/>
  <c r="B10" i="4"/>
  <c r="E11" i="4"/>
  <c r="AI11" i="4" s="1"/>
  <c r="D12" i="4"/>
  <c r="C13" i="4"/>
  <c r="B14" i="4"/>
  <c r="E15" i="4"/>
  <c r="AI15" i="4" s="1"/>
  <c r="D16" i="4"/>
  <c r="C17" i="4"/>
  <c r="B18" i="4"/>
  <c r="E19" i="4"/>
  <c r="AI19" i="4" s="1"/>
  <c r="B22" i="4"/>
  <c r="E23" i="4"/>
  <c r="AI23" i="4" s="1"/>
  <c r="D24" i="4"/>
  <c r="C25" i="4"/>
  <c r="B26" i="4"/>
  <c r="E27" i="4"/>
  <c r="AI27" i="4" s="1"/>
  <c r="B30" i="4"/>
  <c r="E31" i="4"/>
  <c r="AI31" i="4" s="1"/>
  <c r="D32" i="4"/>
  <c r="C33" i="4"/>
  <c r="B34" i="4"/>
  <c r="E35" i="4"/>
  <c r="AI35" i="4" s="1"/>
  <c r="D36" i="4"/>
  <c r="D36" i="5"/>
  <c r="B38" i="4"/>
  <c r="E39" i="4"/>
  <c r="AI39" i="4" s="1"/>
  <c r="E39" i="5"/>
  <c r="D40" i="4"/>
  <c r="C41" i="4"/>
  <c r="B42" i="4"/>
  <c r="A43" i="4"/>
  <c r="A43" i="5"/>
  <c r="E43" i="4"/>
  <c r="AI43" i="4" s="1"/>
  <c r="B46" i="4"/>
  <c r="B46" i="5"/>
  <c r="E47" i="4"/>
  <c r="AI47" i="4" s="1"/>
  <c r="D48" i="4"/>
  <c r="C49" i="4"/>
  <c r="C49" i="5"/>
  <c r="B50" i="4"/>
  <c r="E51" i="4"/>
  <c r="AI51" i="4" s="1"/>
  <c r="D52" i="4"/>
  <c r="D52" i="5"/>
  <c r="B54" i="4"/>
  <c r="E55" i="4"/>
  <c r="AI55" i="4" s="1"/>
  <c r="E55" i="5"/>
  <c r="D56" i="4"/>
  <c r="C57" i="4"/>
  <c r="B58" i="4"/>
  <c r="A59" i="4"/>
  <c r="A59" i="5"/>
  <c r="E59" i="4"/>
  <c r="AI59" i="4" s="1"/>
  <c r="B62" i="4"/>
  <c r="B62" i="5"/>
  <c r="E63" i="4"/>
  <c r="AI63" i="4" s="1"/>
  <c r="D64" i="4"/>
  <c r="C65" i="4"/>
  <c r="C65" i="5"/>
  <c r="B66" i="4"/>
  <c r="E67" i="4"/>
  <c r="AI67" i="4" s="1"/>
  <c r="D68" i="4"/>
  <c r="D68" i="5"/>
  <c r="B70" i="4"/>
  <c r="E71" i="4"/>
  <c r="AI71" i="4" s="1"/>
  <c r="E71" i="5"/>
  <c r="D72" i="4"/>
  <c r="C73" i="4"/>
  <c r="B74" i="4"/>
  <c r="A75" i="4"/>
  <c r="A75" i="5"/>
  <c r="E75" i="4"/>
  <c r="AI75" i="4" s="1"/>
  <c r="B78" i="4"/>
  <c r="B78" i="5"/>
  <c r="E79" i="4"/>
  <c r="AI79" i="4" s="1"/>
  <c r="D80" i="4"/>
  <c r="C81" i="4"/>
  <c r="C81" i="5"/>
  <c r="B82" i="4"/>
  <c r="E83" i="4"/>
  <c r="AI83" i="4" s="1"/>
  <c r="E83" i="5"/>
  <c r="D84" i="4"/>
  <c r="D84" i="5"/>
  <c r="B86" i="4"/>
  <c r="A87" i="4"/>
  <c r="A87" i="5"/>
  <c r="E87" i="4"/>
  <c r="AI87" i="4" s="1"/>
  <c r="E87" i="5"/>
  <c r="D88" i="4"/>
  <c r="C89" i="4"/>
  <c r="B90" i="4"/>
  <c r="B90" i="5"/>
  <c r="A91" i="4"/>
  <c r="A91" i="5"/>
  <c r="E91" i="4"/>
  <c r="AI91" i="4" s="1"/>
  <c r="C93" i="4"/>
  <c r="C93" i="5"/>
  <c r="B94" i="4"/>
  <c r="B94" i="5"/>
  <c r="E95" i="4"/>
  <c r="AI95" i="4" s="1"/>
  <c r="D96" i="4"/>
  <c r="AH96" i="4" s="1"/>
  <c r="D96" i="5"/>
  <c r="AH96" i="5" s="1"/>
  <c r="C97" i="4"/>
  <c r="C97" i="5"/>
  <c r="B98" i="4"/>
  <c r="E99" i="4"/>
  <c r="AI99" i="4" s="1"/>
  <c r="E99" i="5"/>
  <c r="D100" i="4"/>
  <c r="AH100" i="4" s="1"/>
  <c r="D100" i="5"/>
  <c r="AH100" i="5" s="1"/>
  <c r="C3" i="4"/>
  <c r="A11" i="5"/>
  <c r="B13" i="5"/>
  <c r="B14" i="5"/>
  <c r="C16" i="5"/>
  <c r="C17" i="5"/>
  <c r="D19" i="5"/>
  <c r="D20" i="5"/>
  <c r="E22" i="5"/>
  <c r="E23" i="5"/>
  <c r="A27" i="5"/>
  <c r="B29" i="5"/>
  <c r="B30" i="5"/>
  <c r="C32" i="5"/>
  <c r="C33" i="5"/>
  <c r="E34" i="5"/>
  <c r="C37" i="5"/>
  <c r="A39" i="5"/>
  <c r="C40" i="5"/>
  <c r="D44" i="5"/>
  <c r="A46" i="5"/>
  <c r="D47" i="5"/>
  <c r="B50" i="5"/>
  <c r="E51" i="5"/>
  <c r="B53" i="5"/>
  <c r="C57" i="5"/>
  <c r="E58" i="5"/>
  <c r="C60" i="5"/>
  <c r="A63" i="5"/>
  <c r="D64" i="5"/>
  <c r="B70" i="5"/>
  <c r="D71" i="5"/>
  <c r="B73" i="5"/>
  <c r="E75" i="5"/>
  <c r="C77" i="5"/>
  <c r="E78" i="5"/>
  <c r="A83" i="5"/>
  <c r="B85" i="5"/>
  <c r="C89" i="5"/>
  <c r="D91" i="5"/>
  <c r="E95" i="5"/>
  <c r="A98" i="5"/>
  <c r="B5" i="15" a="1"/>
  <c r="B5" i="15" s="1"/>
  <c r="Q3" i="23"/>
  <c r="T3" i="23" s="1"/>
  <c r="U3" i="23" s="1"/>
  <c r="V3" i="23" s="1"/>
  <c r="W3" i="23" s="1"/>
  <c r="X3" i="23" s="1"/>
  <c r="Y3" i="23" s="1"/>
  <c r="A9" i="13" l="1" a="1"/>
  <c r="A9" i="10" a="1"/>
  <c r="AN99" i="5"/>
  <c r="AJ99" i="5"/>
  <c r="AQ99" i="5"/>
  <c r="AM99" i="5"/>
  <c r="AI99" i="5"/>
  <c r="AP99" i="5"/>
  <c r="AO99" i="5"/>
  <c r="AL99" i="5"/>
  <c r="AK99" i="5"/>
  <c r="AP97" i="5"/>
  <c r="AL97" i="5"/>
  <c r="AO97" i="5"/>
  <c r="AK97" i="5"/>
  <c r="AJ97" i="5"/>
  <c r="AQ97" i="5"/>
  <c r="AI97" i="5"/>
  <c r="AN97" i="5"/>
  <c r="AM97" i="5"/>
  <c r="AQ100" i="5"/>
  <c r="AM100" i="5"/>
  <c r="AI100" i="5"/>
  <c r="AP100" i="5"/>
  <c r="AL100" i="5"/>
  <c r="AO100" i="5"/>
  <c r="AN100" i="5"/>
  <c r="AK100" i="5"/>
  <c r="AJ100" i="5"/>
  <c r="AQ4" i="5"/>
  <c r="AM4" i="5"/>
  <c r="AI4" i="5"/>
  <c r="AP4" i="5"/>
  <c r="AL4" i="5"/>
  <c r="AO4" i="5"/>
  <c r="AN4" i="5"/>
  <c r="AK4" i="5"/>
  <c r="AJ4" i="5"/>
  <c r="AN95" i="5"/>
  <c r="AJ95" i="5"/>
  <c r="AQ95" i="5"/>
  <c r="AM95" i="5"/>
  <c r="AI95" i="5"/>
  <c r="AL95" i="5"/>
  <c r="AK95" i="5"/>
  <c r="AP95" i="5"/>
  <c r="AO95" i="5"/>
  <c r="AO98" i="5"/>
  <c r="AK98" i="5"/>
  <c r="AN98" i="5"/>
  <c r="AJ98" i="5"/>
  <c r="AQ98" i="5"/>
  <c r="AI98" i="5"/>
  <c r="AP98" i="5"/>
  <c r="AM98" i="5"/>
  <c r="AL98" i="5"/>
  <c r="AO94" i="5"/>
  <c r="AK94" i="5"/>
  <c r="AN94" i="5"/>
  <c r="AJ94" i="5"/>
  <c r="AM94" i="5"/>
  <c r="AL94" i="5"/>
  <c r="AQ94" i="5"/>
  <c r="AP94" i="5"/>
  <c r="AI94" i="5"/>
  <c r="AQ96" i="5"/>
  <c r="AM96" i="5"/>
  <c r="AI96" i="5"/>
  <c r="AP96" i="5"/>
  <c r="AL96" i="5"/>
  <c r="AK96" i="5"/>
  <c r="AJ96" i="5"/>
  <c r="AO96" i="5"/>
  <c r="AN96" i="5"/>
  <c r="C4" i="15" a="1"/>
  <c r="B27" i="15"/>
  <c r="B23" i="15"/>
  <c r="B19" i="15"/>
  <c r="B15" i="15"/>
  <c r="B11" i="15"/>
  <c r="B7" i="15"/>
  <c r="B26" i="15"/>
  <c r="B22" i="15"/>
  <c r="B18" i="15"/>
  <c r="B14" i="15"/>
  <c r="B10" i="15"/>
  <c r="B6" i="15"/>
  <c r="B28" i="15"/>
  <c r="B24" i="15"/>
  <c r="B20" i="15"/>
  <c r="B16" i="15"/>
  <c r="B12" i="15"/>
  <c r="B8" i="15"/>
  <c r="B25" i="15"/>
  <c r="B21" i="15"/>
  <c r="B17" i="15"/>
  <c r="B13" i="15"/>
  <c r="B9" i="15"/>
  <c r="H6" i="10" a="1"/>
  <c r="C3" i="20" a="1"/>
  <c r="P3" i="6" a="1"/>
  <c r="P3" i="3" a="1"/>
  <c r="A9" i="10" l="1"/>
  <c r="A11" i="10"/>
  <c r="A20" i="10"/>
  <c r="A32" i="10"/>
  <c r="A43" i="10"/>
  <c r="A52" i="10"/>
  <c r="A64" i="10"/>
  <c r="A75" i="10"/>
  <c r="A84" i="10"/>
  <c r="A96" i="10"/>
  <c r="A12" i="10"/>
  <c r="A24" i="10"/>
  <c r="A35" i="10"/>
  <c r="A44" i="10"/>
  <c r="A56" i="10"/>
  <c r="A67" i="10"/>
  <c r="A76" i="10"/>
  <c r="A88" i="10"/>
  <c r="A99" i="10"/>
  <c r="A16" i="10"/>
  <c r="A27" i="10"/>
  <c r="A36" i="10"/>
  <c r="A48" i="10"/>
  <c r="A59" i="10"/>
  <c r="A68" i="10"/>
  <c r="A80" i="10"/>
  <c r="A91" i="10"/>
  <c r="A100" i="10"/>
  <c r="A19" i="10"/>
  <c r="A28" i="10"/>
  <c r="A40" i="10"/>
  <c r="A51" i="10"/>
  <c r="A60" i="10"/>
  <c r="A72" i="10"/>
  <c r="A83" i="10"/>
  <c r="A92" i="10"/>
  <c r="A104" i="10"/>
  <c r="A79" i="10"/>
  <c r="A47" i="10"/>
  <c r="A15" i="10"/>
  <c r="A90" i="10"/>
  <c r="A74" i="10"/>
  <c r="A58" i="10"/>
  <c r="A42" i="10"/>
  <c r="A26" i="10"/>
  <c r="A10" i="10"/>
  <c r="A93" i="10"/>
  <c r="A77" i="10"/>
  <c r="A61" i="10"/>
  <c r="A45" i="10"/>
  <c r="A29" i="10"/>
  <c r="A13" i="10"/>
  <c r="A95" i="10"/>
  <c r="A63" i="10"/>
  <c r="A31" i="10"/>
  <c r="A98" i="10"/>
  <c r="A82" i="10"/>
  <c r="A66" i="10"/>
  <c r="A50" i="10"/>
  <c r="A34" i="10"/>
  <c r="A18" i="10"/>
  <c r="A101" i="10"/>
  <c r="A85" i="10"/>
  <c r="A69" i="10"/>
  <c r="A53" i="10"/>
  <c r="A37" i="10"/>
  <c r="A21" i="10"/>
  <c r="A55" i="10"/>
  <c r="A94" i="10"/>
  <c r="A62" i="10"/>
  <c r="A30" i="10"/>
  <c r="A97" i="10"/>
  <c r="A65" i="10"/>
  <c r="A33" i="10"/>
  <c r="A103" i="10"/>
  <c r="A71" i="10"/>
  <c r="A39" i="10"/>
  <c r="A102" i="10"/>
  <c r="A86" i="10"/>
  <c r="A70" i="10"/>
  <c r="A54" i="10"/>
  <c r="A38" i="10"/>
  <c r="A22" i="10"/>
  <c r="A105" i="10"/>
  <c r="A89" i="10"/>
  <c r="A73" i="10"/>
  <c r="A57" i="10"/>
  <c r="A41" i="10"/>
  <c r="A25" i="10"/>
  <c r="A87" i="10"/>
  <c r="A23" i="10"/>
  <c r="A78" i="10"/>
  <c r="A46" i="10"/>
  <c r="A14" i="10"/>
  <c r="A81" i="10"/>
  <c r="A49" i="10"/>
  <c r="A17" i="10"/>
  <c r="A11" i="13"/>
  <c r="A62" i="13"/>
  <c r="A78" i="13"/>
  <c r="A94" i="13"/>
  <c r="A74" i="13"/>
  <c r="A66" i="13"/>
  <c r="A82" i="13"/>
  <c r="A98" i="13"/>
  <c r="A70" i="13"/>
  <c r="A86" i="13"/>
  <c r="A102" i="13"/>
  <c r="A58" i="13"/>
  <c r="A90" i="13"/>
  <c r="A42" i="13"/>
  <c r="A26" i="13"/>
  <c r="A10" i="13"/>
  <c r="A93" i="13"/>
  <c r="A77" i="13"/>
  <c r="A61" i="13"/>
  <c r="A45" i="13"/>
  <c r="A29" i="13"/>
  <c r="A13" i="13"/>
  <c r="A96" i="13"/>
  <c r="A80" i="13"/>
  <c r="A64" i="13"/>
  <c r="A48" i="13"/>
  <c r="A32" i="13"/>
  <c r="A16" i="13"/>
  <c r="A95" i="13"/>
  <c r="A79" i="13"/>
  <c r="A63" i="13"/>
  <c r="A47" i="13"/>
  <c r="A31" i="13"/>
  <c r="A15" i="13"/>
  <c r="A50" i="13"/>
  <c r="A34" i="13"/>
  <c r="A18" i="13"/>
  <c r="A101" i="13"/>
  <c r="A85" i="13"/>
  <c r="A69" i="13"/>
  <c r="A53" i="13"/>
  <c r="A37" i="13"/>
  <c r="A21" i="13"/>
  <c r="A104" i="13"/>
  <c r="A88" i="13"/>
  <c r="A72" i="13"/>
  <c r="A56" i="13"/>
  <c r="A40" i="13"/>
  <c r="A24" i="13"/>
  <c r="A103" i="13"/>
  <c r="A87" i="13"/>
  <c r="A71" i="13"/>
  <c r="A55" i="13"/>
  <c r="A39" i="13"/>
  <c r="A23" i="13"/>
  <c r="A46" i="13"/>
  <c r="A30" i="13"/>
  <c r="A14" i="13"/>
  <c r="A97" i="13"/>
  <c r="A81" i="13"/>
  <c r="A65" i="13"/>
  <c r="A49" i="13"/>
  <c r="A17" i="13"/>
  <c r="A100" i="13"/>
  <c r="A84" i="13"/>
  <c r="A68" i="13"/>
  <c r="A52" i="13"/>
  <c r="A20" i="13"/>
  <c r="A83" i="13"/>
  <c r="A51" i="13"/>
  <c r="A19" i="13"/>
  <c r="A54" i="13"/>
  <c r="A38" i="13"/>
  <c r="A22" i="13"/>
  <c r="A105" i="13"/>
  <c r="A89" i="13"/>
  <c r="A73" i="13"/>
  <c r="A57" i="13"/>
  <c r="A41" i="13"/>
  <c r="A25" i="13"/>
  <c r="A9" i="13"/>
  <c r="A92" i="13"/>
  <c r="A76" i="13"/>
  <c r="A60" i="13"/>
  <c r="A44" i="13"/>
  <c r="A28" i="13"/>
  <c r="A12" i="13"/>
  <c r="A91" i="13"/>
  <c r="A75" i="13"/>
  <c r="A59" i="13"/>
  <c r="A43" i="13"/>
  <c r="A27" i="13"/>
  <c r="A33" i="13"/>
  <c r="A36" i="13"/>
  <c r="A99" i="13"/>
  <c r="A67" i="13"/>
  <c r="A35" i="13"/>
  <c r="D4" i="15"/>
  <c r="H4" i="15"/>
  <c r="C4" i="15"/>
  <c r="G4" i="15"/>
  <c r="K4" i="15"/>
  <c r="E4" i="15"/>
  <c r="I4" i="15"/>
  <c r="F4" i="15"/>
  <c r="J4" i="15"/>
  <c r="K6" i="10"/>
  <c r="H6" i="10"/>
  <c r="L6" i="10"/>
  <c r="I6" i="10"/>
  <c r="J6" i="10"/>
  <c r="E3" i="20"/>
  <c r="I3" i="20"/>
  <c r="F3" i="20"/>
  <c r="J3" i="20"/>
  <c r="C3" i="20"/>
  <c r="G3" i="20"/>
  <c r="K3" i="20"/>
  <c r="D3" i="20"/>
  <c r="H3" i="20"/>
  <c r="R3" i="6"/>
  <c r="V3" i="6"/>
  <c r="S3" i="6"/>
  <c r="W3" i="6"/>
  <c r="P3" i="6"/>
  <c r="T3" i="6"/>
  <c r="X3" i="6"/>
  <c r="Q3" i="6"/>
  <c r="U3" i="6"/>
  <c r="S3" i="3"/>
  <c r="W3" i="3"/>
  <c r="P3" i="3"/>
  <c r="T3" i="3"/>
  <c r="X3" i="3"/>
  <c r="Q3" i="3"/>
  <c r="U3" i="3"/>
  <c r="R3" i="3"/>
  <c r="V3" i="3"/>
  <c r="B9" i="10" l="1" a="1"/>
  <c r="B9" i="13" a="1"/>
  <c r="O4" i="15" a="1"/>
  <c r="C63" i="20" a="1"/>
  <c r="C43" i="20" a="1"/>
  <c r="C23" i="20" a="1"/>
  <c r="P63" i="20" a="1"/>
  <c r="P43" i="20" a="1"/>
  <c r="P23" i="20" a="1"/>
  <c r="P3" i="20" a="1"/>
  <c r="Y3" i="6" a="1"/>
  <c r="P87" i="7" a="1"/>
  <c r="P59" i="7" a="1"/>
  <c r="P31" i="7" a="1"/>
  <c r="P3" i="7" a="1"/>
  <c r="C87" i="7" a="1"/>
  <c r="C59" i="7" a="1"/>
  <c r="C31" i="7" a="1"/>
  <c r="C3" i="7" a="1"/>
  <c r="P3" i="5" a="1"/>
  <c r="P3" i="4" a="1"/>
  <c r="Y3" i="3" a="1"/>
  <c r="B84" i="13" l="1"/>
  <c r="B24" i="13"/>
  <c r="B55" i="13"/>
  <c r="B86" i="13"/>
  <c r="B22" i="13"/>
  <c r="B57" i="13"/>
  <c r="B96" i="13"/>
  <c r="B16" i="13"/>
  <c r="B15" i="13"/>
  <c r="B65" i="13"/>
  <c r="B60" i="13"/>
  <c r="B91" i="13"/>
  <c r="B27" i="13"/>
  <c r="B58" i="13"/>
  <c r="B93" i="13"/>
  <c r="B29" i="13"/>
  <c r="B92" i="13"/>
  <c r="B99" i="13"/>
  <c r="B35" i="13"/>
  <c r="B66" i="13"/>
  <c r="B101" i="13"/>
  <c r="B37" i="13"/>
  <c r="B94" i="13"/>
  <c r="B81" i="13"/>
  <c r="B45" i="13"/>
  <c r="B64" i="13"/>
  <c r="B103" i="13"/>
  <c r="B39" i="13"/>
  <c r="B70" i="13"/>
  <c r="B105" i="13"/>
  <c r="B41" i="13"/>
  <c r="B76" i="13"/>
  <c r="B95" i="13"/>
  <c r="B78" i="13"/>
  <c r="B33" i="13"/>
  <c r="B44" i="13"/>
  <c r="B75" i="13"/>
  <c r="B11" i="13"/>
  <c r="B42" i="13"/>
  <c r="B77" i="13"/>
  <c r="B13" i="13"/>
  <c r="B52" i="13"/>
  <c r="B83" i="13"/>
  <c r="B19" i="13"/>
  <c r="B50" i="13"/>
  <c r="B85" i="13"/>
  <c r="B21" i="13"/>
  <c r="B62" i="13"/>
  <c r="B49" i="13"/>
  <c r="B9" i="13"/>
  <c r="B56" i="13"/>
  <c r="B87" i="13"/>
  <c r="B23" i="13"/>
  <c r="B54" i="13"/>
  <c r="B89" i="13"/>
  <c r="B25" i="13"/>
  <c r="B48" i="13"/>
  <c r="B63" i="13"/>
  <c r="B46" i="13"/>
  <c r="B100" i="13"/>
  <c r="B28" i="13"/>
  <c r="B59" i="13"/>
  <c r="B90" i="13"/>
  <c r="B26" i="13"/>
  <c r="B61" i="13"/>
  <c r="B88" i="13"/>
  <c r="B36" i="13"/>
  <c r="B67" i="13"/>
  <c r="B98" i="13"/>
  <c r="B34" i="13"/>
  <c r="B69" i="13"/>
  <c r="B79" i="13"/>
  <c r="B30" i="13"/>
  <c r="B17" i="13"/>
  <c r="B104" i="13"/>
  <c r="B40" i="13"/>
  <c r="B71" i="13"/>
  <c r="B102" i="13"/>
  <c r="B38" i="13"/>
  <c r="B73" i="13"/>
  <c r="B72" i="13"/>
  <c r="B32" i="13"/>
  <c r="B47" i="13"/>
  <c r="B97" i="13"/>
  <c r="B80" i="13"/>
  <c r="B12" i="13"/>
  <c r="B43" i="13"/>
  <c r="B74" i="13"/>
  <c r="B10" i="13"/>
  <c r="B68" i="13"/>
  <c r="B20" i="13"/>
  <c r="B51" i="13"/>
  <c r="B82" i="13"/>
  <c r="B18" i="13"/>
  <c r="B53" i="13"/>
  <c r="B31" i="13"/>
  <c r="B14" i="13"/>
  <c r="B70" i="10"/>
  <c r="B74" i="10"/>
  <c r="B82" i="10"/>
  <c r="B42" i="10"/>
  <c r="B77" i="10"/>
  <c r="B13" i="10"/>
  <c r="B48" i="10"/>
  <c r="B79" i="10"/>
  <c r="B15" i="10"/>
  <c r="B101" i="10"/>
  <c r="B37" i="10"/>
  <c r="B72" i="10"/>
  <c r="B103" i="10"/>
  <c r="B39" i="10"/>
  <c r="B22" i="10"/>
  <c r="B57" i="10"/>
  <c r="B92" i="10"/>
  <c r="B28" i="10"/>
  <c r="B59" i="10"/>
  <c r="B30" i="10"/>
  <c r="B65" i="10"/>
  <c r="B100" i="10"/>
  <c r="B36" i="10"/>
  <c r="B67" i="10"/>
  <c r="B86" i="10"/>
  <c r="B90" i="10"/>
  <c r="B78" i="10"/>
  <c r="B26" i="10"/>
  <c r="B61" i="10"/>
  <c r="B96" i="10"/>
  <c r="B32" i="10"/>
  <c r="B63" i="10"/>
  <c r="B50" i="10"/>
  <c r="B85" i="10"/>
  <c r="B21" i="10"/>
  <c r="B56" i="10"/>
  <c r="B87" i="10"/>
  <c r="B23" i="10"/>
  <c r="B105" i="10"/>
  <c r="B41" i="10"/>
  <c r="B76" i="10"/>
  <c r="B12" i="10"/>
  <c r="B43" i="10"/>
  <c r="B14" i="10"/>
  <c r="B49" i="10"/>
  <c r="B84" i="10"/>
  <c r="B20" i="10"/>
  <c r="B51" i="10"/>
  <c r="B102" i="10"/>
  <c r="B62" i="10"/>
  <c r="B66" i="10"/>
  <c r="B10" i="10"/>
  <c r="B45" i="10"/>
  <c r="B80" i="10"/>
  <c r="B16" i="10"/>
  <c r="B47" i="10"/>
  <c r="B34" i="10"/>
  <c r="B69" i="10"/>
  <c r="B104" i="10"/>
  <c r="B40" i="10"/>
  <c r="B71" i="10"/>
  <c r="B54" i="10"/>
  <c r="B89" i="10"/>
  <c r="B25" i="10"/>
  <c r="B60" i="10"/>
  <c r="B91" i="10"/>
  <c r="B27" i="10"/>
  <c r="B97" i="10"/>
  <c r="B33" i="10"/>
  <c r="B68" i="10"/>
  <c r="B99" i="10"/>
  <c r="B35" i="10"/>
  <c r="B11" i="10"/>
  <c r="B58" i="10"/>
  <c r="B94" i="10"/>
  <c r="B98" i="10"/>
  <c r="B93" i="10"/>
  <c r="B29" i="10"/>
  <c r="B64" i="10"/>
  <c r="B95" i="10"/>
  <c r="B31" i="10"/>
  <c r="B18" i="10"/>
  <c r="B53" i="10"/>
  <c r="B88" i="10"/>
  <c r="B24" i="10"/>
  <c r="B55" i="10"/>
  <c r="B38" i="10"/>
  <c r="B73" i="10"/>
  <c r="B9" i="10"/>
  <c r="B44" i="10"/>
  <c r="B75" i="10"/>
  <c r="B46" i="10"/>
  <c r="B81" i="10"/>
  <c r="B17" i="10"/>
  <c r="B52" i="10"/>
  <c r="B83" i="10"/>
  <c r="B19" i="10"/>
  <c r="R4" i="15"/>
  <c r="V4" i="15"/>
  <c r="Q4" i="15"/>
  <c r="U4" i="15"/>
  <c r="O4" i="15"/>
  <c r="S4" i="15"/>
  <c r="W4" i="15"/>
  <c r="P4" i="15"/>
  <c r="T4" i="15"/>
  <c r="P63" i="20"/>
  <c r="T63" i="20"/>
  <c r="X63" i="20"/>
  <c r="Q63" i="20"/>
  <c r="U63" i="20"/>
  <c r="R63" i="20"/>
  <c r="V63" i="20"/>
  <c r="S63" i="20"/>
  <c r="W63" i="20"/>
  <c r="P3" i="20"/>
  <c r="T3" i="20"/>
  <c r="X3" i="20"/>
  <c r="Q3" i="20"/>
  <c r="U3" i="20"/>
  <c r="R3" i="20"/>
  <c r="V3" i="20"/>
  <c r="S3" i="20"/>
  <c r="W3" i="20"/>
  <c r="E23" i="20"/>
  <c r="I23" i="20"/>
  <c r="F23" i="20"/>
  <c r="J23" i="20"/>
  <c r="C23" i="20"/>
  <c r="G23" i="20"/>
  <c r="K23" i="20"/>
  <c r="D23" i="20"/>
  <c r="H23" i="20"/>
  <c r="P23" i="20"/>
  <c r="T23" i="20"/>
  <c r="X23" i="20"/>
  <c r="Q23" i="20"/>
  <c r="U23" i="20"/>
  <c r="R23" i="20"/>
  <c r="V23" i="20"/>
  <c r="S23" i="20"/>
  <c r="W23" i="20"/>
  <c r="E43" i="20"/>
  <c r="I43" i="20"/>
  <c r="F43" i="20"/>
  <c r="J43" i="20"/>
  <c r="C43" i="20"/>
  <c r="G43" i="20"/>
  <c r="K43" i="20"/>
  <c r="D43" i="20"/>
  <c r="H43" i="20"/>
  <c r="P43" i="20"/>
  <c r="T43" i="20"/>
  <c r="X43" i="20"/>
  <c r="Q43" i="20"/>
  <c r="U43" i="20"/>
  <c r="R43" i="20"/>
  <c r="V43" i="20"/>
  <c r="S43" i="20"/>
  <c r="W43" i="20"/>
  <c r="E63" i="20"/>
  <c r="I63" i="20"/>
  <c r="F63" i="20"/>
  <c r="J63" i="20"/>
  <c r="C63" i="20"/>
  <c r="G63" i="20"/>
  <c r="K63" i="20"/>
  <c r="D63" i="20"/>
  <c r="H63" i="20"/>
  <c r="Y3" i="6"/>
  <c r="AC3" i="6"/>
  <c r="AG3" i="6"/>
  <c r="Z3" i="6"/>
  <c r="AD3" i="6"/>
  <c r="AA3" i="6"/>
  <c r="AE3" i="6"/>
  <c r="AB3" i="6"/>
  <c r="AF3" i="6"/>
  <c r="S3" i="7"/>
  <c r="W3" i="7"/>
  <c r="P3" i="7"/>
  <c r="T3" i="7"/>
  <c r="Q3" i="7"/>
  <c r="U3" i="7"/>
  <c r="R3" i="7"/>
  <c r="V3" i="7"/>
  <c r="X3" i="7"/>
  <c r="D31" i="7"/>
  <c r="H31" i="7"/>
  <c r="E31" i="7"/>
  <c r="F31" i="7"/>
  <c r="J31" i="7"/>
  <c r="C31" i="7"/>
  <c r="G31" i="7"/>
  <c r="K31" i="7"/>
  <c r="I31" i="7"/>
  <c r="S31" i="7"/>
  <c r="W31" i="7"/>
  <c r="T31" i="7"/>
  <c r="Q31" i="7"/>
  <c r="U31" i="7"/>
  <c r="R31" i="7"/>
  <c r="V31" i="7"/>
  <c r="P31" i="7"/>
  <c r="X31" i="7"/>
  <c r="D59" i="7"/>
  <c r="H59" i="7"/>
  <c r="I59" i="7"/>
  <c r="F59" i="7"/>
  <c r="J59" i="7"/>
  <c r="C59" i="7"/>
  <c r="G59" i="7"/>
  <c r="K59" i="7"/>
  <c r="E59" i="7"/>
  <c r="S59" i="7"/>
  <c r="W59" i="7"/>
  <c r="T59" i="7"/>
  <c r="X59" i="7"/>
  <c r="Q59" i="7"/>
  <c r="U59" i="7"/>
  <c r="R59" i="7"/>
  <c r="V59" i="7"/>
  <c r="P59" i="7"/>
  <c r="D87" i="7"/>
  <c r="H87" i="7"/>
  <c r="E87" i="7"/>
  <c r="I87" i="7"/>
  <c r="F87" i="7"/>
  <c r="J87" i="7"/>
  <c r="C87" i="7"/>
  <c r="G87" i="7"/>
  <c r="K87" i="7"/>
  <c r="S87" i="7"/>
  <c r="W87" i="7"/>
  <c r="P87" i="7"/>
  <c r="T87" i="7"/>
  <c r="X87" i="7"/>
  <c r="Q87" i="7"/>
  <c r="U87" i="7"/>
  <c r="R87" i="7"/>
  <c r="V87" i="7"/>
  <c r="F3" i="7"/>
  <c r="J3" i="7"/>
  <c r="C3" i="7"/>
  <c r="G3" i="7"/>
  <c r="K3" i="7"/>
  <c r="D3" i="7"/>
  <c r="H3" i="7"/>
  <c r="E3" i="7"/>
  <c r="I3" i="7"/>
  <c r="R3" i="5"/>
  <c r="V3" i="5"/>
  <c r="S3" i="5"/>
  <c r="W3" i="5"/>
  <c r="P3" i="5"/>
  <c r="T3" i="5"/>
  <c r="X3" i="5"/>
  <c r="Q3" i="5"/>
  <c r="U3" i="5"/>
  <c r="P3" i="4"/>
  <c r="T3" i="4"/>
  <c r="X3" i="4"/>
  <c r="Q3" i="4"/>
  <c r="U3" i="4"/>
  <c r="R3" i="4"/>
  <c r="V3" i="4"/>
  <c r="S3" i="4"/>
  <c r="W3" i="4"/>
  <c r="Z3" i="3"/>
  <c r="AD3" i="3"/>
  <c r="AA3" i="3"/>
  <c r="AE3" i="3"/>
  <c r="AB3" i="3"/>
  <c r="AF3" i="3"/>
  <c r="Y3" i="3"/>
  <c r="AC3" i="3"/>
  <c r="AG3" i="3"/>
  <c r="Z5" i="6" l="1"/>
  <c r="Z8" i="6"/>
  <c r="Z96" i="6"/>
  <c r="Z4" i="6"/>
  <c r="Z6" i="6"/>
  <c r="Z100" i="6"/>
  <c r="Z94" i="6"/>
  <c r="Z95" i="6"/>
  <c r="Z99" i="6"/>
  <c r="Z9" i="6"/>
  <c r="Z38" i="6"/>
  <c r="Z7" i="6"/>
  <c r="Z98" i="6"/>
  <c r="Z97" i="6"/>
  <c r="Z10" i="6"/>
  <c r="AE98" i="6"/>
  <c r="AE8" i="6"/>
  <c r="AE99" i="6"/>
  <c r="AE92" i="6"/>
  <c r="AE100" i="6"/>
  <c r="AE93" i="6"/>
  <c r="AE97" i="6"/>
  <c r="AE95" i="6"/>
  <c r="AE10" i="6"/>
  <c r="AE94" i="6"/>
  <c r="AE96" i="6"/>
  <c r="AE5" i="6"/>
  <c r="AE89" i="6"/>
  <c r="AE9" i="6"/>
  <c r="AE4" i="6"/>
  <c r="AG5" i="6"/>
  <c r="AG98" i="6"/>
  <c r="AG6" i="6"/>
  <c r="AG7" i="6"/>
  <c r="AG92" i="6"/>
  <c r="AG100" i="6"/>
  <c r="AG10" i="6"/>
  <c r="AG94" i="6"/>
  <c r="AG96" i="6"/>
  <c r="AG97" i="6"/>
  <c r="AG93" i="6"/>
  <c r="AG95" i="6"/>
  <c r="AG38" i="6"/>
  <c r="AG4" i="6"/>
  <c r="AG8" i="6"/>
  <c r="AG99" i="6"/>
  <c r="AG9" i="6"/>
  <c r="AB91" i="6"/>
  <c r="AB94" i="6"/>
  <c r="AB92" i="6"/>
  <c r="AB100" i="6"/>
  <c r="AB95" i="6"/>
  <c r="AB96" i="6"/>
  <c r="AB5" i="6"/>
  <c r="AB89" i="6"/>
  <c r="AB98" i="6"/>
  <c r="AB6" i="6"/>
  <c r="AB90" i="6"/>
  <c r="AB4" i="6"/>
  <c r="AB97" i="6"/>
  <c r="AB99" i="6"/>
  <c r="AB93" i="6"/>
  <c r="AA95" i="6"/>
  <c r="AA98" i="6"/>
  <c r="AA8" i="6"/>
  <c r="AA94" i="6"/>
  <c r="AA96" i="6"/>
  <c r="AA100" i="6"/>
  <c r="AA97" i="6"/>
  <c r="AA5" i="6"/>
  <c r="AA99" i="6"/>
  <c r="AC98" i="6"/>
  <c r="AC4" i="6"/>
  <c r="AC91" i="6"/>
  <c r="AC9" i="6"/>
  <c r="AC6" i="6"/>
  <c r="AC100" i="6"/>
  <c r="AC94" i="6"/>
  <c r="AC8" i="6"/>
  <c r="AC99" i="6"/>
  <c r="AC96" i="6"/>
  <c r="AC7" i="6"/>
  <c r="AC93" i="6"/>
  <c r="AC97" i="6"/>
  <c r="AC95" i="6"/>
  <c r="AF10" i="6"/>
  <c r="AF96" i="6"/>
  <c r="AF5" i="6"/>
  <c r="AF90" i="6"/>
  <c r="AF38" i="6"/>
  <c r="AF9" i="6"/>
  <c r="AF99" i="6"/>
  <c r="AF7" i="6"/>
  <c r="AF95" i="6"/>
  <c r="AF98" i="6"/>
  <c r="AF94" i="6"/>
  <c r="AF6" i="6"/>
  <c r="AF92" i="6"/>
  <c r="AF100" i="6"/>
  <c r="AF4" i="6"/>
  <c r="AF89" i="6"/>
  <c r="AF93" i="6"/>
  <c r="AF8" i="6"/>
  <c r="AF91" i="6"/>
  <c r="AF97" i="6"/>
  <c r="AD96" i="6"/>
  <c r="AD38" i="6"/>
  <c r="AD94" i="6"/>
  <c r="AD95" i="6"/>
  <c r="AD92" i="6"/>
  <c r="AD99" i="6"/>
  <c r="AD9" i="6"/>
  <c r="AD90" i="6"/>
  <c r="AD4" i="6"/>
  <c r="AD91" i="6"/>
  <c r="AD98" i="6"/>
  <c r="AD6" i="6"/>
  <c r="AD100" i="6"/>
  <c r="AD93" i="6"/>
  <c r="AD97" i="6"/>
  <c r="AD5" i="6"/>
  <c r="AD7" i="6"/>
  <c r="Y8" i="6"/>
  <c r="Y5" i="6"/>
  <c r="Y90" i="6"/>
  <c r="Y95" i="6"/>
  <c r="Y99" i="6"/>
  <c r="Y98" i="6"/>
  <c r="Y38" i="6"/>
  <c r="Y4" i="6"/>
  <c r="Y91" i="6"/>
  <c r="Y7" i="6"/>
  <c r="Y89" i="6"/>
  <c r="Y10" i="6"/>
  <c r="Y6" i="6"/>
  <c r="Y94" i="6"/>
  <c r="Y96" i="6"/>
  <c r="Y9" i="6"/>
  <c r="Y100" i="6"/>
  <c r="Y93" i="6"/>
  <c r="Y92" i="6"/>
  <c r="Y97" i="6"/>
  <c r="AG8" i="3"/>
  <c r="AG93" i="3"/>
  <c r="AG9" i="3"/>
  <c r="AG5" i="3"/>
  <c r="AG4" i="3"/>
  <c r="AG38" i="3"/>
  <c r="AG94" i="3"/>
  <c r="AG95" i="3"/>
  <c r="AG6" i="3"/>
  <c r="AG98" i="3"/>
  <c r="AG10" i="3"/>
  <c r="AG100" i="3"/>
  <c r="AG96" i="3"/>
  <c r="AG97" i="3"/>
  <c r="AG7" i="3"/>
  <c r="AG99" i="3"/>
  <c r="AG92" i="3"/>
  <c r="AB5" i="3"/>
  <c r="AB6" i="3"/>
  <c r="AB99" i="3"/>
  <c r="AB93" i="3"/>
  <c r="AB94" i="3"/>
  <c r="AB95" i="3"/>
  <c r="AB100" i="3"/>
  <c r="AB89" i="3"/>
  <c r="AB4" i="3"/>
  <c r="AB96" i="3"/>
  <c r="AB97" i="3"/>
  <c r="AB90" i="3"/>
  <c r="AB98" i="3"/>
  <c r="AB91" i="3"/>
  <c r="AB92" i="3"/>
  <c r="Z8" i="3"/>
  <c r="Z4" i="3"/>
  <c r="Z6" i="3"/>
  <c r="Z94" i="3"/>
  <c r="Z98" i="3"/>
  <c r="Z10" i="3"/>
  <c r="Z7" i="3"/>
  <c r="Z96" i="3"/>
  <c r="Z97" i="3"/>
  <c r="Z99" i="3"/>
  <c r="Z100" i="3"/>
  <c r="Z95" i="3"/>
  <c r="Z38" i="3"/>
  <c r="Z5" i="3"/>
  <c r="Z9" i="3"/>
  <c r="AC4" i="3"/>
  <c r="AC97" i="3"/>
  <c r="AC9" i="3"/>
  <c r="AC8" i="3"/>
  <c r="AC95" i="3"/>
  <c r="AC98" i="3"/>
  <c r="AC94" i="3"/>
  <c r="AC7" i="3"/>
  <c r="AC99" i="3"/>
  <c r="AC93" i="3"/>
  <c r="AC6" i="3"/>
  <c r="AC100" i="3"/>
  <c r="AC91" i="3"/>
  <c r="AC96" i="3"/>
  <c r="AE7" i="3"/>
  <c r="AE92" i="3"/>
  <c r="AE98" i="3"/>
  <c r="AE10" i="3"/>
  <c r="AE93" i="3"/>
  <c r="AE96" i="3"/>
  <c r="AE94" i="3"/>
  <c r="AE95" i="3"/>
  <c r="AE5" i="3"/>
  <c r="AE100" i="3"/>
  <c r="AE4" i="3"/>
  <c r="AE8" i="3"/>
  <c r="AE89" i="3"/>
  <c r="AE99" i="3"/>
  <c r="AE9" i="3"/>
  <c r="AE97" i="3"/>
  <c r="Y8" i="3"/>
  <c r="Y5" i="3"/>
  <c r="Y4" i="3"/>
  <c r="Y9" i="3"/>
  <c r="Y6" i="3"/>
  <c r="Y10" i="3"/>
  <c r="Y7" i="3"/>
  <c r="Y95" i="3"/>
  <c r="Y91" i="3"/>
  <c r="Y96" i="3"/>
  <c r="Y90" i="3"/>
  <c r="Y38" i="3"/>
  <c r="Y98" i="3"/>
  <c r="Y99" i="3"/>
  <c r="Y92" i="3"/>
  <c r="Y94" i="3"/>
  <c r="Y93" i="3"/>
  <c r="Y89" i="3"/>
  <c r="Y100" i="3"/>
  <c r="Y97" i="3"/>
  <c r="AA95" i="3"/>
  <c r="AA99" i="3"/>
  <c r="AA97" i="3"/>
  <c r="AA8" i="3"/>
  <c r="AA98" i="3"/>
  <c r="AA5" i="3"/>
  <c r="AA100" i="3"/>
  <c r="AA94" i="3"/>
  <c r="AA96" i="3"/>
  <c r="AF9" i="3"/>
  <c r="AF5" i="3"/>
  <c r="AF94" i="3"/>
  <c r="AF95" i="3"/>
  <c r="AF90" i="3"/>
  <c r="AF8" i="3"/>
  <c r="AF6" i="3"/>
  <c r="AF100" i="3"/>
  <c r="AF89" i="3"/>
  <c r="AF10" i="3"/>
  <c r="AF7" i="3"/>
  <c r="AF91" i="3"/>
  <c r="AF96" i="3"/>
  <c r="AF97" i="3"/>
  <c r="AF98" i="3"/>
  <c r="AF99" i="3"/>
  <c r="AF92" i="3"/>
  <c r="AF4" i="3"/>
  <c r="AF38" i="3"/>
  <c r="AF93" i="3"/>
  <c r="AD97" i="3"/>
  <c r="AD4" i="3"/>
  <c r="AD8" i="3"/>
  <c r="AD6" i="3"/>
  <c r="AD90" i="3"/>
  <c r="AD94" i="3"/>
  <c r="AD38" i="3"/>
  <c r="AD91" i="3"/>
  <c r="AD5" i="3"/>
  <c r="AD9" i="3"/>
  <c r="AD99" i="3"/>
  <c r="AD92" i="3"/>
  <c r="AD96" i="3"/>
  <c r="AD95" i="3"/>
  <c r="AD7" i="3"/>
  <c r="AD98" i="3"/>
  <c r="AD100" i="3"/>
  <c r="AD93" i="3"/>
  <c r="AI3" i="5" a="1"/>
  <c r="AL3" i="5" s="1"/>
  <c r="Y3" i="4" a="1"/>
  <c r="Y3" i="5" a="1"/>
  <c r="AK3" i="5" l="1"/>
  <c r="AJ3" i="5"/>
  <c r="AI3" i="5"/>
  <c r="AM3" i="5"/>
  <c r="AN3" i="5"/>
  <c r="AP3" i="5"/>
  <c r="AO3" i="5"/>
  <c r="AQ3" i="5"/>
  <c r="AC3" i="5"/>
  <c r="AA3" i="5"/>
  <c r="Y3" i="5"/>
  <c r="AD3" i="5"/>
  <c r="AF3" i="5"/>
  <c r="Z3" i="5"/>
  <c r="AG3" i="5"/>
  <c r="AE3" i="5"/>
  <c r="AB3" i="5"/>
  <c r="AG3" i="4"/>
  <c r="AB3" i="4"/>
  <c r="Z3" i="4"/>
  <c r="AC3" i="4"/>
  <c r="AE3" i="4"/>
  <c r="Y3" i="4"/>
  <c r="AA3" i="4"/>
  <c r="AF3" i="4"/>
  <c r="AD3" i="4"/>
  <c r="AG10" i="5" l="1"/>
  <c r="AG6" i="5"/>
  <c r="AG95" i="5"/>
  <c r="AG5" i="5"/>
  <c r="AG94" i="5"/>
  <c r="AG9" i="5"/>
  <c r="AG4" i="5"/>
  <c r="AG93" i="5"/>
  <c r="AG98" i="5"/>
  <c r="AG97" i="5"/>
  <c r="AG8" i="5"/>
  <c r="AG92" i="5"/>
  <c r="AG100" i="5"/>
  <c r="AG96" i="5"/>
  <c r="AG7" i="5"/>
  <c r="AG38" i="5"/>
  <c r="AG99" i="5"/>
  <c r="Y95" i="5"/>
  <c r="Y6" i="5"/>
  <c r="Y10" i="5"/>
  <c r="Y38" i="5"/>
  <c r="Y5" i="5"/>
  <c r="Y94" i="5"/>
  <c r="Y9" i="5"/>
  <c r="Y8" i="5"/>
  <c r="Y96" i="5"/>
  <c r="Y92" i="5"/>
  <c r="Y100" i="5"/>
  <c r="Y7" i="5"/>
  <c r="Y4" i="5"/>
  <c r="Y93" i="5"/>
  <c r="Y98" i="5"/>
  <c r="Y97" i="5"/>
  <c r="Y89" i="5"/>
  <c r="Y99" i="5"/>
  <c r="Y91" i="5"/>
  <c r="Y90" i="5"/>
  <c r="Z38" i="5"/>
  <c r="Z94" i="5"/>
  <c r="Z4" i="5"/>
  <c r="Z96" i="5"/>
  <c r="Z5" i="5"/>
  <c r="Z100" i="5"/>
  <c r="Z9" i="5"/>
  <c r="Z8" i="5"/>
  <c r="Z97" i="5"/>
  <c r="Z6" i="5"/>
  <c r="Z99" i="5"/>
  <c r="Z98" i="5"/>
  <c r="Z95" i="5"/>
  <c r="Z10" i="5"/>
  <c r="Z7" i="5"/>
  <c r="AA8" i="5"/>
  <c r="AA100" i="5"/>
  <c r="AA5" i="5"/>
  <c r="AA95" i="5"/>
  <c r="AA99" i="5"/>
  <c r="AA96" i="5"/>
  <c r="AA98" i="5"/>
  <c r="AA94" i="5"/>
  <c r="AA97" i="5"/>
  <c r="AB91" i="5"/>
  <c r="AB6" i="5"/>
  <c r="AB99" i="5"/>
  <c r="AB4" i="5"/>
  <c r="AB92" i="5"/>
  <c r="AB100" i="5"/>
  <c r="AB93" i="5"/>
  <c r="AB90" i="5"/>
  <c r="AB94" i="5"/>
  <c r="AB98" i="5"/>
  <c r="AB96" i="5"/>
  <c r="AB97" i="5"/>
  <c r="AB89" i="5"/>
  <c r="AB95" i="5"/>
  <c r="AB5" i="5"/>
  <c r="AF7" i="5"/>
  <c r="AF95" i="5"/>
  <c r="AF10" i="5"/>
  <c r="AF6" i="5"/>
  <c r="AF5" i="5"/>
  <c r="AF97" i="5"/>
  <c r="AF89" i="5"/>
  <c r="AF9" i="5"/>
  <c r="AF91" i="5"/>
  <c r="AF96" i="5"/>
  <c r="AF4" i="5"/>
  <c r="AF93" i="5"/>
  <c r="AF92" i="5"/>
  <c r="AF100" i="5"/>
  <c r="AF8" i="5"/>
  <c r="AF38" i="5"/>
  <c r="AF94" i="5"/>
  <c r="AF90" i="5"/>
  <c r="AF98" i="5"/>
  <c r="AF99" i="5"/>
  <c r="AC99" i="5"/>
  <c r="AC91" i="5"/>
  <c r="AC6" i="5"/>
  <c r="AC9" i="5"/>
  <c r="AC98" i="5"/>
  <c r="AC100" i="5"/>
  <c r="AC4" i="5"/>
  <c r="AC93" i="5"/>
  <c r="AC94" i="5"/>
  <c r="AC8" i="5"/>
  <c r="AC97" i="5"/>
  <c r="AC7" i="5"/>
  <c r="AC96" i="5"/>
  <c r="AC95" i="5"/>
  <c r="AE10" i="5"/>
  <c r="AE96" i="5"/>
  <c r="AE95" i="5"/>
  <c r="AE99" i="5"/>
  <c r="AE4" i="5"/>
  <c r="AE8" i="5"/>
  <c r="AE97" i="5"/>
  <c r="AE94" i="5"/>
  <c r="AE98" i="5"/>
  <c r="AE9" i="5"/>
  <c r="AE92" i="5"/>
  <c r="AE100" i="5"/>
  <c r="AE89" i="5"/>
  <c r="AE93" i="5"/>
  <c r="AE5" i="5"/>
  <c r="AD98" i="5"/>
  <c r="AD90" i="5"/>
  <c r="AD38" i="5"/>
  <c r="AD97" i="5"/>
  <c r="AD96" i="5"/>
  <c r="AD7" i="5"/>
  <c r="AD6" i="5"/>
  <c r="AD93" i="5"/>
  <c r="AD92" i="5"/>
  <c r="AD100" i="5"/>
  <c r="AD4" i="5"/>
  <c r="AD5" i="5"/>
  <c r="AD9" i="5"/>
  <c r="AD95" i="5"/>
  <c r="AD94" i="5"/>
  <c r="AD91" i="5"/>
  <c r="AD99" i="5"/>
  <c r="AF92" i="4"/>
  <c r="AF96" i="4"/>
  <c r="AF7" i="4"/>
  <c r="AF90" i="4"/>
  <c r="AF91" i="4"/>
  <c r="AF99" i="4"/>
  <c r="AF5" i="4"/>
  <c r="AF6" i="4"/>
  <c r="AF98" i="4"/>
  <c r="AF89" i="4"/>
  <c r="AF97" i="4"/>
  <c r="AF94" i="4"/>
  <c r="AF9" i="4"/>
  <c r="AF93" i="4"/>
  <c r="AF10" i="4"/>
  <c r="AF95" i="4"/>
  <c r="AF100" i="4"/>
  <c r="AF4" i="4"/>
  <c r="AF38" i="4"/>
  <c r="AF8" i="4"/>
  <c r="AC9" i="4"/>
  <c r="AC91" i="4"/>
  <c r="AC98" i="4"/>
  <c r="AC4" i="4"/>
  <c r="AC7" i="4"/>
  <c r="AC99" i="4"/>
  <c r="AC100" i="4"/>
  <c r="AC93" i="4"/>
  <c r="AC95" i="4"/>
  <c r="AC97" i="4"/>
  <c r="AC94" i="4"/>
  <c r="AC6" i="4"/>
  <c r="AC96" i="4"/>
  <c r="AC8" i="4"/>
  <c r="AA8" i="4"/>
  <c r="AA100" i="4"/>
  <c r="AA5" i="4"/>
  <c r="AA99" i="4"/>
  <c r="AA94" i="4"/>
  <c r="AA98" i="4"/>
  <c r="AA96" i="4"/>
  <c r="AA97" i="4"/>
  <c r="AA95" i="4"/>
  <c r="Z100" i="4"/>
  <c r="Z4" i="4"/>
  <c r="Z9" i="4"/>
  <c r="Z8" i="4"/>
  <c r="Z5" i="4"/>
  <c r="Z7" i="4"/>
  <c r="Z94" i="4"/>
  <c r="Z98" i="4"/>
  <c r="Z6" i="4"/>
  <c r="Z38" i="4"/>
  <c r="Z95" i="4"/>
  <c r="Z99" i="4"/>
  <c r="Z96" i="4"/>
  <c r="Z10" i="4"/>
  <c r="Z97" i="4"/>
  <c r="Y97" i="4"/>
  <c r="Y5" i="4"/>
  <c r="Y9" i="4"/>
  <c r="Y94" i="4"/>
  <c r="Y98" i="4"/>
  <c r="Y95" i="4"/>
  <c r="Y96" i="4"/>
  <c r="Y6" i="4"/>
  <c r="Y93" i="4"/>
  <c r="Y8" i="4"/>
  <c r="Y91" i="4"/>
  <c r="Y10" i="4"/>
  <c r="Y38" i="4"/>
  <c r="Y100" i="4"/>
  <c r="Y90" i="4"/>
  <c r="Y7" i="4"/>
  <c r="Y92" i="4"/>
  <c r="Y99" i="4"/>
  <c r="Y4" i="4"/>
  <c r="Y89" i="4"/>
  <c r="AB92" i="4"/>
  <c r="AB6" i="4"/>
  <c r="AB90" i="4"/>
  <c r="AB4" i="4"/>
  <c r="AB96" i="4"/>
  <c r="AB94" i="4"/>
  <c r="AB98" i="4"/>
  <c r="AB95" i="4"/>
  <c r="AB89" i="4"/>
  <c r="AB5" i="4"/>
  <c r="AB100" i="4"/>
  <c r="AB93" i="4"/>
  <c r="AB99" i="4"/>
  <c r="AB97" i="4"/>
  <c r="AB91" i="4"/>
  <c r="AD8" i="4"/>
  <c r="AD93" i="4"/>
  <c r="AD5" i="4"/>
  <c r="AD4" i="4"/>
  <c r="AD9" i="4"/>
  <c r="AD38" i="4"/>
  <c r="AD91" i="4"/>
  <c r="AD95" i="4"/>
  <c r="AD99" i="4"/>
  <c r="AD92" i="4"/>
  <c r="AD6" i="4"/>
  <c r="AD90" i="4"/>
  <c r="AD100" i="4"/>
  <c r="AD98" i="4"/>
  <c r="AD7" i="4"/>
  <c r="AD94" i="4"/>
  <c r="AD96" i="4"/>
  <c r="AD97" i="4"/>
  <c r="AE89" i="4"/>
  <c r="AE97" i="4"/>
  <c r="AE4" i="4"/>
  <c r="AE95" i="4"/>
  <c r="AE8" i="4"/>
  <c r="AE10" i="4"/>
  <c r="AE100" i="4"/>
  <c r="AE94" i="4"/>
  <c r="AE98" i="4"/>
  <c r="AE7" i="4"/>
  <c r="AE92" i="4"/>
  <c r="AE96" i="4"/>
  <c r="AE5" i="4"/>
  <c r="AE9" i="4"/>
  <c r="AE99" i="4"/>
  <c r="AE93" i="4"/>
  <c r="AG93" i="4"/>
  <c r="AG5" i="4"/>
  <c r="AG9" i="4"/>
  <c r="AG99" i="4"/>
  <c r="AG94" i="4"/>
  <c r="AG4" i="4"/>
  <c r="AG100" i="4"/>
  <c r="AG97" i="4"/>
  <c r="AG95" i="4"/>
  <c r="AG10" i="4"/>
  <c r="AG96" i="4"/>
  <c r="AG38" i="4"/>
  <c r="AG6" i="4"/>
  <c r="AG98" i="4"/>
  <c r="AG7" i="4"/>
  <c r="AG8" i="4"/>
  <c r="AG92" i="4"/>
  <c r="B4" i="7" a="1"/>
  <c r="B4" i="7" s="1"/>
  <c r="B26" i="7" l="1"/>
  <c r="B22" i="7"/>
  <c r="B18" i="7"/>
  <c r="B14" i="7"/>
  <c r="B10" i="7"/>
  <c r="B6" i="7"/>
  <c r="B27" i="7"/>
  <c r="B23" i="7"/>
  <c r="B19" i="7"/>
  <c r="B15" i="7"/>
  <c r="B11" i="7"/>
  <c r="B7" i="7"/>
  <c r="B25" i="7"/>
  <c r="B21" i="7"/>
  <c r="B17" i="7"/>
  <c r="B13" i="7"/>
  <c r="B9" i="7"/>
  <c r="B5" i="7"/>
  <c r="B24" i="7"/>
  <c r="B20" i="7"/>
  <c r="B16" i="7"/>
  <c r="B12" i="7"/>
  <c r="B8" i="7"/>
  <c r="X100" i="3"/>
  <c r="W100" i="3"/>
  <c r="V100" i="3"/>
  <c r="U100" i="3"/>
  <c r="T100" i="3"/>
  <c r="S100" i="3"/>
  <c r="R100" i="3"/>
  <c r="Q100" i="3"/>
  <c r="P100" i="3"/>
  <c r="X99" i="3"/>
  <c r="W99" i="3"/>
  <c r="V99" i="3"/>
  <c r="U99" i="3"/>
  <c r="T99" i="3"/>
  <c r="S99" i="3"/>
  <c r="R99" i="3"/>
  <c r="Q99" i="3"/>
  <c r="P99" i="3"/>
  <c r="X98" i="3"/>
  <c r="W98" i="3"/>
  <c r="V98" i="3"/>
  <c r="U98" i="3"/>
  <c r="T98" i="3"/>
  <c r="S98" i="3"/>
  <c r="R98" i="3"/>
  <c r="Q98" i="3"/>
  <c r="P98" i="3"/>
  <c r="X97" i="3"/>
  <c r="W97" i="3"/>
  <c r="V97" i="3"/>
  <c r="U97" i="3"/>
  <c r="T97" i="3"/>
  <c r="S97" i="3"/>
  <c r="R97" i="3"/>
  <c r="Q97" i="3"/>
  <c r="P97" i="3"/>
  <c r="X96" i="3"/>
  <c r="W96" i="3"/>
  <c r="V96" i="3"/>
  <c r="U96" i="3"/>
  <c r="T96" i="3"/>
  <c r="S96" i="3"/>
  <c r="R96" i="3"/>
  <c r="Q96" i="3"/>
  <c r="P96" i="3"/>
  <c r="X95" i="3"/>
  <c r="W95" i="3"/>
  <c r="V95" i="3"/>
  <c r="U95" i="3"/>
  <c r="T95" i="3"/>
  <c r="S95" i="3"/>
  <c r="R95" i="3"/>
  <c r="Q95" i="3"/>
  <c r="P95" i="3"/>
  <c r="X94" i="3"/>
  <c r="W94" i="3"/>
  <c r="V94" i="3"/>
  <c r="U94" i="3"/>
  <c r="T94" i="3"/>
  <c r="S94" i="3"/>
  <c r="R94" i="3"/>
  <c r="Q94" i="3"/>
  <c r="P94" i="3"/>
  <c r="X93" i="3"/>
  <c r="W93" i="3"/>
  <c r="V93" i="3"/>
  <c r="U93" i="3"/>
  <c r="T93" i="3"/>
  <c r="S93" i="3"/>
  <c r="R93" i="3"/>
  <c r="Q93" i="3"/>
  <c r="P93" i="3"/>
  <c r="X92" i="3"/>
  <c r="W92" i="3"/>
  <c r="V92" i="3"/>
  <c r="U92" i="3"/>
  <c r="T92" i="3"/>
  <c r="S92" i="3"/>
  <c r="R92" i="3"/>
  <c r="Q92" i="3"/>
  <c r="P92" i="3"/>
  <c r="X91" i="3"/>
  <c r="W91" i="3"/>
  <c r="V91" i="3"/>
  <c r="U91" i="3"/>
  <c r="T91" i="3"/>
  <c r="S91" i="3"/>
  <c r="R91" i="3"/>
  <c r="Q91" i="3"/>
  <c r="P91" i="3"/>
  <c r="X90" i="3"/>
  <c r="W90" i="3"/>
  <c r="V90" i="3"/>
  <c r="U90" i="3"/>
  <c r="T90" i="3"/>
  <c r="S90" i="3"/>
  <c r="R90" i="3"/>
  <c r="Q90" i="3"/>
  <c r="P90" i="3"/>
  <c r="X89" i="3"/>
  <c r="W89" i="3"/>
  <c r="V89" i="3"/>
  <c r="U89" i="3"/>
  <c r="T89" i="3"/>
  <c r="S89" i="3"/>
  <c r="R89" i="3"/>
  <c r="Q89" i="3"/>
  <c r="P89" i="3"/>
  <c r="X88" i="3"/>
  <c r="W88" i="3"/>
  <c r="AF88" i="3" s="1"/>
  <c r="V88" i="3"/>
  <c r="AE88" i="3" s="1"/>
  <c r="U88" i="3"/>
  <c r="AD88" i="3" s="1"/>
  <c r="T88" i="3"/>
  <c r="S88" i="3"/>
  <c r="AB88" i="3" s="1"/>
  <c r="R88" i="3"/>
  <c r="Q88" i="3"/>
  <c r="P88" i="3"/>
  <c r="Y88" i="3" s="1"/>
  <c r="X87" i="3"/>
  <c r="W87" i="3"/>
  <c r="AF87" i="3" s="1"/>
  <c r="V87" i="3"/>
  <c r="AE87" i="3" s="1"/>
  <c r="U87" i="3"/>
  <c r="T87" i="3"/>
  <c r="S87" i="3"/>
  <c r="AB87" i="3" s="1"/>
  <c r="R87" i="3"/>
  <c r="Q87" i="3"/>
  <c r="P87" i="3"/>
  <c r="Y87" i="3" s="1"/>
  <c r="X86" i="3"/>
  <c r="W86" i="3"/>
  <c r="AF86" i="3" s="1"/>
  <c r="V86" i="3"/>
  <c r="AE86" i="3" s="1"/>
  <c r="U86" i="3"/>
  <c r="T86" i="3"/>
  <c r="S86" i="3"/>
  <c r="AB86" i="3" s="1"/>
  <c r="R86" i="3"/>
  <c r="Q86" i="3"/>
  <c r="P86" i="3"/>
  <c r="Y86" i="3" s="1"/>
  <c r="X85" i="3"/>
  <c r="W85" i="3"/>
  <c r="AF85" i="3" s="1"/>
  <c r="V85" i="3"/>
  <c r="AE85" i="3" s="1"/>
  <c r="U85" i="3"/>
  <c r="T85" i="3"/>
  <c r="S85" i="3"/>
  <c r="AB85" i="3" s="1"/>
  <c r="R85" i="3"/>
  <c r="Q85" i="3"/>
  <c r="Z85" i="3" s="1"/>
  <c r="P85" i="3"/>
  <c r="Y85" i="3" s="1"/>
  <c r="X84" i="3"/>
  <c r="W84" i="3"/>
  <c r="AF84" i="3" s="1"/>
  <c r="V84" i="3"/>
  <c r="AE84" i="3" s="1"/>
  <c r="U84" i="3"/>
  <c r="T84" i="3"/>
  <c r="AC84" i="3" s="1"/>
  <c r="S84" i="3"/>
  <c r="AB84" i="3" s="1"/>
  <c r="R84" i="3"/>
  <c r="Q84" i="3"/>
  <c r="Z84" i="3" s="1"/>
  <c r="P84" i="3"/>
  <c r="Y84" i="3" s="1"/>
  <c r="X83" i="3"/>
  <c r="AG83" i="3" s="1"/>
  <c r="W83" i="3"/>
  <c r="AF83" i="3" s="1"/>
  <c r="V83" i="3"/>
  <c r="AE83" i="3" s="1"/>
  <c r="U83" i="3"/>
  <c r="T83" i="3"/>
  <c r="AC83" i="3" s="1"/>
  <c r="S83" i="3"/>
  <c r="AB83" i="3" s="1"/>
  <c r="R83" i="3"/>
  <c r="Q83" i="3"/>
  <c r="Z83" i="3" s="1"/>
  <c r="P83" i="3"/>
  <c r="Y83" i="3" s="1"/>
  <c r="X82" i="3"/>
  <c r="AG82" i="3" s="1"/>
  <c r="W82" i="3"/>
  <c r="AF82" i="3" s="1"/>
  <c r="V82" i="3"/>
  <c r="AE82" i="3" s="1"/>
  <c r="U82" i="3"/>
  <c r="T82" i="3"/>
  <c r="AC82" i="3" s="1"/>
  <c r="S82" i="3"/>
  <c r="AB82" i="3" s="1"/>
  <c r="R82" i="3"/>
  <c r="AA82" i="3" s="1"/>
  <c r="Q82" i="3"/>
  <c r="Z82" i="3" s="1"/>
  <c r="P82" i="3"/>
  <c r="Y82" i="3" s="1"/>
  <c r="X81" i="3"/>
  <c r="AG81" i="3" s="1"/>
  <c r="W81" i="3"/>
  <c r="AF81" i="3" s="1"/>
  <c r="V81" i="3"/>
  <c r="AE81" i="3" s="1"/>
  <c r="U81" i="3"/>
  <c r="AD81" i="3" s="1"/>
  <c r="T81" i="3"/>
  <c r="AC81" i="3" s="1"/>
  <c r="S81" i="3"/>
  <c r="AB81" i="3" s="1"/>
  <c r="R81" i="3"/>
  <c r="AA81" i="3" s="1"/>
  <c r="Q81" i="3"/>
  <c r="Z81" i="3" s="1"/>
  <c r="P81" i="3"/>
  <c r="Y81" i="3" s="1"/>
  <c r="X80" i="3"/>
  <c r="AG80" i="3" s="1"/>
  <c r="W80" i="3"/>
  <c r="AF80" i="3" s="1"/>
  <c r="V80" i="3"/>
  <c r="AE80" i="3" s="1"/>
  <c r="U80" i="3"/>
  <c r="AD80" i="3" s="1"/>
  <c r="T80" i="3"/>
  <c r="AC80" i="3" s="1"/>
  <c r="S80" i="3"/>
  <c r="AB80" i="3" s="1"/>
  <c r="R80" i="3"/>
  <c r="AA80" i="3" s="1"/>
  <c r="Q80" i="3"/>
  <c r="Z80" i="3" s="1"/>
  <c r="P80" i="3"/>
  <c r="Y80" i="3" s="1"/>
  <c r="X79" i="3"/>
  <c r="AG79" i="3" s="1"/>
  <c r="W79" i="3"/>
  <c r="AF79" i="3" s="1"/>
  <c r="V79" i="3"/>
  <c r="AE79" i="3" s="1"/>
  <c r="U79" i="3"/>
  <c r="AD79" i="3" s="1"/>
  <c r="T79" i="3"/>
  <c r="AC79" i="3" s="1"/>
  <c r="S79" i="3"/>
  <c r="AB79" i="3" s="1"/>
  <c r="R79" i="3"/>
  <c r="AA79" i="3" s="1"/>
  <c r="Q79" i="3"/>
  <c r="Z79" i="3" s="1"/>
  <c r="P79" i="3"/>
  <c r="Y79" i="3" s="1"/>
  <c r="X78" i="3"/>
  <c r="AG78" i="3" s="1"/>
  <c r="W78" i="3"/>
  <c r="AF78" i="3" s="1"/>
  <c r="V78" i="3"/>
  <c r="AE78" i="3" s="1"/>
  <c r="U78" i="3"/>
  <c r="AD78" i="3" s="1"/>
  <c r="T78" i="3"/>
  <c r="AC78" i="3" s="1"/>
  <c r="S78" i="3"/>
  <c r="AB78" i="3" s="1"/>
  <c r="R78" i="3"/>
  <c r="AA78" i="3" s="1"/>
  <c r="Q78" i="3"/>
  <c r="Z78" i="3" s="1"/>
  <c r="P78" i="3"/>
  <c r="Y78" i="3" s="1"/>
  <c r="X77" i="3"/>
  <c r="AG77" i="3" s="1"/>
  <c r="W77" i="3"/>
  <c r="AF77" i="3" s="1"/>
  <c r="V77" i="3"/>
  <c r="AE77" i="3" s="1"/>
  <c r="U77" i="3"/>
  <c r="AD77" i="3" s="1"/>
  <c r="T77" i="3"/>
  <c r="AC77" i="3" s="1"/>
  <c r="S77" i="3"/>
  <c r="AB77" i="3" s="1"/>
  <c r="R77" i="3"/>
  <c r="AA77" i="3" s="1"/>
  <c r="Q77" i="3"/>
  <c r="Z77" i="3" s="1"/>
  <c r="P77" i="3"/>
  <c r="Y77" i="3" s="1"/>
  <c r="X76" i="3"/>
  <c r="AG76" i="3" s="1"/>
  <c r="W76" i="3"/>
  <c r="AF76" i="3" s="1"/>
  <c r="V76" i="3"/>
  <c r="AE76" i="3" s="1"/>
  <c r="U76" i="3"/>
  <c r="AD76" i="3" s="1"/>
  <c r="T76" i="3"/>
  <c r="AC76" i="3" s="1"/>
  <c r="S76" i="3"/>
  <c r="AB76" i="3" s="1"/>
  <c r="R76" i="3"/>
  <c r="AA76" i="3" s="1"/>
  <c r="Q76" i="3"/>
  <c r="Z76" i="3" s="1"/>
  <c r="P76" i="3"/>
  <c r="Y76" i="3" s="1"/>
  <c r="X75" i="3"/>
  <c r="AG75" i="3" s="1"/>
  <c r="W75" i="3"/>
  <c r="AF75" i="3" s="1"/>
  <c r="V75" i="3"/>
  <c r="AE75" i="3" s="1"/>
  <c r="U75" i="3"/>
  <c r="AD75" i="3" s="1"/>
  <c r="T75" i="3"/>
  <c r="AC75" i="3" s="1"/>
  <c r="S75" i="3"/>
  <c r="AB75" i="3" s="1"/>
  <c r="R75" i="3"/>
  <c r="AA75" i="3" s="1"/>
  <c r="Q75" i="3"/>
  <c r="Z75" i="3" s="1"/>
  <c r="P75" i="3"/>
  <c r="Y75" i="3" s="1"/>
  <c r="X74" i="3"/>
  <c r="AG74" i="3" s="1"/>
  <c r="W74" i="3"/>
  <c r="AF74" i="3" s="1"/>
  <c r="V74" i="3"/>
  <c r="AE74" i="3" s="1"/>
  <c r="U74" i="3"/>
  <c r="AD74" i="3" s="1"/>
  <c r="T74" i="3"/>
  <c r="AC74" i="3" s="1"/>
  <c r="S74" i="3"/>
  <c r="AB74" i="3" s="1"/>
  <c r="R74" i="3"/>
  <c r="AA74" i="3" s="1"/>
  <c r="Q74" i="3"/>
  <c r="Z74" i="3" s="1"/>
  <c r="P74" i="3"/>
  <c r="Y74" i="3" s="1"/>
  <c r="X73" i="3"/>
  <c r="AG73" i="3" s="1"/>
  <c r="W73" i="3"/>
  <c r="AF73" i="3" s="1"/>
  <c r="V73" i="3"/>
  <c r="AE73" i="3" s="1"/>
  <c r="U73" i="3"/>
  <c r="AD73" i="3" s="1"/>
  <c r="T73" i="3"/>
  <c r="AC73" i="3" s="1"/>
  <c r="S73" i="3"/>
  <c r="AB73" i="3" s="1"/>
  <c r="R73" i="3"/>
  <c r="AA73" i="3" s="1"/>
  <c r="Q73" i="3"/>
  <c r="Z73" i="3" s="1"/>
  <c r="P73" i="3"/>
  <c r="Y73" i="3" s="1"/>
  <c r="X72" i="3"/>
  <c r="AG72" i="3" s="1"/>
  <c r="W72" i="3"/>
  <c r="AF72" i="3" s="1"/>
  <c r="V72" i="3"/>
  <c r="AE72" i="3" s="1"/>
  <c r="U72" i="3"/>
  <c r="AD72" i="3" s="1"/>
  <c r="T72" i="3"/>
  <c r="AC72" i="3" s="1"/>
  <c r="S72" i="3"/>
  <c r="AB72" i="3" s="1"/>
  <c r="R72" i="3"/>
  <c r="AA72" i="3" s="1"/>
  <c r="Q72" i="3"/>
  <c r="Z72" i="3" s="1"/>
  <c r="P72" i="3"/>
  <c r="Y72" i="3" s="1"/>
  <c r="X71" i="3"/>
  <c r="AG71" i="3" s="1"/>
  <c r="W71" i="3"/>
  <c r="AF71" i="3" s="1"/>
  <c r="V71" i="3"/>
  <c r="AE71" i="3" s="1"/>
  <c r="U71" i="3"/>
  <c r="AD71" i="3" s="1"/>
  <c r="T71" i="3"/>
  <c r="AC71" i="3" s="1"/>
  <c r="S71" i="3"/>
  <c r="AB71" i="3" s="1"/>
  <c r="R71" i="3"/>
  <c r="AA71" i="3" s="1"/>
  <c r="Q71" i="3"/>
  <c r="Z71" i="3" s="1"/>
  <c r="P71" i="3"/>
  <c r="Y71" i="3" s="1"/>
  <c r="X70" i="3"/>
  <c r="AG70" i="3" s="1"/>
  <c r="W70" i="3"/>
  <c r="AF70" i="3" s="1"/>
  <c r="V70" i="3"/>
  <c r="AE70" i="3" s="1"/>
  <c r="U70" i="3"/>
  <c r="AD70" i="3" s="1"/>
  <c r="T70" i="3"/>
  <c r="AC70" i="3" s="1"/>
  <c r="S70" i="3"/>
  <c r="AB70" i="3" s="1"/>
  <c r="R70" i="3"/>
  <c r="AA70" i="3" s="1"/>
  <c r="Q70" i="3"/>
  <c r="Z70" i="3" s="1"/>
  <c r="P70" i="3"/>
  <c r="Y70" i="3" s="1"/>
  <c r="X69" i="3"/>
  <c r="AG69" i="3" s="1"/>
  <c r="W69" i="3"/>
  <c r="AF69" i="3" s="1"/>
  <c r="V69" i="3"/>
  <c r="AE69" i="3" s="1"/>
  <c r="U69" i="3"/>
  <c r="AD69" i="3" s="1"/>
  <c r="T69" i="3"/>
  <c r="AC69" i="3" s="1"/>
  <c r="S69" i="3"/>
  <c r="AB69" i="3" s="1"/>
  <c r="R69" i="3"/>
  <c r="AA69" i="3" s="1"/>
  <c r="Q69" i="3"/>
  <c r="Z69" i="3" s="1"/>
  <c r="P69" i="3"/>
  <c r="Y69" i="3" s="1"/>
  <c r="X68" i="3"/>
  <c r="AG68" i="3" s="1"/>
  <c r="W68" i="3"/>
  <c r="AF68" i="3" s="1"/>
  <c r="V68" i="3"/>
  <c r="AE68" i="3" s="1"/>
  <c r="U68" i="3"/>
  <c r="AD68" i="3" s="1"/>
  <c r="T68" i="3"/>
  <c r="AC68" i="3" s="1"/>
  <c r="S68" i="3"/>
  <c r="AB68" i="3" s="1"/>
  <c r="R68" i="3"/>
  <c r="AA68" i="3" s="1"/>
  <c r="Q68" i="3"/>
  <c r="Z68" i="3" s="1"/>
  <c r="P68" i="3"/>
  <c r="Y68" i="3" s="1"/>
  <c r="X67" i="3"/>
  <c r="AG67" i="3" s="1"/>
  <c r="W67" i="3"/>
  <c r="AF67" i="3" s="1"/>
  <c r="V67" i="3"/>
  <c r="AE67" i="3" s="1"/>
  <c r="U67" i="3"/>
  <c r="AD67" i="3" s="1"/>
  <c r="T67" i="3"/>
  <c r="AC67" i="3" s="1"/>
  <c r="S67" i="3"/>
  <c r="AB67" i="3" s="1"/>
  <c r="R67" i="3"/>
  <c r="AA67" i="3" s="1"/>
  <c r="Q67" i="3"/>
  <c r="Z67" i="3" s="1"/>
  <c r="P67" i="3"/>
  <c r="Y67" i="3" s="1"/>
  <c r="X66" i="3"/>
  <c r="AG66" i="3" s="1"/>
  <c r="W66" i="3"/>
  <c r="AF66" i="3" s="1"/>
  <c r="V66" i="3"/>
  <c r="AE66" i="3" s="1"/>
  <c r="U66" i="3"/>
  <c r="AD66" i="3" s="1"/>
  <c r="T66" i="3"/>
  <c r="AC66" i="3" s="1"/>
  <c r="S66" i="3"/>
  <c r="AB66" i="3" s="1"/>
  <c r="R66" i="3"/>
  <c r="Q66" i="3"/>
  <c r="Z66" i="3" s="1"/>
  <c r="P66" i="3"/>
  <c r="Y66" i="3" s="1"/>
  <c r="X65" i="3"/>
  <c r="AG65" i="3" s="1"/>
  <c r="W65" i="3"/>
  <c r="AF65" i="3" s="1"/>
  <c r="V65" i="3"/>
  <c r="AE65" i="3" s="1"/>
  <c r="U65" i="3"/>
  <c r="AD65" i="3" s="1"/>
  <c r="T65" i="3"/>
  <c r="AC65" i="3" s="1"/>
  <c r="S65" i="3"/>
  <c r="AB65" i="3" s="1"/>
  <c r="R65" i="3"/>
  <c r="Q65" i="3"/>
  <c r="Z65" i="3" s="1"/>
  <c r="P65" i="3"/>
  <c r="Y65" i="3" s="1"/>
  <c r="X64" i="3"/>
  <c r="AG64" i="3" s="1"/>
  <c r="W64" i="3"/>
  <c r="AF64" i="3" s="1"/>
  <c r="V64" i="3"/>
  <c r="U64" i="3"/>
  <c r="AD64" i="3" s="1"/>
  <c r="T64" i="3"/>
  <c r="AC64" i="3" s="1"/>
  <c r="S64" i="3"/>
  <c r="AB64" i="3" s="1"/>
  <c r="R64" i="3"/>
  <c r="AA64" i="3" s="1"/>
  <c r="Q64" i="3"/>
  <c r="Z64" i="3" s="1"/>
  <c r="P64" i="3"/>
  <c r="Y64" i="3" s="1"/>
  <c r="X63" i="3"/>
  <c r="AG63" i="3" s="1"/>
  <c r="W63" i="3"/>
  <c r="AF63" i="3" s="1"/>
  <c r="V63" i="3"/>
  <c r="U63" i="3"/>
  <c r="AD63" i="3" s="1"/>
  <c r="T63" i="3"/>
  <c r="AC63" i="3" s="1"/>
  <c r="S63" i="3"/>
  <c r="AB63" i="3" s="1"/>
  <c r="R63" i="3"/>
  <c r="AA63" i="3" s="1"/>
  <c r="Q63" i="3"/>
  <c r="Z63" i="3" s="1"/>
  <c r="P63" i="3"/>
  <c r="Y63" i="3" s="1"/>
  <c r="X62" i="3"/>
  <c r="AG62" i="3" s="1"/>
  <c r="W62" i="3"/>
  <c r="AF62" i="3" s="1"/>
  <c r="V62" i="3"/>
  <c r="U62" i="3"/>
  <c r="AD62" i="3" s="1"/>
  <c r="T62" i="3"/>
  <c r="AC62" i="3" s="1"/>
  <c r="S62" i="3"/>
  <c r="AB62" i="3" s="1"/>
  <c r="R62" i="3"/>
  <c r="AA62" i="3" s="1"/>
  <c r="Q62" i="3"/>
  <c r="Z62" i="3" s="1"/>
  <c r="P62" i="3"/>
  <c r="Y62" i="3" s="1"/>
  <c r="X61" i="3"/>
  <c r="AG61" i="3" s="1"/>
  <c r="W61" i="3"/>
  <c r="AF61" i="3" s="1"/>
  <c r="V61" i="3"/>
  <c r="U61" i="3"/>
  <c r="AD61" i="3" s="1"/>
  <c r="T61" i="3"/>
  <c r="AC61" i="3" s="1"/>
  <c r="S61" i="3"/>
  <c r="AB61" i="3" s="1"/>
  <c r="R61" i="3"/>
  <c r="AA61" i="3" s="1"/>
  <c r="Q61" i="3"/>
  <c r="Z61" i="3" s="1"/>
  <c r="P61" i="3"/>
  <c r="Y61" i="3" s="1"/>
  <c r="X60" i="3"/>
  <c r="AG60" i="3" s="1"/>
  <c r="W60" i="3"/>
  <c r="AF60" i="3" s="1"/>
  <c r="V60" i="3"/>
  <c r="U60" i="3"/>
  <c r="AD60" i="3" s="1"/>
  <c r="T60" i="3"/>
  <c r="AC60" i="3" s="1"/>
  <c r="S60" i="3"/>
  <c r="AB60" i="3" s="1"/>
  <c r="R60" i="3"/>
  <c r="Q60" i="3"/>
  <c r="Z60" i="3" s="1"/>
  <c r="P60" i="3"/>
  <c r="Y60" i="3" s="1"/>
  <c r="X59" i="3"/>
  <c r="AG59" i="3" s="1"/>
  <c r="W59" i="3"/>
  <c r="AF59" i="3" s="1"/>
  <c r="V59" i="3"/>
  <c r="U59" i="3"/>
  <c r="AD59" i="3" s="1"/>
  <c r="T59" i="3"/>
  <c r="AC59" i="3" s="1"/>
  <c r="S59" i="3"/>
  <c r="AB59" i="3" s="1"/>
  <c r="R59" i="3"/>
  <c r="Q59" i="3"/>
  <c r="Z59" i="3" s="1"/>
  <c r="P59" i="3"/>
  <c r="Y59" i="3" s="1"/>
  <c r="X58" i="3"/>
  <c r="AG58" i="3" s="1"/>
  <c r="W58" i="3"/>
  <c r="AF58" i="3" s="1"/>
  <c r="V58" i="3"/>
  <c r="U58" i="3"/>
  <c r="AD58" i="3" s="1"/>
  <c r="T58" i="3"/>
  <c r="AC58" i="3" s="1"/>
  <c r="S58" i="3"/>
  <c r="AB58" i="3" s="1"/>
  <c r="R58" i="3"/>
  <c r="AA58" i="3" s="1"/>
  <c r="Q58" i="3"/>
  <c r="Z58" i="3" s="1"/>
  <c r="P58" i="3"/>
  <c r="Y58" i="3" s="1"/>
  <c r="X57" i="3"/>
  <c r="AG57" i="3" s="1"/>
  <c r="W57" i="3"/>
  <c r="AF57" i="3" s="1"/>
  <c r="V57" i="3"/>
  <c r="U57" i="3"/>
  <c r="AD57" i="3" s="1"/>
  <c r="T57" i="3"/>
  <c r="AC57" i="3" s="1"/>
  <c r="S57" i="3"/>
  <c r="AB57" i="3" s="1"/>
  <c r="R57" i="3"/>
  <c r="AA57" i="3" s="1"/>
  <c r="Q57" i="3"/>
  <c r="Z57" i="3" s="1"/>
  <c r="P57" i="3"/>
  <c r="Y57" i="3" s="1"/>
  <c r="X56" i="3"/>
  <c r="AG56" i="3" s="1"/>
  <c r="W56" i="3"/>
  <c r="AF56" i="3" s="1"/>
  <c r="V56" i="3"/>
  <c r="AE56" i="3" s="1"/>
  <c r="U56" i="3"/>
  <c r="AD56" i="3" s="1"/>
  <c r="T56" i="3"/>
  <c r="S56" i="3"/>
  <c r="AB56" i="3" s="1"/>
  <c r="R56" i="3"/>
  <c r="Q56" i="3"/>
  <c r="Z56" i="3" s="1"/>
  <c r="P56" i="3"/>
  <c r="Y56" i="3" s="1"/>
  <c r="X55" i="3"/>
  <c r="AG55" i="3" s="1"/>
  <c r="W55" i="3"/>
  <c r="AF55" i="3" s="1"/>
  <c r="V55" i="3"/>
  <c r="AE55" i="3" s="1"/>
  <c r="U55" i="3"/>
  <c r="AD55" i="3" s="1"/>
  <c r="T55" i="3"/>
  <c r="S55" i="3"/>
  <c r="AB55" i="3" s="1"/>
  <c r="R55" i="3"/>
  <c r="Q55" i="3"/>
  <c r="Z55" i="3" s="1"/>
  <c r="P55" i="3"/>
  <c r="Y55" i="3" s="1"/>
  <c r="X54" i="3"/>
  <c r="AG54" i="3" s="1"/>
  <c r="W54" i="3"/>
  <c r="AF54" i="3" s="1"/>
  <c r="V54" i="3"/>
  <c r="AE54" i="3" s="1"/>
  <c r="U54" i="3"/>
  <c r="AD54" i="3" s="1"/>
  <c r="T54" i="3"/>
  <c r="S54" i="3"/>
  <c r="R54" i="3"/>
  <c r="Q54" i="3"/>
  <c r="Z54" i="3" s="1"/>
  <c r="P54" i="3"/>
  <c r="Y54" i="3" s="1"/>
  <c r="X53" i="3"/>
  <c r="AG53" i="3" s="1"/>
  <c r="W53" i="3"/>
  <c r="AF53" i="3" s="1"/>
  <c r="V53" i="3"/>
  <c r="AE53" i="3" s="1"/>
  <c r="U53" i="3"/>
  <c r="AD53" i="3" s="1"/>
  <c r="T53" i="3"/>
  <c r="S53" i="3"/>
  <c r="AB53" i="3" s="1"/>
  <c r="R53" i="3"/>
  <c r="Q53" i="3"/>
  <c r="Z53" i="3" s="1"/>
  <c r="P53" i="3"/>
  <c r="Y53" i="3" s="1"/>
  <c r="X52" i="3"/>
  <c r="AG52" i="3" s="1"/>
  <c r="W52" i="3"/>
  <c r="AF52" i="3" s="1"/>
  <c r="V52" i="3"/>
  <c r="AE52" i="3" s="1"/>
  <c r="U52" i="3"/>
  <c r="AD52" i="3" s="1"/>
  <c r="T52" i="3"/>
  <c r="S52" i="3"/>
  <c r="R52" i="3"/>
  <c r="AA52" i="3" s="1"/>
  <c r="Q52" i="3"/>
  <c r="Z52" i="3" s="1"/>
  <c r="P52" i="3"/>
  <c r="Y52" i="3" s="1"/>
  <c r="X51" i="3"/>
  <c r="AG51" i="3" s="1"/>
  <c r="W51" i="3"/>
  <c r="AF51" i="3" s="1"/>
  <c r="V51" i="3"/>
  <c r="AE51" i="3" s="1"/>
  <c r="U51" i="3"/>
  <c r="AD51" i="3" s="1"/>
  <c r="T51" i="3"/>
  <c r="S51" i="3"/>
  <c r="R51" i="3"/>
  <c r="AA51" i="3" s="1"/>
  <c r="Q51" i="3"/>
  <c r="Z51" i="3" s="1"/>
  <c r="P51" i="3"/>
  <c r="Y51" i="3" s="1"/>
  <c r="X50" i="3"/>
  <c r="AG50" i="3" s="1"/>
  <c r="W50" i="3"/>
  <c r="AF50" i="3" s="1"/>
  <c r="V50" i="3"/>
  <c r="U50" i="3"/>
  <c r="AD50" i="3" s="1"/>
  <c r="T50" i="3"/>
  <c r="S50" i="3"/>
  <c r="R50" i="3"/>
  <c r="AA50" i="3" s="1"/>
  <c r="Q50" i="3"/>
  <c r="Z50" i="3" s="1"/>
  <c r="P50" i="3"/>
  <c r="Y50" i="3" s="1"/>
  <c r="X49" i="3"/>
  <c r="AG49" i="3" s="1"/>
  <c r="W49" i="3"/>
  <c r="AF49" i="3" s="1"/>
  <c r="V49" i="3"/>
  <c r="AE49" i="3" s="1"/>
  <c r="U49" i="3"/>
  <c r="AD49" i="3" s="1"/>
  <c r="T49" i="3"/>
  <c r="S49" i="3"/>
  <c r="R49" i="3"/>
  <c r="AA49" i="3" s="1"/>
  <c r="Q49" i="3"/>
  <c r="Z49" i="3" s="1"/>
  <c r="P49" i="3"/>
  <c r="Y49" i="3" s="1"/>
  <c r="X48" i="3"/>
  <c r="AG48" i="3" s="1"/>
  <c r="W48" i="3"/>
  <c r="AF48" i="3" s="1"/>
  <c r="V48" i="3"/>
  <c r="U48" i="3"/>
  <c r="T48" i="3"/>
  <c r="S48" i="3"/>
  <c r="R48" i="3"/>
  <c r="AA48" i="3" s="1"/>
  <c r="Q48" i="3"/>
  <c r="Z48" i="3" s="1"/>
  <c r="P48" i="3"/>
  <c r="Y48" i="3" s="1"/>
  <c r="X47" i="3"/>
  <c r="W47" i="3"/>
  <c r="AF47" i="3" s="1"/>
  <c r="V47" i="3"/>
  <c r="U47" i="3"/>
  <c r="T47" i="3"/>
  <c r="S47" i="3"/>
  <c r="R47" i="3"/>
  <c r="AA47" i="3" s="1"/>
  <c r="Q47" i="3"/>
  <c r="Z47" i="3" s="1"/>
  <c r="P47" i="3"/>
  <c r="Y47" i="3" s="1"/>
  <c r="X46" i="3"/>
  <c r="W46" i="3"/>
  <c r="AF46" i="3" s="1"/>
  <c r="V46" i="3"/>
  <c r="U46" i="3"/>
  <c r="T46" i="3"/>
  <c r="S46" i="3"/>
  <c r="AB46" i="3" s="1"/>
  <c r="R46" i="3"/>
  <c r="Q46" i="3"/>
  <c r="Z46" i="3" s="1"/>
  <c r="P46" i="3"/>
  <c r="Y46" i="3" s="1"/>
  <c r="X45" i="3"/>
  <c r="AG45" i="3" s="1"/>
  <c r="W45" i="3"/>
  <c r="AF45" i="3" s="1"/>
  <c r="V45" i="3"/>
  <c r="U45" i="3"/>
  <c r="AD45" i="3" s="1"/>
  <c r="T45" i="3"/>
  <c r="S45" i="3"/>
  <c r="AB45" i="3" s="1"/>
  <c r="R45" i="3"/>
  <c r="AA45" i="3" s="1"/>
  <c r="Q45" i="3"/>
  <c r="Z45" i="3" s="1"/>
  <c r="P45" i="3"/>
  <c r="Y45" i="3" s="1"/>
  <c r="X44" i="3"/>
  <c r="AG44" i="3" s="1"/>
  <c r="W44" i="3"/>
  <c r="AF44" i="3" s="1"/>
  <c r="V44" i="3"/>
  <c r="U44" i="3"/>
  <c r="AD44" i="3" s="1"/>
  <c r="T44" i="3"/>
  <c r="S44" i="3"/>
  <c r="R44" i="3"/>
  <c r="Q44" i="3"/>
  <c r="Z44" i="3" s="1"/>
  <c r="P44" i="3"/>
  <c r="Y44" i="3" s="1"/>
  <c r="X43" i="3"/>
  <c r="AG43" i="3" s="1"/>
  <c r="W43" i="3"/>
  <c r="AF43" i="3" s="1"/>
  <c r="V43" i="3"/>
  <c r="U43" i="3"/>
  <c r="AD43" i="3" s="1"/>
  <c r="T43" i="3"/>
  <c r="S43" i="3"/>
  <c r="AB43" i="3" s="1"/>
  <c r="R43" i="3"/>
  <c r="Q43" i="3"/>
  <c r="Z43" i="3" s="1"/>
  <c r="P43" i="3"/>
  <c r="Y43" i="3" s="1"/>
  <c r="X42" i="3"/>
  <c r="AG42" i="3" s="1"/>
  <c r="W42" i="3"/>
  <c r="AF42" i="3" s="1"/>
  <c r="V42" i="3"/>
  <c r="AE42" i="3" s="1"/>
  <c r="U42" i="3"/>
  <c r="AD42" i="3" s="1"/>
  <c r="T42" i="3"/>
  <c r="S42" i="3"/>
  <c r="R42" i="3"/>
  <c r="Q42" i="3"/>
  <c r="Z42" i="3" s="1"/>
  <c r="P42" i="3"/>
  <c r="Y42" i="3" s="1"/>
  <c r="X41" i="3"/>
  <c r="AG41" i="3" s="1"/>
  <c r="W41" i="3"/>
  <c r="AF41" i="3" s="1"/>
  <c r="V41" i="3"/>
  <c r="AE41" i="3" s="1"/>
  <c r="U41" i="3"/>
  <c r="AD41" i="3" s="1"/>
  <c r="T41" i="3"/>
  <c r="S41" i="3"/>
  <c r="R41" i="3"/>
  <c r="Q41" i="3"/>
  <c r="Z41" i="3" s="1"/>
  <c r="P41" i="3"/>
  <c r="Y41" i="3" s="1"/>
  <c r="X40" i="3"/>
  <c r="AG40" i="3" s="1"/>
  <c r="W40" i="3"/>
  <c r="AF40" i="3" s="1"/>
  <c r="V40" i="3"/>
  <c r="U40" i="3"/>
  <c r="AD40" i="3" s="1"/>
  <c r="T40" i="3"/>
  <c r="S40" i="3"/>
  <c r="R40" i="3"/>
  <c r="Q40" i="3"/>
  <c r="Z40" i="3" s="1"/>
  <c r="P40" i="3"/>
  <c r="Y40" i="3" s="1"/>
  <c r="X39" i="3"/>
  <c r="AG39" i="3" s="1"/>
  <c r="W39" i="3"/>
  <c r="AF39" i="3" s="1"/>
  <c r="V39" i="3"/>
  <c r="AE39" i="3" s="1"/>
  <c r="U39" i="3"/>
  <c r="AD39" i="3" s="1"/>
  <c r="T39" i="3"/>
  <c r="S39" i="3"/>
  <c r="R39" i="3"/>
  <c r="Q39" i="3"/>
  <c r="Z39" i="3" s="1"/>
  <c r="P39" i="3"/>
  <c r="Y39" i="3" s="1"/>
  <c r="X38" i="3"/>
  <c r="W38" i="3"/>
  <c r="V38" i="3"/>
  <c r="U38" i="3"/>
  <c r="T38" i="3"/>
  <c r="S38" i="3"/>
  <c r="R38" i="3"/>
  <c r="Q38" i="3"/>
  <c r="P38" i="3"/>
  <c r="X37" i="3"/>
  <c r="AG37" i="3" s="1"/>
  <c r="W37" i="3"/>
  <c r="AF37" i="3" s="1"/>
  <c r="V37" i="3"/>
  <c r="U37" i="3"/>
  <c r="AD37" i="3" s="1"/>
  <c r="T37" i="3"/>
  <c r="S37" i="3"/>
  <c r="AB37" i="3" s="1"/>
  <c r="R37" i="3"/>
  <c r="Q37" i="3"/>
  <c r="Z37" i="3" s="1"/>
  <c r="P37" i="3"/>
  <c r="Y37" i="3" s="1"/>
  <c r="X36" i="3"/>
  <c r="W36" i="3"/>
  <c r="AF36" i="3" s="1"/>
  <c r="V36" i="3"/>
  <c r="U36" i="3"/>
  <c r="AD36" i="3" s="1"/>
  <c r="T36" i="3"/>
  <c r="S36" i="3"/>
  <c r="AB36" i="3" s="1"/>
  <c r="R36" i="3"/>
  <c r="Q36" i="3"/>
  <c r="Z36" i="3" s="1"/>
  <c r="P36" i="3"/>
  <c r="Y36" i="3" s="1"/>
  <c r="X35" i="3"/>
  <c r="AG35" i="3" s="1"/>
  <c r="W35" i="3"/>
  <c r="AF35" i="3" s="1"/>
  <c r="V35" i="3"/>
  <c r="U35" i="3"/>
  <c r="AD35" i="3" s="1"/>
  <c r="T35" i="3"/>
  <c r="S35" i="3"/>
  <c r="AB35" i="3" s="1"/>
  <c r="R35" i="3"/>
  <c r="Q35" i="3"/>
  <c r="Z35" i="3" s="1"/>
  <c r="P35" i="3"/>
  <c r="Y35" i="3" s="1"/>
  <c r="X34" i="3"/>
  <c r="W34" i="3"/>
  <c r="AF34" i="3" s="1"/>
  <c r="V34" i="3"/>
  <c r="U34" i="3"/>
  <c r="AD34" i="3" s="1"/>
  <c r="T34" i="3"/>
  <c r="S34" i="3"/>
  <c r="AB34" i="3" s="1"/>
  <c r="R34" i="3"/>
  <c r="Q34" i="3"/>
  <c r="Z34" i="3" s="1"/>
  <c r="P34" i="3"/>
  <c r="Y34" i="3" s="1"/>
  <c r="X33" i="3"/>
  <c r="W33" i="3"/>
  <c r="AF33" i="3" s="1"/>
  <c r="V33" i="3"/>
  <c r="U33" i="3"/>
  <c r="AD33" i="3" s="1"/>
  <c r="T33" i="3"/>
  <c r="S33" i="3"/>
  <c r="AB33" i="3" s="1"/>
  <c r="R33" i="3"/>
  <c r="Q33" i="3"/>
  <c r="Z33" i="3" s="1"/>
  <c r="P33" i="3"/>
  <c r="Y33" i="3" s="1"/>
  <c r="X32" i="3"/>
  <c r="AG32" i="3" s="1"/>
  <c r="W32" i="3"/>
  <c r="AF32" i="3" s="1"/>
  <c r="V32" i="3"/>
  <c r="U32" i="3"/>
  <c r="AD32" i="3" s="1"/>
  <c r="T32" i="3"/>
  <c r="S32" i="3"/>
  <c r="AB32" i="3" s="1"/>
  <c r="R32" i="3"/>
  <c r="Q32" i="3"/>
  <c r="Z32" i="3" s="1"/>
  <c r="P32" i="3"/>
  <c r="Y32" i="3" s="1"/>
  <c r="X31" i="3"/>
  <c r="AG31" i="3" s="1"/>
  <c r="W31" i="3"/>
  <c r="AF31" i="3" s="1"/>
  <c r="V31" i="3"/>
  <c r="AE31" i="3" s="1"/>
  <c r="U31" i="3"/>
  <c r="AD31" i="3" s="1"/>
  <c r="T31" i="3"/>
  <c r="S31" i="3"/>
  <c r="AB31" i="3" s="1"/>
  <c r="R31" i="3"/>
  <c r="Q31" i="3"/>
  <c r="Z31" i="3" s="1"/>
  <c r="P31" i="3"/>
  <c r="Y31" i="3" s="1"/>
  <c r="X30" i="3"/>
  <c r="AG30" i="3" s="1"/>
  <c r="W30" i="3"/>
  <c r="AF30" i="3" s="1"/>
  <c r="V30" i="3"/>
  <c r="U30" i="3"/>
  <c r="AD30" i="3" s="1"/>
  <c r="T30" i="3"/>
  <c r="S30" i="3"/>
  <c r="AB30" i="3" s="1"/>
  <c r="R30" i="3"/>
  <c r="Q30" i="3"/>
  <c r="Z30" i="3" s="1"/>
  <c r="P30" i="3"/>
  <c r="Y30" i="3" s="1"/>
  <c r="X29" i="3"/>
  <c r="AG29" i="3" s="1"/>
  <c r="W29" i="3"/>
  <c r="AF29" i="3" s="1"/>
  <c r="V29" i="3"/>
  <c r="U29" i="3"/>
  <c r="AD29" i="3" s="1"/>
  <c r="T29" i="3"/>
  <c r="AC29" i="3" s="1"/>
  <c r="S29" i="3"/>
  <c r="AB29" i="3" s="1"/>
  <c r="R29" i="3"/>
  <c r="Q29" i="3"/>
  <c r="Z29" i="3" s="1"/>
  <c r="P29" i="3"/>
  <c r="Y29" i="3" s="1"/>
  <c r="X28" i="3"/>
  <c r="W28" i="3"/>
  <c r="AF28" i="3" s="1"/>
  <c r="V28" i="3"/>
  <c r="U28" i="3"/>
  <c r="AD28" i="3" s="1"/>
  <c r="T28" i="3"/>
  <c r="AC28" i="3" s="1"/>
  <c r="S28" i="3"/>
  <c r="AB28" i="3" s="1"/>
  <c r="R28" i="3"/>
  <c r="Q28" i="3"/>
  <c r="Z28" i="3" s="1"/>
  <c r="P28" i="3"/>
  <c r="Y28" i="3" s="1"/>
  <c r="X27" i="3"/>
  <c r="W27" i="3"/>
  <c r="AF27" i="3" s="1"/>
  <c r="V27" i="3"/>
  <c r="U27" i="3"/>
  <c r="AD27" i="3" s="1"/>
  <c r="T27" i="3"/>
  <c r="AC27" i="3" s="1"/>
  <c r="S27" i="3"/>
  <c r="AB27" i="3" s="1"/>
  <c r="R27" i="3"/>
  <c r="Q27" i="3"/>
  <c r="Z27" i="3" s="1"/>
  <c r="P27" i="3"/>
  <c r="Y27" i="3" s="1"/>
  <c r="X26" i="3"/>
  <c r="W26" i="3"/>
  <c r="AF26" i="3" s="1"/>
  <c r="V26" i="3"/>
  <c r="U26" i="3"/>
  <c r="AD26" i="3" s="1"/>
  <c r="T26" i="3"/>
  <c r="AC26" i="3" s="1"/>
  <c r="S26" i="3"/>
  <c r="AB26" i="3" s="1"/>
  <c r="R26" i="3"/>
  <c r="AA26" i="3" s="1"/>
  <c r="Q26" i="3"/>
  <c r="Z26" i="3" s="1"/>
  <c r="P26" i="3"/>
  <c r="Y26" i="3" s="1"/>
  <c r="X25" i="3"/>
  <c r="AG25" i="3" s="1"/>
  <c r="W25" i="3"/>
  <c r="AF25" i="3" s="1"/>
  <c r="V25" i="3"/>
  <c r="AE25" i="3" s="1"/>
  <c r="U25" i="3"/>
  <c r="AD25" i="3" s="1"/>
  <c r="T25" i="3"/>
  <c r="AC25" i="3" s="1"/>
  <c r="S25" i="3"/>
  <c r="AB25" i="3" s="1"/>
  <c r="R25" i="3"/>
  <c r="AA25" i="3" s="1"/>
  <c r="Q25" i="3"/>
  <c r="Z25" i="3" s="1"/>
  <c r="P25" i="3"/>
  <c r="Y25" i="3" s="1"/>
  <c r="X24" i="3"/>
  <c r="AG24" i="3" s="1"/>
  <c r="W24" i="3"/>
  <c r="AF24" i="3" s="1"/>
  <c r="V24" i="3"/>
  <c r="AE24" i="3" s="1"/>
  <c r="U24" i="3"/>
  <c r="AD24" i="3" s="1"/>
  <c r="T24" i="3"/>
  <c r="AC24" i="3" s="1"/>
  <c r="S24" i="3"/>
  <c r="AB24" i="3" s="1"/>
  <c r="R24" i="3"/>
  <c r="AA24" i="3" s="1"/>
  <c r="Q24" i="3"/>
  <c r="Z24" i="3" s="1"/>
  <c r="P24" i="3"/>
  <c r="Y24" i="3" s="1"/>
  <c r="X23" i="3"/>
  <c r="AG23" i="3" s="1"/>
  <c r="W23" i="3"/>
  <c r="AF23" i="3" s="1"/>
  <c r="V23" i="3"/>
  <c r="AE23" i="3" s="1"/>
  <c r="U23" i="3"/>
  <c r="AD23" i="3" s="1"/>
  <c r="T23" i="3"/>
  <c r="AC23" i="3" s="1"/>
  <c r="S23" i="3"/>
  <c r="AB23" i="3" s="1"/>
  <c r="R23" i="3"/>
  <c r="AA23" i="3" s="1"/>
  <c r="Q23" i="3"/>
  <c r="Z23" i="3" s="1"/>
  <c r="P23" i="3"/>
  <c r="X22" i="3"/>
  <c r="AG22" i="3" s="1"/>
  <c r="W22" i="3"/>
  <c r="AF22" i="3" s="1"/>
  <c r="V22" i="3"/>
  <c r="AE22" i="3" s="1"/>
  <c r="U22" i="3"/>
  <c r="AD22" i="3" s="1"/>
  <c r="T22" i="3"/>
  <c r="AC22" i="3" s="1"/>
  <c r="S22" i="3"/>
  <c r="AB22" i="3" s="1"/>
  <c r="R22" i="3"/>
  <c r="AA22" i="3" s="1"/>
  <c r="Q22" i="3"/>
  <c r="Z22" i="3" s="1"/>
  <c r="P22" i="3"/>
  <c r="X21" i="3"/>
  <c r="AG21" i="3" s="1"/>
  <c r="W21" i="3"/>
  <c r="AF21" i="3" s="1"/>
  <c r="V21" i="3"/>
  <c r="AE21" i="3" s="1"/>
  <c r="U21" i="3"/>
  <c r="AD21" i="3" s="1"/>
  <c r="T21" i="3"/>
  <c r="AC21" i="3" s="1"/>
  <c r="S21" i="3"/>
  <c r="AB21" i="3" s="1"/>
  <c r="R21" i="3"/>
  <c r="AA21" i="3" s="1"/>
  <c r="Q21" i="3"/>
  <c r="Z21" i="3" s="1"/>
  <c r="P21" i="3"/>
  <c r="X20" i="3"/>
  <c r="AG20" i="3" s="1"/>
  <c r="W20" i="3"/>
  <c r="AF20" i="3" s="1"/>
  <c r="V20" i="3"/>
  <c r="AE20" i="3" s="1"/>
  <c r="U20" i="3"/>
  <c r="AD20" i="3" s="1"/>
  <c r="T20" i="3"/>
  <c r="AC20" i="3" s="1"/>
  <c r="S20" i="3"/>
  <c r="AB20" i="3" s="1"/>
  <c r="R20" i="3"/>
  <c r="AA20" i="3" s="1"/>
  <c r="Q20" i="3"/>
  <c r="Z20" i="3" s="1"/>
  <c r="P20" i="3"/>
  <c r="X19" i="3"/>
  <c r="AG19" i="3" s="1"/>
  <c r="W19" i="3"/>
  <c r="AF19" i="3" s="1"/>
  <c r="V19" i="3"/>
  <c r="AE19" i="3" s="1"/>
  <c r="U19" i="3"/>
  <c r="AD19" i="3" s="1"/>
  <c r="T19" i="3"/>
  <c r="AC19" i="3" s="1"/>
  <c r="S19" i="3"/>
  <c r="AB19" i="3" s="1"/>
  <c r="R19" i="3"/>
  <c r="AA19" i="3" s="1"/>
  <c r="Q19" i="3"/>
  <c r="Z19" i="3" s="1"/>
  <c r="P19" i="3"/>
  <c r="X18" i="3"/>
  <c r="AG18" i="3" s="1"/>
  <c r="W18" i="3"/>
  <c r="AF18" i="3" s="1"/>
  <c r="V18" i="3"/>
  <c r="AE18" i="3" s="1"/>
  <c r="U18" i="3"/>
  <c r="AD18" i="3" s="1"/>
  <c r="T18" i="3"/>
  <c r="AC18" i="3" s="1"/>
  <c r="S18" i="3"/>
  <c r="AB18" i="3" s="1"/>
  <c r="R18" i="3"/>
  <c r="AA18" i="3" s="1"/>
  <c r="Q18" i="3"/>
  <c r="Z18" i="3" s="1"/>
  <c r="P18" i="3"/>
  <c r="X17" i="3"/>
  <c r="AG17" i="3" s="1"/>
  <c r="W17" i="3"/>
  <c r="AF17" i="3" s="1"/>
  <c r="V17" i="3"/>
  <c r="AE17" i="3" s="1"/>
  <c r="U17" i="3"/>
  <c r="AD17" i="3" s="1"/>
  <c r="T17" i="3"/>
  <c r="AC17" i="3" s="1"/>
  <c r="S17" i="3"/>
  <c r="AB17" i="3" s="1"/>
  <c r="R17" i="3"/>
  <c r="Q17" i="3"/>
  <c r="Z17" i="3" s="1"/>
  <c r="P17" i="3"/>
  <c r="Y17" i="3" s="1"/>
  <c r="X16" i="3"/>
  <c r="AG16" i="3" s="1"/>
  <c r="W16" i="3"/>
  <c r="AF16" i="3" s="1"/>
  <c r="V16" i="3"/>
  <c r="AE16" i="3" s="1"/>
  <c r="U16" i="3"/>
  <c r="AD16" i="3" s="1"/>
  <c r="T16" i="3"/>
  <c r="AC16" i="3" s="1"/>
  <c r="S16" i="3"/>
  <c r="AB16" i="3" s="1"/>
  <c r="R16" i="3"/>
  <c r="Q16" i="3"/>
  <c r="Z16" i="3" s="1"/>
  <c r="P16" i="3"/>
  <c r="Y16" i="3" s="1"/>
  <c r="X15" i="3"/>
  <c r="AG15" i="3" s="1"/>
  <c r="W15" i="3"/>
  <c r="AF15" i="3" s="1"/>
  <c r="V15" i="3"/>
  <c r="AE15" i="3" s="1"/>
  <c r="U15" i="3"/>
  <c r="AD15" i="3" s="1"/>
  <c r="T15" i="3"/>
  <c r="AC15" i="3" s="1"/>
  <c r="S15" i="3"/>
  <c r="AB15" i="3" s="1"/>
  <c r="R15" i="3"/>
  <c r="Q15" i="3"/>
  <c r="Z15" i="3" s="1"/>
  <c r="P15" i="3"/>
  <c r="Y15" i="3" s="1"/>
  <c r="X14" i="3"/>
  <c r="AG14" i="3" s="1"/>
  <c r="W14" i="3"/>
  <c r="AF14" i="3" s="1"/>
  <c r="V14" i="3"/>
  <c r="AE14" i="3" s="1"/>
  <c r="U14" i="3"/>
  <c r="AD14" i="3" s="1"/>
  <c r="T14" i="3"/>
  <c r="AC14" i="3" s="1"/>
  <c r="S14" i="3"/>
  <c r="AB14" i="3" s="1"/>
  <c r="R14" i="3"/>
  <c r="AA14" i="3" s="1"/>
  <c r="Q14" i="3"/>
  <c r="Z14" i="3" s="1"/>
  <c r="P14" i="3"/>
  <c r="X13" i="3"/>
  <c r="AG13" i="3" s="1"/>
  <c r="W13" i="3"/>
  <c r="AF13" i="3" s="1"/>
  <c r="V13" i="3"/>
  <c r="AE13" i="3" s="1"/>
  <c r="U13" i="3"/>
  <c r="AD13" i="3" s="1"/>
  <c r="T13" i="3"/>
  <c r="AC13" i="3" s="1"/>
  <c r="S13" i="3"/>
  <c r="AB13" i="3" s="1"/>
  <c r="R13" i="3"/>
  <c r="Q13" i="3"/>
  <c r="Z13" i="3" s="1"/>
  <c r="P13" i="3"/>
  <c r="X12" i="3"/>
  <c r="AG12" i="3" s="1"/>
  <c r="W12" i="3"/>
  <c r="AF12" i="3" s="1"/>
  <c r="V12" i="3"/>
  <c r="AE12" i="3" s="1"/>
  <c r="U12" i="3"/>
  <c r="AD12" i="3" s="1"/>
  <c r="T12" i="3"/>
  <c r="S12" i="3"/>
  <c r="AB12" i="3" s="1"/>
  <c r="R12" i="3"/>
  <c r="Q12" i="3"/>
  <c r="Z12" i="3" s="1"/>
  <c r="P12" i="3"/>
  <c r="X11" i="3"/>
  <c r="AG11" i="3" s="1"/>
  <c r="W11" i="3"/>
  <c r="AF11" i="3" s="1"/>
  <c r="V11" i="3"/>
  <c r="AE11" i="3" s="1"/>
  <c r="U11" i="3"/>
  <c r="AD11" i="3" s="1"/>
  <c r="T11" i="3"/>
  <c r="S11" i="3"/>
  <c r="AB11" i="3" s="1"/>
  <c r="R11" i="3"/>
  <c r="Q11" i="3"/>
  <c r="Z11" i="3" s="1"/>
  <c r="P11" i="3"/>
  <c r="X10" i="3"/>
  <c r="W10" i="3"/>
  <c r="V10" i="3"/>
  <c r="U10" i="3"/>
  <c r="T10" i="3"/>
  <c r="S10" i="3"/>
  <c r="R10" i="3"/>
  <c r="Q10" i="3"/>
  <c r="P10" i="3"/>
  <c r="X9" i="3"/>
  <c r="W9" i="3"/>
  <c r="V9" i="3"/>
  <c r="U9" i="3"/>
  <c r="T9" i="3"/>
  <c r="S9" i="3"/>
  <c r="R9" i="3"/>
  <c r="Q9" i="3"/>
  <c r="P9" i="3"/>
  <c r="X8" i="3"/>
  <c r="W8" i="3"/>
  <c r="V8" i="3"/>
  <c r="U8" i="3"/>
  <c r="T8" i="3"/>
  <c r="S8" i="3"/>
  <c r="R8" i="3"/>
  <c r="Q8" i="3"/>
  <c r="P8" i="3"/>
  <c r="X7" i="3"/>
  <c r="W7" i="3"/>
  <c r="V7" i="3"/>
  <c r="U7" i="3"/>
  <c r="T7" i="3"/>
  <c r="S7" i="3"/>
  <c r="R7" i="3"/>
  <c r="Q7" i="3"/>
  <c r="P7" i="3"/>
  <c r="X6" i="3"/>
  <c r="W6" i="3"/>
  <c r="V6" i="3"/>
  <c r="U6" i="3"/>
  <c r="T6" i="3"/>
  <c r="S6" i="3"/>
  <c r="R6" i="3"/>
  <c r="Q6" i="3"/>
  <c r="P6" i="3"/>
  <c r="X5" i="3"/>
  <c r="W5" i="3"/>
  <c r="V5" i="3"/>
  <c r="U5" i="3"/>
  <c r="T5" i="3"/>
  <c r="S5" i="3"/>
  <c r="R5" i="3"/>
  <c r="Q5" i="3"/>
  <c r="P5" i="3"/>
  <c r="X4" i="3"/>
  <c r="W4" i="3"/>
  <c r="V4" i="3"/>
  <c r="U4" i="3"/>
  <c r="T4" i="3"/>
  <c r="S4" i="3"/>
  <c r="R4" i="3"/>
  <c r="Q4" i="3"/>
  <c r="P4" i="3"/>
  <c r="J27" i="7" l="1"/>
  <c r="J21" i="7"/>
  <c r="J24" i="7"/>
  <c r="J19" i="7"/>
  <c r="J25" i="7"/>
  <c r="J23" i="7"/>
  <c r="J22" i="7"/>
  <c r="J20" i="7"/>
  <c r="J26" i="7"/>
  <c r="K19" i="7"/>
  <c r="K22" i="7"/>
  <c r="K24" i="7"/>
  <c r="K20" i="7"/>
  <c r="K25" i="7"/>
  <c r="K23" i="7"/>
  <c r="K27" i="7"/>
  <c r="K21" i="7"/>
  <c r="K26" i="7"/>
  <c r="G27" i="7"/>
  <c r="G25" i="7"/>
  <c r="G24" i="7"/>
  <c r="G22" i="7"/>
  <c r="G19" i="7"/>
  <c r="G21" i="7"/>
  <c r="G20" i="7"/>
  <c r="G26" i="7"/>
  <c r="G23" i="7"/>
  <c r="D22" i="7"/>
  <c r="D25" i="7"/>
  <c r="D26" i="7"/>
  <c r="D23" i="7"/>
  <c r="D20" i="7"/>
  <c r="D19" i="7"/>
  <c r="D21" i="7"/>
  <c r="D24" i="7"/>
  <c r="D27" i="7"/>
  <c r="F22" i="7"/>
  <c r="F25" i="7"/>
  <c r="F23" i="7"/>
  <c r="F20" i="7"/>
  <c r="F24" i="7"/>
  <c r="F19" i="7"/>
  <c r="F26" i="7"/>
  <c r="F27" i="7"/>
  <c r="F21" i="7"/>
  <c r="C20" i="7"/>
  <c r="C19" i="7"/>
  <c r="C26" i="7"/>
  <c r="C23" i="7"/>
  <c r="C24" i="7"/>
  <c r="C22" i="7"/>
  <c r="C21" i="7"/>
  <c r="C25" i="7"/>
  <c r="C27" i="7"/>
  <c r="H19" i="7"/>
  <c r="H21" i="7"/>
  <c r="H26" i="7"/>
  <c r="H23" i="7"/>
  <c r="H24" i="7"/>
  <c r="H22" i="7"/>
  <c r="H20" i="7"/>
  <c r="H27" i="7"/>
  <c r="H25" i="7"/>
  <c r="E27" i="7"/>
  <c r="E22" i="7"/>
  <c r="E25" i="7"/>
  <c r="E19" i="7"/>
  <c r="E23" i="7"/>
  <c r="E24" i="7"/>
  <c r="E21" i="7"/>
  <c r="E26" i="7"/>
  <c r="E20" i="7"/>
  <c r="I19" i="7"/>
  <c r="I25" i="7"/>
  <c r="I26" i="7"/>
  <c r="I23" i="7"/>
  <c r="I20" i="7"/>
  <c r="I24" i="7"/>
  <c r="I22" i="7"/>
  <c r="I27" i="7"/>
  <c r="I21" i="7"/>
  <c r="W22" i="7"/>
  <c r="W26" i="7"/>
  <c r="W27" i="7"/>
  <c r="W23" i="7"/>
  <c r="W21" i="7"/>
  <c r="W20" i="7"/>
  <c r="W25" i="7"/>
  <c r="W24" i="7"/>
  <c r="J8" i="7"/>
  <c r="J13" i="7"/>
  <c r="J4" i="7"/>
  <c r="J17" i="7"/>
  <c r="J11" i="7"/>
  <c r="J5" i="7"/>
  <c r="J6" i="7"/>
  <c r="J18" i="7"/>
  <c r="J14" i="7"/>
  <c r="J7" i="7"/>
  <c r="J16" i="7"/>
  <c r="J10" i="7"/>
  <c r="J15" i="7"/>
  <c r="J12" i="7"/>
  <c r="J9" i="7"/>
  <c r="C5" i="7"/>
  <c r="C10" i="7"/>
  <c r="C8" i="7"/>
  <c r="C16" i="7"/>
  <c r="C12" i="7"/>
  <c r="C11" i="7"/>
  <c r="C6" i="7"/>
  <c r="C14" i="7"/>
  <c r="C4" i="7"/>
  <c r="C17" i="7"/>
  <c r="C18" i="7"/>
  <c r="C9" i="7"/>
  <c r="C13" i="7"/>
  <c r="C15" i="7"/>
  <c r="C7" i="7"/>
  <c r="K16" i="7"/>
  <c r="K13" i="7"/>
  <c r="K14" i="7"/>
  <c r="K18" i="7"/>
  <c r="K12" i="7"/>
  <c r="K7" i="7"/>
  <c r="K10" i="7"/>
  <c r="K9" i="7"/>
  <c r="K17" i="7"/>
  <c r="K4" i="7"/>
  <c r="K8" i="7"/>
  <c r="K5" i="7"/>
  <c r="K6" i="7"/>
  <c r="K15" i="7"/>
  <c r="K11" i="7"/>
  <c r="D8" i="7"/>
  <c r="D16" i="7"/>
  <c r="D13" i="7"/>
  <c r="D6" i="7"/>
  <c r="D14" i="7"/>
  <c r="D18" i="7"/>
  <c r="D5" i="7"/>
  <c r="D9" i="7"/>
  <c r="D10" i="7"/>
  <c r="D12" i="7"/>
  <c r="D7" i="7"/>
  <c r="D11" i="7"/>
  <c r="D4" i="7"/>
  <c r="D17" i="7"/>
  <c r="D15" i="7"/>
  <c r="H8" i="7"/>
  <c r="H16" i="7"/>
  <c r="H13" i="7"/>
  <c r="H6" i="7"/>
  <c r="H10" i="7"/>
  <c r="H5" i="7"/>
  <c r="H9" i="7"/>
  <c r="H4" i="7"/>
  <c r="H17" i="7"/>
  <c r="H14" i="7"/>
  <c r="H15" i="7"/>
  <c r="H18" i="7"/>
  <c r="H7" i="7"/>
  <c r="H12" i="7"/>
  <c r="H11" i="7"/>
  <c r="F16" i="7"/>
  <c r="F5" i="7"/>
  <c r="F10" i="7"/>
  <c r="F14" i="7"/>
  <c r="F4" i="7"/>
  <c r="F17" i="7"/>
  <c r="F8" i="7"/>
  <c r="F12" i="7"/>
  <c r="F11" i="7"/>
  <c r="F15" i="7"/>
  <c r="F6" i="7"/>
  <c r="F13" i="7"/>
  <c r="F9" i="7"/>
  <c r="F18" i="7"/>
  <c r="F7" i="7"/>
  <c r="G8" i="7"/>
  <c r="G5" i="7"/>
  <c r="G6" i="7"/>
  <c r="G16" i="7"/>
  <c r="G13" i="7"/>
  <c r="G4" i="7"/>
  <c r="G14" i="7"/>
  <c r="G18" i="7"/>
  <c r="G12" i="7"/>
  <c r="G7" i="7"/>
  <c r="G11" i="7"/>
  <c r="G10" i="7"/>
  <c r="G15" i="7"/>
  <c r="G17" i="7"/>
  <c r="G9" i="7"/>
  <c r="E16" i="7"/>
  <c r="E6" i="7"/>
  <c r="E8" i="7"/>
  <c r="E10" i="7"/>
  <c r="E14" i="7"/>
  <c r="E7" i="7"/>
  <c r="E5" i="7"/>
  <c r="E12" i="7"/>
  <c r="E18" i="7"/>
  <c r="E4" i="7"/>
  <c r="E13" i="7"/>
  <c r="E11" i="7"/>
  <c r="E17" i="7"/>
  <c r="E9" i="7"/>
  <c r="E15" i="7"/>
  <c r="I6" i="7"/>
  <c r="I8" i="7"/>
  <c r="I13" i="7"/>
  <c r="I5" i="7"/>
  <c r="I12" i="7"/>
  <c r="I11" i="7"/>
  <c r="I16" i="7"/>
  <c r="I9" i="7"/>
  <c r="I17" i="7"/>
  <c r="I15" i="7"/>
  <c r="I10" i="7"/>
  <c r="I14" i="7"/>
  <c r="I7" i="7"/>
  <c r="I18" i="7"/>
  <c r="I4" i="7"/>
  <c r="W16" i="7"/>
  <c r="W9" i="7"/>
  <c r="W14" i="7"/>
  <c r="W13" i="7"/>
  <c r="W5" i="7"/>
  <c r="W17" i="7"/>
  <c r="W8" i="7"/>
  <c r="W7" i="7"/>
  <c r="W10" i="7"/>
  <c r="W6" i="7"/>
  <c r="W18" i="7"/>
  <c r="W4" i="7"/>
  <c r="W11" i="7"/>
  <c r="W15" i="7"/>
  <c r="W12" i="7"/>
  <c r="W19" i="7"/>
  <c r="Y11" i="3"/>
  <c r="Y19" i="3"/>
  <c r="Y23" i="3"/>
  <c r="Y13" i="3"/>
  <c r="Y21" i="3"/>
  <c r="Y12" i="3"/>
  <c r="Y20" i="3"/>
  <c r="Y14" i="3"/>
  <c r="Y18" i="3"/>
  <c r="Y22" i="3"/>
  <c r="P20" i="7" l="1"/>
  <c r="P21" i="7"/>
  <c r="P22" i="7"/>
  <c r="P23" i="7"/>
  <c r="P26" i="7"/>
  <c r="P25" i="7"/>
  <c r="P27" i="7"/>
  <c r="P24" i="7"/>
  <c r="P6" i="7"/>
  <c r="P12" i="7"/>
  <c r="P13" i="7"/>
  <c r="P8" i="7"/>
  <c r="P16" i="7"/>
  <c r="P19" i="7"/>
  <c r="P9" i="7"/>
  <c r="P10" i="7"/>
  <c r="P17" i="7"/>
  <c r="P15" i="7"/>
  <c r="P7" i="7"/>
  <c r="P11" i="7"/>
  <c r="P18" i="7"/>
  <c r="P14" i="7"/>
  <c r="P4" i="7"/>
  <c r="P5" i="7"/>
  <c r="S12" i="9" l="1"/>
  <c r="T12" i="9"/>
  <c r="U12" i="9"/>
  <c r="V12" i="9"/>
  <c r="W12" i="9"/>
  <c r="R12" i="9"/>
  <c r="Q12" i="9"/>
  <c r="AX93" i="23" l="1"/>
  <c r="AY93" i="23"/>
  <c r="AZ93" i="23"/>
  <c r="BA93" i="23" l="1"/>
  <c r="AX5" i="23"/>
  <c r="AY5" i="23"/>
  <c r="AZ5" i="23"/>
  <c r="AX6" i="23"/>
  <c r="AY6" i="23"/>
  <c r="AZ6" i="23"/>
  <c r="AX7" i="23"/>
  <c r="AY7" i="23"/>
  <c r="AZ7" i="23"/>
  <c r="AX8" i="23"/>
  <c r="AY8" i="23"/>
  <c r="AZ8" i="23"/>
  <c r="AX9" i="23"/>
  <c r="AY9" i="23"/>
  <c r="AZ9" i="23"/>
  <c r="AX10" i="23"/>
  <c r="AY10" i="23"/>
  <c r="AZ10" i="23"/>
  <c r="AX12" i="23"/>
  <c r="AY12" i="23"/>
  <c r="AZ12" i="23"/>
  <c r="AX13" i="23"/>
  <c r="AY13" i="23"/>
  <c r="AZ13" i="23"/>
  <c r="AX14" i="23"/>
  <c r="AY14" i="23"/>
  <c r="AZ14" i="23"/>
  <c r="AX15" i="23"/>
  <c r="AY15" i="23"/>
  <c r="AZ15" i="23"/>
  <c r="AX16" i="23"/>
  <c r="AY16" i="23"/>
  <c r="AZ16" i="23"/>
  <c r="AX17" i="23"/>
  <c r="AY17" i="23"/>
  <c r="AZ17" i="23"/>
  <c r="AX18" i="23"/>
  <c r="AY18" i="23"/>
  <c r="AZ18" i="23"/>
  <c r="AX19" i="23"/>
  <c r="AY19" i="23"/>
  <c r="AZ19" i="23"/>
  <c r="AX20" i="23"/>
  <c r="AY20" i="23"/>
  <c r="AZ20" i="23"/>
  <c r="AX21" i="23"/>
  <c r="AY21" i="23"/>
  <c r="AZ21" i="23"/>
  <c r="AX22" i="23"/>
  <c r="AY22" i="23"/>
  <c r="AZ22" i="23"/>
  <c r="AX23" i="23"/>
  <c r="AY23" i="23"/>
  <c r="AZ23" i="23"/>
  <c r="AZ4" i="23"/>
  <c r="AY4" i="23"/>
  <c r="AX4" i="23"/>
  <c r="AX24" i="23"/>
  <c r="AY24" i="23"/>
  <c r="AZ24" i="23"/>
  <c r="AX25" i="23"/>
  <c r="AY25" i="23"/>
  <c r="AZ25" i="23"/>
  <c r="AX26" i="23"/>
  <c r="AY26" i="23"/>
  <c r="AZ26" i="23"/>
  <c r="AX27" i="23"/>
  <c r="AY27" i="23"/>
  <c r="AZ27" i="23"/>
  <c r="AX28" i="23"/>
  <c r="AY28" i="23"/>
  <c r="AZ28" i="23"/>
  <c r="AX29" i="23"/>
  <c r="AY29" i="23"/>
  <c r="AZ29" i="23"/>
  <c r="AX30" i="23"/>
  <c r="AY30" i="23"/>
  <c r="AZ30" i="23"/>
  <c r="AX31" i="23"/>
  <c r="AY31" i="23"/>
  <c r="AZ31" i="23"/>
  <c r="AX32" i="23"/>
  <c r="AY32" i="23"/>
  <c r="AZ32" i="23"/>
  <c r="AX33" i="23"/>
  <c r="AY33" i="23"/>
  <c r="AZ33" i="23"/>
  <c r="AX90" i="23"/>
  <c r="AY90" i="23"/>
  <c r="AZ90" i="23"/>
  <c r="AX34" i="23"/>
  <c r="AY34" i="23"/>
  <c r="AZ34" i="23"/>
  <c r="AX35" i="23"/>
  <c r="AY35" i="23"/>
  <c r="AZ35" i="23"/>
  <c r="AX36" i="23"/>
  <c r="AY36" i="23"/>
  <c r="AZ36" i="23"/>
  <c r="AX37" i="23"/>
  <c r="AY37" i="23"/>
  <c r="AZ37" i="23"/>
  <c r="AX38" i="23"/>
  <c r="AY38" i="23"/>
  <c r="AZ38" i="23"/>
  <c r="AX39" i="23"/>
  <c r="AY39" i="23"/>
  <c r="AZ39" i="23"/>
  <c r="AX40" i="23"/>
  <c r="AY40" i="23"/>
  <c r="AZ40" i="23"/>
  <c r="AX41" i="23"/>
  <c r="AY41" i="23"/>
  <c r="AZ41" i="23"/>
  <c r="AX42" i="23"/>
  <c r="AY42" i="23"/>
  <c r="AZ42" i="23"/>
  <c r="AX43" i="23"/>
  <c r="AY43" i="23"/>
  <c r="AZ43" i="23"/>
  <c r="AX44" i="23"/>
  <c r="AY44" i="23"/>
  <c r="AZ44" i="23"/>
  <c r="AX45" i="23"/>
  <c r="AY45" i="23"/>
  <c r="AZ45" i="23"/>
  <c r="AX46" i="23"/>
  <c r="AY46" i="23"/>
  <c r="AZ46" i="23"/>
  <c r="AX47" i="23"/>
  <c r="AY47" i="23"/>
  <c r="AZ47" i="23"/>
  <c r="AX48" i="23"/>
  <c r="AY48" i="23"/>
  <c r="AZ48" i="23"/>
  <c r="AX49" i="23"/>
  <c r="AY49" i="23"/>
  <c r="AZ49" i="23"/>
  <c r="AX50" i="23"/>
  <c r="AY50" i="23"/>
  <c r="AZ50" i="23"/>
  <c r="AX51" i="23"/>
  <c r="AY51" i="23"/>
  <c r="AZ51" i="23"/>
  <c r="AX52" i="23"/>
  <c r="AY52" i="23"/>
  <c r="AZ52" i="23"/>
  <c r="AX53" i="23"/>
  <c r="AY53" i="23"/>
  <c r="AZ53" i="23"/>
  <c r="AX54" i="23"/>
  <c r="AY54" i="23"/>
  <c r="AZ54" i="23"/>
  <c r="AX55" i="23"/>
  <c r="AY55" i="23"/>
  <c r="AZ55" i="23"/>
  <c r="AX56" i="23"/>
  <c r="AY56" i="23"/>
  <c r="AZ56" i="23"/>
  <c r="AX57" i="23"/>
  <c r="AY57" i="23"/>
  <c r="AZ57" i="23"/>
  <c r="AX58" i="23"/>
  <c r="AY58" i="23"/>
  <c r="AZ58" i="23"/>
  <c r="AX59" i="23"/>
  <c r="AY59" i="23"/>
  <c r="AZ59" i="23"/>
  <c r="AX60" i="23"/>
  <c r="AY60" i="23"/>
  <c r="AZ60" i="23"/>
  <c r="AX61" i="23"/>
  <c r="AY61" i="23"/>
  <c r="AZ61" i="23"/>
  <c r="AX62" i="23"/>
  <c r="AY62" i="23"/>
  <c r="AZ62" i="23"/>
  <c r="AX63" i="23"/>
  <c r="AY63" i="23"/>
  <c r="AZ63" i="23"/>
  <c r="AX64" i="23"/>
  <c r="AY64" i="23"/>
  <c r="AZ64" i="23"/>
  <c r="AX65" i="23"/>
  <c r="AY65" i="23"/>
  <c r="AZ65" i="23"/>
  <c r="AX66" i="23"/>
  <c r="AY66" i="23"/>
  <c r="AZ66" i="23"/>
  <c r="AX67" i="23"/>
  <c r="AY67" i="23"/>
  <c r="AZ67" i="23"/>
  <c r="AX68" i="23"/>
  <c r="AY68" i="23"/>
  <c r="AZ68" i="23"/>
  <c r="AX69" i="23"/>
  <c r="AY69" i="23"/>
  <c r="AZ69" i="23"/>
  <c r="AX70" i="23"/>
  <c r="AY70" i="23"/>
  <c r="AZ70" i="23"/>
  <c r="AX71" i="23"/>
  <c r="AY71" i="23"/>
  <c r="AZ71" i="23"/>
  <c r="AX72" i="23"/>
  <c r="AY72" i="23"/>
  <c r="AZ72" i="23"/>
  <c r="AX73" i="23"/>
  <c r="AY73" i="23"/>
  <c r="AZ73" i="23"/>
  <c r="AX74" i="23"/>
  <c r="AY74" i="23"/>
  <c r="AZ74" i="23"/>
  <c r="AX75" i="23"/>
  <c r="AY75" i="23"/>
  <c r="AZ75" i="23"/>
  <c r="AX76" i="23"/>
  <c r="AY76" i="23"/>
  <c r="AZ76" i="23"/>
  <c r="AX77" i="23"/>
  <c r="AY77" i="23"/>
  <c r="AZ77" i="23"/>
  <c r="AX78" i="23"/>
  <c r="AY78" i="23"/>
  <c r="AZ78" i="23"/>
  <c r="AX79" i="23"/>
  <c r="AY79" i="23"/>
  <c r="AZ79" i="23"/>
  <c r="AX80" i="23"/>
  <c r="AY80" i="23"/>
  <c r="AZ80" i="23"/>
  <c r="AX81" i="23"/>
  <c r="AY81" i="23"/>
  <c r="AZ81" i="23"/>
  <c r="AX82" i="23"/>
  <c r="AY82" i="23"/>
  <c r="AZ82" i="23"/>
  <c r="AX83" i="23"/>
  <c r="AY83" i="23"/>
  <c r="AZ83" i="23"/>
  <c r="AX84" i="23"/>
  <c r="AY84" i="23"/>
  <c r="AZ84" i="23"/>
  <c r="AX85" i="23"/>
  <c r="AY85" i="23"/>
  <c r="AZ85" i="23"/>
  <c r="AX86" i="23"/>
  <c r="AY86" i="23"/>
  <c r="AZ86" i="23"/>
  <c r="AX87" i="23"/>
  <c r="AY87" i="23"/>
  <c r="AZ87" i="23"/>
  <c r="AX88" i="23"/>
  <c r="AY88" i="23"/>
  <c r="AZ88" i="23"/>
  <c r="AX11" i="23"/>
  <c r="AY11" i="23"/>
  <c r="AZ11" i="23"/>
  <c r="AX91" i="23"/>
  <c r="AY91" i="23"/>
  <c r="AZ91" i="23"/>
  <c r="AX92" i="23"/>
  <c r="AY92" i="23"/>
  <c r="AZ92" i="23"/>
  <c r="BA79" i="23" l="1"/>
  <c r="BA75" i="23"/>
  <c r="BA71" i="23"/>
  <c r="BA40" i="23"/>
  <c r="BA36" i="23"/>
  <c r="BA33" i="23"/>
  <c r="BA29" i="23"/>
  <c r="BA25" i="23"/>
  <c r="BA87" i="23"/>
  <c r="BA83" i="23"/>
  <c r="BA67" i="23"/>
  <c r="BA63" i="23"/>
  <c r="BA59" i="23"/>
  <c r="BA47" i="23"/>
  <c r="BA11" i="23"/>
  <c r="BA85" i="23"/>
  <c r="BA81" i="23"/>
  <c r="BA77" i="23"/>
  <c r="BA73" i="23"/>
  <c r="BA69" i="23"/>
  <c r="BA65" i="23"/>
  <c r="BA61" i="23"/>
  <c r="BA57" i="23"/>
  <c r="BA53" i="23"/>
  <c r="BA49" i="23"/>
  <c r="BA45" i="23"/>
  <c r="BA38" i="23"/>
  <c r="BA34" i="23"/>
  <c r="BA31" i="23"/>
  <c r="BA27" i="23"/>
  <c r="BA4" i="23"/>
  <c r="BA23" i="23"/>
  <c r="BA19" i="23"/>
  <c r="BA15" i="23"/>
  <c r="BA10" i="23"/>
  <c r="BA6" i="23"/>
  <c r="BA42" i="23"/>
  <c r="BA92" i="23"/>
  <c r="BA55" i="23"/>
  <c r="BA43" i="23"/>
  <c r="BA51" i="23"/>
  <c r="BA91" i="23"/>
  <c r="BA86" i="23"/>
  <c r="BA82" i="23"/>
  <c r="BA78" i="23"/>
  <c r="BA74" i="23"/>
  <c r="BA70" i="23"/>
  <c r="BA66" i="23"/>
  <c r="BA62" i="23"/>
  <c r="BA58" i="23"/>
  <c r="BA54" i="23"/>
  <c r="BA50" i="23"/>
  <c r="BA46" i="23"/>
  <c r="BA39" i="23"/>
  <c r="BA35" i="23"/>
  <c r="BA32" i="23"/>
  <c r="BA28" i="23"/>
  <c r="BA24" i="23"/>
  <c r="BA20" i="23"/>
  <c r="BA16" i="23"/>
  <c r="BA12" i="23"/>
  <c r="BA7" i="23"/>
  <c r="BA21" i="23"/>
  <c r="BA17" i="23"/>
  <c r="BA13" i="23"/>
  <c r="BA8" i="23"/>
  <c r="BA88" i="23"/>
  <c r="BA84" i="23"/>
  <c r="BA80" i="23"/>
  <c r="BA76" i="23"/>
  <c r="BA72" i="23"/>
  <c r="BA68" i="23"/>
  <c r="BA64" i="23"/>
  <c r="BA60" i="23"/>
  <c r="BA56" i="23"/>
  <c r="BA52" i="23"/>
  <c r="BA48" i="23"/>
  <c r="BA44" i="23"/>
  <c r="BA41" i="23"/>
  <c r="BA37" i="23"/>
  <c r="BA90" i="23"/>
  <c r="BA30" i="23"/>
  <c r="BA26" i="23"/>
  <c r="BA22" i="23"/>
  <c r="BA18" i="23"/>
  <c r="BA14" i="23"/>
  <c r="BA9" i="23"/>
  <c r="BA5" i="23"/>
  <c r="C124" i="23" l="1"/>
  <c r="D124" i="23"/>
  <c r="E124" i="23"/>
  <c r="H124" i="23"/>
  <c r="I124" i="23"/>
  <c r="J124" i="23"/>
  <c r="K124" i="23"/>
  <c r="C125" i="23"/>
  <c r="D125" i="23"/>
  <c r="E125" i="23"/>
  <c r="H125" i="23"/>
  <c r="I125" i="23"/>
  <c r="J125" i="23"/>
  <c r="K125" i="23"/>
  <c r="C126" i="23"/>
  <c r="D126" i="23"/>
  <c r="E126" i="23"/>
  <c r="H126" i="23"/>
  <c r="I126" i="23"/>
  <c r="J126" i="23"/>
  <c r="K126" i="23"/>
  <c r="C127" i="23"/>
  <c r="D127" i="23"/>
  <c r="E127" i="23"/>
  <c r="H127" i="23"/>
  <c r="I127" i="23"/>
  <c r="J127" i="23"/>
  <c r="K127" i="23"/>
  <c r="C129" i="23"/>
  <c r="D129" i="23"/>
  <c r="E129" i="23"/>
  <c r="H129" i="23"/>
  <c r="I129" i="23"/>
  <c r="J129" i="23"/>
  <c r="K129" i="23"/>
  <c r="C130" i="23"/>
  <c r="D130" i="23"/>
  <c r="E130" i="23"/>
  <c r="H130" i="23"/>
  <c r="I130" i="23"/>
  <c r="J130" i="23"/>
  <c r="K130" i="23"/>
  <c r="C134" i="23"/>
  <c r="D134" i="23"/>
  <c r="E134" i="23"/>
  <c r="H134" i="23"/>
  <c r="I134" i="23"/>
  <c r="J134" i="23"/>
  <c r="K134" i="23"/>
  <c r="C135" i="23"/>
  <c r="D135" i="23"/>
  <c r="E135" i="23"/>
  <c r="H135" i="23"/>
  <c r="I135" i="23"/>
  <c r="J135" i="23"/>
  <c r="K135" i="23"/>
  <c r="B125" i="23"/>
  <c r="B126" i="23"/>
  <c r="B127" i="23"/>
  <c r="B129" i="23"/>
  <c r="B130" i="23"/>
  <c r="B134" i="23"/>
  <c r="B135" i="23"/>
  <c r="B124" i="23"/>
  <c r="AZ110" i="23"/>
  <c r="AY110" i="23"/>
  <c r="AX110" i="23"/>
  <c r="BA110" i="23" s="1"/>
  <c r="AZ109" i="23"/>
  <c r="AY109" i="23"/>
  <c r="AX109" i="23"/>
  <c r="AZ108" i="23"/>
  <c r="AY108" i="23"/>
  <c r="AX108" i="23"/>
  <c r="BA109" i="23" l="1"/>
  <c r="BA108" i="23"/>
  <c r="AZ107" i="23" l="1"/>
  <c r="AZ106" i="23"/>
  <c r="AZ105" i="23"/>
  <c r="AZ99" i="23"/>
  <c r="AZ97" i="23"/>
  <c r="AZ96" i="23"/>
  <c r="AZ94" i="23"/>
  <c r="AY107" i="23"/>
  <c r="AX107" i="23"/>
  <c r="AY106" i="23"/>
  <c r="AX106" i="23"/>
  <c r="AY105" i="23"/>
  <c r="AX105" i="23"/>
  <c r="AX99" i="23"/>
  <c r="AX97" i="23"/>
  <c r="AY96" i="23"/>
  <c r="AX96" i="23"/>
  <c r="AY94" i="23"/>
  <c r="AX94" i="23"/>
  <c r="BA106" i="23" l="1"/>
  <c r="BA94" i="23"/>
  <c r="BA96" i="23"/>
  <c r="BA105" i="23"/>
  <c r="BA107" i="23"/>
  <c r="AY97" i="23" l="1"/>
  <c r="BA97" i="23" s="1"/>
  <c r="AY99" i="23" l="1"/>
  <c r="BA99" i="23" s="1"/>
  <c r="D39" i="1" l="1"/>
  <c r="F83" i="20" l="1"/>
  <c r="G83" i="20"/>
  <c r="H83" i="20"/>
  <c r="I83" i="20"/>
  <c r="R18" i="9" l="1"/>
  <c r="S18" i="9"/>
  <c r="T18" i="9"/>
  <c r="U18" i="9"/>
  <c r="V18" i="9"/>
  <c r="W18" i="9"/>
  <c r="X18" i="9"/>
  <c r="Y18" i="9"/>
  <c r="Q18" i="9"/>
  <c r="O86" i="7" l="1"/>
  <c r="B86" i="7"/>
  <c r="O42" i="20" l="1"/>
  <c r="B42" i="20"/>
  <c r="O22" i="20"/>
  <c r="B22" i="20"/>
  <c r="O2" i="20"/>
  <c r="B2" i="20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S86" i="1"/>
  <c r="N5" i="15" l="1" a="1"/>
  <c r="N6" i="15" s="1"/>
  <c r="N78" i="1"/>
  <c r="N77" i="1"/>
  <c r="N69" i="1"/>
  <c r="N74" i="1"/>
  <c r="N70" i="1"/>
  <c r="N80" i="1"/>
  <c r="N76" i="1"/>
  <c r="N72" i="1"/>
  <c r="N68" i="1"/>
  <c r="N79" i="1"/>
  <c r="N75" i="1"/>
  <c r="N71" i="1"/>
  <c r="N67" i="1"/>
  <c r="N65" i="1"/>
  <c r="N73" i="1"/>
  <c r="N66" i="1"/>
  <c r="N22" i="15" l="1"/>
  <c r="N10" i="15"/>
  <c r="N28" i="15"/>
  <c r="N27" i="15"/>
  <c r="N8" i="15"/>
  <c r="N18" i="15"/>
  <c r="N13" i="15"/>
  <c r="N9" i="15"/>
  <c r="N16" i="15"/>
  <c r="B32" i="7" a="1"/>
  <c r="B36" i="7" s="1"/>
  <c r="N24" i="15"/>
  <c r="N17" i="15"/>
  <c r="N20" i="15"/>
  <c r="N21" i="15"/>
  <c r="N23" i="15"/>
  <c r="N12" i="15"/>
  <c r="N7" i="15"/>
  <c r="N19" i="15"/>
  <c r="N15" i="15"/>
  <c r="N25" i="15"/>
  <c r="N11" i="15"/>
  <c r="N5" i="15"/>
  <c r="N14" i="15"/>
  <c r="N26" i="15"/>
  <c r="B88" i="7" a="1"/>
  <c r="B97" i="7" s="1"/>
  <c r="B4" i="20" a="1"/>
  <c r="O32" i="7" a="1"/>
  <c r="O48" i="7" s="1"/>
  <c r="O60" i="7" a="1"/>
  <c r="O68" i="7" s="1"/>
  <c r="O4" i="7" a="1"/>
  <c r="O12" i="7" s="1"/>
  <c r="O88" i="7" a="1"/>
  <c r="O100" i="7" s="1"/>
  <c r="B60" i="7" a="1"/>
  <c r="B76" i="7" s="1"/>
  <c r="B40" i="7" l="1"/>
  <c r="B32" i="7"/>
  <c r="B52" i="7"/>
  <c r="B34" i="7"/>
  <c r="B48" i="7"/>
  <c r="B44" i="7"/>
  <c r="O104" i="7"/>
  <c r="B45" i="7"/>
  <c r="B35" i="7"/>
  <c r="B100" i="7"/>
  <c r="B38" i="7"/>
  <c r="B91" i="7"/>
  <c r="B42" i="7"/>
  <c r="B55" i="7"/>
  <c r="B47" i="7"/>
  <c r="B93" i="7"/>
  <c r="B53" i="7"/>
  <c r="B88" i="7"/>
  <c r="B39" i="7"/>
  <c r="B33" i="7"/>
  <c r="B96" i="7"/>
  <c r="B103" i="7"/>
  <c r="B49" i="7"/>
  <c r="B41" i="7"/>
  <c r="B43" i="7"/>
  <c r="B37" i="7"/>
  <c r="B108" i="7"/>
  <c r="B95" i="7"/>
  <c r="B98" i="7"/>
  <c r="O72" i="7"/>
  <c r="B94" i="7"/>
  <c r="B99" i="7"/>
  <c r="B102" i="7"/>
  <c r="B90" i="7"/>
  <c r="B46" i="7"/>
  <c r="B54" i="7"/>
  <c r="B51" i="7"/>
  <c r="B50" i="7"/>
  <c r="B104" i="7"/>
  <c r="B106" i="7"/>
  <c r="B89" i="7"/>
  <c r="B110" i="7"/>
  <c r="B92" i="7"/>
  <c r="B105" i="7"/>
  <c r="O108" i="7"/>
  <c r="B111" i="7"/>
  <c r="B101" i="7"/>
  <c r="B109" i="7"/>
  <c r="B107" i="7"/>
  <c r="B6" i="20"/>
  <c r="B7" i="20"/>
  <c r="B17" i="20"/>
  <c r="B8" i="20"/>
  <c r="B5" i="20"/>
  <c r="B12" i="20"/>
  <c r="B10" i="20"/>
  <c r="B15" i="20"/>
  <c r="B13" i="20"/>
  <c r="B4" i="20"/>
  <c r="B18" i="20"/>
  <c r="B9" i="20"/>
  <c r="B16" i="20"/>
  <c r="B14" i="20"/>
  <c r="B19" i="20"/>
  <c r="B11" i="20"/>
  <c r="O44" i="7"/>
  <c r="B68" i="7"/>
  <c r="O40" i="7"/>
  <c r="O52" i="7"/>
  <c r="O23" i="7"/>
  <c r="O7" i="7"/>
  <c r="O14" i="7"/>
  <c r="O17" i="7"/>
  <c r="O10" i="7"/>
  <c r="O22" i="7"/>
  <c r="O9" i="7"/>
  <c r="O11" i="7"/>
  <c r="O21" i="7"/>
  <c r="O4" i="7"/>
  <c r="O19" i="7"/>
  <c r="O26" i="7"/>
  <c r="O6" i="7"/>
  <c r="O13" i="7"/>
  <c r="O16" i="7"/>
  <c r="O15" i="7"/>
  <c r="O25" i="7"/>
  <c r="O8" i="7"/>
  <c r="O27" i="7"/>
  <c r="O18" i="7"/>
  <c r="O5" i="7"/>
  <c r="O20" i="7"/>
  <c r="O80" i="7"/>
  <c r="O76" i="7"/>
  <c r="O24" i="7"/>
  <c r="B61" i="7"/>
  <c r="B77" i="7"/>
  <c r="B70" i="7"/>
  <c r="B63" i="7"/>
  <c r="B79" i="7"/>
  <c r="B69" i="7"/>
  <c r="B78" i="7"/>
  <c r="B71" i="7"/>
  <c r="B83" i="7"/>
  <c r="B73" i="7"/>
  <c r="B82" i="7"/>
  <c r="B60" i="7"/>
  <c r="B65" i="7"/>
  <c r="B81" i="7"/>
  <c r="B74" i="7"/>
  <c r="B67" i="7"/>
  <c r="B64" i="7"/>
  <c r="B62" i="7"/>
  <c r="B80" i="7"/>
  <c r="B66" i="7"/>
  <c r="B75" i="7"/>
  <c r="B72" i="7"/>
  <c r="O83" i="7"/>
  <c r="O65" i="7"/>
  <c r="O64" i="7"/>
  <c r="O81" i="7"/>
  <c r="O73" i="7"/>
  <c r="O69" i="7"/>
  <c r="O66" i="7"/>
  <c r="O82" i="7"/>
  <c r="O75" i="7"/>
  <c r="O74" i="7"/>
  <c r="O61" i="7"/>
  <c r="O62" i="7"/>
  <c r="O78" i="7"/>
  <c r="O71" i="7"/>
  <c r="O70" i="7"/>
  <c r="O63" i="7"/>
  <c r="O79" i="7"/>
  <c r="O60" i="7"/>
  <c r="O77" i="7"/>
  <c r="O67" i="7"/>
  <c r="O111" i="7"/>
  <c r="O93" i="7"/>
  <c r="O109" i="7"/>
  <c r="O102" i="7"/>
  <c r="O101" i="7"/>
  <c r="O98" i="7"/>
  <c r="O106" i="7"/>
  <c r="O92" i="7"/>
  <c r="O99" i="7"/>
  <c r="O94" i="7"/>
  <c r="O90" i="7"/>
  <c r="O91" i="7"/>
  <c r="O107" i="7"/>
  <c r="O88" i="7"/>
  <c r="O95" i="7"/>
  <c r="O110" i="7"/>
  <c r="O97" i="7"/>
  <c r="O105" i="7"/>
  <c r="O96" i="7"/>
  <c r="O103" i="7"/>
  <c r="O89" i="7"/>
  <c r="O55" i="7"/>
  <c r="O41" i="7"/>
  <c r="O36" i="7"/>
  <c r="O45" i="7"/>
  <c r="O33" i="7"/>
  <c r="O37" i="7"/>
  <c r="O46" i="7"/>
  <c r="O39" i="7"/>
  <c r="O54" i="7"/>
  <c r="O49" i="7"/>
  <c r="O42" i="7"/>
  <c r="O51" i="7"/>
  <c r="O34" i="7"/>
  <c r="O50" i="7"/>
  <c r="O43" i="7"/>
  <c r="O32" i="7"/>
  <c r="O38" i="7"/>
  <c r="O47" i="7"/>
  <c r="O53" i="7"/>
  <c r="O35" i="7"/>
  <c r="V14" i="20" l="1"/>
  <c r="R14" i="20"/>
  <c r="J14" i="20"/>
  <c r="F14" i="20"/>
  <c r="X14" i="20"/>
  <c r="S14" i="20"/>
  <c r="I14" i="20"/>
  <c r="D14" i="20"/>
  <c r="T14" i="20"/>
  <c r="H14" i="20"/>
  <c r="P14" i="20"/>
  <c r="Q14" i="20"/>
  <c r="G14" i="20"/>
  <c r="W14" i="20"/>
  <c r="E14" i="20"/>
  <c r="U14" i="20"/>
  <c r="K14" i="20"/>
  <c r="C14" i="20"/>
  <c r="K4" i="20"/>
  <c r="G4" i="20"/>
  <c r="C4" i="20"/>
  <c r="E4" i="20"/>
  <c r="J4" i="20"/>
  <c r="F4" i="20"/>
  <c r="I4" i="20"/>
  <c r="D4" i="20"/>
  <c r="H4" i="20"/>
  <c r="J12" i="20"/>
  <c r="F12" i="20"/>
  <c r="H12" i="20"/>
  <c r="I12" i="20"/>
  <c r="C12" i="20"/>
  <c r="G12" i="20"/>
  <c r="E12" i="20"/>
  <c r="D12" i="20"/>
  <c r="K12" i="20"/>
  <c r="I7" i="20"/>
  <c r="E7" i="20"/>
  <c r="K7" i="20"/>
  <c r="C7" i="20"/>
  <c r="H7" i="20"/>
  <c r="D7" i="20"/>
  <c r="G7" i="20"/>
  <c r="J7" i="20"/>
  <c r="F7" i="20"/>
  <c r="V16" i="20"/>
  <c r="R16" i="20"/>
  <c r="J16" i="20"/>
  <c r="F16" i="20"/>
  <c r="T16" i="20"/>
  <c r="K16" i="20"/>
  <c r="E16" i="20"/>
  <c r="S16" i="20"/>
  <c r="H16" i="20"/>
  <c r="D16" i="20"/>
  <c r="X16" i="20"/>
  <c r="Q16" i="20"/>
  <c r="G16" i="20"/>
  <c r="W16" i="20"/>
  <c r="P16" i="20"/>
  <c r="I16" i="20"/>
  <c r="U16" i="20"/>
  <c r="C16" i="20"/>
  <c r="X13" i="20"/>
  <c r="T13" i="20"/>
  <c r="P13" i="20"/>
  <c r="H13" i="20"/>
  <c r="D13" i="20"/>
  <c r="U13" i="20"/>
  <c r="K13" i="20"/>
  <c r="F13" i="20"/>
  <c r="W13" i="20"/>
  <c r="Q13" i="20"/>
  <c r="E13" i="20"/>
  <c r="I13" i="20"/>
  <c r="V13" i="20"/>
  <c r="J13" i="20"/>
  <c r="C13" i="20"/>
  <c r="S13" i="20"/>
  <c r="G13" i="20"/>
  <c r="R13" i="20"/>
  <c r="I5" i="20"/>
  <c r="E5" i="20"/>
  <c r="K5" i="20"/>
  <c r="C5" i="20"/>
  <c r="H5" i="20"/>
  <c r="D5" i="20"/>
  <c r="G5" i="20"/>
  <c r="F5" i="20"/>
  <c r="J5" i="20"/>
  <c r="W6" i="20"/>
  <c r="S6" i="20"/>
  <c r="K6" i="20"/>
  <c r="G6" i="20"/>
  <c r="C6" i="20"/>
  <c r="V6" i="20"/>
  <c r="J6" i="20"/>
  <c r="F6" i="20"/>
  <c r="I6" i="20"/>
  <c r="E6" i="20"/>
  <c r="H6" i="20"/>
  <c r="D6" i="20"/>
  <c r="P6" i="20"/>
  <c r="H11" i="20"/>
  <c r="D11" i="20"/>
  <c r="J11" i="20"/>
  <c r="E11" i="20"/>
  <c r="I11" i="20"/>
  <c r="C11" i="20"/>
  <c r="G11" i="20"/>
  <c r="K11" i="20"/>
  <c r="F11" i="20"/>
  <c r="I9" i="20"/>
  <c r="E9" i="20"/>
  <c r="K9" i="20"/>
  <c r="C9" i="20"/>
  <c r="H9" i="20"/>
  <c r="D9" i="20"/>
  <c r="G9" i="20"/>
  <c r="J9" i="20"/>
  <c r="F9" i="20"/>
  <c r="X15" i="20"/>
  <c r="T15" i="20"/>
  <c r="P15" i="20"/>
  <c r="H15" i="20"/>
  <c r="D15" i="20"/>
  <c r="V15" i="20"/>
  <c r="Q15" i="20"/>
  <c r="G15" i="20"/>
  <c r="W15" i="20"/>
  <c r="K15" i="20"/>
  <c r="E15" i="20"/>
  <c r="I15" i="20"/>
  <c r="U15" i="20"/>
  <c r="J15" i="20"/>
  <c r="C15" i="20"/>
  <c r="S15" i="20"/>
  <c r="F15" i="20"/>
  <c r="R15" i="20"/>
  <c r="K8" i="20"/>
  <c r="G8" i="20"/>
  <c r="C8" i="20"/>
  <c r="I8" i="20"/>
  <c r="J8" i="20"/>
  <c r="F8" i="20"/>
  <c r="E8" i="20"/>
  <c r="D8" i="20"/>
  <c r="H8" i="20"/>
  <c r="W19" i="20"/>
  <c r="S19" i="20"/>
  <c r="K19" i="20"/>
  <c r="G19" i="20"/>
  <c r="C19" i="20"/>
  <c r="X19" i="20"/>
  <c r="T19" i="20"/>
  <c r="P19" i="20"/>
  <c r="H19" i="20"/>
  <c r="D19" i="20"/>
  <c r="Q19" i="20"/>
  <c r="E19" i="20"/>
  <c r="V19" i="20"/>
  <c r="I19" i="20"/>
  <c r="U19" i="20"/>
  <c r="F19" i="20"/>
  <c r="R19" i="20"/>
  <c r="J19" i="20"/>
  <c r="U18" i="20"/>
  <c r="Q18" i="20"/>
  <c r="I18" i="20"/>
  <c r="E18" i="20"/>
  <c r="V18" i="20"/>
  <c r="R18" i="20"/>
  <c r="J18" i="20"/>
  <c r="F18" i="20"/>
  <c r="S18" i="20"/>
  <c r="G18" i="20"/>
  <c r="T18" i="20"/>
  <c r="D18" i="20"/>
  <c r="K18" i="20"/>
  <c r="P18" i="20"/>
  <c r="C18" i="20"/>
  <c r="X18" i="20"/>
  <c r="H18" i="20"/>
  <c r="W18" i="20"/>
  <c r="J10" i="20"/>
  <c r="F10" i="20"/>
  <c r="G10" i="20"/>
  <c r="D10" i="20"/>
  <c r="K10" i="20"/>
  <c r="E10" i="20"/>
  <c r="I10" i="20"/>
  <c r="C10" i="20"/>
  <c r="H10" i="20"/>
  <c r="W17" i="20"/>
  <c r="S17" i="20"/>
  <c r="K17" i="20"/>
  <c r="X17" i="20"/>
  <c r="T17" i="20"/>
  <c r="P17" i="20"/>
  <c r="H17" i="20"/>
  <c r="D17" i="20"/>
  <c r="U17" i="20"/>
  <c r="I17" i="20"/>
  <c r="C17" i="20"/>
  <c r="Q17" i="20"/>
  <c r="E17" i="20"/>
  <c r="G17" i="20"/>
  <c r="J17" i="20"/>
  <c r="V17" i="20"/>
  <c r="R17" i="20"/>
  <c r="F17" i="20"/>
  <c r="B64" i="20" a="1"/>
  <c r="B24" i="20" a="1"/>
  <c r="O64" i="20" a="1"/>
  <c r="O44" i="20" a="1"/>
  <c r="O4" i="20" a="1"/>
  <c r="B44" i="20" a="1"/>
  <c r="O24" i="20" a="1"/>
  <c r="O45" i="20" l="1"/>
  <c r="O44" i="20"/>
  <c r="O52" i="20"/>
  <c r="O51" i="20"/>
  <c r="O49" i="20"/>
  <c r="O48" i="20"/>
  <c r="O54" i="20"/>
  <c r="O46" i="20"/>
  <c r="O56" i="20"/>
  <c r="O50" i="20"/>
  <c r="O55" i="20"/>
  <c r="O58" i="20"/>
  <c r="O53" i="20"/>
  <c r="O57" i="20"/>
  <c r="O59" i="20"/>
  <c r="O47" i="20"/>
  <c r="O8" i="20"/>
  <c r="O11" i="20"/>
  <c r="O13" i="20"/>
  <c r="O17" i="20"/>
  <c r="O4" i="20"/>
  <c r="O7" i="20"/>
  <c r="O5" i="20"/>
  <c r="O19" i="20"/>
  <c r="O14" i="20"/>
  <c r="O18" i="20"/>
  <c r="O12" i="20"/>
  <c r="O15" i="20"/>
  <c r="O6" i="20"/>
  <c r="O10" i="20"/>
  <c r="O9" i="20"/>
  <c r="O16" i="20"/>
  <c r="O73" i="20"/>
  <c r="O76" i="20"/>
  <c r="O70" i="20"/>
  <c r="O64" i="20"/>
  <c r="O74" i="20"/>
  <c r="O69" i="20"/>
  <c r="O79" i="20"/>
  <c r="O75" i="20"/>
  <c r="O78" i="20"/>
  <c r="O65" i="20"/>
  <c r="O66" i="20"/>
  <c r="O67" i="20"/>
  <c r="O68" i="20"/>
  <c r="O72" i="20"/>
  <c r="O71" i="20"/>
  <c r="O77" i="20"/>
  <c r="B73" i="20"/>
  <c r="B68" i="20"/>
  <c r="B67" i="20"/>
  <c r="B77" i="20"/>
  <c r="B79" i="20"/>
  <c r="B69" i="20"/>
  <c r="B78" i="20"/>
  <c r="B75" i="20"/>
  <c r="B76" i="20"/>
  <c r="B65" i="20"/>
  <c r="B74" i="20"/>
  <c r="B66" i="20"/>
  <c r="B71" i="20"/>
  <c r="B70" i="20"/>
  <c r="B72" i="20"/>
  <c r="B64" i="20"/>
  <c r="B57" i="20"/>
  <c r="B51" i="20"/>
  <c r="B48" i="20"/>
  <c r="B53" i="20"/>
  <c r="B46" i="20"/>
  <c r="B47" i="20"/>
  <c r="B49" i="20"/>
  <c r="B52" i="20"/>
  <c r="B45" i="20"/>
  <c r="B55" i="20"/>
  <c r="B44" i="20"/>
  <c r="B56" i="20"/>
  <c r="B58" i="20"/>
  <c r="B59" i="20"/>
  <c r="B54" i="20"/>
  <c r="B50" i="20"/>
  <c r="B39" i="20"/>
  <c r="B34" i="20"/>
  <c r="B24" i="20"/>
  <c r="B28" i="20"/>
  <c r="B35" i="20"/>
  <c r="B29" i="20"/>
  <c r="B25" i="20"/>
  <c r="B26" i="20"/>
  <c r="B27" i="20"/>
  <c r="B31" i="20"/>
  <c r="B32" i="20"/>
  <c r="B33" i="20"/>
  <c r="B36" i="20"/>
  <c r="B37" i="20"/>
  <c r="B30" i="20"/>
  <c r="B38" i="20"/>
  <c r="O39" i="20"/>
  <c r="O27" i="20"/>
  <c r="O37" i="20"/>
  <c r="O36" i="20"/>
  <c r="O26" i="20"/>
  <c r="O32" i="20"/>
  <c r="O35" i="20"/>
  <c r="O25" i="20"/>
  <c r="O34" i="20"/>
  <c r="O31" i="20"/>
  <c r="O33" i="20"/>
  <c r="O24" i="20"/>
  <c r="O38" i="20"/>
  <c r="O29" i="20"/>
  <c r="O30" i="20"/>
  <c r="O28" i="20"/>
  <c r="W33" i="20" l="1"/>
  <c r="S33" i="20"/>
  <c r="K33" i="20"/>
  <c r="G33" i="20"/>
  <c r="C33" i="20"/>
  <c r="X33" i="20"/>
  <c r="T33" i="20"/>
  <c r="P33" i="20"/>
  <c r="H33" i="20"/>
  <c r="D33" i="20"/>
  <c r="V33" i="20"/>
  <c r="J33" i="20"/>
  <c r="U33" i="20"/>
  <c r="I33" i="20"/>
  <c r="F33" i="20"/>
  <c r="E33" i="20"/>
  <c r="R33" i="20"/>
  <c r="Q33" i="20"/>
  <c r="U56" i="20"/>
  <c r="Q56" i="20"/>
  <c r="I56" i="20"/>
  <c r="E56" i="20"/>
  <c r="V56" i="20"/>
  <c r="R56" i="20"/>
  <c r="J56" i="20"/>
  <c r="F56" i="20"/>
  <c r="T56" i="20"/>
  <c r="H56" i="20"/>
  <c r="W56" i="20"/>
  <c r="K56" i="20"/>
  <c r="C56" i="20"/>
  <c r="S56" i="20"/>
  <c r="P56" i="20"/>
  <c r="X56" i="20"/>
  <c r="G56" i="20"/>
  <c r="D56" i="20"/>
  <c r="W53" i="20"/>
  <c r="S53" i="20"/>
  <c r="K53" i="20"/>
  <c r="G53" i="20"/>
  <c r="C53" i="20"/>
  <c r="X53" i="20"/>
  <c r="T53" i="20"/>
  <c r="P53" i="20"/>
  <c r="H53" i="20"/>
  <c r="D53" i="20"/>
  <c r="R53" i="20"/>
  <c r="F53" i="20"/>
  <c r="U53" i="20"/>
  <c r="I53" i="20"/>
  <c r="E53" i="20"/>
  <c r="V53" i="20"/>
  <c r="Q53" i="20"/>
  <c r="J53" i="20"/>
  <c r="X75" i="20"/>
  <c r="T75" i="20"/>
  <c r="P75" i="20"/>
  <c r="H75" i="20"/>
  <c r="D75" i="20"/>
  <c r="U75" i="20"/>
  <c r="Q75" i="20"/>
  <c r="I75" i="20"/>
  <c r="E75" i="20"/>
  <c r="W75" i="20"/>
  <c r="K75" i="20"/>
  <c r="C75" i="20"/>
  <c r="R75" i="20"/>
  <c r="F75" i="20"/>
  <c r="J75" i="20"/>
  <c r="S75" i="20"/>
  <c r="V75" i="20"/>
  <c r="G75" i="20"/>
  <c r="U54" i="20"/>
  <c r="Q54" i="20"/>
  <c r="I54" i="20"/>
  <c r="E54" i="20"/>
  <c r="V54" i="20"/>
  <c r="R54" i="20"/>
  <c r="J54" i="20"/>
  <c r="F54" i="20"/>
  <c r="X54" i="20"/>
  <c r="P54" i="20"/>
  <c r="D54" i="20"/>
  <c r="S54" i="20"/>
  <c r="G54" i="20"/>
  <c r="W54" i="20"/>
  <c r="C54" i="20"/>
  <c r="T54" i="20"/>
  <c r="K54" i="20"/>
  <c r="H54" i="20"/>
  <c r="V78" i="20"/>
  <c r="R78" i="20"/>
  <c r="J78" i="20"/>
  <c r="F78" i="20"/>
  <c r="W78" i="20"/>
  <c r="S78" i="20"/>
  <c r="K78" i="20"/>
  <c r="G78" i="20"/>
  <c r="C78" i="20"/>
  <c r="Q78" i="20"/>
  <c r="E78" i="20"/>
  <c r="T78" i="20"/>
  <c r="H78" i="20"/>
  <c r="X78" i="20"/>
  <c r="D78" i="20"/>
  <c r="I78" i="20"/>
  <c r="U78" i="20"/>
  <c r="P78" i="20"/>
  <c r="X37" i="20"/>
  <c r="T37" i="20"/>
  <c r="P37" i="20"/>
  <c r="H37" i="20"/>
  <c r="D37" i="20"/>
  <c r="W37" i="20"/>
  <c r="R37" i="20"/>
  <c r="I37" i="20"/>
  <c r="C37" i="20"/>
  <c r="S37" i="20"/>
  <c r="J37" i="20"/>
  <c r="E37" i="20"/>
  <c r="V37" i="20"/>
  <c r="G37" i="20"/>
  <c r="U37" i="20"/>
  <c r="F37" i="20"/>
  <c r="Q37" i="20"/>
  <c r="K37" i="20"/>
  <c r="U34" i="20"/>
  <c r="Q34" i="20"/>
  <c r="I34" i="20"/>
  <c r="E34" i="20"/>
  <c r="V34" i="20"/>
  <c r="R34" i="20"/>
  <c r="J34" i="20"/>
  <c r="F34" i="20"/>
  <c r="T34" i="20"/>
  <c r="H34" i="20"/>
  <c r="S34" i="20"/>
  <c r="G34" i="20"/>
  <c r="X34" i="20"/>
  <c r="D34" i="20"/>
  <c r="W34" i="20"/>
  <c r="C34" i="20"/>
  <c r="P34" i="20"/>
  <c r="K34" i="20"/>
  <c r="X59" i="20"/>
  <c r="T59" i="20"/>
  <c r="P59" i="20"/>
  <c r="H59" i="20"/>
  <c r="D59" i="20"/>
  <c r="U59" i="20"/>
  <c r="Q59" i="20"/>
  <c r="I59" i="20"/>
  <c r="E59" i="20"/>
  <c r="W59" i="20"/>
  <c r="K59" i="20"/>
  <c r="C59" i="20"/>
  <c r="R59" i="20"/>
  <c r="F59" i="20"/>
  <c r="V59" i="20"/>
  <c r="G59" i="20"/>
  <c r="S59" i="20"/>
  <c r="J59" i="20"/>
  <c r="W55" i="20"/>
  <c r="S55" i="20"/>
  <c r="K55" i="20"/>
  <c r="G55" i="20"/>
  <c r="C55" i="20"/>
  <c r="X55" i="20"/>
  <c r="T55" i="20"/>
  <c r="P55" i="20"/>
  <c r="H55" i="20"/>
  <c r="D55" i="20"/>
  <c r="V55" i="20"/>
  <c r="J55" i="20"/>
  <c r="Q55" i="20"/>
  <c r="E55" i="20"/>
  <c r="U55" i="20"/>
  <c r="R55" i="20"/>
  <c r="I55" i="20"/>
  <c r="F55" i="20"/>
  <c r="V38" i="20"/>
  <c r="R38" i="20"/>
  <c r="J38" i="20"/>
  <c r="F38" i="20"/>
  <c r="U38" i="20"/>
  <c r="P38" i="20"/>
  <c r="G38" i="20"/>
  <c r="W38" i="20"/>
  <c r="Q38" i="20"/>
  <c r="H38" i="20"/>
  <c r="C38" i="20"/>
  <c r="K38" i="20"/>
  <c r="X38" i="20"/>
  <c r="I38" i="20"/>
  <c r="E38" i="20"/>
  <c r="D38" i="20"/>
  <c r="T38" i="20"/>
  <c r="S38" i="20"/>
  <c r="X77" i="20"/>
  <c r="T77" i="20"/>
  <c r="P77" i="20"/>
  <c r="H77" i="20"/>
  <c r="D77" i="20"/>
  <c r="U77" i="20"/>
  <c r="Q77" i="20"/>
  <c r="I77" i="20"/>
  <c r="E77" i="20"/>
  <c r="S77" i="20"/>
  <c r="G77" i="20"/>
  <c r="V77" i="20"/>
  <c r="J77" i="20"/>
  <c r="F77" i="20"/>
  <c r="K77" i="20"/>
  <c r="W77" i="20"/>
  <c r="R77" i="20"/>
  <c r="C77" i="20"/>
  <c r="V74" i="20"/>
  <c r="R74" i="20"/>
  <c r="J74" i="20"/>
  <c r="F74" i="20"/>
  <c r="W74" i="20"/>
  <c r="S74" i="20"/>
  <c r="K74" i="20"/>
  <c r="G74" i="20"/>
  <c r="C74" i="20"/>
  <c r="Q74" i="20"/>
  <c r="E74" i="20"/>
  <c r="T74" i="20"/>
  <c r="H74" i="20"/>
  <c r="P74" i="20"/>
  <c r="U74" i="20"/>
  <c r="I74" i="20"/>
  <c r="D74" i="20"/>
  <c r="X74" i="20"/>
  <c r="V36" i="20"/>
  <c r="R36" i="20"/>
  <c r="J36" i="20"/>
  <c r="F36" i="20"/>
  <c r="T36" i="20"/>
  <c r="K36" i="20"/>
  <c r="E36" i="20"/>
  <c r="U36" i="20"/>
  <c r="P36" i="20"/>
  <c r="G36" i="20"/>
  <c r="S36" i="20"/>
  <c r="D36" i="20"/>
  <c r="Q36" i="20"/>
  <c r="C36" i="20"/>
  <c r="X36" i="20"/>
  <c r="W36" i="20"/>
  <c r="I36" i="20"/>
  <c r="H36" i="20"/>
  <c r="W35" i="20"/>
  <c r="S35" i="20"/>
  <c r="K35" i="20"/>
  <c r="G35" i="20"/>
  <c r="C35" i="20"/>
  <c r="X35" i="20"/>
  <c r="T35" i="20"/>
  <c r="P35" i="20"/>
  <c r="H35" i="20"/>
  <c r="D35" i="20"/>
  <c r="R35" i="20"/>
  <c r="F35" i="20"/>
  <c r="Q35" i="20"/>
  <c r="E35" i="20"/>
  <c r="V35" i="20"/>
  <c r="U35" i="20"/>
  <c r="J35" i="20"/>
  <c r="I35" i="20"/>
  <c r="X39" i="20"/>
  <c r="T39" i="20"/>
  <c r="P39" i="20"/>
  <c r="H39" i="20"/>
  <c r="D39" i="20"/>
  <c r="S39" i="20"/>
  <c r="J39" i="20"/>
  <c r="E39" i="20"/>
  <c r="U39" i="20"/>
  <c r="K39" i="20"/>
  <c r="F39" i="20"/>
  <c r="R39" i="20"/>
  <c r="C39" i="20"/>
  <c r="Q39" i="20"/>
  <c r="I39" i="20"/>
  <c r="G39" i="20"/>
  <c r="W39" i="20"/>
  <c r="V39" i="20"/>
  <c r="V58" i="20"/>
  <c r="R58" i="20"/>
  <c r="J58" i="20"/>
  <c r="F58" i="20"/>
  <c r="W58" i="20"/>
  <c r="S58" i="20"/>
  <c r="K58" i="20"/>
  <c r="G58" i="20"/>
  <c r="C58" i="20"/>
  <c r="Q58" i="20"/>
  <c r="E58" i="20"/>
  <c r="T58" i="20"/>
  <c r="H58" i="20"/>
  <c r="X58" i="20"/>
  <c r="D58" i="20"/>
  <c r="I58" i="20"/>
  <c r="U58" i="20"/>
  <c r="P58" i="20"/>
  <c r="X57" i="20"/>
  <c r="T57" i="20"/>
  <c r="P57" i="20"/>
  <c r="U57" i="20"/>
  <c r="Q57" i="20"/>
  <c r="I57" i="20"/>
  <c r="E57" i="20"/>
  <c r="S57" i="20"/>
  <c r="H57" i="20"/>
  <c r="C57" i="20"/>
  <c r="V57" i="20"/>
  <c r="J57" i="20"/>
  <c r="D57" i="20"/>
  <c r="G57" i="20"/>
  <c r="K57" i="20"/>
  <c r="W57" i="20"/>
  <c r="R57" i="20"/>
  <c r="F57" i="20"/>
  <c r="V76" i="20"/>
  <c r="R76" i="20"/>
  <c r="J76" i="20"/>
  <c r="F76" i="20"/>
  <c r="W76" i="20"/>
  <c r="S76" i="20"/>
  <c r="K76" i="20"/>
  <c r="G76" i="20"/>
  <c r="C76" i="20"/>
  <c r="U76" i="20"/>
  <c r="I76" i="20"/>
  <c r="X76" i="20"/>
  <c r="P76" i="20"/>
  <c r="D76" i="20"/>
  <c r="H76" i="20"/>
  <c r="Q76" i="20"/>
  <c r="E76" i="20"/>
  <c r="T76" i="20"/>
  <c r="X79" i="20"/>
  <c r="T79" i="20"/>
  <c r="P79" i="20"/>
  <c r="H79" i="20"/>
  <c r="D79" i="20"/>
  <c r="U79" i="20"/>
  <c r="Q79" i="20"/>
  <c r="I79" i="20"/>
  <c r="E79" i="20"/>
  <c r="W79" i="20"/>
  <c r="K79" i="20"/>
  <c r="C79" i="20"/>
  <c r="R79" i="20"/>
  <c r="F79" i="20"/>
  <c r="V79" i="20"/>
  <c r="G79" i="20"/>
  <c r="S79" i="20"/>
  <c r="J79" i="20"/>
  <c r="X73" i="20"/>
  <c r="T73" i="20"/>
  <c r="P73" i="20"/>
  <c r="H73" i="20"/>
  <c r="D73" i="20"/>
  <c r="U73" i="20"/>
  <c r="Q73" i="20"/>
  <c r="I73" i="20"/>
  <c r="E73" i="20"/>
  <c r="S73" i="20"/>
  <c r="G73" i="20"/>
  <c r="V73" i="20"/>
  <c r="J73" i="20"/>
  <c r="R73" i="20"/>
  <c r="W73" i="20"/>
  <c r="C73" i="20"/>
  <c r="K73" i="20"/>
  <c r="F73" i="20"/>
  <c r="E115" i="7"/>
  <c r="D42" i="1"/>
  <c r="E42" i="1" s="1"/>
  <c r="F42" i="1" s="1"/>
  <c r="G42" i="1" s="1"/>
  <c r="D38" i="1"/>
  <c r="E38" i="1" s="1"/>
  <c r="F38" i="1" s="1"/>
  <c r="G38" i="1" s="1"/>
  <c r="H38" i="1" s="1"/>
  <c r="I38" i="1" s="1"/>
  <c r="J38" i="1" s="1"/>
  <c r="K38" i="1" s="1"/>
  <c r="L38" i="1" s="1"/>
  <c r="AA43" i="1" a="1"/>
  <c r="AA59" i="1" s="1"/>
  <c r="Y36" i="9" a="1"/>
  <c r="Y36" i="9" s="1"/>
  <c r="Y35" i="9" a="1"/>
  <c r="Y35" i="9" s="1"/>
  <c r="Y34" i="9" a="1"/>
  <c r="Y34" i="9" s="1"/>
  <c r="Y33" i="9" a="1"/>
  <c r="Y33" i="9" s="1"/>
  <c r="Y32" i="9" a="1"/>
  <c r="Y32" i="9" s="1"/>
  <c r="Y31" i="9" a="1"/>
  <c r="Y31" i="9" s="1"/>
  <c r="Y30" i="9" a="1"/>
  <c r="Y30" i="9" s="1"/>
  <c r="Y29" i="9" a="1"/>
  <c r="Y29" i="9" s="1"/>
  <c r="Y28" i="9" a="1"/>
  <c r="Y28" i="9" s="1"/>
  <c r="Y27" i="9" a="1"/>
  <c r="Y27" i="9" s="1"/>
  <c r="Y26" i="9" a="1"/>
  <c r="Y26" i="9" s="1"/>
  <c r="Y25" i="9" a="1"/>
  <c r="Y25" i="9" s="1"/>
  <c r="Y24" i="9" a="1"/>
  <c r="Y24" i="9" s="1"/>
  <c r="Y23" i="9" a="1"/>
  <c r="Y23" i="9" s="1"/>
  <c r="Y22" i="9" a="1"/>
  <c r="Y22" i="9" s="1"/>
  <c r="Y21" i="9" a="1"/>
  <c r="Y21" i="9" s="1"/>
  <c r="Y20" i="9" a="1"/>
  <c r="Y20" i="9" s="1"/>
  <c r="Y19" i="9" a="1"/>
  <c r="Y19" i="9" s="1"/>
  <c r="X36" i="9" a="1"/>
  <c r="X36" i="9" s="1"/>
  <c r="X35" i="9" a="1"/>
  <c r="X35" i="9" s="1"/>
  <c r="X34" i="9" a="1"/>
  <c r="X34" i="9" s="1"/>
  <c r="X33" i="9" a="1"/>
  <c r="X33" i="9" s="1"/>
  <c r="X32" i="9" a="1"/>
  <c r="X32" i="9" s="1"/>
  <c r="X31" i="9" a="1"/>
  <c r="X31" i="9" s="1"/>
  <c r="X30" i="9" a="1"/>
  <c r="X30" i="9" s="1"/>
  <c r="X29" i="9" a="1"/>
  <c r="X29" i="9" s="1"/>
  <c r="X28" i="9" a="1"/>
  <c r="X28" i="9" s="1"/>
  <c r="X27" i="9" a="1"/>
  <c r="X27" i="9" s="1"/>
  <c r="X26" i="9" a="1"/>
  <c r="X26" i="9" s="1"/>
  <c r="X25" i="9" a="1"/>
  <c r="X25" i="9" s="1"/>
  <c r="X24" i="9" a="1"/>
  <c r="X24" i="9" s="1"/>
  <c r="X23" i="9" a="1"/>
  <c r="X23" i="9" s="1"/>
  <c r="X22" i="9" a="1"/>
  <c r="X22" i="9" s="1"/>
  <c r="X21" i="9" a="1"/>
  <c r="X21" i="9" s="1"/>
  <c r="X20" i="9" a="1"/>
  <c r="X20" i="9" s="1"/>
  <c r="X19" i="9" a="1"/>
  <c r="X19" i="9" s="1"/>
  <c r="Q19" i="9" a="1"/>
  <c r="Q19" i="9" s="1"/>
  <c r="R19" i="9" a="1"/>
  <c r="R19" i="9" s="1"/>
  <c r="S19" i="9" a="1"/>
  <c r="S19" i="9" s="1"/>
  <c r="T19" i="9" a="1"/>
  <c r="T19" i="9" s="1"/>
  <c r="U19" i="9" a="1"/>
  <c r="U19" i="9" s="1"/>
  <c r="V19" i="9" a="1"/>
  <c r="V19" i="9" s="1"/>
  <c r="W19" i="9" a="1"/>
  <c r="W19" i="9" s="1"/>
  <c r="Q20" i="9" a="1"/>
  <c r="Q20" i="9" s="1"/>
  <c r="Q21" i="9" a="1"/>
  <c r="Q21" i="9" s="1"/>
  <c r="Q22" i="9" a="1"/>
  <c r="Q22" i="9" s="1"/>
  <c r="Q23" i="9" a="1"/>
  <c r="Q23" i="9" s="1"/>
  <c r="Q24" i="9" a="1"/>
  <c r="Q24" i="9" s="1"/>
  <c r="Q25" i="9" a="1"/>
  <c r="Q25" i="9" s="1"/>
  <c r="Q26" i="9" a="1"/>
  <c r="Q26" i="9" s="1"/>
  <c r="Q27" i="9" a="1"/>
  <c r="Q27" i="9" s="1"/>
  <c r="Q28" i="9" a="1"/>
  <c r="Q28" i="9" s="1"/>
  <c r="Q29" i="9" a="1"/>
  <c r="Q29" i="9" s="1"/>
  <c r="Q30" i="9" a="1"/>
  <c r="Q30" i="9" s="1"/>
  <c r="Q31" i="9" a="1"/>
  <c r="Q31" i="9" s="1"/>
  <c r="Q32" i="9" a="1"/>
  <c r="Q32" i="9" s="1"/>
  <c r="Q33" i="9" a="1"/>
  <c r="Q33" i="9" s="1"/>
  <c r="Q34" i="9" a="1"/>
  <c r="Q34" i="9" s="1"/>
  <c r="Q35" i="9" a="1"/>
  <c r="Q35" i="9" s="1"/>
  <c r="Q36" i="9" a="1"/>
  <c r="Q36" i="9" s="1"/>
  <c r="W36" i="9" a="1"/>
  <c r="W36" i="9" s="1"/>
  <c r="V36" i="9" a="1"/>
  <c r="V36" i="9" s="1"/>
  <c r="U36" i="9" a="1"/>
  <c r="U36" i="9" s="1"/>
  <c r="T36" i="9" a="1"/>
  <c r="T36" i="9" s="1"/>
  <c r="S36" i="9" a="1"/>
  <c r="S36" i="9" s="1"/>
  <c r="R36" i="9" a="1"/>
  <c r="R36" i="9" s="1"/>
  <c r="W35" i="9" a="1"/>
  <c r="W35" i="9" s="1"/>
  <c r="V35" i="9" a="1"/>
  <c r="V35" i="9" s="1"/>
  <c r="U35" i="9" a="1"/>
  <c r="U35" i="9" s="1"/>
  <c r="T35" i="9" a="1"/>
  <c r="T35" i="9" s="1"/>
  <c r="S35" i="9" a="1"/>
  <c r="S35" i="9" s="1"/>
  <c r="R35" i="9" a="1"/>
  <c r="R35" i="9" s="1"/>
  <c r="W34" i="9" a="1"/>
  <c r="W34" i="9" s="1"/>
  <c r="V34" i="9" a="1"/>
  <c r="V34" i="9" s="1"/>
  <c r="U34" i="9" a="1"/>
  <c r="U34" i="9" s="1"/>
  <c r="T34" i="9" a="1"/>
  <c r="T34" i="9" s="1"/>
  <c r="S34" i="9" a="1"/>
  <c r="S34" i="9" s="1"/>
  <c r="R34" i="9" a="1"/>
  <c r="R34" i="9" s="1"/>
  <c r="W33" i="9" a="1"/>
  <c r="W33" i="9" s="1"/>
  <c r="V33" i="9" a="1"/>
  <c r="V33" i="9" s="1"/>
  <c r="U33" i="9" a="1"/>
  <c r="U33" i="9" s="1"/>
  <c r="T33" i="9" a="1"/>
  <c r="T33" i="9" s="1"/>
  <c r="S33" i="9" a="1"/>
  <c r="S33" i="9" s="1"/>
  <c r="R33" i="9" a="1"/>
  <c r="R33" i="9" s="1"/>
  <c r="W32" i="9" a="1"/>
  <c r="W32" i="9" s="1"/>
  <c r="V32" i="9" a="1"/>
  <c r="V32" i="9" s="1"/>
  <c r="U32" i="9" a="1"/>
  <c r="U32" i="9" s="1"/>
  <c r="T32" i="9" a="1"/>
  <c r="T32" i="9" s="1"/>
  <c r="S32" i="9" a="1"/>
  <c r="S32" i="9" s="1"/>
  <c r="R32" i="9" a="1"/>
  <c r="R32" i="9" s="1"/>
  <c r="W31" i="9" a="1"/>
  <c r="W31" i="9" s="1"/>
  <c r="V31" i="9" a="1"/>
  <c r="V31" i="9" s="1"/>
  <c r="U31" i="9" a="1"/>
  <c r="U31" i="9" s="1"/>
  <c r="T31" i="9" a="1"/>
  <c r="T31" i="9" s="1"/>
  <c r="S31" i="9" a="1"/>
  <c r="S31" i="9" s="1"/>
  <c r="R31" i="9" a="1"/>
  <c r="R31" i="9" s="1"/>
  <c r="W30" i="9" a="1"/>
  <c r="W30" i="9" s="1"/>
  <c r="V30" i="9" a="1"/>
  <c r="V30" i="9" s="1"/>
  <c r="U30" i="9" a="1"/>
  <c r="U30" i="9" s="1"/>
  <c r="T30" i="9" a="1"/>
  <c r="T30" i="9" s="1"/>
  <c r="S30" i="9" a="1"/>
  <c r="S30" i="9" s="1"/>
  <c r="R30" i="9" a="1"/>
  <c r="R30" i="9" s="1"/>
  <c r="W29" i="9" a="1"/>
  <c r="W29" i="9" s="1"/>
  <c r="V29" i="9" a="1"/>
  <c r="V29" i="9" s="1"/>
  <c r="U29" i="9" a="1"/>
  <c r="U29" i="9" s="1"/>
  <c r="T29" i="9" a="1"/>
  <c r="T29" i="9" s="1"/>
  <c r="S29" i="9" a="1"/>
  <c r="S29" i="9" s="1"/>
  <c r="R29" i="9" a="1"/>
  <c r="R29" i="9" s="1"/>
  <c r="W28" i="9" a="1"/>
  <c r="W28" i="9" s="1"/>
  <c r="V28" i="9" a="1"/>
  <c r="V28" i="9" s="1"/>
  <c r="U28" i="9" a="1"/>
  <c r="U28" i="9" s="1"/>
  <c r="T28" i="9" a="1"/>
  <c r="T28" i="9" s="1"/>
  <c r="S28" i="9" a="1"/>
  <c r="S28" i="9" s="1"/>
  <c r="R28" i="9" a="1"/>
  <c r="R28" i="9" s="1"/>
  <c r="W27" i="9" a="1"/>
  <c r="W27" i="9" s="1"/>
  <c r="V27" i="9" a="1"/>
  <c r="V27" i="9" s="1"/>
  <c r="U27" i="9" a="1"/>
  <c r="U27" i="9" s="1"/>
  <c r="T27" i="9" a="1"/>
  <c r="T27" i="9" s="1"/>
  <c r="S27" i="9" a="1"/>
  <c r="S27" i="9" s="1"/>
  <c r="R27" i="9" a="1"/>
  <c r="R27" i="9" s="1"/>
  <c r="W26" i="9" a="1"/>
  <c r="W26" i="9" s="1"/>
  <c r="V26" i="9" a="1"/>
  <c r="V26" i="9" s="1"/>
  <c r="U26" i="9" a="1"/>
  <c r="U26" i="9" s="1"/>
  <c r="T26" i="9" a="1"/>
  <c r="T26" i="9" s="1"/>
  <c r="S26" i="9" a="1"/>
  <c r="S26" i="9" s="1"/>
  <c r="R26" i="9" a="1"/>
  <c r="R26" i="9" s="1"/>
  <c r="W25" i="9" a="1"/>
  <c r="W25" i="9" s="1"/>
  <c r="V25" i="9" a="1"/>
  <c r="V25" i="9" s="1"/>
  <c r="U25" i="9" a="1"/>
  <c r="U25" i="9" s="1"/>
  <c r="T25" i="9" a="1"/>
  <c r="T25" i="9" s="1"/>
  <c r="S25" i="9" a="1"/>
  <c r="S25" i="9" s="1"/>
  <c r="R25" i="9" a="1"/>
  <c r="R25" i="9" s="1"/>
  <c r="W24" i="9" a="1"/>
  <c r="W24" i="9" s="1"/>
  <c r="V24" i="9" a="1"/>
  <c r="V24" i="9" s="1"/>
  <c r="U24" i="9" a="1"/>
  <c r="U24" i="9" s="1"/>
  <c r="T24" i="9" a="1"/>
  <c r="T24" i="9" s="1"/>
  <c r="S24" i="9" a="1"/>
  <c r="S24" i="9" s="1"/>
  <c r="R24" i="9" a="1"/>
  <c r="R24" i="9" s="1"/>
  <c r="W23" i="9" a="1"/>
  <c r="W23" i="9" s="1"/>
  <c r="V23" i="9" a="1"/>
  <c r="V23" i="9" s="1"/>
  <c r="U23" i="9" a="1"/>
  <c r="U23" i="9" s="1"/>
  <c r="T23" i="9" a="1"/>
  <c r="T23" i="9" s="1"/>
  <c r="S23" i="9" a="1"/>
  <c r="S23" i="9" s="1"/>
  <c r="R23" i="9" a="1"/>
  <c r="R23" i="9" s="1"/>
  <c r="W22" i="9" a="1"/>
  <c r="W22" i="9" s="1"/>
  <c r="V22" i="9" a="1"/>
  <c r="V22" i="9" s="1"/>
  <c r="U22" i="9" a="1"/>
  <c r="U22" i="9" s="1"/>
  <c r="T22" i="9" a="1"/>
  <c r="T22" i="9" s="1"/>
  <c r="S22" i="9" a="1"/>
  <c r="S22" i="9" s="1"/>
  <c r="R22" i="9" a="1"/>
  <c r="R22" i="9" s="1"/>
  <c r="W21" i="9" a="1"/>
  <c r="W21" i="9" s="1"/>
  <c r="V21" i="9" a="1"/>
  <c r="V21" i="9" s="1"/>
  <c r="U21" i="9" a="1"/>
  <c r="U21" i="9" s="1"/>
  <c r="T21" i="9" a="1"/>
  <c r="T21" i="9" s="1"/>
  <c r="S21" i="9" a="1"/>
  <c r="S21" i="9" s="1"/>
  <c r="R21" i="9" a="1"/>
  <c r="R21" i="9" s="1"/>
  <c r="W20" i="9" a="1"/>
  <c r="W20" i="9" s="1"/>
  <c r="V20" i="9" a="1"/>
  <c r="V20" i="9" s="1"/>
  <c r="U20" i="9" a="1"/>
  <c r="U20" i="9" s="1"/>
  <c r="T20" i="9" a="1"/>
  <c r="T20" i="9" s="1"/>
  <c r="S20" i="9" a="1"/>
  <c r="S20" i="9" s="1"/>
  <c r="R20" i="9" a="1"/>
  <c r="R20" i="9" s="1"/>
  <c r="B43" i="1" a="1"/>
  <c r="B59" i="1" s="1"/>
  <c r="Q39" i="1"/>
  <c r="R39" i="1" s="1"/>
  <c r="S39" i="1" s="1"/>
  <c r="T39" i="1" s="1"/>
  <c r="U39" i="1" s="1"/>
  <c r="V39" i="1" s="1"/>
  <c r="W39" i="1" s="1"/>
  <c r="X39" i="1" s="1"/>
  <c r="Y39" i="1" s="1"/>
  <c r="R66" i="4" l="1"/>
  <c r="X51" i="4"/>
  <c r="AG51" i="4" s="1"/>
  <c r="S14" i="4"/>
  <c r="AB14" i="4" s="1"/>
  <c r="P23" i="4"/>
  <c r="Y23" i="4" s="1"/>
  <c r="T31" i="4"/>
  <c r="T49" i="4"/>
  <c r="V64" i="4"/>
  <c r="Q7" i="4"/>
  <c r="W15" i="4"/>
  <c r="AF15" i="4" s="1"/>
  <c r="S24" i="4"/>
  <c r="AB24" i="4" s="1"/>
  <c r="V36" i="4"/>
  <c r="U73" i="4"/>
  <c r="AD73" i="4" s="1"/>
  <c r="X50" i="4"/>
  <c r="AG50" i="4" s="1"/>
  <c r="W63" i="4"/>
  <c r="AF63" i="4" s="1"/>
  <c r="Q10" i="4"/>
  <c r="X18" i="4"/>
  <c r="AG18" i="4" s="1"/>
  <c r="T27" i="4"/>
  <c r="AC27" i="4" s="1"/>
  <c r="S43" i="4"/>
  <c r="AB43" i="4" s="1"/>
  <c r="P57" i="4"/>
  <c r="Y57" i="4" s="1"/>
  <c r="Q72" i="4"/>
  <c r="Z72" i="4" s="1"/>
  <c r="U98" i="4"/>
  <c r="P46" i="4"/>
  <c r="Y46" i="4" s="1"/>
  <c r="X47" i="4"/>
  <c r="R19" i="4"/>
  <c r="AA19" i="4" s="1"/>
  <c r="S32" i="4"/>
  <c r="AB32" i="4" s="1"/>
  <c r="W40" i="4"/>
  <c r="AF40" i="4" s="1"/>
  <c r="U93" i="4"/>
  <c r="S90" i="4"/>
  <c r="S58" i="4"/>
  <c r="AB58" i="4" s="1"/>
  <c r="W83" i="4"/>
  <c r="AF83" i="4" s="1"/>
  <c r="R8" i="4"/>
  <c r="X20" i="4"/>
  <c r="AG20" i="4" s="1"/>
  <c r="W29" i="4"/>
  <c r="AF29" i="4" s="1"/>
  <c r="R37" i="4"/>
  <c r="X75" i="4"/>
  <c r="AG75" i="4" s="1"/>
  <c r="T96" i="4"/>
  <c r="R21" i="4"/>
  <c r="AA21" i="4" s="1"/>
  <c r="V86" i="4"/>
  <c r="AE86" i="4" s="1"/>
  <c r="P67" i="4"/>
  <c r="Y67" i="4" s="1"/>
  <c r="X99" i="4"/>
  <c r="S9" i="4"/>
  <c r="R22" i="4"/>
  <c r="AA22" i="4" s="1"/>
  <c r="T30" i="4"/>
  <c r="P34" i="4"/>
  <c r="Y34" i="4" s="1"/>
  <c r="Q38" i="4"/>
  <c r="S48" i="4"/>
  <c r="Q61" i="4"/>
  <c r="Z61" i="4" s="1"/>
  <c r="U69" i="4"/>
  <c r="AD69" i="4" s="1"/>
  <c r="R91" i="4"/>
  <c r="E116" i="7"/>
  <c r="F116" i="7" s="1"/>
  <c r="G116" i="7" s="1"/>
  <c r="H116" i="7" s="1"/>
  <c r="I116" i="7" s="1"/>
  <c r="E83" i="20"/>
  <c r="E84" i="20" s="1"/>
  <c r="F84" i="20" s="1"/>
  <c r="G84" i="20" s="1"/>
  <c r="H84" i="20" s="1"/>
  <c r="I84" i="20" s="1"/>
  <c r="S74" i="4"/>
  <c r="AB74" i="4" s="1"/>
  <c r="AA54" i="1"/>
  <c r="R42" i="4"/>
  <c r="AA56" i="1"/>
  <c r="AA43" i="1"/>
  <c r="AA65" i="1"/>
  <c r="AA57" i="1"/>
  <c r="AA48" i="1"/>
  <c r="B56" i="1"/>
  <c r="AA58" i="1"/>
  <c r="U16" i="4"/>
  <c r="AD16" i="4" s="1"/>
  <c r="W100" i="4"/>
  <c r="X62" i="4"/>
  <c r="AG62" i="4" s="1"/>
  <c r="S35" i="4"/>
  <c r="AB35" i="4" s="1"/>
  <c r="X78" i="4"/>
  <c r="AG78" i="4" s="1"/>
  <c r="Q88" i="4"/>
  <c r="AA45" i="1"/>
  <c r="AA51" i="1"/>
  <c r="AA60" i="1"/>
  <c r="AA70" i="1"/>
  <c r="AA46" i="1"/>
  <c r="AA61" i="1"/>
  <c r="X81" i="4"/>
  <c r="AG81" i="4" s="1"/>
  <c r="Q33" i="4"/>
  <c r="Z33" i="4" s="1"/>
  <c r="Q38" i="1" a="1"/>
  <c r="V38" i="1" s="1"/>
  <c r="AA73" i="1"/>
  <c r="AA62" i="1"/>
  <c r="AA64" i="1"/>
  <c r="AA63" i="1"/>
  <c r="U28" i="4"/>
  <c r="AD28" i="4" s="1"/>
  <c r="AA49" i="1"/>
  <c r="AA47" i="1"/>
  <c r="AA44" i="1"/>
  <c r="AA72" i="1"/>
  <c r="AA67" i="1"/>
  <c r="D43" i="1" a="1"/>
  <c r="D52" i="1" s="1"/>
  <c r="Q52" i="1" s="1"/>
  <c r="U6" i="4"/>
  <c r="V80" i="4"/>
  <c r="AE80" i="4" s="1"/>
  <c r="U26" i="4"/>
  <c r="AD26" i="4" s="1"/>
  <c r="B57" i="1"/>
  <c r="AA53" i="1"/>
  <c r="AA69" i="1"/>
  <c r="AA50" i="1"/>
  <c r="AA66" i="1"/>
  <c r="AA52" i="1"/>
  <c r="AA68" i="1"/>
  <c r="AA55" i="1"/>
  <c r="AA71" i="1"/>
  <c r="U39" i="4"/>
  <c r="AD39" i="4" s="1"/>
  <c r="B61" i="1"/>
  <c r="B43" i="1"/>
  <c r="S25" i="4"/>
  <c r="AB25" i="4" s="1"/>
  <c r="X11" i="4"/>
  <c r="AG11" i="4" s="1"/>
  <c r="B3" i="15"/>
  <c r="B62" i="20"/>
  <c r="N3" i="15"/>
  <c r="O62" i="20"/>
  <c r="B45" i="1"/>
  <c r="B58" i="1"/>
  <c r="B54" i="1"/>
  <c r="B53" i="1"/>
  <c r="B51" i="1"/>
  <c r="B49" i="1"/>
  <c r="B48" i="1"/>
  <c r="B44" i="1"/>
  <c r="R70" i="4"/>
  <c r="AA70" i="4" s="1"/>
  <c r="R44" i="4"/>
  <c r="T85" i="4"/>
  <c r="P55" i="4"/>
  <c r="Y55" i="4" s="1"/>
  <c r="X76" i="4"/>
  <c r="AG76" i="4" s="1"/>
  <c r="S52" i="4"/>
  <c r="V92" i="4"/>
  <c r="W87" i="4"/>
  <c r="AF87" i="4" s="1"/>
  <c r="S79" i="4"/>
  <c r="AB79" i="4" s="1"/>
  <c r="Q71" i="4"/>
  <c r="Z71" i="4" s="1"/>
  <c r="V68" i="4"/>
  <c r="AE68" i="4" s="1"/>
  <c r="P95" i="4"/>
  <c r="B52" i="1"/>
  <c r="B47" i="1"/>
  <c r="H42" i="1"/>
  <c r="I42" i="1" s="1"/>
  <c r="J42" i="1" s="1"/>
  <c r="K42" i="1" s="1"/>
  <c r="L42" i="1" s="1"/>
  <c r="B50" i="1"/>
  <c r="B46" i="1"/>
  <c r="B60" i="1"/>
  <c r="B55" i="1"/>
  <c r="U77" i="4" l="1"/>
  <c r="AD77" i="4" s="1"/>
  <c r="X8" i="4"/>
  <c r="T48" i="4"/>
  <c r="T76" i="4"/>
  <c r="AC76" i="4" s="1"/>
  <c r="Q25" i="4"/>
  <c r="Z25" i="4" s="1"/>
  <c r="T17" i="4"/>
  <c r="AC17" i="4" s="1"/>
  <c r="P22" i="4"/>
  <c r="Y22" i="4" s="1"/>
  <c r="W5" i="4"/>
  <c r="X61" i="4"/>
  <c r="AG61" i="4" s="1"/>
  <c r="W69" i="4"/>
  <c r="AF69" i="4" s="1"/>
  <c r="T66" i="4"/>
  <c r="AC66" i="4" s="1"/>
  <c r="Q62" i="4"/>
  <c r="Z62" i="4" s="1"/>
  <c r="U34" i="4"/>
  <c r="AD34" i="4" s="1"/>
  <c r="U29" i="4"/>
  <c r="AD29" i="4" s="1"/>
  <c r="U20" i="4"/>
  <c r="AD20" i="4" s="1"/>
  <c r="R25" i="4"/>
  <c r="AA25" i="4" s="1"/>
  <c r="Q81" i="4"/>
  <c r="Z81" i="4" s="1"/>
  <c r="T4" i="4"/>
  <c r="W34" i="4"/>
  <c r="AF34" i="4" s="1"/>
  <c r="R20" i="4"/>
  <c r="AA20" i="4" s="1"/>
  <c r="P11" i="4"/>
  <c r="Y11" i="4" s="1"/>
  <c r="P48" i="4"/>
  <c r="Y48" i="4" s="1"/>
  <c r="Q44" i="4"/>
  <c r="Z44" i="4" s="1"/>
  <c r="V61" i="4"/>
  <c r="W20" i="4"/>
  <c r="AF20" i="4" s="1"/>
  <c r="S4" i="4"/>
  <c r="P7" i="4"/>
  <c r="P38" i="4"/>
  <c r="T9" i="4"/>
  <c r="P17" i="4"/>
  <c r="Y17" i="4" s="1"/>
  <c r="R13" i="4"/>
  <c r="X21" i="4"/>
  <c r="AG21" i="4" s="1"/>
  <c r="P69" i="4"/>
  <c r="Y69" i="4" s="1"/>
  <c r="U65" i="4"/>
  <c r="AD65" i="4" s="1"/>
  <c r="W19" i="4"/>
  <c r="AF19" i="4" s="1"/>
  <c r="U37" i="4"/>
  <c r="AD37" i="4" s="1"/>
  <c r="S28" i="4"/>
  <c r="AB28" i="4" s="1"/>
  <c r="S59" i="4"/>
  <c r="AB59" i="4" s="1"/>
  <c r="R62" i="4"/>
  <c r="AA62" i="4" s="1"/>
  <c r="S83" i="4"/>
  <c r="AB83" i="4" s="1"/>
  <c r="U47" i="4"/>
  <c r="T34" i="4"/>
  <c r="U82" i="4"/>
  <c r="R36" i="4"/>
  <c r="P36" i="4"/>
  <c r="Y36" i="4" s="1"/>
  <c r="W45" i="4"/>
  <c r="AF45" i="4" s="1"/>
  <c r="S37" i="4"/>
  <c r="AB37" i="4" s="1"/>
  <c r="X72" i="4"/>
  <c r="AG72" i="4" s="1"/>
  <c r="Q28" i="4"/>
  <c r="Z28" i="4" s="1"/>
  <c r="W59" i="4"/>
  <c r="AF59" i="4" s="1"/>
  <c r="T24" i="4"/>
  <c r="AC24" i="4" s="1"/>
  <c r="X45" i="4"/>
  <c r="AG45" i="4" s="1"/>
  <c r="V35" i="4"/>
  <c r="X10" i="4"/>
  <c r="V39" i="4"/>
  <c r="AE39" i="4" s="1"/>
  <c r="T23" i="4"/>
  <c r="AC23" i="4" s="1"/>
  <c r="S40" i="4"/>
  <c r="P54" i="4"/>
  <c r="Y54" i="4" s="1"/>
  <c r="V59" i="4"/>
  <c r="U36" i="4"/>
  <c r="AD36" i="4" s="1"/>
  <c r="T11" i="4"/>
  <c r="T7" i="4"/>
  <c r="P85" i="4"/>
  <c r="Y85" i="4" s="1"/>
  <c r="R49" i="4"/>
  <c r="AA49" i="4" s="1"/>
  <c r="V85" i="4"/>
  <c r="AE85" i="4" s="1"/>
  <c r="Q64" i="4"/>
  <c r="Z64" i="4" s="1"/>
  <c r="W64" i="4"/>
  <c r="AF64" i="4" s="1"/>
  <c r="Q27" i="4"/>
  <c r="Z27" i="4" s="1"/>
  <c r="T14" i="4"/>
  <c r="AC14" i="4" s="1"/>
  <c r="V81" i="4"/>
  <c r="AE81" i="4" s="1"/>
  <c r="U53" i="4"/>
  <c r="AD53" i="4" s="1"/>
  <c r="Q16" i="4"/>
  <c r="Z16" i="4" s="1"/>
  <c r="T8" i="4"/>
  <c r="R55" i="4"/>
  <c r="X54" i="4"/>
  <c r="AG54" i="4" s="1"/>
  <c r="S73" i="4"/>
  <c r="AB73" i="4" s="1"/>
  <c r="S6" i="4"/>
  <c r="V49" i="4"/>
  <c r="AE49" i="4" s="1"/>
  <c r="V32" i="4"/>
  <c r="V19" i="4"/>
  <c r="AE19" i="4" s="1"/>
  <c r="V72" i="4"/>
  <c r="AE72" i="4" s="1"/>
  <c r="X49" i="4"/>
  <c r="AG49" i="4" s="1"/>
  <c r="Q49" i="4"/>
  <c r="Z49" i="4" s="1"/>
  <c r="X31" i="4"/>
  <c r="AG31" i="4" s="1"/>
  <c r="T28" i="4"/>
  <c r="AC28" i="4" s="1"/>
  <c r="P15" i="4"/>
  <c r="Y15" i="4" s="1"/>
  <c r="Q57" i="4"/>
  <c r="Z57" i="4" s="1"/>
  <c r="U72" i="4"/>
  <c r="AD72" i="4" s="1"/>
  <c r="P35" i="4"/>
  <c r="Y35" i="4" s="1"/>
  <c r="Q23" i="4"/>
  <c r="Z23" i="4" s="1"/>
  <c r="X6" i="4"/>
  <c r="T64" i="4"/>
  <c r="AC64" i="4" s="1"/>
  <c r="W85" i="4"/>
  <c r="AF85" i="4" s="1"/>
  <c r="W78" i="4"/>
  <c r="AF78" i="4" s="1"/>
  <c r="P83" i="4"/>
  <c r="Y83" i="4" s="1"/>
  <c r="R27" i="4"/>
  <c r="R47" i="4"/>
  <c r="AA47" i="4" s="1"/>
  <c r="V62" i="4"/>
  <c r="U84" i="4"/>
  <c r="R76" i="4"/>
  <c r="AA76" i="4" s="1"/>
  <c r="R69" i="4"/>
  <c r="AA69" i="4" s="1"/>
  <c r="U61" i="4"/>
  <c r="AD61" i="4" s="1"/>
  <c r="W56" i="4"/>
  <c r="AF56" i="4" s="1"/>
  <c r="R48" i="4"/>
  <c r="AA48" i="4" s="1"/>
  <c r="W42" i="4"/>
  <c r="AF42" i="4" s="1"/>
  <c r="R34" i="4"/>
  <c r="Q30" i="4"/>
  <c r="Z30" i="4" s="1"/>
  <c r="R26" i="4"/>
  <c r="AA26" i="4" s="1"/>
  <c r="X22" i="4"/>
  <c r="AG22" i="4" s="1"/>
  <c r="R17" i="4"/>
  <c r="X13" i="4"/>
  <c r="AG13" i="4" s="1"/>
  <c r="V9" i="4"/>
  <c r="U5" i="4"/>
  <c r="T82" i="4"/>
  <c r="AC82" i="4" s="1"/>
  <c r="T57" i="4"/>
  <c r="AC57" i="4" s="1"/>
  <c r="U49" i="4"/>
  <c r="AD49" i="4" s="1"/>
  <c r="P29" i="4"/>
  <c r="Y29" i="4" s="1"/>
  <c r="X46" i="4"/>
  <c r="T38" i="4"/>
  <c r="P62" i="4"/>
  <c r="Y62" i="4" s="1"/>
  <c r="Q67" i="4"/>
  <c r="Z67" i="4" s="1"/>
  <c r="Q73" i="4"/>
  <c r="Z73" i="4" s="1"/>
  <c r="S67" i="4"/>
  <c r="AB67" i="4" s="1"/>
  <c r="T63" i="4"/>
  <c r="AC63" i="4" s="1"/>
  <c r="R58" i="4"/>
  <c r="AA58" i="4" s="1"/>
  <c r="V71" i="4"/>
  <c r="AE71" i="4" s="1"/>
  <c r="V67" i="4"/>
  <c r="AE67" i="4" s="1"/>
  <c r="P58" i="4"/>
  <c r="Y58" i="4" s="1"/>
  <c r="R7" i="4"/>
  <c r="U71" i="4"/>
  <c r="AD71" i="4" s="1"/>
  <c r="T44" i="4"/>
  <c r="V63" i="4"/>
  <c r="T37" i="4"/>
  <c r="V47" i="4"/>
  <c r="T58" i="4"/>
  <c r="AC58" i="4" s="1"/>
  <c r="R63" i="4"/>
  <c r="AA63" i="4" s="1"/>
  <c r="S72" i="4"/>
  <c r="AB72" i="4" s="1"/>
  <c r="W67" i="4"/>
  <c r="AF67" i="4" s="1"/>
  <c r="S26" i="4"/>
  <c r="AB26" i="4" s="1"/>
  <c r="S61" i="4"/>
  <c r="AB61" i="4" s="1"/>
  <c r="X9" i="4"/>
  <c r="Q53" i="4"/>
  <c r="Z53" i="4" s="1"/>
  <c r="Q22" i="4"/>
  <c r="Z22" i="4" s="1"/>
  <c r="R33" i="4"/>
  <c r="P56" i="4"/>
  <c r="Y56" i="4" s="1"/>
  <c r="Q68" i="4"/>
  <c r="Z68" i="4" s="1"/>
  <c r="V29" i="4"/>
  <c r="P53" i="4"/>
  <c r="Y53" i="4" s="1"/>
  <c r="S38" i="4"/>
  <c r="Q20" i="4"/>
  <c r="Z20" i="4" s="1"/>
  <c r="X48" i="4"/>
  <c r="AG48" i="4" s="1"/>
  <c r="V21" i="4"/>
  <c r="AE21" i="4" s="1"/>
  <c r="V84" i="4"/>
  <c r="AE84" i="4" s="1"/>
  <c r="R24" i="4"/>
  <c r="AA24" i="4" s="1"/>
  <c r="V73" i="4"/>
  <c r="AE73" i="4" s="1"/>
  <c r="T61" i="4"/>
  <c r="AC61" i="4" s="1"/>
  <c r="Q66" i="4"/>
  <c r="Z66" i="4" s="1"/>
  <c r="W54" i="4"/>
  <c r="AF54" i="4" s="1"/>
  <c r="X17" i="4"/>
  <c r="AG17" i="4" s="1"/>
  <c r="V69" i="4"/>
  <c r="AE69" i="4" s="1"/>
  <c r="P76" i="4"/>
  <c r="Y76" i="4" s="1"/>
  <c r="V56" i="4"/>
  <c r="AE56" i="4" s="1"/>
  <c r="T20" i="4"/>
  <c r="AC20" i="4" s="1"/>
  <c r="V4" i="4"/>
  <c r="U75" i="4"/>
  <c r="AD75" i="4" s="1"/>
  <c r="V16" i="4"/>
  <c r="AE16" i="4" s="1"/>
  <c r="Q32" i="4"/>
  <c r="Z32" i="4" s="1"/>
  <c r="R57" i="4"/>
  <c r="AA57" i="4" s="1"/>
  <c r="R14" i="4"/>
  <c r="AA14" i="4" s="1"/>
  <c r="V57" i="4"/>
  <c r="W65" i="4"/>
  <c r="AF65" i="4" s="1"/>
  <c r="R59" i="4"/>
  <c r="S55" i="4"/>
  <c r="AB55" i="4" s="1"/>
  <c r="R18" i="4"/>
  <c r="AA18" i="4" s="1"/>
  <c r="P18" i="4"/>
  <c r="Y18" i="4" s="1"/>
  <c r="Q59" i="4"/>
  <c r="Z59" i="4" s="1"/>
  <c r="T36" i="4"/>
  <c r="V11" i="4"/>
  <c r="AE11" i="4" s="1"/>
  <c r="V7" i="4"/>
  <c r="X85" i="4"/>
  <c r="U64" i="4"/>
  <c r="AD64" i="4" s="1"/>
  <c r="W43" i="4"/>
  <c r="AF43" i="4" s="1"/>
  <c r="W10" i="4"/>
  <c r="S81" i="4"/>
  <c r="AB81" i="4" s="1"/>
  <c r="Q75" i="4"/>
  <c r="Z75" i="4" s="1"/>
  <c r="R53" i="4"/>
  <c r="W8" i="4"/>
  <c r="W55" i="4"/>
  <c r="AF55" i="4" s="1"/>
  <c r="P70" i="4"/>
  <c r="Y70" i="4" s="1"/>
  <c r="W44" i="4"/>
  <c r="AF44" i="4" s="1"/>
  <c r="R64" i="4"/>
  <c r="AA64" i="4" s="1"/>
  <c r="X7" i="4"/>
  <c r="R6" i="4"/>
  <c r="W14" i="4"/>
  <c r="AF14" i="4" s="1"/>
  <c r="S11" i="4"/>
  <c r="AB11" i="4" s="1"/>
  <c r="V44" i="4"/>
  <c r="R32" i="4"/>
  <c r="X19" i="4"/>
  <c r="AG19" i="4" s="1"/>
  <c r="P14" i="4"/>
  <c r="Y14" i="4" s="1"/>
  <c r="V18" i="4"/>
  <c r="AE18" i="4" s="1"/>
  <c r="Q14" i="4"/>
  <c r="Z14" i="4" s="1"/>
  <c r="V27" i="4"/>
  <c r="T43" i="4"/>
  <c r="S49" i="4"/>
  <c r="T18" i="4"/>
  <c r="AC18" i="4" s="1"/>
  <c r="U52" i="4"/>
  <c r="AD52" i="4" s="1"/>
  <c r="X28" i="4"/>
  <c r="V15" i="4"/>
  <c r="AE15" i="4" s="1"/>
  <c r="P72" i="4"/>
  <c r="Y72" i="4" s="1"/>
  <c r="S23" i="4"/>
  <c r="AB23" i="4" s="1"/>
  <c r="U23" i="4"/>
  <c r="AD23" i="4" s="1"/>
  <c r="U78" i="4"/>
  <c r="AD78" i="4" s="1"/>
  <c r="P21" i="4"/>
  <c r="Y21" i="4" s="1"/>
  <c r="S20" i="4"/>
  <c r="AB20" i="4" s="1"/>
  <c r="Q47" i="4"/>
  <c r="Z47" i="4" s="1"/>
  <c r="W62" i="4"/>
  <c r="AF62" i="4" s="1"/>
  <c r="Q83" i="4"/>
  <c r="Z83" i="4" s="1"/>
  <c r="V48" i="4"/>
  <c r="T13" i="4"/>
  <c r="AC13" i="4" s="1"/>
  <c r="X34" i="4"/>
  <c r="W84" i="4"/>
  <c r="AF84" i="4" s="1"/>
  <c r="U76" i="4"/>
  <c r="AD76" i="4" s="1"/>
  <c r="Q69" i="4"/>
  <c r="Z69" i="4" s="1"/>
  <c r="R61" i="4"/>
  <c r="AA61" i="4" s="1"/>
  <c r="U56" i="4"/>
  <c r="AD56" i="4" s="1"/>
  <c r="U48" i="4"/>
  <c r="V42" i="4"/>
  <c r="AE42" i="4" s="1"/>
  <c r="V34" i="4"/>
  <c r="S30" i="4"/>
  <c r="AB30" i="4" s="1"/>
  <c r="W26" i="4"/>
  <c r="AF26" i="4" s="1"/>
  <c r="Q17" i="4"/>
  <c r="Z17" i="4" s="1"/>
  <c r="S17" i="4"/>
  <c r="AB17" i="4" s="1"/>
  <c r="Q13" i="4"/>
  <c r="Z13" i="4" s="1"/>
  <c r="W9" i="4"/>
  <c r="P5" i="4"/>
  <c r="S66" i="4"/>
  <c r="AB66" i="4" s="1"/>
  <c r="Q43" i="4"/>
  <c r="Z43" i="4" s="1"/>
  <c r="T6" i="4"/>
  <c r="V46" i="4"/>
  <c r="U38" i="4"/>
  <c r="S47" i="4"/>
  <c r="W86" i="4"/>
  <c r="AF86" i="4" s="1"/>
  <c r="V66" i="4"/>
  <c r="AE66" i="4" s="1"/>
  <c r="U33" i="4"/>
  <c r="AD33" i="4" s="1"/>
  <c r="R78" i="4"/>
  <c r="AA78" i="4" s="1"/>
  <c r="P47" i="4"/>
  <c r="Y47" i="4" s="1"/>
  <c r="X36" i="4"/>
  <c r="Q58" i="4"/>
  <c r="Z58" i="4" s="1"/>
  <c r="S63" i="4"/>
  <c r="AB63" i="4" s="1"/>
  <c r="T67" i="4"/>
  <c r="AC67" i="4" s="1"/>
  <c r="T71" i="4"/>
  <c r="AC71" i="4" s="1"/>
  <c r="X71" i="4"/>
  <c r="AG71" i="4" s="1"/>
  <c r="W58" i="4"/>
  <c r="AF58" i="4" s="1"/>
  <c r="P73" i="4"/>
  <c r="Y73" i="4" s="1"/>
  <c r="T16" i="4"/>
  <c r="AC16" i="4" s="1"/>
  <c r="W47" i="4"/>
  <c r="AF47" i="4" s="1"/>
  <c r="P32" i="4"/>
  <c r="Y32" i="4" s="1"/>
  <c r="W28" i="4"/>
  <c r="AF28" i="4" s="1"/>
  <c r="X70" i="4"/>
  <c r="AG70" i="4" s="1"/>
  <c r="S100" i="4"/>
  <c r="T60" i="4"/>
  <c r="AC60" i="4" s="1"/>
  <c r="T78" i="4"/>
  <c r="AC78" i="4" s="1"/>
  <c r="T29" i="4"/>
  <c r="AC29" i="4" s="1"/>
  <c r="V83" i="4"/>
  <c r="AE83" i="4" s="1"/>
  <c r="P8" i="4"/>
  <c r="W53" i="4"/>
  <c r="AF53" i="4" s="1"/>
  <c r="R75" i="4"/>
  <c r="AA75" i="4" s="1"/>
  <c r="X66" i="4"/>
  <c r="AG66" i="4" s="1"/>
  <c r="T10" i="4"/>
  <c r="P20" i="4"/>
  <c r="X55" i="4"/>
  <c r="AG55" i="4" s="1"/>
  <c r="P68" i="4"/>
  <c r="Y68" i="4" s="1"/>
  <c r="S53" i="4"/>
  <c r="AB53" i="4" s="1"/>
  <c r="V31" i="4"/>
  <c r="AE31" i="4" s="1"/>
  <c r="Q85" i="4"/>
  <c r="Z85" i="4" s="1"/>
  <c r="R11" i="4"/>
  <c r="V75" i="4"/>
  <c r="AE75" i="4" s="1"/>
  <c r="P49" i="4"/>
  <c r="Y49" i="4" s="1"/>
  <c r="U59" i="4"/>
  <c r="AD59" i="4" s="1"/>
  <c r="P24" i="4"/>
  <c r="Y24" i="4" s="1"/>
  <c r="W7" i="4"/>
  <c r="R85" i="4"/>
  <c r="P64" i="4"/>
  <c r="Y64" i="4" s="1"/>
  <c r="U43" i="4"/>
  <c r="AD43" i="4" s="1"/>
  <c r="U14" i="4"/>
  <c r="AD14" i="4" s="1"/>
  <c r="V10" i="4"/>
  <c r="T81" i="4"/>
  <c r="AC81" i="4" s="1"/>
  <c r="R45" i="4"/>
  <c r="AA45" i="4" s="1"/>
  <c r="S12" i="4"/>
  <c r="AB12" i="4" s="1"/>
  <c r="X4" i="4"/>
  <c r="U55" i="4"/>
  <c r="AD55" i="4" s="1"/>
  <c r="V54" i="4"/>
  <c r="AE54" i="4" s="1"/>
  <c r="W70" i="4"/>
  <c r="AF70" i="4" s="1"/>
  <c r="X52" i="4"/>
  <c r="AG52" i="4" s="1"/>
  <c r="T32" i="4"/>
  <c r="U11" i="4"/>
  <c r="AD11" i="4" s="1"/>
  <c r="Q18" i="4"/>
  <c r="Z18" i="4" s="1"/>
  <c r="R35" i="4"/>
  <c r="U44" i="4"/>
  <c r="AD44" i="4" s="1"/>
  <c r="W32" i="4"/>
  <c r="AF32" i="4" s="1"/>
  <c r="W18" i="4"/>
  <c r="AF18" i="4" s="1"/>
  <c r="P31" i="4"/>
  <c r="Y31" i="4" s="1"/>
  <c r="V43" i="4"/>
  <c r="Q31" i="4"/>
  <c r="Z31" i="4" s="1"/>
  <c r="U18" i="4"/>
  <c r="AD18" i="4" s="1"/>
  <c r="V52" i="4"/>
  <c r="AE52" i="4" s="1"/>
  <c r="P28" i="4"/>
  <c r="Y28" i="4" s="1"/>
  <c r="R72" i="4"/>
  <c r="AA72" i="4" s="1"/>
  <c r="W72" i="4"/>
  <c r="AF72" i="4" s="1"/>
  <c r="R23" i="4"/>
  <c r="AA23" i="4" s="1"/>
  <c r="W6" i="4"/>
  <c r="T21" i="4"/>
  <c r="AC21" i="4" s="1"/>
  <c r="V33" i="4"/>
  <c r="P10" i="4"/>
  <c r="V78" i="4"/>
  <c r="AE78" i="4" s="1"/>
  <c r="P78" i="4"/>
  <c r="Y78" i="4" s="1"/>
  <c r="Q84" i="4"/>
  <c r="Z84" i="4" s="1"/>
  <c r="W22" i="4"/>
  <c r="AF22" i="4" s="1"/>
  <c r="S84" i="4"/>
  <c r="AB84" i="4" s="1"/>
  <c r="Q76" i="4"/>
  <c r="Z76" i="4" s="1"/>
  <c r="X69" i="4"/>
  <c r="AG69" i="4" s="1"/>
  <c r="S56" i="4"/>
  <c r="AB56" i="4" s="1"/>
  <c r="Q56" i="4"/>
  <c r="Z56" i="4" s="1"/>
  <c r="T42" i="4"/>
  <c r="Q34" i="4"/>
  <c r="Z34" i="4" s="1"/>
  <c r="V30" i="4"/>
  <c r="V26" i="4"/>
  <c r="V17" i="4"/>
  <c r="AE17" i="4" s="1"/>
  <c r="W13" i="4"/>
  <c r="AF13" i="4" s="1"/>
  <c r="P13" i="4"/>
  <c r="Y13" i="4" s="1"/>
  <c r="P9" i="4"/>
  <c r="S5" i="4"/>
  <c r="U66" i="4"/>
  <c r="AD66" i="4" s="1"/>
  <c r="W27" i="4"/>
  <c r="AF27" i="4" s="1"/>
  <c r="V14" i="4"/>
  <c r="AE14" i="4" s="1"/>
  <c r="X83" i="4"/>
  <c r="AG83" i="4" s="1"/>
  <c r="Q8" i="4"/>
  <c r="V70" i="4"/>
  <c r="AE70" i="4" s="1"/>
  <c r="T62" i="4"/>
  <c r="AC62" i="4" s="1"/>
  <c r="V37" i="4"/>
  <c r="T47" i="4"/>
  <c r="U67" i="4"/>
  <c r="AD67" i="4" s="1"/>
  <c r="W71" i="4"/>
  <c r="AF71" i="4" s="1"/>
  <c r="U70" i="4"/>
  <c r="AD70" i="4" s="1"/>
  <c r="U51" i="4"/>
  <c r="AD51" i="4" s="1"/>
  <c r="U58" i="4"/>
  <c r="AD58" i="4" s="1"/>
  <c r="P71" i="4"/>
  <c r="Y71" i="4" s="1"/>
  <c r="P44" i="4"/>
  <c r="Y44" i="4" s="1"/>
  <c r="V58" i="4"/>
  <c r="Q29" i="4"/>
  <c r="Z29" i="4" s="1"/>
  <c r="V51" i="4"/>
  <c r="AE51" i="4" s="1"/>
  <c r="R28" i="4"/>
  <c r="U63" i="4"/>
  <c r="AD63" i="4" s="1"/>
  <c r="V5" i="4"/>
  <c r="T59" i="4"/>
  <c r="AC59" i="4" s="1"/>
  <c r="W24" i="4"/>
  <c r="AF24" i="4" s="1"/>
  <c r="X53" i="4"/>
  <c r="AG53" i="4" s="1"/>
  <c r="S42" i="4"/>
  <c r="U60" i="4"/>
  <c r="AD60" i="4" s="1"/>
  <c r="R38" i="4"/>
  <c r="P59" i="4"/>
  <c r="Y59" i="4" s="1"/>
  <c r="V53" i="4"/>
  <c r="AE53" i="4" s="1"/>
  <c r="X60" i="4"/>
  <c r="AG60" i="4" s="1"/>
  <c r="Q26" i="4"/>
  <c r="Z26" i="4" s="1"/>
  <c r="W21" i="4"/>
  <c r="AF21" i="4" s="1"/>
  <c r="Q4" i="4"/>
  <c r="V82" i="4"/>
  <c r="AE82" i="4" s="1"/>
  <c r="S29" i="4"/>
  <c r="AB29" i="4" s="1"/>
  <c r="X68" i="4"/>
  <c r="AG68" i="4" s="1"/>
  <c r="U40" i="4"/>
  <c r="AD40" i="4" s="1"/>
  <c r="T25" i="4"/>
  <c r="AC25" i="4" s="1"/>
  <c r="P26" i="4"/>
  <c r="Y26" i="4" s="1"/>
  <c r="U25" i="4"/>
  <c r="AD25" i="4" s="1"/>
  <c r="Q21" i="4"/>
  <c r="Z21" i="4" s="1"/>
  <c r="W81" i="4"/>
  <c r="AF81" i="4" s="1"/>
  <c r="S44" i="4"/>
  <c r="V38" i="4"/>
  <c r="P52" i="4"/>
  <c r="Y52" i="4" s="1"/>
  <c r="X26" i="4"/>
  <c r="R40" i="4"/>
  <c r="U35" i="4"/>
  <c r="AD35" i="4" s="1"/>
  <c r="X84" i="4"/>
  <c r="R16" i="4"/>
  <c r="W4" i="4"/>
  <c r="X56" i="4"/>
  <c r="AG56" i="4" s="1"/>
  <c r="P84" i="4"/>
  <c r="Y84" i="4" s="1"/>
  <c r="R4" i="4"/>
  <c r="Q9" i="4"/>
  <c r="S45" i="4"/>
  <c r="AB45" i="4" s="1"/>
  <c r="X5" i="4"/>
  <c r="Q45" i="4"/>
  <c r="Z45" i="4" s="1"/>
  <c r="S68" i="4"/>
  <c r="AB68" i="4" s="1"/>
  <c r="P82" i="4"/>
  <c r="Y82" i="4" s="1"/>
  <c r="Q46" i="4"/>
  <c r="Z46" i="4" s="1"/>
  <c r="U62" i="4"/>
  <c r="AD62" i="4" s="1"/>
  <c r="U17" i="4"/>
  <c r="AD17" i="4" s="1"/>
  <c r="R82" i="4"/>
  <c r="AA82" i="4" s="1"/>
  <c r="T68" i="4"/>
  <c r="AC68" i="4" s="1"/>
  <c r="R81" i="4"/>
  <c r="AA81" i="4" s="1"/>
  <c r="X29" i="4"/>
  <c r="AG29" i="4" s="1"/>
  <c r="T84" i="4"/>
  <c r="AC84" i="4" s="1"/>
  <c r="W68" i="4"/>
  <c r="AF68" i="4" s="1"/>
  <c r="R56" i="4"/>
  <c r="T55" i="4"/>
  <c r="T52" i="4"/>
  <c r="U13" i="4"/>
  <c r="AD13" i="4" s="1"/>
  <c r="W25" i="4"/>
  <c r="AF25" i="4" s="1"/>
  <c r="R30" i="4"/>
  <c r="V22" i="4"/>
  <c r="AE22" i="4" s="1"/>
  <c r="R29" i="4"/>
  <c r="S13" i="4"/>
  <c r="AB13" i="4" s="1"/>
  <c r="U81" i="4"/>
  <c r="AD81" i="4" s="1"/>
  <c r="S8" i="4"/>
  <c r="V55" i="4"/>
  <c r="AE55" i="4" s="1"/>
  <c r="S70" i="4"/>
  <c r="AB70" i="4" s="1"/>
  <c r="Q70" i="4"/>
  <c r="Z70" i="4" s="1"/>
  <c r="T51" i="4"/>
  <c r="Q78" i="4"/>
  <c r="Z78" i="4" s="1"/>
  <c r="R5" i="4"/>
  <c r="T70" i="4"/>
  <c r="AC70" i="4" s="1"/>
  <c r="X59" i="4"/>
  <c r="AG59" i="4" s="1"/>
  <c r="U24" i="4"/>
  <c r="AD24" i="4" s="1"/>
  <c r="X42" i="4"/>
  <c r="AG42" i="4" s="1"/>
  <c r="V20" i="4"/>
  <c r="AE20" i="4" s="1"/>
  <c r="V8" i="4"/>
  <c r="U68" i="4"/>
  <c r="AD68" i="4" s="1"/>
  <c r="X25" i="4"/>
  <c r="AG25" i="4" s="1"/>
  <c r="Q5" i="4"/>
  <c r="X33" i="4"/>
  <c r="S76" i="4"/>
  <c r="AB76" i="4" s="1"/>
  <c r="V50" i="4"/>
  <c r="X16" i="4"/>
  <c r="AG16" i="4" s="1"/>
  <c r="U83" i="4"/>
  <c r="V76" i="4"/>
  <c r="AE76" i="4" s="1"/>
  <c r="W16" i="4"/>
  <c r="AF16" i="4" s="1"/>
  <c r="V60" i="4"/>
  <c r="P25" i="4"/>
  <c r="Y25" i="4" s="1"/>
  <c r="W66" i="4"/>
  <c r="AF66" i="4" s="1"/>
  <c r="Q11" i="4"/>
  <c r="Z11" i="4" s="1"/>
  <c r="Q24" i="4"/>
  <c r="Z24" i="4" s="1"/>
  <c r="U8" i="4"/>
  <c r="V24" i="4"/>
  <c r="AE24" i="4" s="1"/>
  <c r="P4" i="4"/>
  <c r="Q55" i="4"/>
  <c r="Z55" i="4" s="1"/>
  <c r="W60" i="4"/>
  <c r="AF60" i="4" s="1"/>
  <c r="P42" i="4"/>
  <c r="Y42" i="4" s="1"/>
  <c r="T53" i="4"/>
  <c r="P45" i="4"/>
  <c r="Y45" i="4" s="1"/>
  <c r="T22" i="4"/>
  <c r="AC22" i="4" s="1"/>
  <c r="T5" i="4"/>
  <c r="S22" i="4"/>
  <c r="AB22" i="4" s="1"/>
  <c r="T33" i="4"/>
  <c r="P81" i="4"/>
  <c r="Y81" i="4" s="1"/>
  <c r="W11" i="4"/>
  <c r="AF11" i="4" s="1"/>
  <c r="S16" i="4"/>
  <c r="AB16" i="4" s="1"/>
  <c r="S60" i="4"/>
  <c r="AB60" i="4" s="1"/>
  <c r="S54" i="4"/>
  <c r="S62" i="4"/>
  <c r="AB62" i="4" s="1"/>
  <c r="U46" i="4"/>
  <c r="X30" i="4"/>
  <c r="AG30" i="4" s="1"/>
  <c r="W76" i="4"/>
  <c r="AF76" i="4" s="1"/>
  <c r="W82" i="4"/>
  <c r="AF82" i="4" s="1"/>
  <c r="W75" i="4"/>
  <c r="AF75" i="4" s="1"/>
  <c r="P75" i="4"/>
  <c r="Y75" i="4" s="1"/>
  <c r="P33" i="4"/>
  <c r="Y33" i="4" s="1"/>
  <c r="X82" i="4"/>
  <c r="AG82" i="4" s="1"/>
  <c r="Q40" i="4"/>
  <c r="Z40" i="4" s="1"/>
  <c r="X43" i="4"/>
  <c r="AG43" i="4" s="1"/>
  <c r="W12" i="4"/>
  <c r="AF12" i="4" s="1"/>
  <c r="U10" i="4"/>
  <c r="V6" i="4"/>
  <c r="S7" i="4"/>
  <c r="X23" i="4"/>
  <c r="AG23" i="4" s="1"/>
  <c r="R54" i="4"/>
  <c r="V28" i="4"/>
  <c r="W57" i="4"/>
  <c r="AF57" i="4" s="1"/>
  <c r="X24" i="4"/>
  <c r="AG24" i="4" s="1"/>
  <c r="U7" i="4"/>
  <c r="S57" i="4"/>
  <c r="AB57" i="4" s="1"/>
  <c r="S64" i="4"/>
  <c r="AB64" i="4" s="1"/>
  <c r="X64" i="4"/>
  <c r="AG64" i="4" s="1"/>
  <c r="X27" i="4"/>
  <c r="X14" i="4"/>
  <c r="AG14" i="4" s="1"/>
  <c r="S10" i="4"/>
  <c r="S75" i="4"/>
  <c r="AB75" i="4" s="1"/>
  <c r="P60" i="4"/>
  <c r="Y60" i="4" s="1"/>
  <c r="T45" i="4"/>
  <c r="Q12" i="4"/>
  <c r="Z12" i="4" s="1"/>
  <c r="U4" i="4"/>
  <c r="T54" i="4"/>
  <c r="S31" i="4"/>
  <c r="AB31" i="4" s="1"/>
  <c r="Q19" i="4"/>
  <c r="Z19" i="4" s="1"/>
  <c r="U57" i="4"/>
  <c r="AD57" i="4" s="1"/>
  <c r="U31" i="4"/>
  <c r="AD31" i="4" s="1"/>
  <c r="R39" i="4"/>
  <c r="U32" i="4"/>
  <c r="AD32" i="4" s="1"/>
  <c r="S19" i="4"/>
  <c r="AB19" i="4" s="1"/>
  <c r="S18" i="4"/>
  <c r="AB18" i="4" s="1"/>
  <c r="V23" i="4"/>
  <c r="AE23" i="4" s="1"/>
  <c r="W49" i="4"/>
  <c r="AF49" i="4" s="1"/>
  <c r="R31" i="4"/>
  <c r="R65" i="4"/>
  <c r="R52" i="4"/>
  <c r="AA52" i="4" s="1"/>
  <c r="S27" i="4"/>
  <c r="AB27" i="4" s="1"/>
  <c r="R10" i="4"/>
  <c r="T72" i="4"/>
  <c r="AC72" i="4" s="1"/>
  <c r="X35" i="4"/>
  <c r="AG35" i="4" s="1"/>
  <c r="W23" i="4"/>
  <c r="AF23" i="4" s="1"/>
  <c r="Q6" i="4"/>
  <c r="U27" i="4"/>
  <c r="AD27" i="4" s="1"/>
  <c r="T83" i="4"/>
  <c r="AC83" i="4" s="1"/>
  <c r="S21" i="4"/>
  <c r="AB21" i="4" s="1"/>
  <c r="U85" i="4"/>
  <c r="T26" i="4"/>
  <c r="AC26" i="4" s="1"/>
  <c r="P61" i="4"/>
  <c r="Y61" i="4" s="1"/>
  <c r="R84" i="4"/>
  <c r="S69" i="4"/>
  <c r="AB69" i="4" s="1"/>
  <c r="W61" i="4"/>
  <c r="AF61" i="4" s="1"/>
  <c r="T56" i="4"/>
  <c r="W48" i="4"/>
  <c r="AF48" i="4" s="1"/>
  <c r="U42" i="4"/>
  <c r="AD42" i="4" s="1"/>
  <c r="X38" i="4"/>
  <c r="S34" i="4"/>
  <c r="AB34" i="4" s="1"/>
  <c r="W30" i="4"/>
  <c r="AF30" i="4" s="1"/>
  <c r="U22" i="4"/>
  <c r="AD22" i="4" s="1"/>
  <c r="W17" i="4"/>
  <c r="AF17" i="4" s="1"/>
  <c r="V13" i="4"/>
  <c r="AE13" i="4" s="1"/>
  <c r="U9" i="4"/>
  <c r="R9" i="4"/>
  <c r="Q82" i="4"/>
  <c r="Z82" i="4" s="1"/>
  <c r="S85" i="4"/>
  <c r="AB85" i="4" s="1"/>
  <c r="W46" i="4"/>
  <c r="AF46" i="4" s="1"/>
  <c r="P6" i="4"/>
  <c r="S33" i="4"/>
  <c r="AB33" i="4" s="1"/>
  <c r="S46" i="4"/>
  <c r="AB46" i="4" s="1"/>
  <c r="R83" i="4"/>
  <c r="S78" i="4"/>
  <c r="AB78" i="4" s="1"/>
  <c r="V25" i="4"/>
  <c r="AE25" i="4" s="1"/>
  <c r="W31" i="4"/>
  <c r="AF31" i="4" s="1"/>
  <c r="X63" i="4"/>
  <c r="AG63" i="4" s="1"/>
  <c r="R71" i="4"/>
  <c r="AA71" i="4" s="1"/>
  <c r="X32" i="4"/>
  <c r="AG32" i="4" s="1"/>
  <c r="R67" i="4"/>
  <c r="AA67" i="4" s="1"/>
  <c r="P63" i="4"/>
  <c r="Y63" i="4" s="1"/>
  <c r="X67" i="4"/>
  <c r="AG67" i="4" s="1"/>
  <c r="S71" i="4"/>
  <c r="AB71" i="4" s="1"/>
  <c r="X58" i="4"/>
  <c r="AG58" i="4" s="1"/>
  <c r="W51" i="4"/>
  <c r="AF51" i="4" s="1"/>
  <c r="R68" i="4"/>
  <c r="AA68" i="4" s="1"/>
  <c r="W33" i="4"/>
  <c r="AF33" i="4" s="1"/>
  <c r="Q63" i="4"/>
  <c r="Z63" i="4" s="1"/>
  <c r="W37" i="4"/>
  <c r="AF37" i="4" s="1"/>
  <c r="Q60" i="4"/>
  <c r="Z60" i="4" s="1"/>
  <c r="X37" i="4"/>
  <c r="AG37" i="4" s="1"/>
  <c r="Q37" i="4"/>
  <c r="Z37" i="4" s="1"/>
  <c r="P30" i="4"/>
  <c r="Y30" i="4" s="1"/>
  <c r="S77" i="4"/>
  <c r="AB77" i="4" s="1"/>
  <c r="U45" i="4"/>
  <c r="AD45" i="4" s="1"/>
  <c r="U30" i="4"/>
  <c r="AD30" i="4" s="1"/>
  <c r="T35" i="4"/>
  <c r="R51" i="4"/>
  <c r="AA51" i="4" s="1"/>
  <c r="P43" i="4"/>
  <c r="Y43" i="4" s="1"/>
  <c r="Q48" i="4"/>
  <c r="Z48" i="4" s="1"/>
  <c r="U15" i="4"/>
  <c r="AD15" i="4" s="1"/>
  <c r="X15" i="4"/>
  <c r="AG15" i="4" s="1"/>
  <c r="P37" i="4"/>
  <c r="Y37" i="4" s="1"/>
  <c r="S15" i="4"/>
  <c r="AB15" i="4" s="1"/>
  <c r="W35" i="4"/>
  <c r="AF35" i="4" s="1"/>
  <c r="V45" i="4"/>
  <c r="X44" i="4"/>
  <c r="AG44" i="4" s="1"/>
  <c r="T77" i="4"/>
  <c r="AC77" i="4" s="1"/>
  <c r="R43" i="4"/>
  <c r="Q42" i="4"/>
  <c r="Z42" i="4" s="1"/>
  <c r="Q15" i="4"/>
  <c r="Z15" i="4" s="1"/>
  <c r="R15" i="4"/>
  <c r="T69" i="4"/>
  <c r="AC69" i="4" s="1"/>
  <c r="T91" i="4"/>
  <c r="X91" i="4"/>
  <c r="U95" i="4"/>
  <c r="U96" i="4"/>
  <c r="Q99" i="4"/>
  <c r="S86" i="4"/>
  <c r="AB86" i="4" s="1"/>
  <c r="X95" i="4"/>
  <c r="U94" i="4"/>
  <c r="U97" i="4"/>
  <c r="T99" i="4"/>
  <c r="P94" i="4"/>
  <c r="T95" i="4"/>
  <c r="R98" i="4"/>
  <c r="X98" i="4"/>
  <c r="W98" i="4"/>
  <c r="X86" i="4"/>
  <c r="T92" i="4"/>
  <c r="S99" i="4"/>
  <c r="Q97" i="4"/>
  <c r="T97" i="4"/>
  <c r="W94" i="4"/>
  <c r="P91" i="4"/>
  <c r="W91" i="4"/>
  <c r="X90" i="4"/>
  <c r="V95" i="4"/>
  <c r="S95" i="4"/>
  <c r="U91" i="4"/>
  <c r="T93" i="4"/>
  <c r="Q95" i="4"/>
  <c r="W96" i="4"/>
  <c r="R95" i="4"/>
  <c r="P92" i="4"/>
  <c r="T86" i="4"/>
  <c r="V98" i="4"/>
  <c r="V93" i="4"/>
  <c r="T98" i="4"/>
  <c r="X96" i="4"/>
  <c r="R92" i="4"/>
  <c r="X92" i="4"/>
  <c r="W97" i="4"/>
  <c r="S97" i="4"/>
  <c r="X97" i="4"/>
  <c r="X94" i="4"/>
  <c r="V99" i="4"/>
  <c r="P96" i="4"/>
  <c r="R97" i="4"/>
  <c r="V91" i="4"/>
  <c r="W95" i="4"/>
  <c r="V94" i="4"/>
  <c r="S94" i="4"/>
  <c r="Q96" i="4"/>
  <c r="W99" i="4"/>
  <c r="S93" i="4"/>
  <c r="Q93" i="4"/>
  <c r="Q98" i="4"/>
  <c r="R96" i="4"/>
  <c r="S98" i="4"/>
  <c r="Q92" i="4"/>
  <c r="V97" i="4"/>
  <c r="S91" i="4"/>
  <c r="R94" i="4"/>
  <c r="R93" i="4"/>
  <c r="U86" i="4"/>
  <c r="S96" i="4"/>
  <c r="P99" i="4"/>
  <c r="T89" i="4"/>
  <c r="V96" i="4"/>
  <c r="U99" i="4"/>
  <c r="R86" i="4"/>
  <c r="T94" i="4"/>
  <c r="R99" i="4"/>
  <c r="X93" i="4"/>
  <c r="W92" i="4"/>
  <c r="P93" i="4"/>
  <c r="P98" i="4"/>
  <c r="P86" i="4"/>
  <c r="Y86" i="4" s="1"/>
  <c r="U92" i="4"/>
  <c r="S92" i="4"/>
  <c r="P97" i="4"/>
  <c r="Q91" i="4"/>
  <c r="Q94" i="4"/>
  <c r="W93" i="4"/>
  <c r="Q89" i="4"/>
  <c r="V40" i="4"/>
  <c r="X40" i="4"/>
  <c r="AG40" i="4" s="1"/>
  <c r="Q36" i="4"/>
  <c r="Z36" i="4" s="1"/>
  <c r="W36" i="4"/>
  <c r="AF36" i="4" s="1"/>
  <c r="T40" i="4"/>
  <c r="P40" i="4"/>
  <c r="Y40" i="4" s="1"/>
  <c r="W38" i="4"/>
  <c r="T65" i="4"/>
  <c r="AC65" i="4" s="1"/>
  <c r="V65" i="4"/>
  <c r="AE65" i="4" s="1"/>
  <c r="S65" i="4"/>
  <c r="AB65" i="4" s="1"/>
  <c r="X65" i="4"/>
  <c r="AG65" i="4" s="1"/>
  <c r="R46" i="4"/>
  <c r="T19" i="4"/>
  <c r="AC19" i="4" s="1"/>
  <c r="U21" i="4"/>
  <c r="AD21" i="4" s="1"/>
  <c r="T46" i="4"/>
  <c r="P74" i="4"/>
  <c r="Y74" i="4" s="1"/>
  <c r="W73" i="4"/>
  <c r="AF73" i="4" s="1"/>
  <c r="R80" i="4"/>
  <c r="AA80" i="4" s="1"/>
  <c r="P80" i="4"/>
  <c r="Y80" i="4" s="1"/>
  <c r="U54" i="4"/>
  <c r="AD54" i="4" s="1"/>
  <c r="R73" i="4"/>
  <c r="AA73" i="4" s="1"/>
  <c r="T79" i="4"/>
  <c r="AC79" i="4" s="1"/>
  <c r="R74" i="4"/>
  <c r="AA74" i="4" s="1"/>
  <c r="U19" i="4"/>
  <c r="AD19" i="4" s="1"/>
  <c r="Q54" i="4"/>
  <c r="Z54" i="4" s="1"/>
  <c r="P19" i="4"/>
  <c r="Y19" i="4" s="1"/>
  <c r="S80" i="4"/>
  <c r="AB80" i="4" s="1"/>
  <c r="T73" i="4"/>
  <c r="AC73" i="4" s="1"/>
  <c r="X73" i="4"/>
  <c r="AG73" i="4" s="1"/>
  <c r="V100" i="4"/>
  <c r="W52" i="4"/>
  <c r="AF52" i="4" s="1"/>
  <c r="T75" i="4"/>
  <c r="AC75" i="4" s="1"/>
  <c r="X12" i="4"/>
  <c r="AG12" i="4" s="1"/>
  <c r="S82" i="4"/>
  <c r="AB82" i="4" s="1"/>
  <c r="P100" i="4"/>
  <c r="U100" i="4"/>
  <c r="T100" i="4"/>
  <c r="X100" i="4"/>
  <c r="R100" i="4"/>
  <c r="Q100" i="4"/>
  <c r="V79" i="4"/>
  <c r="AE79" i="4" s="1"/>
  <c r="W79" i="4"/>
  <c r="AF79" i="4" s="1"/>
  <c r="T15" i="4"/>
  <c r="AC15" i="4" s="1"/>
  <c r="P12" i="4"/>
  <c r="Y12" i="4" s="1"/>
  <c r="J47" i="1"/>
  <c r="Y38" i="1"/>
  <c r="E57" i="1"/>
  <c r="J44" i="1"/>
  <c r="I58" i="1"/>
  <c r="F61" i="1"/>
  <c r="K49" i="1"/>
  <c r="L61" i="1"/>
  <c r="T38" i="1"/>
  <c r="K47" i="1"/>
  <c r="I52" i="1"/>
  <c r="F47" i="1"/>
  <c r="E46" i="1"/>
  <c r="D60" i="1"/>
  <c r="Q60" i="1" s="1"/>
  <c r="F59" i="1"/>
  <c r="L58" i="1"/>
  <c r="U38" i="1"/>
  <c r="K46" i="1"/>
  <c r="J59" i="1"/>
  <c r="F44" i="1"/>
  <c r="K50" i="1"/>
  <c r="E48" i="1"/>
  <c r="J48" i="1"/>
  <c r="I55" i="1"/>
  <c r="K58" i="1"/>
  <c r="Q38" i="1"/>
  <c r="F53" i="1"/>
  <c r="D44" i="1"/>
  <c r="Q44" i="1" s="1"/>
  <c r="E50" i="1"/>
  <c r="F55" i="1"/>
  <c r="J56" i="1"/>
  <c r="I61" i="1"/>
  <c r="G49" i="1"/>
  <c r="R38" i="1"/>
  <c r="S38" i="1"/>
  <c r="W38" i="1"/>
  <c r="J55" i="1"/>
  <c r="F48" i="1"/>
  <c r="K57" i="1"/>
  <c r="H46" i="1"/>
  <c r="D45" i="1"/>
  <c r="Q45" i="1" s="1"/>
  <c r="E56" i="1"/>
  <c r="K55" i="1"/>
  <c r="D46" i="1"/>
  <c r="Q46" i="1" s="1"/>
  <c r="G50" i="1"/>
  <c r="X38" i="1"/>
  <c r="E60" i="1"/>
  <c r="H45" i="1"/>
  <c r="G45" i="1"/>
  <c r="I44" i="1"/>
  <c r="F54" i="1"/>
  <c r="D49" i="1"/>
  <c r="Q49" i="1" s="1"/>
  <c r="D55" i="1"/>
  <c r="Q55" i="1" s="1"/>
  <c r="E61" i="1"/>
  <c r="G59" i="1"/>
  <c r="D43" i="1"/>
  <c r="Q43" i="1" s="1"/>
  <c r="G52" i="1"/>
  <c r="H55" i="1"/>
  <c r="J60" i="1"/>
  <c r="U50" i="4"/>
  <c r="AD50" i="4" s="1"/>
  <c r="Q86" i="4"/>
  <c r="S50" i="4"/>
  <c r="Q65" i="4"/>
  <c r="Z65" i="4" s="1"/>
  <c r="P65" i="4"/>
  <c r="Y65" i="4" s="1"/>
  <c r="K45" i="1"/>
  <c r="D53" i="1"/>
  <c r="Q53" i="1" s="1"/>
  <c r="D61" i="1"/>
  <c r="Q61" i="1" s="1"/>
  <c r="H59" i="1"/>
  <c r="D51" i="1"/>
  <c r="Q51" i="1" s="1"/>
  <c r="J43" i="1"/>
  <c r="H61" i="1"/>
  <c r="L50" i="1"/>
  <c r="L53" i="1"/>
  <c r="F45" i="1"/>
  <c r="E51" i="1"/>
  <c r="L52" i="1"/>
  <c r="K61" i="1"/>
  <c r="E55" i="1"/>
  <c r="H48" i="1"/>
  <c r="F51" i="1"/>
  <c r="R87" i="4"/>
  <c r="P87" i="4"/>
  <c r="Y87" i="4" s="1"/>
  <c r="E53" i="1"/>
  <c r="I50" i="1"/>
  <c r="L57" i="1"/>
  <c r="I56" i="1"/>
  <c r="K48" i="1"/>
  <c r="I59" i="1"/>
  <c r="H56" i="1"/>
  <c r="L43" i="1"/>
  <c r="F57" i="1"/>
  <c r="F43" i="1"/>
  <c r="H54" i="1"/>
  <c r="F46" i="1"/>
  <c r="H47" i="1"/>
  <c r="F52" i="1"/>
  <c r="I49" i="1"/>
  <c r="F49" i="1"/>
  <c r="G57" i="1"/>
  <c r="J57" i="1"/>
  <c r="L46" i="1"/>
  <c r="L55" i="1"/>
  <c r="I43" i="1"/>
  <c r="J58" i="1"/>
  <c r="G55" i="1"/>
  <c r="G56" i="1"/>
  <c r="K44" i="1"/>
  <c r="I54" i="1"/>
  <c r="L51" i="1"/>
  <c r="K56" i="1"/>
  <c r="H58" i="1"/>
  <c r="E44" i="1"/>
  <c r="I46" i="1"/>
  <c r="L60" i="1"/>
  <c r="K52" i="1"/>
  <c r="J46" i="1"/>
  <c r="G51" i="1"/>
  <c r="G43" i="1"/>
  <c r="E58" i="1"/>
  <c r="K59" i="1"/>
  <c r="H49" i="1"/>
  <c r="G54" i="1"/>
  <c r="F60" i="1"/>
  <c r="L45" i="1"/>
  <c r="H57" i="1"/>
  <c r="D58" i="1"/>
  <c r="Q58" i="1" s="1"/>
  <c r="F58" i="1"/>
  <c r="K51" i="1"/>
  <c r="E45" i="1"/>
  <c r="E47" i="1"/>
  <c r="E43" i="1"/>
  <c r="D48" i="1"/>
  <c r="Q48" i="1" s="1"/>
  <c r="E54" i="1"/>
  <c r="H52" i="1"/>
  <c r="J53" i="1"/>
  <c r="K53" i="1"/>
  <c r="H51" i="1"/>
  <c r="F50" i="1"/>
  <c r="I53" i="1"/>
  <c r="J61" i="1"/>
  <c r="I51" i="1"/>
  <c r="J54" i="1"/>
  <c r="J50" i="1"/>
  <c r="L48" i="1"/>
  <c r="K54" i="1"/>
  <c r="D59" i="1"/>
  <c r="Q59" i="1" s="1"/>
  <c r="D50" i="1"/>
  <c r="Q50" i="1" s="1"/>
  <c r="I57" i="1"/>
  <c r="H53" i="1"/>
  <c r="K43" i="1"/>
  <c r="H50" i="1"/>
  <c r="E59" i="1"/>
  <c r="J49" i="1"/>
  <c r="H43" i="1"/>
  <c r="G61" i="1"/>
  <c r="L56" i="1"/>
  <c r="J52" i="1"/>
  <c r="I48" i="1"/>
  <c r="G58" i="1"/>
  <c r="I45" i="1"/>
  <c r="L59" i="1"/>
  <c r="D57" i="1"/>
  <c r="Q57" i="1" s="1"/>
  <c r="G48" i="1"/>
  <c r="J45" i="1"/>
  <c r="D54" i="1"/>
  <c r="Q54" i="1" s="1"/>
  <c r="R54" i="1" s="1"/>
  <c r="G53" i="1"/>
  <c r="K60" i="1"/>
  <c r="G44" i="1"/>
  <c r="I60" i="1"/>
  <c r="L54" i="1"/>
  <c r="F56" i="1"/>
  <c r="L49" i="1"/>
  <c r="G46" i="1"/>
  <c r="I47" i="1"/>
  <c r="L47" i="1"/>
  <c r="G47" i="1"/>
  <c r="H60" i="1"/>
  <c r="L44" i="1"/>
  <c r="E49" i="1"/>
  <c r="D47" i="1"/>
  <c r="Q47" i="1" s="1"/>
  <c r="J51" i="1"/>
  <c r="G60" i="1"/>
  <c r="H44" i="1"/>
  <c r="E52" i="1"/>
  <c r="R52" i="1" s="1"/>
  <c r="S52" i="1" s="1"/>
  <c r="D56" i="1"/>
  <c r="Q56" i="1" s="1"/>
  <c r="X87" i="4"/>
  <c r="N42" i="1" a="1"/>
  <c r="N59" i="1" s="1"/>
  <c r="Q42" i="1" a="1"/>
  <c r="C31" i="20" l="1"/>
  <c r="Y20" i="4"/>
  <c r="K31" i="20"/>
  <c r="E31" i="20"/>
  <c r="H31" i="20"/>
  <c r="I31" i="20"/>
  <c r="G31" i="20"/>
  <c r="K29" i="20"/>
  <c r="I29" i="20"/>
  <c r="F31" i="20"/>
  <c r="H29" i="20"/>
  <c r="D31" i="20"/>
  <c r="J31" i="20"/>
  <c r="S54" i="1"/>
  <c r="T54" i="1" s="1"/>
  <c r="U54" i="1" s="1"/>
  <c r="V54" i="1" s="1"/>
  <c r="W54" i="1" s="1"/>
  <c r="X54" i="1" s="1"/>
  <c r="Y54" i="1" s="1"/>
  <c r="P39" i="4"/>
  <c r="Y39" i="4" s="1"/>
  <c r="O62" i="4"/>
  <c r="AH62" i="4" s="1"/>
  <c r="O23" i="3"/>
  <c r="X57" i="4"/>
  <c r="AG57" i="4" s="1"/>
  <c r="O47" i="3"/>
  <c r="AG47" i="3" s="1"/>
  <c r="X74" i="4"/>
  <c r="AG74" i="4" s="1"/>
  <c r="W77" i="4"/>
  <c r="AF77" i="4" s="1"/>
  <c r="Q77" i="4"/>
  <c r="Z77" i="4" s="1"/>
  <c r="O6" i="4"/>
  <c r="O9" i="4"/>
  <c r="O78" i="4"/>
  <c r="O29" i="4"/>
  <c r="AH29" i="4" s="1"/>
  <c r="O82" i="4"/>
  <c r="AH82" i="4" s="1"/>
  <c r="O36" i="3"/>
  <c r="O71" i="4"/>
  <c r="O81" i="4"/>
  <c r="S87" i="4"/>
  <c r="AB87" i="4" s="1"/>
  <c r="U79" i="4"/>
  <c r="X79" i="4"/>
  <c r="O68" i="4"/>
  <c r="O33" i="4"/>
  <c r="AH33" i="4" s="1"/>
  <c r="O25" i="4"/>
  <c r="O66" i="3"/>
  <c r="O28" i="4"/>
  <c r="AE28" i="4" s="1"/>
  <c r="O58" i="4"/>
  <c r="AH58" i="4" s="1"/>
  <c r="O13" i="4"/>
  <c r="AH13" i="4" s="1"/>
  <c r="O56" i="4"/>
  <c r="AH56" i="4" s="1"/>
  <c r="O10" i="4"/>
  <c r="O7" i="4"/>
  <c r="O16" i="3"/>
  <c r="O18" i="4"/>
  <c r="O76" i="4"/>
  <c r="O59" i="4"/>
  <c r="AH59" i="4" s="1"/>
  <c r="O17" i="4"/>
  <c r="AH17" i="4" s="1"/>
  <c r="Q87" i="4"/>
  <c r="O29" i="3"/>
  <c r="AE29" i="3" s="1"/>
  <c r="V77" i="4"/>
  <c r="AE77" i="4" s="1"/>
  <c r="O55" i="4"/>
  <c r="AH55" i="4" s="1"/>
  <c r="O5" i="4"/>
  <c r="AH5" i="4" s="1"/>
  <c r="O34" i="4"/>
  <c r="O23" i="4"/>
  <c r="O83" i="4"/>
  <c r="AH83" i="4" s="1"/>
  <c r="X39" i="4"/>
  <c r="AG39" i="4" s="1"/>
  <c r="R77" i="4"/>
  <c r="AA77" i="4" s="1"/>
  <c r="X77" i="4"/>
  <c r="AG77" i="4" s="1"/>
  <c r="O81" i="3"/>
  <c r="O48" i="4"/>
  <c r="AD48" i="4" s="1"/>
  <c r="O63" i="4"/>
  <c r="AH63" i="4" s="1"/>
  <c r="O47" i="4"/>
  <c r="O27" i="3"/>
  <c r="O75" i="3"/>
  <c r="O76" i="3"/>
  <c r="O63" i="3"/>
  <c r="O69" i="3"/>
  <c r="Q39" i="4"/>
  <c r="Z39" i="4" s="1"/>
  <c r="O4" i="3"/>
  <c r="P16" i="4"/>
  <c r="O53" i="3"/>
  <c r="O45" i="3"/>
  <c r="AE45" i="3" s="1"/>
  <c r="O24" i="4"/>
  <c r="O35" i="3"/>
  <c r="AE35" i="3" s="1"/>
  <c r="O67" i="4"/>
  <c r="O49" i="4"/>
  <c r="AB49" i="4" s="1"/>
  <c r="O85" i="4"/>
  <c r="AG85" i="4" s="1"/>
  <c r="O72" i="4"/>
  <c r="O14" i="4"/>
  <c r="O70" i="4"/>
  <c r="O4" i="4"/>
  <c r="AH4" i="4" s="1"/>
  <c r="O52" i="3"/>
  <c r="O64" i="4"/>
  <c r="AH64" i="4" s="1"/>
  <c r="O60" i="3"/>
  <c r="AA60" i="3" s="1"/>
  <c r="O44" i="3"/>
  <c r="O22" i="4"/>
  <c r="O57" i="3"/>
  <c r="O10" i="3"/>
  <c r="O37" i="3"/>
  <c r="AA37" i="3" s="1"/>
  <c r="O26" i="4"/>
  <c r="AH26" i="4" s="1"/>
  <c r="O84" i="4"/>
  <c r="AH84" i="4" s="1"/>
  <c r="O61" i="4"/>
  <c r="AH61" i="4" s="1"/>
  <c r="O53" i="4"/>
  <c r="AH53" i="4" s="1"/>
  <c r="O82" i="3"/>
  <c r="O22" i="3"/>
  <c r="O46" i="3"/>
  <c r="AG46" i="3" s="1"/>
  <c r="R60" i="4"/>
  <c r="O85" i="3"/>
  <c r="AC85" i="3" s="1"/>
  <c r="O59" i="3"/>
  <c r="AA59" i="3" s="1"/>
  <c r="T39" i="4"/>
  <c r="O34" i="3"/>
  <c r="O14" i="3"/>
  <c r="O20" i="4"/>
  <c r="O18" i="3"/>
  <c r="Q52" i="4"/>
  <c r="Z52" i="4" s="1"/>
  <c r="Q80" i="4"/>
  <c r="Z80" i="4" s="1"/>
  <c r="O21" i="3"/>
  <c r="P66" i="4"/>
  <c r="O19" i="3"/>
  <c r="O70" i="3"/>
  <c r="O77" i="3"/>
  <c r="O61" i="3"/>
  <c r="O39" i="3"/>
  <c r="O5" i="3"/>
  <c r="AH5" i="3" s="1"/>
  <c r="P27" i="4"/>
  <c r="O9" i="3"/>
  <c r="O30" i="3"/>
  <c r="AA30" i="3" s="1"/>
  <c r="Q35" i="4"/>
  <c r="O26" i="3"/>
  <c r="AE26" i="3" s="1"/>
  <c r="O49" i="3"/>
  <c r="AB49" i="3" s="1"/>
  <c r="S36" i="4"/>
  <c r="O43" i="3"/>
  <c r="AE43" i="3" s="1"/>
  <c r="S39" i="4"/>
  <c r="O6" i="3"/>
  <c r="O64" i="3"/>
  <c r="AH64" i="3" s="1"/>
  <c r="O38" i="3"/>
  <c r="O56" i="3"/>
  <c r="O72" i="3"/>
  <c r="O71" i="3"/>
  <c r="O78" i="3"/>
  <c r="O28" i="3"/>
  <c r="AE28" i="3" s="1"/>
  <c r="O25" i="3"/>
  <c r="O84" i="3"/>
  <c r="O24" i="3"/>
  <c r="O8" i="3"/>
  <c r="AH8" i="3" s="1"/>
  <c r="O7" i="3"/>
  <c r="O11" i="3"/>
  <c r="AC11" i="3" s="1"/>
  <c r="O32" i="4"/>
  <c r="AH32" i="4" s="1"/>
  <c r="O32" i="3"/>
  <c r="V87" i="4"/>
  <c r="AE87" i="4" s="1"/>
  <c r="O54" i="3"/>
  <c r="AA54" i="3" s="1"/>
  <c r="U74" i="4"/>
  <c r="AD74" i="4" s="1"/>
  <c r="O17" i="3"/>
  <c r="O40" i="3"/>
  <c r="O83" i="3"/>
  <c r="AA83" i="3" s="1"/>
  <c r="O55" i="3"/>
  <c r="O67" i="3"/>
  <c r="O62" i="3"/>
  <c r="O33" i="3"/>
  <c r="AA33" i="3" s="1"/>
  <c r="O20" i="3"/>
  <c r="O42" i="3"/>
  <c r="O68" i="3"/>
  <c r="O31" i="3"/>
  <c r="O8" i="4"/>
  <c r="AH8" i="4" s="1"/>
  <c r="W39" i="4"/>
  <c r="AF39" i="4" s="1"/>
  <c r="O13" i="3"/>
  <c r="O11" i="4"/>
  <c r="AH11" i="4" s="1"/>
  <c r="P77" i="4"/>
  <c r="Y77" i="4" s="1"/>
  <c r="O58" i="3"/>
  <c r="O48" i="3"/>
  <c r="AD48" i="3" s="1"/>
  <c r="R48" i="1"/>
  <c r="S48" i="1" s="1"/>
  <c r="T48" i="1" s="1"/>
  <c r="U48" i="1" s="1"/>
  <c r="V48" i="1" s="1"/>
  <c r="W48" i="1" s="1"/>
  <c r="X48" i="1" s="1"/>
  <c r="Y48" i="1" s="1"/>
  <c r="O69" i="4"/>
  <c r="O42" i="4"/>
  <c r="AH42" i="4" s="1"/>
  <c r="M6" i="20"/>
  <c r="O44" i="4"/>
  <c r="AA44" i="4" s="1"/>
  <c r="T52" i="1"/>
  <c r="U52" i="1" s="1"/>
  <c r="V52" i="1" s="1"/>
  <c r="W52" i="1" s="1"/>
  <c r="X52" i="1" s="1"/>
  <c r="Y52" i="1" s="1"/>
  <c r="O30" i="4"/>
  <c r="AA30" i="4" s="1"/>
  <c r="R57" i="1"/>
  <c r="S57" i="1" s="1"/>
  <c r="T57" i="1" s="1"/>
  <c r="U57" i="1" s="1"/>
  <c r="V57" i="1" s="1"/>
  <c r="W57" i="1" s="1"/>
  <c r="X57" i="1" s="1"/>
  <c r="Y57" i="1" s="1"/>
  <c r="O31" i="4"/>
  <c r="O89" i="3"/>
  <c r="AA89" i="3" s="1"/>
  <c r="O45" i="4"/>
  <c r="AH45" i="4" s="1"/>
  <c r="O99" i="3"/>
  <c r="O15" i="3"/>
  <c r="AH15" i="3" s="1"/>
  <c r="O37" i="4"/>
  <c r="O43" i="4"/>
  <c r="AH43" i="4" s="1"/>
  <c r="O51" i="3"/>
  <c r="AC51" i="3" s="1"/>
  <c r="O97" i="4"/>
  <c r="P51" i="4"/>
  <c r="Y51" i="4" s="1"/>
  <c r="O93" i="4"/>
  <c r="O99" i="4"/>
  <c r="P89" i="4"/>
  <c r="T90" i="4"/>
  <c r="S89" i="4"/>
  <c r="W89" i="4"/>
  <c r="W88" i="4"/>
  <c r="AF88" i="4" s="1"/>
  <c r="W26" i="20" s="1"/>
  <c r="Q51" i="4"/>
  <c r="Z51" i="4" s="1"/>
  <c r="S51" i="4"/>
  <c r="F29" i="20" s="1"/>
  <c r="R88" i="4"/>
  <c r="X89" i="4"/>
  <c r="O98" i="4"/>
  <c r="O92" i="4"/>
  <c r="AA92" i="4" s="1"/>
  <c r="O94" i="4"/>
  <c r="O91" i="4"/>
  <c r="O96" i="4"/>
  <c r="O95" i="4"/>
  <c r="O91" i="3"/>
  <c r="O87" i="3"/>
  <c r="O92" i="3"/>
  <c r="AA92" i="3" s="1"/>
  <c r="O90" i="3"/>
  <c r="AG90" i="3" s="1"/>
  <c r="O86" i="3"/>
  <c r="O97" i="3"/>
  <c r="O93" i="3"/>
  <c r="O88" i="3"/>
  <c r="Z88" i="3" s="1"/>
  <c r="O95" i="3"/>
  <c r="S88" i="4"/>
  <c r="V90" i="4"/>
  <c r="W90" i="4"/>
  <c r="Q90" i="4"/>
  <c r="P88" i="4"/>
  <c r="Y88" i="4" s="1"/>
  <c r="P26" i="20" s="1"/>
  <c r="T88" i="4"/>
  <c r="U90" i="4"/>
  <c r="X88" i="4"/>
  <c r="R90" i="4"/>
  <c r="U88" i="4"/>
  <c r="AD88" i="4" s="1"/>
  <c r="O96" i="3"/>
  <c r="O94" i="3"/>
  <c r="Q79" i="4"/>
  <c r="Z79" i="4" s="1"/>
  <c r="O98" i="3"/>
  <c r="U87" i="4"/>
  <c r="V88" i="4"/>
  <c r="AE88" i="4" s="1"/>
  <c r="V26" i="20" s="1"/>
  <c r="R89" i="4"/>
  <c r="E26" i="20" s="1"/>
  <c r="T87" i="4"/>
  <c r="P90" i="4"/>
  <c r="U89" i="4"/>
  <c r="V89" i="4"/>
  <c r="O38" i="4"/>
  <c r="AB38" i="4" s="1"/>
  <c r="O40" i="4"/>
  <c r="AB40" i="4" s="1"/>
  <c r="R56" i="1"/>
  <c r="S56" i="1" s="1"/>
  <c r="T56" i="1" s="1"/>
  <c r="U56" i="1" s="1"/>
  <c r="V56" i="1" s="1"/>
  <c r="W56" i="1" s="1"/>
  <c r="X56" i="1" s="1"/>
  <c r="Y56" i="1" s="1"/>
  <c r="O65" i="3"/>
  <c r="O46" i="4"/>
  <c r="AH46" i="4" s="1"/>
  <c r="O21" i="4"/>
  <c r="O15" i="4"/>
  <c r="AH15" i="4" s="1"/>
  <c r="R47" i="1"/>
  <c r="S47" i="1" s="1"/>
  <c r="T47" i="1" s="1"/>
  <c r="U47" i="1" s="1"/>
  <c r="V47" i="1" s="1"/>
  <c r="W47" i="1" s="1"/>
  <c r="X47" i="1" s="1"/>
  <c r="Y47" i="1" s="1"/>
  <c r="R50" i="1"/>
  <c r="S50" i="1" s="1"/>
  <c r="T50" i="1" s="1"/>
  <c r="U50" i="1" s="1"/>
  <c r="V50" i="1" s="1"/>
  <c r="W50" i="1" s="1"/>
  <c r="X50" i="1" s="1"/>
  <c r="Y50" i="1" s="1"/>
  <c r="O79" i="3"/>
  <c r="O54" i="4"/>
  <c r="AH54" i="4" s="1"/>
  <c r="O50" i="3"/>
  <c r="AB50" i="3" s="1"/>
  <c r="O12" i="3"/>
  <c r="AA12" i="3" s="1"/>
  <c r="O75" i="4"/>
  <c r="O19" i="4"/>
  <c r="L6" i="20"/>
  <c r="O74" i="3"/>
  <c r="O73" i="3"/>
  <c r="T74" i="4"/>
  <c r="G28" i="20" s="1"/>
  <c r="O100" i="3"/>
  <c r="O80" i="3"/>
  <c r="T12" i="4"/>
  <c r="U80" i="4"/>
  <c r="AD80" i="4" s="1"/>
  <c r="X80" i="4"/>
  <c r="AG80" i="4" s="1"/>
  <c r="U12" i="4"/>
  <c r="W74" i="4"/>
  <c r="AF74" i="4" s="1"/>
  <c r="P50" i="4"/>
  <c r="Y50" i="4" s="1"/>
  <c r="W50" i="4"/>
  <c r="AF50" i="4" s="1"/>
  <c r="O73" i="4"/>
  <c r="W80" i="4"/>
  <c r="AF80" i="4" s="1"/>
  <c r="R50" i="4"/>
  <c r="R79" i="4"/>
  <c r="Q74" i="4"/>
  <c r="Z74" i="4" s="1"/>
  <c r="P79" i="4"/>
  <c r="Y79" i="4" s="1"/>
  <c r="T50" i="4"/>
  <c r="G29" i="20" s="1"/>
  <c r="Q50" i="4"/>
  <c r="Z50" i="4" s="1"/>
  <c r="V74" i="4"/>
  <c r="AE74" i="4" s="1"/>
  <c r="T80" i="4"/>
  <c r="AC80" i="4" s="1"/>
  <c r="R12" i="4"/>
  <c r="V12" i="4"/>
  <c r="R46" i="1"/>
  <c r="S46" i="1" s="1"/>
  <c r="T46" i="1" s="1"/>
  <c r="U46" i="1" s="1"/>
  <c r="V46" i="1" s="1"/>
  <c r="W46" i="1" s="1"/>
  <c r="X46" i="1" s="1"/>
  <c r="Y46" i="1" s="1"/>
  <c r="R59" i="1"/>
  <c r="S59" i="1" s="1"/>
  <c r="T59" i="1" s="1"/>
  <c r="U59" i="1" s="1"/>
  <c r="V59" i="1" s="1"/>
  <c r="W59" i="1" s="1"/>
  <c r="X59" i="1" s="1"/>
  <c r="Y59" i="1" s="1"/>
  <c r="R58" i="1"/>
  <c r="S58" i="1" s="1"/>
  <c r="T58" i="1" s="1"/>
  <c r="U58" i="1" s="1"/>
  <c r="V58" i="1" s="1"/>
  <c r="W58" i="1" s="1"/>
  <c r="X58" i="1" s="1"/>
  <c r="Y58" i="1" s="1"/>
  <c r="R61" i="1"/>
  <c r="S61" i="1" s="1"/>
  <c r="T61" i="1" s="1"/>
  <c r="U61" i="1" s="1"/>
  <c r="V61" i="1" s="1"/>
  <c r="W61" i="1" s="1"/>
  <c r="X61" i="1" s="1"/>
  <c r="Y61" i="1" s="1"/>
  <c r="R43" i="1"/>
  <c r="S43" i="1" s="1"/>
  <c r="T43" i="1" s="1"/>
  <c r="U43" i="1" s="1"/>
  <c r="V43" i="1" s="1"/>
  <c r="W43" i="1" s="1"/>
  <c r="X43" i="1" s="1"/>
  <c r="Y43" i="1" s="1"/>
  <c r="R49" i="1"/>
  <c r="S49" i="1" s="1"/>
  <c r="T49" i="1" s="1"/>
  <c r="U49" i="1" s="1"/>
  <c r="V49" i="1" s="1"/>
  <c r="W49" i="1" s="1"/>
  <c r="X49" i="1" s="1"/>
  <c r="Y49" i="1" s="1"/>
  <c r="R53" i="1"/>
  <c r="S53" i="1" s="1"/>
  <c r="T53" i="1" s="1"/>
  <c r="U53" i="1" s="1"/>
  <c r="V53" i="1" s="1"/>
  <c r="W53" i="1" s="1"/>
  <c r="X53" i="1" s="1"/>
  <c r="Y53" i="1" s="1"/>
  <c r="R60" i="1"/>
  <c r="S60" i="1" s="1"/>
  <c r="T60" i="1" s="1"/>
  <c r="U60" i="1" s="1"/>
  <c r="V60" i="1" s="1"/>
  <c r="W60" i="1" s="1"/>
  <c r="X60" i="1" s="1"/>
  <c r="Y60" i="1" s="1"/>
  <c r="R51" i="1"/>
  <c r="S51" i="1" s="1"/>
  <c r="T51" i="1" s="1"/>
  <c r="U51" i="1" s="1"/>
  <c r="V51" i="1" s="1"/>
  <c r="W51" i="1" s="1"/>
  <c r="X51" i="1" s="1"/>
  <c r="Y51" i="1" s="1"/>
  <c r="R44" i="1"/>
  <c r="S44" i="1" s="1"/>
  <c r="T44" i="1" s="1"/>
  <c r="U44" i="1" s="1"/>
  <c r="V44" i="1" s="1"/>
  <c r="W44" i="1" s="1"/>
  <c r="X44" i="1" s="1"/>
  <c r="Y44" i="1" s="1"/>
  <c r="R55" i="1"/>
  <c r="S55" i="1" s="1"/>
  <c r="T55" i="1" s="1"/>
  <c r="U55" i="1" s="1"/>
  <c r="V55" i="1" s="1"/>
  <c r="W55" i="1" s="1"/>
  <c r="X55" i="1" s="1"/>
  <c r="Y55" i="1" s="1"/>
  <c r="R45" i="1"/>
  <c r="S45" i="1" s="1"/>
  <c r="T45" i="1" s="1"/>
  <c r="U45" i="1" s="1"/>
  <c r="V45" i="1" s="1"/>
  <c r="W45" i="1" s="1"/>
  <c r="X45" i="1" s="1"/>
  <c r="Y45" i="1" s="1"/>
  <c r="O86" i="4"/>
  <c r="AH86" i="4" s="1"/>
  <c r="N42" i="1"/>
  <c r="AB39" i="1"/>
  <c r="D105" i="23" s="1"/>
  <c r="N51" i="1"/>
  <c r="O65" i="4"/>
  <c r="AH65" i="4" s="1"/>
  <c r="N60" i="1"/>
  <c r="N44" i="1"/>
  <c r="N53" i="1"/>
  <c r="AB48" i="1"/>
  <c r="AB67" i="1"/>
  <c r="AB68" i="1"/>
  <c r="AB49" i="1"/>
  <c r="AI6" i="5" s="1"/>
  <c r="AB72" i="1"/>
  <c r="AB70" i="1"/>
  <c r="AB45" i="1"/>
  <c r="AB57" i="1"/>
  <c r="AB55" i="1"/>
  <c r="AI29" i="5" s="1"/>
  <c r="AB64" i="1"/>
  <c r="AB59" i="1"/>
  <c r="AB43" i="1"/>
  <c r="AB47" i="1"/>
  <c r="AB51" i="1"/>
  <c r="N45" i="1"/>
  <c r="N52" i="1"/>
  <c r="N50" i="1"/>
  <c r="N56" i="1"/>
  <c r="N43" i="1"/>
  <c r="N54" i="1"/>
  <c r="N58" i="1"/>
  <c r="N57" i="1"/>
  <c r="N48" i="1"/>
  <c r="N47" i="1"/>
  <c r="AB56" i="1"/>
  <c r="AB53" i="1"/>
  <c r="AI17" i="5" s="1"/>
  <c r="AB50" i="1"/>
  <c r="AB58" i="1"/>
  <c r="AB66" i="1"/>
  <c r="AB54" i="1"/>
  <c r="AI90" i="5" s="1"/>
  <c r="AB60" i="1"/>
  <c r="AB69" i="1"/>
  <c r="AB46" i="1"/>
  <c r="AB62" i="1"/>
  <c r="AB44" i="1"/>
  <c r="AB52" i="1"/>
  <c r="AB61" i="1"/>
  <c r="AB73" i="1"/>
  <c r="AB63" i="1"/>
  <c r="AB65" i="1"/>
  <c r="AB71" i="1"/>
  <c r="N55" i="1"/>
  <c r="N61" i="1"/>
  <c r="N46" i="1"/>
  <c r="N49" i="1"/>
  <c r="O100" i="4"/>
  <c r="X42" i="1"/>
  <c r="Y42" i="1"/>
  <c r="Q42" i="1"/>
  <c r="S42" i="1"/>
  <c r="T42" i="1"/>
  <c r="W42" i="1"/>
  <c r="V42" i="1"/>
  <c r="R42" i="1"/>
  <c r="U42" i="1"/>
  <c r="AI9" i="5" l="1"/>
  <c r="P9" i="5" s="1"/>
  <c r="AI7" i="5"/>
  <c r="AH7" i="4"/>
  <c r="AB7" i="4"/>
  <c r="AH6" i="4"/>
  <c r="AA6" i="4"/>
  <c r="AB10" i="4"/>
  <c r="AC10" i="4"/>
  <c r="AH7" i="3"/>
  <c r="AB7" i="3"/>
  <c r="AH6" i="3"/>
  <c r="AA6" i="3"/>
  <c r="AB10" i="3"/>
  <c r="AC10" i="3"/>
  <c r="AC11" i="4"/>
  <c r="AI92" i="5"/>
  <c r="AH93" i="3"/>
  <c r="Z93" i="3"/>
  <c r="AB47" i="4"/>
  <c r="AG47" i="4"/>
  <c r="AH66" i="3"/>
  <c r="AA66" i="3"/>
  <c r="AH93" i="4"/>
  <c r="Z93" i="4"/>
  <c r="AH56" i="3"/>
  <c r="AA56" i="3"/>
  <c r="AA56" i="4"/>
  <c r="AA55" i="4"/>
  <c r="AH55" i="3"/>
  <c r="AA55" i="3"/>
  <c r="AG46" i="4"/>
  <c r="AH65" i="3"/>
  <c r="AA65" i="3"/>
  <c r="AA65" i="4"/>
  <c r="AA13" i="4"/>
  <c r="AI15" i="5"/>
  <c r="P15" i="5" s="1"/>
  <c r="Y15" i="5" s="1"/>
  <c r="AI16" i="5"/>
  <c r="P16" i="5" s="1"/>
  <c r="AH17" i="3"/>
  <c r="AA17" i="3"/>
  <c r="AH9" i="4"/>
  <c r="AB9" i="4"/>
  <c r="AD47" i="4"/>
  <c r="AE63" i="4"/>
  <c r="AH92" i="3"/>
  <c r="Z92" i="3"/>
  <c r="AH63" i="3"/>
  <c r="AE63" i="3"/>
  <c r="AB47" i="3"/>
  <c r="AD47" i="3"/>
  <c r="AA17" i="4"/>
  <c r="Z91" i="3"/>
  <c r="AE91" i="3"/>
  <c r="AH13" i="3"/>
  <c r="AA13" i="3"/>
  <c r="AH9" i="3"/>
  <c r="AB9" i="3"/>
  <c r="AH92" i="4"/>
  <c r="Z92" i="4"/>
  <c r="Z91" i="4"/>
  <c r="AE91" i="4"/>
  <c r="AA54" i="4"/>
  <c r="AE29" i="4"/>
  <c r="AC46" i="3"/>
  <c r="AD46" i="3"/>
  <c r="AD46" i="4"/>
  <c r="Z90" i="3"/>
  <c r="AE90" i="3"/>
  <c r="AA59" i="4"/>
  <c r="AH53" i="3"/>
  <c r="AA53" i="3"/>
  <c r="AA53" i="4"/>
  <c r="J26" i="20"/>
  <c r="AC42" i="4"/>
  <c r="AH12" i="3"/>
  <c r="AC12" i="3"/>
  <c r="AD83" i="4"/>
  <c r="G26" i="20"/>
  <c r="I26" i="20"/>
  <c r="AC40" i="4"/>
  <c r="AA84" i="3"/>
  <c r="AG84" i="3"/>
  <c r="AH85" i="4"/>
  <c r="AC85" i="4"/>
  <c r="Z86" i="4"/>
  <c r="AD82" i="4"/>
  <c r="AE38" i="3"/>
  <c r="AB38" i="3"/>
  <c r="AH82" i="3"/>
  <c r="AD82" i="3"/>
  <c r="E29" i="20"/>
  <c r="AA50" i="4"/>
  <c r="AC86" i="3"/>
  <c r="Z86" i="3"/>
  <c r="AB40" i="3"/>
  <c r="AC40" i="3"/>
  <c r="AE43" i="4"/>
  <c r="AE32" i="3"/>
  <c r="AA32" i="3"/>
  <c r="AH57" i="3"/>
  <c r="AE57" i="3"/>
  <c r="F30" i="20"/>
  <c r="AA83" i="4"/>
  <c r="AA32" i="4"/>
  <c r="AG84" i="4"/>
  <c r="AH37" i="4"/>
  <c r="AA37" i="4"/>
  <c r="AA85" i="3"/>
  <c r="AG85" i="3"/>
  <c r="AE32" i="4"/>
  <c r="I30" i="20"/>
  <c r="AH30" i="3"/>
  <c r="AC30" i="3"/>
  <c r="AC39" i="3"/>
  <c r="AB39" i="3"/>
  <c r="AA44" i="3"/>
  <c r="AE44" i="3"/>
  <c r="AE26" i="4"/>
  <c r="AE44" i="4"/>
  <c r="AC48" i="3"/>
  <c r="AB48" i="3"/>
  <c r="AH48" i="4"/>
  <c r="AB48" i="4"/>
  <c r="AA84" i="4"/>
  <c r="AC86" i="4"/>
  <c r="AE58" i="4"/>
  <c r="AC87" i="3"/>
  <c r="Z87" i="3"/>
  <c r="AH83" i="3"/>
  <c r="AD83" i="3"/>
  <c r="F26" i="20"/>
  <c r="AH30" i="4"/>
  <c r="AC30" i="4"/>
  <c r="AH58" i="3"/>
  <c r="AE58" i="3"/>
  <c r="AG27" i="3"/>
  <c r="AA27" i="3"/>
  <c r="AE36" i="3"/>
  <c r="AC36" i="3"/>
  <c r="AC46" i="4"/>
  <c r="AA33" i="4"/>
  <c r="D26" i="20"/>
  <c r="O35" i="4"/>
  <c r="AE35" i="4" s="1"/>
  <c r="Z35" i="4"/>
  <c r="AC37" i="4"/>
  <c r="K26" i="20"/>
  <c r="C26" i="20"/>
  <c r="AC33" i="3"/>
  <c r="AE33" i="3"/>
  <c r="AH84" i="3"/>
  <c r="AD84" i="3"/>
  <c r="AG34" i="3"/>
  <c r="AA34" i="3"/>
  <c r="AH37" i="3"/>
  <c r="AC37" i="3"/>
  <c r="AG34" i="4"/>
  <c r="AA34" i="4"/>
  <c r="AH10" i="4"/>
  <c r="AA10" i="4"/>
  <c r="AE33" i="4"/>
  <c r="AG86" i="4"/>
  <c r="H26" i="20"/>
  <c r="AA86" i="3"/>
  <c r="AG86" i="3"/>
  <c r="AH10" i="3"/>
  <c r="AA10" i="3"/>
  <c r="AE59" i="4"/>
  <c r="AE45" i="4"/>
  <c r="AA85" i="4"/>
  <c r="AB42" i="3"/>
  <c r="AC42" i="3"/>
  <c r="AH59" i="3"/>
  <c r="AE59" i="3"/>
  <c r="AD84" i="4"/>
  <c r="AI34" i="5"/>
  <c r="P34" i="5" s="1"/>
  <c r="AI56" i="5"/>
  <c r="P56" i="5" s="1"/>
  <c r="Y56" i="5" s="1"/>
  <c r="AI38" i="5"/>
  <c r="P38" i="5" s="1"/>
  <c r="AI31" i="5"/>
  <c r="P31" i="5" s="1"/>
  <c r="AI43" i="5"/>
  <c r="P43" i="5" s="1"/>
  <c r="Y43" i="5" s="1"/>
  <c r="AI46" i="5"/>
  <c r="P46" i="5" s="1"/>
  <c r="Y46" i="5" s="1"/>
  <c r="AG89" i="3"/>
  <c r="Z89" i="3"/>
  <c r="I24" i="20"/>
  <c r="AC48" i="4"/>
  <c r="AA86" i="4"/>
  <c r="AE46" i="4"/>
  <c r="AD87" i="3"/>
  <c r="AG87" i="3"/>
  <c r="E30" i="20"/>
  <c r="AH46" i="3"/>
  <c r="AE46" i="3"/>
  <c r="AH60" i="3"/>
  <c r="AE60" i="3"/>
  <c r="AD85" i="4"/>
  <c r="AC43" i="4"/>
  <c r="AA88" i="3"/>
  <c r="AC88" i="3"/>
  <c r="AH43" i="3"/>
  <c r="AC43" i="3"/>
  <c r="AH85" i="3"/>
  <c r="AD85" i="3"/>
  <c r="AC54" i="4"/>
  <c r="AH16" i="3"/>
  <c r="AA16" i="3"/>
  <c r="AA11" i="4"/>
  <c r="AH11" i="3"/>
  <c r="AA11" i="3"/>
  <c r="D24" i="20"/>
  <c r="C24" i="20"/>
  <c r="G30" i="20"/>
  <c r="J24" i="20"/>
  <c r="K30" i="20"/>
  <c r="AH91" i="4"/>
  <c r="AA91" i="4"/>
  <c r="AH54" i="3"/>
  <c r="AC54" i="3"/>
  <c r="AH90" i="3"/>
  <c r="AC90" i="3"/>
  <c r="AH36" i="3"/>
  <c r="AA36" i="3"/>
  <c r="AE62" i="4"/>
  <c r="AC38" i="4"/>
  <c r="AE38" i="4"/>
  <c r="AH52" i="3"/>
  <c r="AB52" i="3"/>
  <c r="J28" i="20"/>
  <c r="AE48" i="4"/>
  <c r="AC45" i="4"/>
  <c r="AH29" i="3"/>
  <c r="AA29" i="3"/>
  <c r="AB42" i="4"/>
  <c r="K24" i="20"/>
  <c r="AH91" i="3"/>
  <c r="AA91" i="3"/>
  <c r="AH48" i="3"/>
  <c r="AE48" i="3"/>
  <c r="AH62" i="3"/>
  <c r="AE62" i="3"/>
  <c r="AH45" i="3"/>
  <c r="AC45" i="3"/>
  <c r="I28" i="20"/>
  <c r="AA29" i="4"/>
  <c r="AC33" i="4"/>
  <c r="AG33" i="4"/>
  <c r="AH50" i="3"/>
  <c r="AC50" i="3"/>
  <c r="AH87" i="3"/>
  <c r="AA87" i="3"/>
  <c r="AH31" i="4"/>
  <c r="AC31" i="4"/>
  <c r="AH44" i="4"/>
  <c r="AC44" i="4"/>
  <c r="AH31" i="3"/>
  <c r="AC31" i="3"/>
  <c r="AH33" i="3"/>
  <c r="AG33" i="3"/>
  <c r="O36" i="4"/>
  <c r="AB36" i="4"/>
  <c r="AH39" i="3"/>
  <c r="AA39" i="3"/>
  <c r="AH34" i="3"/>
  <c r="AE34" i="3"/>
  <c r="AH44" i="3"/>
  <c r="AC44" i="3"/>
  <c r="AH34" i="4"/>
  <c r="AE34" i="4"/>
  <c r="AH28" i="4"/>
  <c r="AA28" i="4"/>
  <c r="J30" i="20"/>
  <c r="D30" i="20"/>
  <c r="C29" i="20"/>
  <c r="E24" i="20"/>
  <c r="H30" i="20"/>
  <c r="AE61" i="4"/>
  <c r="AC32" i="4"/>
  <c r="AH89" i="3"/>
  <c r="AC89" i="3"/>
  <c r="AH38" i="3"/>
  <c r="AC38" i="3"/>
  <c r="AH35" i="3"/>
  <c r="AA35" i="3"/>
  <c r="AH47" i="4"/>
  <c r="AE47" i="4"/>
  <c r="AH47" i="3"/>
  <c r="AE47" i="3"/>
  <c r="AH86" i="3"/>
  <c r="AD86" i="3"/>
  <c r="AH51" i="3"/>
  <c r="AB51" i="3"/>
  <c r="AH40" i="3"/>
  <c r="AA40" i="3"/>
  <c r="AH49" i="3"/>
  <c r="AC49" i="3"/>
  <c r="AH61" i="3"/>
  <c r="AE61" i="3"/>
  <c r="AH49" i="4"/>
  <c r="AC49" i="4"/>
  <c r="G24" i="20"/>
  <c r="AH40" i="4"/>
  <c r="AA40" i="4"/>
  <c r="AH88" i="3"/>
  <c r="AG88" i="3"/>
  <c r="AH32" i="3"/>
  <c r="AC32" i="3"/>
  <c r="AH28" i="3"/>
  <c r="AA28" i="3"/>
  <c r="AH27" i="3"/>
  <c r="AE27" i="3"/>
  <c r="J29" i="20"/>
  <c r="H24" i="20"/>
  <c r="AD86" i="4"/>
  <c r="AH26" i="3"/>
  <c r="AG26" i="3"/>
  <c r="O16" i="4"/>
  <c r="Y16" i="4"/>
  <c r="AG26" i="4"/>
  <c r="AH4" i="3"/>
  <c r="AI51" i="5"/>
  <c r="P51" i="5" s="1"/>
  <c r="Y51" i="5" s="1"/>
  <c r="AI83" i="5"/>
  <c r="P83" i="5" s="1"/>
  <c r="Y83" i="5" s="1"/>
  <c r="AI14" i="5"/>
  <c r="P14" i="5" s="1"/>
  <c r="AI77" i="5"/>
  <c r="P77" i="5" s="1"/>
  <c r="AI27" i="5"/>
  <c r="P27" i="5" s="1"/>
  <c r="Y27" i="5" s="1"/>
  <c r="AI11" i="5"/>
  <c r="P11" i="5" s="1"/>
  <c r="Y11" i="5" s="1"/>
  <c r="AI8" i="5"/>
  <c r="P8" i="5" s="1"/>
  <c r="AI13" i="5"/>
  <c r="P13" i="5" s="1"/>
  <c r="Y13" i="5" s="1"/>
  <c r="AI32" i="5"/>
  <c r="P32" i="5" s="1"/>
  <c r="AI70" i="5"/>
  <c r="P70" i="5" s="1"/>
  <c r="AI39" i="5"/>
  <c r="P39" i="5" s="1"/>
  <c r="AI23" i="5"/>
  <c r="P23" i="5" s="1"/>
  <c r="AI49" i="5"/>
  <c r="P49" i="5" s="1"/>
  <c r="Y49" i="5" s="1"/>
  <c r="AI21" i="5"/>
  <c r="P21" i="5" s="1"/>
  <c r="AI33" i="5"/>
  <c r="P33" i="5" s="1"/>
  <c r="AI20" i="5"/>
  <c r="P20" i="5" s="1"/>
  <c r="AI40" i="5"/>
  <c r="P40" i="5" s="1"/>
  <c r="Y40" i="5" s="1"/>
  <c r="AI22" i="5"/>
  <c r="P22" i="5" s="1"/>
  <c r="Y22" i="5" s="1"/>
  <c r="AI26" i="5"/>
  <c r="P26" i="5" s="1"/>
  <c r="AI24" i="5"/>
  <c r="P24" i="5" s="1"/>
  <c r="AI25" i="5"/>
  <c r="P25" i="5" s="1"/>
  <c r="Y25" i="5" s="1"/>
  <c r="AI89" i="5"/>
  <c r="P89" i="5" s="1"/>
  <c r="AI41" i="5"/>
  <c r="AI42" i="5"/>
  <c r="P42" i="5" s="1"/>
  <c r="Y42" i="5" s="1"/>
  <c r="AI73" i="5"/>
  <c r="P73" i="5" s="1"/>
  <c r="AI35" i="5"/>
  <c r="P35" i="5" s="1"/>
  <c r="AI93" i="5"/>
  <c r="P93" i="5" s="1"/>
  <c r="P93" i="6" s="1"/>
  <c r="AI62" i="5"/>
  <c r="P62" i="5" s="1"/>
  <c r="AI45" i="5"/>
  <c r="P45" i="5" s="1"/>
  <c r="Y45" i="5" s="1"/>
  <c r="AI12" i="5"/>
  <c r="P12" i="5" s="1"/>
  <c r="AI57" i="5"/>
  <c r="P57" i="5" s="1"/>
  <c r="Y57" i="5" s="1"/>
  <c r="AI64" i="5"/>
  <c r="P64" i="5" s="1"/>
  <c r="Y64" i="5" s="1"/>
  <c r="AI59" i="5"/>
  <c r="P59" i="5" s="1"/>
  <c r="AI60" i="5"/>
  <c r="P60" i="5" s="1"/>
  <c r="AI44" i="5"/>
  <c r="P44" i="5" s="1"/>
  <c r="AI18" i="5"/>
  <c r="P18" i="5" s="1"/>
  <c r="AI63" i="5"/>
  <c r="P63" i="5" s="1"/>
  <c r="AI28" i="5"/>
  <c r="P28" i="5" s="1"/>
  <c r="AI5" i="5"/>
  <c r="P5" i="5" s="1"/>
  <c r="AI19" i="5"/>
  <c r="P19" i="5" s="1"/>
  <c r="AI84" i="5"/>
  <c r="P84" i="5" s="1"/>
  <c r="AI68" i="5"/>
  <c r="P68" i="5" s="1"/>
  <c r="Y68" i="5" s="1"/>
  <c r="AI74" i="5"/>
  <c r="P74" i="5" s="1"/>
  <c r="AI71" i="5"/>
  <c r="P71" i="5" s="1"/>
  <c r="Y71" i="5" s="1"/>
  <c r="AI48" i="5"/>
  <c r="P48" i="5" s="1"/>
  <c r="Y48" i="5" s="1"/>
  <c r="AI72" i="5"/>
  <c r="P72" i="5" s="1"/>
  <c r="Y72" i="5" s="1"/>
  <c r="AI61" i="5"/>
  <c r="P61" i="5" s="1"/>
  <c r="Y61" i="5" s="1"/>
  <c r="AI69" i="5"/>
  <c r="P69" i="5" s="1"/>
  <c r="AI67" i="5"/>
  <c r="P67" i="5" s="1"/>
  <c r="Y67" i="5" s="1"/>
  <c r="AI36" i="5"/>
  <c r="P36" i="5" s="1"/>
  <c r="AI37" i="5"/>
  <c r="P37" i="5" s="1"/>
  <c r="Y37" i="5" s="1"/>
  <c r="AI91" i="5"/>
  <c r="P91" i="5" s="1"/>
  <c r="AI66" i="5"/>
  <c r="P66" i="5" s="1"/>
  <c r="Y66" i="5" s="1"/>
  <c r="AI54" i="5"/>
  <c r="P54" i="5" s="1"/>
  <c r="AI58" i="5"/>
  <c r="P58" i="5" s="1"/>
  <c r="Y58" i="5" s="1"/>
  <c r="AI10" i="5"/>
  <c r="P10" i="5" s="1"/>
  <c r="P10" i="6" s="1"/>
  <c r="AI52" i="5"/>
  <c r="P52" i="5" s="1"/>
  <c r="Y52" i="5" s="1"/>
  <c r="AI65" i="5"/>
  <c r="P65" i="5" s="1"/>
  <c r="Y65" i="5" s="1"/>
  <c r="AI55" i="5"/>
  <c r="P55" i="5" s="1"/>
  <c r="AI30" i="5"/>
  <c r="P30" i="5" s="1"/>
  <c r="AI53" i="5"/>
  <c r="P53" i="5" s="1"/>
  <c r="Y53" i="5" s="1"/>
  <c r="AI47" i="5"/>
  <c r="P47" i="5" s="1"/>
  <c r="AI50" i="5"/>
  <c r="P50" i="5" s="1"/>
  <c r="Y50" i="5" s="1"/>
  <c r="AI78" i="5"/>
  <c r="P78" i="5" s="1"/>
  <c r="AI81" i="5"/>
  <c r="P81" i="5" s="1"/>
  <c r="AI76" i="5"/>
  <c r="P76" i="5" s="1"/>
  <c r="AI87" i="5"/>
  <c r="P87" i="5" s="1"/>
  <c r="AI75" i="5"/>
  <c r="P75" i="5" s="1"/>
  <c r="AI80" i="5"/>
  <c r="P80" i="5" s="1"/>
  <c r="AI82" i="5"/>
  <c r="P82" i="5" s="1"/>
  <c r="AI86" i="5"/>
  <c r="P86" i="5" s="1"/>
  <c r="AI85" i="5"/>
  <c r="P85" i="5" s="1"/>
  <c r="Y85" i="5" s="1"/>
  <c r="AI88" i="5"/>
  <c r="P88" i="5" s="1"/>
  <c r="AI79" i="5"/>
  <c r="P79" i="5" s="1"/>
  <c r="Y79" i="5" s="1"/>
  <c r="AA42" i="3"/>
  <c r="AH42" i="3"/>
  <c r="AA38" i="4"/>
  <c r="AH38" i="4"/>
  <c r="AC92" i="4"/>
  <c r="F28" i="20"/>
  <c r="AA42" i="4"/>
  <c r="O27" i="4"/>
  <c r="Y27" i="4"/>
  <c r="AE64" i="4"/>
  <c r="AC55" i="4"/>
  <c r="H28" i="20"/>
  <c r="AD79" i="4"/>
  <c r="AA9" i="4"/>
  <c r="AA15" i="4"/>
  <c r="AB8" i="4"/>
  <c r="AC35" i="4"/>
  <c r="AD12" i="4"/>
  <c r="O66" i="4"/>
  <c r="Y66" i="4"/>
  <c r="AC5" i="4"/>
  <c r="AC56" i="4"/>
  <c r="K28" i="20"/>
  <c r="AG79" i="4"/>
  <c r="AE12" i="4"/>
  <c r="E28" i="20"/>
  <c r="AA79" i="4"/>
  <c r="AA46" i="4"/>
  <c r="AE40" i="4"/>
  <c r="AA93" i="4"/>
  <c r="AA43" i="4"/>
  <c r="AE30" i="4"/>
  <c r="AC74" i="4"/>
  <c r="AB54" i="4"/>
  <c r="AE37" i="4"/>
  <c r="AC47" i="4"/>
  <c r="AA7" i="4"/>
  <c r="AE6" i="4"/>
  <c r="AB88" i="4"/>
  <c r="S26" i="20" s="1"/>
  <c r="AG91" i="4"/>
  <c r="AA31" i="4"/>
  <c r="AB44" i="4"/>
  <c r="AG36" i="4"/>
  <c r="O60" i="4"/>
  <c r="AA60" i="4" s="1"/>
  <c r="AC53" i="4"/>
  <c r="AA4" i="4"/>
  <c r="AC34" i="4"/>
  <c r="AD10" i="4"/>
  <c r="AG28" i="4"/>
  <c r="C30" i="20"/>
  <c r="AE50" i="3"/>
  <c r="AA90" i="3"/>
  <c r="AE40" i="3"/>
  <c r="AE6" i="3"/>
  <c r="AA9" i="3"/>
  <c r="AB8" i="3"/>
  <c r="AC56" i="3"/>
  <c r="AC53" i="3"/>
  <c r="AG36" i="3"/>
  <c r="AG91" i="3"/>
  <c r="AA31" i="3"/>
  <c r="AB54" i="3"/>
  <c r="AE64" i="3"/>
  <c r="AE30" i="3"/>
  <c r="AC34" i="3"/>
  <c r="AE37" i="3"/>
  <c r="AB44" i="3"/>
  <c r="AA4" i="3"/>
  <c r="AA7" i="3"/>
  <c r="AA46" i="3"/>
  <c r="AD10" i="3"/>
  <c r="AA93" i="3"/>
  <c r="AC92" i="3"/>
  <c r="AD89" i="3"/>
  <c r="AG28" i="3"/>
  <c r="AA15" i="3"/>
  <c r="AC55" i="3"/>
  <c r="AA38" i="3"/>
  <c r="AA43" i="3"/>
  <c r="AC5" i="3"/>
  <c r="AC52" i="3"/>
  <c r="AC35" i="3"/>
  <c r="AC47" i="3"/>
  <c r="D28" i="20"/>
  <c r="C28" i="20"/>
  <c r="F24" i="20"/>
  <c r="O52" i="4"/>
  <c r="AB52" i="4" s="1"/>
  <c r="D29" i="20"/>
  <c r="O57" i="4"/>
  <c r="O77" i="4"/>
  <c r="L11" i="20"/>
  <c r="M31" i="20"/>
  <c r="O39" i="4"/>
  <c r="AC39" i="4" s="1"/>
  <c r="L31" i="20"/>
  <c r="M11" i="20"/>
  <c r="Q125" i="23"/>
  <c r="U130" i="23"/>
  <c r="X126" i="23"/>
  <c r="T127" i="23"/>
  <c r="P129" i="23"/>
  <c r="AZ129" i="23" s="1"/>
  <c r="W125" i="23"/>
  <c r="U126" i="23"/>
  <c r="Q127" i="23"/>
  <c r="Y134" i="23"/>
  <c r="T125" i="23"/>
  <c r="P130" i="23"/>
  <c r="AZ130" i="23" s="1"/>
  <c r="T135" i="23"/>
  <c r="S124" i="23"/>
  <c r="U125" i="23"/>
  <c r="Y130" i="23"/>
  <c r="Q124" i="23"/>
  <c r="U135" i="23"/>
  <c r="X127" i="23"/>
  <c r="T129" i="23"/>
  <c r="P126" i="23"/>
  <c r="AZ126" i="23" s="1"/>
  <c r="X129" i="23"/>
  <c r="V130" i="23"/>
  <c r="T134" i="23"/>
  <c r="Y127" i="23"/>
  <c r="U129" i="23"/>
  <c r="Q134" i="23"/>
  <c r="X130" i="23"/>
  <c r="V134" i="23"/>
  <c r="W135" i="23"/>
  <c r="V124" i="23"/>
  <c r="W127" i="23"/>
  <c r="Q130" i="23"/>
  <c r="W134" i="23"/>
  <c r="Y124" i="23"/>
  <c r="X124" i="23"/>
  <c r="Y135" i="23"/>
  <c r="V125" i="23"/>
  <c r="T126" i="23"/>
  <c r="P127" i="23"/>
  <c r="AZ127" i="23" s="1"/>
  <c r="X134" i="23"/>
  <c r="Y126" i="23"/>
  <c r="U127" i="23"/>
  <c r="Q129" i="23"/>
  <c r="R124" i="23"/>
  <c r="P124" i="23"/>
  <c r="AZ124" i="23" s="1"/>
  <c r="X135" i="23"/>
  <c r="W124" i="23"/>
  <c r="Q135" i="23"/>
  <c r="X125" i="23"/>
  <c r="V126" i="23"/>
  <c r="V127" i="23"/>
  <c r="V129" i="23"/>
  <c r="T130" i="23"/>
  <c r="Y125" i="23"/>
  <c r="V135" i="23"/>
  <c r="U124" i="23"/>
  <c r="Q126" i="23"/>
  <c r="P134" i="23"/>
  <c r="AZ134" i="23" s="1"/>
  <c r="Y129" i="23"/>
  <c r="W130" i="23"/>
  <c r="U134" i="23"/>
  <c r="P125" i="23"/>
  <c r="AZ125" i="23" s="1"/>
  <c r="Z124" i="23"/>
  <c r="W129" i="23"/>
  <c r="W126" i="23"/>
  <c r="P135" i="23"/>
  <c r="AZ135" i="23" s="1"/>
  <c r="T124" i="23"/>
  <c r="O87" i="4"/>
  <c r="AC87" i="4" s="1"/>
  <c r="O51" i="4"/>
  <c r="AB51" i="4" s="1"/>
  <c r="O89" i="4"/>
  <c r="AA89" i="4" s="1"/>
  <c r="O88" i="4"/>
  <c r="O90" i="4"/>
  <c r="AG90" i="4" s="1"/>
  <c r="M5" i="20"/>
  <c r="M9" i="20"/>
  <c r="L5" i="20"/>
  <c r="L9" i="20"/>
  <c r="O79" i="4"/>
  <c r="L19" i="20"/>
  <c r="M13" i="20"/>
  <c r="L17" i="20"/>
  <c r="M19" i="20"/>
  <c r="M15" i="20"/>
  <c r="M17" i="20"/>
  <c r="M16" i="20"/>
  <c r="L13" i="20"/>
  <c r="L15" i="20"/>
  <c r="L18" i="20"/>
  <c r="M14" i="20"/>
  <c r="L14" i="20"/>
  <c r="M18" i="20"/>
  <c r="L16" i="20"/>
  <c r="P97" i="5"/>
  <c r="P97" i="6" s="1"/>
  <c r="L8" i="20"/>
  <c r="O80" i="4"/>
  <c r="M7" i="20"/>
  <c r="L7" i="20"/>
  <c r="M10" i="20"/>
  <c r="M8" i="20"/>
  <c r="L10" i="20"/>
  <c r="O50" i="4"/>
  <c r="AB50" i="4" s="1"/>
  <c r="O74" i="4"/>
  <c r="O12" i="4"/>
  <c r="AH12" i="4" s="1"/>
  <c r="P99" i="5"/>
  <c r="P99" i="6" s="1"/>
  <c r="P92" i="5"/>
  <c r="P92" i="6" s="1"/>
  <c r="P100" i="5"/>
  <c r="P100" i="6" s="1"/>
  <c r="P96" i="5"/>
  <c r="P96" i="6" s="1"/>
  <c r="P94" i="5"/>
  <c r="P94" i="6" s="1"/>
  <c r="P95" i="5"/>
  <c r="P95" i="6" s="1"/>
  <c r="P98" i="5"/>
  <c r="P98" i="6" s="1"/>
  <c r="P90" i="5"/>
  <c r="P17" i="5"/>
  <c r="Y17" i="5" s="1"/>
  <c r="AC43" i="1"/>
  <c r="AC59" i="1"/>
  <c r="AC60" i="1"/>
  <c r="AC50" i="1"/>
  <c r="AC69" i="1"/>
  <c r="AD48" i="1"/>
  <c r="AD56" i="1"/>
  <c r="AD61" i="1"/>
  <c r="AC46" i="1"/>
  <c r="AD53" i="1"/>
  <c r="AK17" i="5" s="1"/>
  <c r="AD46" i="1"/>
  <c r="AD66" i="1"/>
  <c r="AD49" i="1"/>
  <c r="AK6" i="5" s="1"/>
  <c r="AC64" i="1"/>
  <c r="AD59" i="1"/>
  <c r="AD65" i="1"/>
  <c r="AD67" i="1"/>
  <c r="AD55" i="1"/>
  <c r="AK29" i="5" s="1"/>
  <c r="AC63" i="1"/>
  <c r="AC71" i="1"/>
  <c r="AC70" i="1"/>
  <c r="AC62" i="1"/>
  <c r="AC61" i="1"/>
  <c r="AD44" i="1"/>
  <c r="AC65" i="1"/>
  <c r="AC55" i="1"/>
  <c r="AJ29" i="5" s="1"/>
  <c r="AC54" i="1"/>
  <c r="AC66" i="1"/>
  <c r="AC68" i="1"/>
  <c r="AC52" i="1"/>
  <c r="AC45" i="1"/>
  <c r="AC53" i="1"/>
  <c r="AJ17" i="5" s="1"/>
  <c r="AC72" i="1"/>
  <c r="P4" i="5"/>
  <c r="P29" i="5"/>
  <c r="AC57" i="1"/>
  <c r="AC48" i="1"/>
  <c r="AC47" i="1"/>
  <c r="AC51" i="1"/>
  <c r="AC58" i="1"/>
  <c r="AC67" i="1"/>
  <c r="AC44" i="1"/>
  <c r="AC56" i="1"/>
  <c r="P6" i="5"/>
  <c r="P7" i="5"/>
  <c r="AC49" i="1"/>
  <c r="AJ6" i="5" s="1"/>
  <c r="AC73" i="1"/>
  <c r="AD52" i="1"/>
  <c r="AD50" i="1"/>
  <c r="AD57" i="1"/>
  <c r="AD54" i="1"/>
  <c r="AD73" i="1"/>
  <c r="AD70" i="1"/>
  <c r="AD62" i="1"/>
  <c r="AD64" i="1"/>
  <c r="AD71" i="1"/>
  <c r="AD58" i="1"/>
  <c r="AD51" i="1"/>
  <c r="AD69" i="1"/>
  <c r="AD72" i="1"/>
  <c r="AD63" i="1"/>
  <c r="AD43" i="1"/>
  <c r="AD47" i="1"/>
  <c r="AD68" i="1"/>
  <c r="AD60" i="1"/>
  <c r="AD45" i="1"/>
  <c r="AB42" i="1" a="1"/>
  <c r="H6" i="13" a="1"/>
  <c r="E5" i="11" a="1"/>
  <c r="F6" i="12" a="1"/>
  <c r="AK9" i="5" l="1"/>
  <c r="R9" i="5" s="1"/>
  <c r="AK7" i="5"/>
  <c r="AK90" i="5"/>
  <c r="R90" i="5" s="1"/>
  <c r="AJ90" i="5"/>
  <c r="AJ9" i="5"/>
  <c r="AJ7" i="5"/>
  <c r="Q7" i="5" s="1"/>
  <c r="Q7" i="6" s="1"/>
  <c r="AK92" i="5"/>
  <c r="R92" i="5" s="1"/>
  <c r="R92" i="6" s="1"/>
  <c r="AJ92" i="5"/>
  <c r="Q92" i="5" s="1"/>
  <c r="Q92" i="6" s="1"/>
  <c r="AH66" i="4"/>
  <c r="AA66" i="4"/>
  <c r="AA35" i="4"/>
  <c r="AJ15" i="5"/>
  <c r="Q15" i="5" s="1"/>
  <c r="AJ16" i="5"/>
  <c r="Q16" i="5" s="1"/>
  <c r="AK56" i="5"/>
  <c r="R56" i="5" s="1"/>
  <c r="AK15" i="5"/>
  <c r="R15" i="5" s="1"/>
  <c r="AK16" i="5"/>
  <c r="R16" i="5" s="1"/>
  <c r="AA12" i="4"/>
  <c r="Z90" i="4"/>
  <c r="AE90" i="4"/>
  <c r="AC12" i="4"/>
  <c r="X6" i="20"/>
  <c r="AH57" i="4"/>
  <c r="AE57" i="4"/>
  <c r="L26" i="20"/>
  <c r="AG27" i="4"/>
  <c r="AA27" i="4"/>
  <c r="P28" i="6"/>
  <c r="Y28" i="6" s="1"/>
  <c r="Y28" i="5"/>
  <c r="AE36" i="4"/>
  <c r="AC36" i="4"/>
  <c r="AB39" i="4"/>
  <c r="U6" i="20"/>
  <c r="AH35" i="4"/>
  <c r="Z87" i="4"/>
  <c r="P34" i="6"/>
  <c r="Y34" i="6" s="1"/>
  <c r="Y34" i="5"/>
  <c r="R6" i="20"/>
  <c r="P35" i="6"/>
  <c r="Y35" i="6" s="1"/>
  <c r="Y35" i="5"/>
  <c r="C46" i="20"/>
  <c r="T6" i="20"/>
  <c r="AH88" i="4"/>
  <c r="Z88" i="4"/>
  <c r="AJ34" i="5"/>
  <c r="Q34" i="5" s="1"/>
  <c r="Z34" i="5" s="1"/>
  <c r="AJ46" i="5"/>
  <c r="Q46" i="5" s="1"/>
  <c r="Z46" i="5" s="1"/>
  <c r="AJ43" i="5"/>
  <c r="Q43" i="5" s="1"/>
  <c r="Z43" i="5" s="1"/>
  <c r="AK46" i="5"/>
  <c r="R46" i="5" s="1"/>
  <c r="AK43" i="5"/>
  <c r="R43" i="5" s="1"/>
  <c r="AK34" i="5"/>
  <c r="R34" i="5" s="1"/>
  <c r="AJ31" i="5"/>
  <c r="Q31" i="5" s="1"/>
  <c r="AJ38" i="5"/>
  <c r="Q38" i="5" s="1"/>
  <c r="AK38" i="5"/>
  <c r="R38" i="5" s="1"/>
  <c r="AK31" i="5"/>
  <c r="R31" i="5" s="1"/>
  <c r="R31" i="6" s="1"/>
  <c r="AJ56" i="5"/>
  <c r="Q56" i="5" s="1"/>
  <c r="Z56" i="5" s="1"/>
  <c r="Q23" i="7"/>
  <c r="Q22" i="7"/>
  <c r="Q7" i="7"/>
  <c r="Q10" i="7"/>
  <c r="Q13" i="7"/>
  <c r="Q15" i="7"/>
  <c r="Q25" i="7"/>
  <c r="Q20" i="7"/>
  <c r="Q18" i="7"/>
  <c r="Q17" i="7"/>
  <c r="Q5" i="7"/>
  <c r="Q16" i="7"/>
  <c r="Q27" i="7"/>
  <c r="Q24" i="7"/>
  <c r="Q8" i="7"/>
  <c r="Q12" i="7"/>
  <c r="Q9" i="7"/>
  <c r="Q4" i="7"/>
  <c r="Q21" i="7"/>
  <c r="Q26" i="7"/>
  <c r="Q6" i="7"/>
  <c r="Q11" i="7"/>
  <c r="Q14" i="7"/>
  <c r="Q19" i="7"/>
  <c r="Q6" i="20"/>
  <c r="AG89" i="4"/>
  <c r="Z89" i="4"/>
  <c r="AC88" i="4"/>
  <c r="P44" i="6"/>
  <c r="Y44" i="6" s="1"/>
  <c r="Y44" i="5"/>
  <c r="AD87" i="4"/>
  <c r="AG87" i="4"/>
  <c r="AH60" i="4"/>
  <c r="AE60" i="4"/>
  <c r="AH16" i="4"/>
  <c r="AA16" i="4"/>
  <c r="AG88" i="4"/>
  <c r="AH51" i="4"/>
  <c r="AC51" i="4"/>
  <c r="AA88" i="4"/>
  <c r="AH90" i="4"/>
  <c r="AC90" i="4"/>
  <c r="P47" i="6"/>
  <c r="Y47" i="6" s="1"/>
  <c r="Y47" i="5"/>
  <c r="P31" i="6"/>
  <c r="Y31" i="6" s="1"/>
  <c r="Y31" i="5"/>
  <c r="AH36" i="4"/>
  <c r="AA36" i="4"/>
  <c r="P54" i="6"/>
  <c r="Y54" i="6" s="1"/>
  <c r="Y54" i="5"/>
  <c r="AH89" i="4"/>
  <c r="AC89" i="4"/>
  <c r="T26" i="20" s="1"/>
  <c r="P36" i="6"/>
  <c r="Y36" i="6" s="1"/>
  <c r="Y36" i="5"/>
  <c r="P29" i="6"/>
  <c r="Y29" i="6" s="1"/>
  <c r="Y29" i="5"/>
  <c r="AH50" i="4"/>
  <c r="AC50" i="4"/>
  <c r="AH87" i="4"/>
  <c r="AA87" i="4"/>
  <c r="AH39" i="4"/>
  <c r="AA39" i="4"/>
  <c r="AH27" i="4"/>
  <c r="AE27" i="4"/>
  <c r="P30" i="6"/>
  <c r="Y30" i="6" s="1"/>
  <c r="Y30" i="5"/>
  <c r="P55" i="6"/>
  <c r="Y55" i="6" s="1"/>
  <c r="Y55" i="5"/>
  <c r="P16" i="6"/>
  <c r="Y16" i="6" s="1"/>
  <c r="Y16" i="5"/>
  <c r="X23" i="7"/>
  <c r="X24" i="7"/>
  <c r="X22" i="7"/>
  <c r="X20" i="7"/>
  <c r="X26" i="7"/>
  <c r="X21" i="7"/>
  <c r="X27" i="7"/>
  <c r="X25" i="7"/>
  <c r="U22" i="7"/>
  <c r="U21" i="7"/>
  <c r="U23" i="7"/>
  <c r="U25" i="7"/>
  <c r="U27" i="7"/>
  <c r="U26" i="7"/>
  <c r="U24" i="7"/>
  <c r="U20" i="7"/>
  <c r="V22" i="7"/>
  <c r="V24" i="7"/>
  <c r="V27" i="7"/>
  <c r="V20" i="7"/>
  <c r="V23" i="7"/>
  <c r="V21" i="7"/>
  <c r="V26" i="7"/>
  <c r="V25" i="7"/>
  <c r="X8" i="7"/>
  <c r="X13" i="7"/>
  <c r="X6" i="7"/>
  <c r="X10" i="7"/>
  <c r="X17" i="7"/>
  <c r="X9" i="7"/>
  <c r="X14" i="7"/>
  <c r="X4" i="7"/>
  <c r="X16" i="7"/>
  <c r="X11" i="7"/>
  <c r="X12" i="7"/>
  <c r="X15" i="7"/>
  <c r="X18" i="7"/>
  <c r="X5" i="7"/>
  <c r="X7" i="7"/>
  <c r="X19" i="7"/>
  <c r="U5" i="7"/>
  <c r="U12" i="7"/>
  <c r="U13" i="7"/>
  <c r="U9" i="7"/>
  <c r="U10" i="7"/>
  <c r="U18" i="7"/>
  <c r="U4" i="7"/>
  <c r="U14" i="7"/>
  <c r="U17" i="7"/>
  <c r="U11" i="7"/>
  <c r="U15" i="7"/>
  <c r="U6" i="7"/>
  <c r="U7" i="7"/>
  <c r="U8" i="7"/>
  <c r="U16" i="7"/>
  <c r="U19" i="7"/>
  <c r="V5" i="7"/>
  <c r="V4" i="7"/>
  <c r="V15" i="7"/>
  <c r="V12" i="7"/>
  <c r="V13" i="7"/>
  <c r="V6" i="7"/>
  <c r="V9" i="7"/>
  <c r="V17" i="7"/>
  <c r="V19" i="7"/>
  <c r="V16" i="7"/>
  <c r="V14" i="7"/>
  <c r="V8" i="7"/>
  <c r="V18" i="7"/>
  <c r="V10" i="7"/>
  <c r="V11" i="7"/>
  <c r="V7" i="7"/>
  <c r="AK37" i="5"/>
  <c r="R37" i="5" s="1"/>
  <c r="AK91" i="5"/>
  <c r="R91" i="5" s="1"/>
  <c r="R91" i="6" s="1"/>
  <c r="AK36" i="5"/>
  <c r="R36" i="5" s="1"/>
  <c r="AJ66" i="5"/>
  <c r="Q66" i="5" s="1"/>
  <c r="Z66" i="5" s="1"/>
  <c r="AJ58" i="5"/>
  <c r="Q58" i="5" s="1"/>
  <c r="Z58" i="5" s="1"/>
  <c r="AJ54" i="5"/>
  <c r="Q54" i="5" s="1"/>
  <c r="Z54" i="5" s="1"/>
  <c r="AJ18" i="5"/>
  <c r="Q18" i="5" s="1"/>
  <c r="AJ35" i="5"/>
  <c r="Q35" i="5" s="1"/>
  <c r="AJ45" i="5"/>
  <c r="Q45" i="5" s="1"/>
  <c r="Z45" i="5" s="1"/>
  <c r="AJ57" i="5"/>
  <c r="Q57" i="5" s="1"/>
  <c r="Z57" i="5" s="1"/>
  <c r="AJ73" i="5"/>
  <c r="Q73" i="5" s="1"/>
  <c r="AJ63" i="5"/>
  <c r="Q63" i="5" s="1"/>
  <c r="Z63" i="5" s="1"/>
  <c r="AJ42" i="5"/>
  <c r="Q42" i="5" s="1"/>
  <c r="AJ44" i="5"/>
  <c r="Q44" i="5" s="1"/>
  <c r="Z44" i="5" s="1"/>
  <c r="AJ93" i="5"/>
  <c r="Q93" i="5" s="1"/>
  <c r="Q93" i="6" s="1"/>
  <c r="AJ59" i="5"/>
  <c r="Q59" i="5" s="1"/>
  <c r="Z59" i="5" s="1"/>
  <c r="AJ64" i="5"/>
  <c r="Q64" i="5" s="1"/>
  <c r="Z64" i="5" s="1"/>
  <c r="AJ12" i="5"/>
  <c r="Q12" i="5" s="1"/>
  <c r="Z12" i="5" s="1"/>
  <c r="AJ62" i="5"/>
  <c r="Q62" i="5" s="1"/>
  <c r="AJ60" i="5"/>
  <c r="Q60" i="5" s="1"/>
  <c r="Z60" i="5" s="1"/>
  <c r="AK73" i="5"/>
  <c r="R73" i="5" s="1"/>
  <c r="AK60" i="5"/>
  <c r="R60" i="5" s="1"/>
  <c r="AK18" i="5"/>
  <c r="R18" i="5" s="1"/>
  <c r="AK93" i="5"/>
  <c r="R93" i="5" s="1"/>
  <c r="R93" i="6" s="1"/>
  <c r="AK64" i="5"/>
  <c r="R64" i="5" s="1"/>
  <c r="AA64" i="5" s="1"/>
  <c r="AK12" i="5"/>
  <c r="R12" i="5" s="1"/>
  <c r="AK42" i="5"/>
  <c r="R42" i="5" s="1"/>
  <c r="R42" i="6" s="1"/>
  <c r="AK63" i="5"/>
  <c r="R63" i="5" s="1"/>
  <c r="AK62" i="5"/>
  <c r="R62" i="5" s="1"/>
  <c r="AK45" i="5"/>
  <c r="R45" i="5" s="1"/>
  <c r="AA45" i="5" s="1"/>
  <c r="AK59" i="5"/>
  <c r="R59" i="5" s="1"/>
  <c r="AK35" i="5"/>
  <c r="R35" i="5" s="1"/>
  <c r="R35" i="6" s="1"/>
  <c r="AK44" i="5"/>
  <c r="R44" i="5" s="1"/>
  <c r="AK57" i="5"/>
  <c r="R57" i="5" s="1"/>
  <c r="AA57" i="5" s="1"/>
  <c r="AK28" i="5"/>
  <c r="R28" i="5" s="1"/>
  <c r="R28" i="6" s="1"/>
  <c r="AK5" i="5"/>
  <c r="R5" i="5" s="1"/>
  <c r="AK11" i="5"/>
  <c r="R11" i="5" s="1"/>
  <c r="AK27" i="5"/>
  <c r="R27" i="5" s="1"/>
  <c r="AK23" i="5"/>
  <c r="R23" i="5" s="1"/>
  <c r="AK40" i="5"/>
  <c r="R40" i="5" s="1"/>
  <c r="AK22" i="5"/>
  <c r="R22" i="5" s="1"/>
  <c r="AK13" i="5"/>
  <c r="R13" i="5" s="1"/>
  <c r="AK70" i="5"/>
  <c r="R70" i="5" s="1"/>
  <c r="AA70" i="5" s="1"/>
  <c r="AK33" i="5"/>
  <c r="R33" i="5" s="1"/>
  <c r="AK32" i="5"/>
  <c r="R32" i="5" s="1"/>
  <c r="AK25" i="5"/>
  <c r="R25" i="5" s="1"/>
  <c r="AA25" i="5" s="1"/>
  <c r="AK20" i="5"/>
  <c r="R20" i="5" s="1"/>
  <c r="AA20" i="5" s="1"/>
  <c r="AK49" i="5"/>
  <c r="R49" i="5" s="1"/>
  <c r="AA49" i="5" s="1"/>
  <c r="AK8" i="5"/>
  <c r="R8" i="5" s="1"/>
  <c r="AK21" i="5"/>
  <c r="R21" i="5" s="1"/>
  <c r="AA21" i="5" s="1"/>
  <c r="AK24" i="5"/>
  <c r="R24" i="5" s="1"/>
  <c r="AK41" i="5"/>
  <c r="AK26" i="5"/>
  <c r="R26" i="5" s="1"/>
  <c r="AA26" i="5" s="1"/>
  <c r="AK39" i="5"/>
  <c r="R39" i="5" s="1"/>
  <c r="AK89" i="5"/>
  <c r="R89" i="5" s="1"/>
  <c r="AK19" i="5"/>
  <c r="R19" i="5" s="1"/>
  <c r="AK74" i="5"/>
  <c r="R74" i="5" s="1"/>
  <c r="AK48" i="5"/>
  <c r="R48" i="5" s="1"/>
  <c r="AA48" i="5" s="1"/>
  <c r="AK69" i="5"/>
  <c r="R69" i="5" s="1"/>
  <c r="AK67" i="5"/>
  <c r="R67" i="5" s="1"/>
  <c r="AK72" i="5"/>
  <c r="R72" i="5" s="1"/>
  <c r="AK68" i="5"/>
  <c r="R68" i="5" s="1"/>
  <c r="AA68" i="5" s="1"/>
  <c r="AK71" i="5"/>
  <c r="R71" i="5" s="1"/>
  <c r="AA71" i="5" s="1"/>
  <c r="AK84" i="5"/>
  <c r="R84" i="5" s="1"/>
  <c r="AK61" i="5"/>
  <c r="R61" i="5" s="1"/>
  <c r="AA61" i="5" s="1"/>
  <c r="AJ82" i="5"/>
  <c r="Q82" i="5" s="1"/>
  <c r="AJ85" i="5"/>
  <c r="Q85" i="5" s="1"/>
  <c r="Z85" i="5" s="1"/>
  <c r="AJ78" i="5"/>
  <c r="Q78" i="5" s="1"/>
  <c r="AJ81" i="5"/>
  <c r="Q81" i="5" s="1"/>
  <c r="Z81" i="5" s="1"/>
  <c r="AJ87" i="5"/>
  <c r="Q87" i="5" s="1"/>
  <c r="AJ75" i="5"/>
  <c r="Q75" i="5" s="1"/>
  <c r="AJ88" i="5"/>
  <c r="Q88" i="5" s="1"/>
  <c r="AJ76" i="5"/>
  <c r="Q76" i="5" s="1"/>
  <c r="Z76" i="5" s="1"/>
  <c r="AJ86" i="5"/>
  <c r="Q86" i="5" s="1"/>
  <c r="AJ80" i="5"/>
  <c r="Q80" i="5" s="1"/>
  <c r="AJ79" i="5"/>
  <c r="Q79" i="5" s="1"/>
  <c r="AJ27" i="5"/>
  <c r="Q27" i="5" s="1"/>
  <c r="Z27" i="5" s="1"/>
  <c r="AJ11" i="5"/>
  <c r="Q11" i="5" s="1"/>
  <c r="Z11" i="5" s="1"/>
  <c r="AJ40" i="5"/>
  <c r="Q40" i="5" s="1"/>
  <c r="AJ8" i="5"/>
  <c r="Q8" i="5" s="1"/>
  <c r="AJ26" i="5"/>
  <c r="Q26" i="5" s="1"/>
  <c r="AJ23" i="5"/>
  <c r="Q23" i="5" s="1"/>
  <c r="AJ49" i="5"/>
  <c r="Q49" i="5" s="1"/>
  <c r="AJ21" i="5"/>
  <c r="Q21" i="5" s="1"/>
  <c r="Z21" i="5" s="1"/>
  <c r="AJ25" i="5"/>
  <c r="Q25" i="5" s="1"/>
  <c r="AJ89" i="5"/>
  <c r="Q89" i="5" s="1"/>
  <c r="AJ39" i="5"/>
  <c r="Q39" i="5" s="1"/>
  <c r="AJ13" i="5"/>
  <c r="Q13" i="5" s="1"/>
  <c r="Z13" i="5" s="1"/>
  <c r="AJ22" i="5"/>
  <c r="Q22" i="5" s="1"/>
  <c r="AJ24" i="5"/>
  <c r="Q24" i="5" s="1"/>
  <c r="AJ33" i="5"/>
  <c r="Q33" i="5" s="1"/>
  <c r="AJ20" i="5"/>
  <c r="Q20" i="5" s="1"/>
  <c r="Z20" i="5" s="1"/>
  <c r="AJ70" i="5"/>
  <c r="Q70" i="5" s="1"/>
  <c r="Z70" i="5" s="1"/>
  <c r="AJ41" i="5"/>
  <c r="AJ32" i="5"/>
  <c r="Q32" i="5" s="1"/>
  <c r="AK10" i="5"/>
  <c r="R10" i="5" s="1"/>
  <c r="R10" i="6" s="1"/>
  <c r="AK52" i="5"/>
  <c r="R52" i="5" s="1"/>
  <c r="AA52" i="5" s="1"/>
  <c r="AK47" i="5"/>
  <c r="R47" i="5" s="1"/>
  <c r="AA47" i="5" s="1"/>
  <c r="AK55" i="5"/>
  <c r="R55" i="5" s="1"/>
  <c r="AK65" i="5"/>
  <c r="R65" i="5" s="1"/>
  <c r="AK50" i="5"/>
  <c r="R50" i="5" s="1"/>
  <c r="AA50" i="5" s="1"/>
  <c r="AK30" i="5"/>
  <c r="R30" i="5" s="1"/>
  <c r="AK53" i="5"/>
  <c r="R53" i="5" s="1"/>
  <c r="AJ51" i="5"/>
  <c r="Q51" i="5" s="1"/>
  <c r="Z51" i="5" s="1"/>
  <c r="AJ83" i="5"/>
  <c r="Q83" i="5" s="1"/>
  <c r="Z83" i="5" s="1"/>
  <c r="AJ77" i="5"/>
  <c r="Q77" i="5" s="1"/>
  <c r="Z77" i="5" s="1"/>
  <c r="AJ14" i="5"/>
  <c r="Q14" i="5" s="1"/>
  <c r="AJ55" i="5"/>
  <c r="Q55" i="5" s="1"/>
  <c r="Z55" i="5" s="1"/>
  <c r="AJ65" i="5"/>
  <c r="Q65" i="5" s="1"/>
  <c r="Z65" i="5" s="1"/>
  <c r="AJ53" i="5"/>
  <c r="Q53" i="5" s="1"/>
  <c r="Z53" i="5" s="1"/>
  <c r="AJ52" i="5"/>
  <c r="Q52" i="5" s="1"/>
  <c r="Z52" i="5" s="1"/>
  <c r="AJ50" i="5"/>
  <c r="Q50" i="5" s="1"/>
  <c r="AJ10" i="5"/>
  <c r="Q10" i="5" s="1"/>
  <c r="Q10" i="6" s="1"/>
  <c r="AJ47" i="5"/>
  <c r="Q47" i="5" s="1"/>
  <c r="Z47" i="5" s="1"/>
  <c r="AJ30" i="5"/>
  <c r="Q30" i="5" s="1"/>
  <c r="AK85" i="5"/>
  <c r="R85" i="5" s="1"/>
  <c r="AK86" i="5"/>
  <c r="R86" i="5" s="1"/>
  <c r="AK88" i="5"/>
  <c r="R88" i="5" s="1"/>
  <c r="AK79" i="5"/>
  <c r="R79" i="5" s="1"/>
  <c r="AA79" i="5" s="1"/>
  <c r="AK87" i="5"/>
  <c r="R87" i="5" s="1"/>
  <c r="AK82" i="5"/>
  <c r="R82" i="5" s="1"/>
  <c r="AK81" i="5"/>
  <c r="R81" i="5" s="1"/>
  <c r="AK76" i="5"/>
  <c r="R76" i="5" s="1"/>
  <c r="AK75" i="5"/>
  <c r="R75" i="5" s="1"/>
  <c r="AK78" i="5"/>
  <c r="R78" i="5" s="1"/>
  <c r="AK80" i="5"/>
  <c r="R80" i="5" s="1"/>
  <c r="AK58" i="5"/>
  <c r="R58" i="5" s="1"/>
  <c r="AA58" i="5" s="1"/>
  <c r="AK66" i="5"/>
  <c r="R66" i="5" s="1"/>
  <c r="AK54" i="5"/>
  <c r="R54" i="5" s="1"/>
  <c r="AK14" i="5"/>
  <c r="R14" i="5" s="1"/>
  <c r="AK77" i="5"/>
  <c r="R77" i="5" s="1"/>
  <c r="AK51" i="5"/>
  <c r="R51" i="5" s="1"/>
  <c r="AA51" i="5" s="1"/>
  <c r="AK83" i="5"/>
  <c r="R83" i="5" s="1"/>
  <c r="AJ19" i="5"/>
  <c r="Q19" i="5" s="1"/>
  <c r="AJ61" i="5"/>
  <c r="Q61" i="5" s="1"/>
  <c r="AJ84" i="5"/>
  <c r="Q84" i="5" s="1"/>
  <c r="AJ72" i="5"/>
  <c r="Q72" i="5" s="1"/>
  <c r="Z72" i="5" s="1"/>
  <c r="AJ68" i="5"/>
  <c r="Q68" i="5" s="1"/>
  <c r="Z68" i="5" s="1"/>
  <c r="AJ69" i="5"/>
  <c r="Q69" i="5" s="1"/>
  <c r="Z69" i="5" s="1"/>
  <c r="AJ74" i="5"/>
  <c r="Q74" i="5" s="1"/>
  <c r="AJ67" i="5"/>
  <c r="Q67" i="5" s="1"/>
  <c r="Z67" i="5" s="1"/>
  <c r="AJ48" i="5"/>
  <c r="Q48" i="5" s="1"/>
  <c r="Z48" i="5" s="1"/>
  <c r="AJ71" i="5"/>
  <c r="Q71" i="5" s="1"/>
  <c r="Z71" i="5" s="1"/>
  <c r="AJ37" i="5"/>
  <c r="Q37" i="5" s="1"/>
  <c r="AJ36" i="5"/>
  <c r="Q36" i="5" s="1"/>
  <c r="Z36" i="5" s="1"/>
  <c r="AJ91" i="5"/>
  <c r="Q91" i="5" s="1"/>
  <c r="AJ5" i="5"/>
  <c r="Q5" i="5" s="1"/>
  <c r="AJ28" i="5"/>
  <c r="Q28" i="5" s="1"/>
  <c r="AC52" i="4"/>
  <c r="AH52" i="4"/>
  <c r="P78" i="6"/>
  <c r="Y78" i="6" s="1"/>
  <c r="Y78" i="5"/>
  <c r="P73" i="6"/>
  <c r="Y73" i="6" s="1"/>
  <c r="Y73" i="5"/>
  <c r="P32" i="6"/>
  <c r="Y32" i="6" s="1"/>
  <c r="Y32" i="5"/>
  <c r="P21" i="6"/>
  <c r="Y21" i="6" s="1"/>
  <c r="Y21" i="5"/>
  <c r="C51" i="20"/>
  <c r="Y20" i="5"/>
  <c r="P18" i="6"/>
  <c r="Y18" i="6" s="1"/>
  <c r="Y18" i="5"/>
  <c r="P70" i="6"/>
  <c r="Y70" i="6" s="1"/>
  <c r="Y70" i="5"/>
  <c r="P88" i="6"/>
  <c r="Y88" i="6" s="1"/>
  <c r="Y88" i="5"/>
  <c r="P33" i="6"/>
  <c r="Y33" i="6" s="1"/>
  <c r="Y33" i="5"/>
  <c r="P75" i="6"/>
  <c r="Y75" i="6" s="1"/>
  <c r="Y75" i="5"/>
  <c r="P62" i="6"/>
  <c r="Y62" i="6" s="1"/>
  <c r="Y62" i="5"/>
  <c r="P84" i="6"/>
  <c r="Y84" i="6" s="1"/>
  <c r="Y84" i="5"/>
  <c r="P26" i="6"/>
  <c r="Y26" i="6" s="1"/>
  <c r="Y26" i="5"/>
  <c r="P86" i="6"/>
  <c r="Y86" i="6" s="1"/>
  <c r="Y86" i="5"/>
  <c r="P69" i="6"/>
  <c r="Y69" i="6" s="1"/>
  <c r="Y69" i="5"/>
  <c r="P39" i="6"/>
  <c r="Y39" i="6" s="1"/>
  <c r="Y39" i="5"/>
  <c r="P87" i="6"/>
  <c r="Y87" i="6" s="1"/>
  <c r="Y87" i="5"/>
  <c r="P80" i="6"/>
  <c r="Y80" i="6" s="1"/>
  <c r="Y80" i="5"/>
  <c r="P81" i="6"/>
  <c r="Y81" i="6" s="1"/>
  <c r="Y81" i="5"/>
  <c r="C49" i="20"/>
  <c r="P12" i="6"/>
  <c r="Y12" i="6" s="1"/>
  <c r="Y12" i="5"/>
  <c r="P74" i="6"/>
  <c r="Y74" i="6" s="1"/>
  <c r="Y74" i="5"/>
  <c r="P19" i="6"/>
  <c r="Y19" i="6" s="1"/>
  <c r="Y19" i="5"/>
  <c r="P14" i="6"/>
  <c r="Y14" i="6" s="1"/>
  <c r="Y14" i="5"/>
  <c r="P82" i="6"/>
  <c r="Y82" i="6" s="1"/>
  <c r="Y82" i="5"/>
  <c r="P23" i="6"/>
  <c r="Y23" i="6" s="1"/>
  <c r="Y23" i="5"/>
  <c r="P24" i="6"/>
  <c r="Y24" i="6" s="1"/>
  <c r="Y24" i="5"/>
  <c r="P60" i="6"/>
  <c r="Y60" i="6" s="1"/>
  <c r="Y60" i="5"/>
  <c r="P77" i="6"/>
  <c r="Y77" i="6" s="1"/>
  <c r="Y77" i="5"/>
  <c r="P63" i="6"/>
  <c r="Y63" i="6" s="1"/>
  <c r="Y63" i="5"/>
  <c r="P59" i="6"/>
  <c r="Y59" i="6" s="1"/>
  <c r="Y59" i="5"/>
  <c r="P76" i="6"/>
  <c r="Y76" i="6" s="1"/>
  <c r="Y76" i="5"/>
  <c r="AD89" i="4"/>
  <c r="AA90" i="4"/>
  <c r="AE50" i="4"/>
  <c r="C48" i="20"/>
  <c r="C50" i="20"/>
  <c r="P5" i="6"/>
  <c r="C44" i="20"/>
  <c r="AX124" i="23"/>
  <c r="AY124" i="23"/>
  <c r="M26" i="20"/>
  <c r="L30" i="20"/>
  <c r="Q97" i="5"/>
  <c r="Q97" i="6" s="1"/>
  <c r="M30" i="20"/>
  <c r="L38" i="20"/>
  <c r="L39" i="20"/>
  <c r="L34" i="20"/>
  <c r="M39" i="20"/>
  <c r="M34" i="20"/>
  <c r="M29" i="20"/>
  <c r="M38" i="20"/>
  <c r="M33" i="20"/>
  <c r="L37" i="20"/>
  <c r="L35" i="20"/>
  <c r="L29" i="20"/>
  <c r="L33" i="20"/>
  <c r="M36" i="20"/>
  <c r="M35" i="20"/>
  <c r="L36" i="20"/>
  <c r="Q98" i="5"/>
  <c r="Q98" i="6" s="1"/>
  <c r="R97" i="5"/>
  <c r="R97" i="6" s="1"/>
  <c r="M37" i="20"/>
  <c r="M28" i="20"/>
  <c r="L28" i="20"/>
  <c r="R100" i="5"/>
  <c r="R100" i="6" s="1"/>
  <c r="R95" i="5"/>
  <c r="R95" i="6" s="1"/>
  <c r="R96" i="5"/>
  <c r="R96" i="6" s="1"/>
  <c r="R94" i="5"/>
  <c r="R94" i="6" s="1"/>
  <c r="R99" i="5"/>
  <c r="R99" i="6" s="1"/>
  <c r="Q99" i="5"/>
  <c r="Q99" i="6" s="1"/>
  <c r="Q100" i="5"/>
  <c r="Q96" i="5"/>
  <c r="Q96" i="6" s="1"/>
  <c r="Q94" i="5"/>
  <c r="Q94" i="6" s="1"/>
  <c r="Q95" i="5"/>
  <c r="Q95" i="6" s="1"/>
  <c r="R98" i="5"/>
  <c r="R98" i="6" s="1"/>
  <c r="P38" i="6"/>
  <c r="P45" i="6"/>
  <c r="Y45" i="6" s="1"/>
  <c r="P91" i="6"/>
  <c r="P89" i="6"/>
  <c r="Q90" i="5"/>
  <c r="Q90" i="6" s="1"/>
  <c r="P90" i="6"/>
  <c r="P57" i="6"/>
  <c r="Y57" i="6" s="1"/>
  <c r="P71" i="6"/>
  <c r="Y71" i="6" s="1"/>
  <c r="P17" i="6"/>
  <c r="Y17" i="6" s="1"/>
  <c r="P67" i="6"/>
  <c r="Y67" i="6" s="1"/>
  <c r="P48" i="6"/>
  <c r="Y48" i="6" s="1"/>
  <c r="R4" i="5"/>
  <c r="Q29" i="5"/>
  <c r="P13" i="6"/>
  <c r="Y13" i="6" s="1"/>
  <c r="P64" i="6"/>
  <c r="Y64" i="6" s="1"/>
  <c r="P58" i="6"/>
  <c r="Y58" i="6" s="1"/>
  <c r="Q4" i="5"/>
  <c r="R29" i="5"/>
  <c r="P56" i="6"/>
  <c r="Y56" i="6" s="1"/>
  <c r="P72" i="6"/>
  <c r="Y72" i="6" s="1"/>
  <c r="P53" i="6"/>
  <c r="Y53" i="6" s="1"/>
  <c r="P68" i="6"/>
  <c r="Y68" i="6" s="1"/>
  <c r="Q9" i="5"/>
  <c r="P46" i="6"/>
  <c r="Y46" i="6" s="1"/>
  <c r="P43" i="6"/>
  <c r="Y43" i="6" s="1"/>
  <c r="P52" i="6"/>
  <c r="Y52" i="6" s="1"/>
  <c r="Q6" i="5"/>
  <c r="P8" i="6"/>
  <c r="P37" i="6"/>
  <c r="Y37" i="6" s="1"/>
  <c r="P9" i="6"/>
  <c r="P85" i="6"/>
  <c r="Y85" i="6" s="1"/>
  <c r="P7" i="6"/>
  <c r="P66" i="6"/>
  <c r="Y66" i="6" s="1"/>
  <c r="P15" i="6"/>
  <c r="Y15" i="6" s="1"/>
  <c r="P11" i="6"/>
  <c r="Y11" i="6" s="1"/>
  <c r="P83" i="6"/>
  <c r="Y83" i="6" s="1"/>
  <c r="P42" i="6"/>
  <c r="Y42" i="6" s="1"/>
  <c r="P61" i="6"/>
  <c r="Y61" i="6" s="1"/>
  <c r="P49" i="6"/>
  <c r="Y49" i="6" s="1"/>
  <c r="P65" i="6"/>
  <c r="Y65" i="6" s="1"/>
  <c r="P79" i="6"/>
  <c r="Y79" i="6" s="1"/>
  <c r="P40" i="6"/>
  <c r="Y40" i="6" s="1"/>
  <c r="P20" i="6"/>
  <c r="Y20" i="6" s="1"/>
  <c r="P6" i="6"/>
  <c r="P25" i="6"/>
  <c r="Y25" i="6" s="1"/>
  <c r="P51" i="6"/>
  <c r="Y51" i="6" s="1"/>
  <c r="P50" i="6"/>
  <c r="Y50" i="6" s="1"/>
  <c r="Q17" i="5"/>
  <c r="Z17" i="5" s="1"/>
  <c r="P22" i="6"/>
  <c r="Y22" i="6" s="1"/>
  <c r="P4" i="6"/>
  <c r="P27" i="6"/>
  <c r="Y27" i="6" s="1"/>
  <c r="AE45" i="1"/>
  <c r="AE63" i="1"/>
  <c r="AE50" i="1"/>
  <c r="AE73" i="1"/>
  <c r="AE72" i="1"/>
  <c r="AE51" i="1"/>
  <c r="AE66" i="1"/>
  <c r="AE60" i="1"/>
  <c r="AE65" i="1"/>
  <c r="AE57" i="1"/>
  <c r="AE53" i="1"/>
  <c r="AL17" i="5" s="1"/>
  <c r="AE47" i="1"/>
  <c r="AE71" i="1"/>
  <c r="AE43" i="1"/>
  <c r="AE67" i="1"/>
  <c r="AE62" i="1"/>
  <c r="AE49" i="1"/>
  <c r="AL6" i="5" s="1"/>
  <c r="AE59" i="1"/>
  <c r="AE69" i="1"/>
  <c r="AE48" i="1"/>
  <c r="AE64" i="1"/>
  <c r="AE70" i="1"/>
  <c r="AE46" i="1"/>
  <c r="AL92" i="5" s="1"/>
  <c r="AE52" i="1"/>
  <c r="AE55" i="1"/>
  <c r="AL29" i="5" s="1"/>
  <c r="AE61" i="1"/>
  <c r="AE58" i="1"/>
  <c r="AE68" i="1"/>
  <c r="AE56" i="1"/>
  <c r="AE44" i="1"/>
  <c r="AE54" i="1"/>
  <c r="AL90" i="5" s="1"/>
  <c r="R6" i="5"/>
  <c r="R7" i="5"/>
  <c r="R17" i="5"/>
  <c r="E5" i="11"/>
  <c r="H5" i="11"/>
  <c r="G5" i="11"/>
  <c r="F5" i="11"/>
  <c r="I5" i="11"/>
  <c r="AH3" i="5"/>
  <c r="I6" i="13"/>
  <c r="J6" i="13"/>
  <c r="K6" i="13"/>
  <c r="L6" i="13"/>
  <c r="H6" i="13"/>
  <c r="C4" i="14"/>
  <c r="C29" i="14" s="1"/>
  <c r="E4" i="14"/>
  <c r="E29" i="14" s="1"/>
  <c r="B4" i="14"/>
  <c r="B29" i="14" s="1"/>
  <c r="D4" i="14"/>
  <c r="D29" i="14" s="1"/>
  <c r="F4" i="14"/>
  <c r="F29" i="14" s="1"/>
  <c r="AH3" i="6"/>
  <c r="AH3" i="4"/>
  <c r="AH3" i="3"/>
  <c r="J6" i="12"/>
  <c r="I6" i="12"/>
  <c r="G6" i="12"/>
  <c r="H6" i="12"/>
  <c r="F6" i="12"/>
  <c r="AF42" i="1"/>
  <c r="AD42" i="1"/>
  <c r="AE42" i="1"/>
  <c r="AH42" i="1"/>
  <c r="AB42" i="1"/>
  <c r="AI42" i="1"/>
  <c r="AC42" i="1"/>
  <c r="AJ42" i="1"/>
  <c r="AG42" i="1"/>
  <c r="AL9" i="5" l="1"/>
  <c r="AL7" i="5"/>
  <c r="S7" i="5" s="1"/>
  <c r="AL15" i="5"/>
  <c r="S15" i="5" s="1"/>
  <c r="AB15" i="5" s="1"/>
  <c r="AL16" i="5"/>
  <c r="P66" i="20"/>
  <c r="Q50" i="6"/>
  <c r="Z50" i="6" s="1"/>
  <c r="Z50" i="5"/>
  <c r="C66" i="20"/>
  <c r="P46" i="20"/>
  <c r="Q28" i="6"/>
  <c r="Z28" i="6" s="1"/>
  <c r="Z28" i="5"/>
  <c r="X26" i="20"/>
  <c r="Q40" i="6"/>
  <c r="Z40" i="6" s="1"/>
  <c r="Z40" i="5"/>
  <c r="R26" i="20"/>
  <c r="Q35" i="6"/>
  <c r="Z35" i="6" s="1"/>
  <c r="Z35" i="5"/>
  <c r="D46" i="20"/>
  <c r="AL34" i="5"/>
  <c r="S34" i="5" s="1"/>
  <c r="AB34" i="5" s="1"/>
  <c r="AL46" i="5"/>
  <c r="S46" i="5" s="1"/>
  <c r="AB46" i="5" s="1"/>
  <c r="AL43" i="5"/>
  <c r="S43" i="5" s="1"/>
  <c r="AB43" i="5" s="1"/>
  <c r="AL31" i="5"/>
  <c r="S31" i="5" s="1"/>
  <c r="AL38" i="5"/>
  <c r="S38" i="5" s="1"/>
  <c r="AL56" i="5"/>
  <c r="S56" i="5" s="1"/>
  <c r="AB56" i="5" s="1"/>
  <c r="U26" i="20"/>
  <c r="Q26" i="20"/>
  <c r="R89" i="6"/>
  <c r="E46" i="20"/>
  <c r="Q15" i="6"/>
  <c r="Z15" i="6" s="1"/>
  <c r="Z15" i="5"/>
  <c r="Q37" i="6"/>
  <c r="Z37" i="6" s="1"/>
  <c r="Z37" i="5"/>
  <c r="Q31" i="6"/>
  <c r="Z31" i="6" s="1"/>
  <c r="Z31" i="5"/>
  <c r="Q30" i="6"/>
  <c r="Z30" i="6" s="1"/>
  <c r="Z30" i="5"/>
  <c r="R36" i="6"/>
  <c r="R56" i="6"/>
  <c r="Q29" i="6"/>
  <c r="Z29" i="6" s="1"/>
  <c r="Z29" i="5"/>
  <c r="R30" i="6"/>
  <c r="R29" i="6"/>
  <c r="Q42" i="6"/>
  <c r="Z42" i="6" s="1"/>
  <c r="Z42" i="5"/>
  <c r="Q16" i="6"/>
  <c r="Z16" i="6" s="1"/>
  <c r="Z16" i="5"/>
  <c r="AL37" i="5"/>
  <c r="S37" i="5" s="1"/>
  <c r="AB37" i="5" s="1"/>
  <c r="AL91" i="5"/>
  <c r="S91" i="5" s="1"/>
  <c r="AL36" i="5"/>
  <c r="S36" i="5" s="1"/>
  <c r="AB36" i="5" s="1"/>
  <c r="AL14" i="5"/>
  <c r="S14" i="5" s="1"/>
  <c r="AB14" i="5" s="1"/>
  <c r="AL77" i="5"/>
  <c r="S77" i="5" s="1"/>
  <c r="AB77" i="5" s="1"/>
  <c r="AL51" i="5"/>
  <c r="S51" i="5" s="1"/>
  <c r="AL83" i="5"/>
  <c r="S83" i="5" s="1"/>
  <c r="AB83" i="5" s="1"/>
  <c r="AL19" i="5"/>
  <c r="S19" i="5" s="1"/>
  <c r="AB19" i="5" s="1"/>
  <c r="AL48" i="5"/>
  <c r="S48" i="5" s="1"/>
  <c r="AL61" i="5"/>
  <c r="S61" i="5" s="1"/>
  <c r="AB61" i="5" s="1"/>
  <c r="AL71" i="5"/>
  <c r="S71" i="5" s="1"/>
  <c r="AB71" i="5" s="1"/>
  <c r="AL69" i="5"/>
  <c r="S69" i="5" s="1"/>
  <c r="AB69" i="5" s="1"/>
  <c r="AL84" i="5"/>
  <c r="S84" i="5" s="1"/>
  <c r="AL68" i="5"/>
  <c r="S68" i="5" s="1"/>
  <c r="AB68" i="5" s="1"/>
  <c r="AL67" i="5"/>
  <c r="S67" i="5" s="1"/>
  <c r="AB67" i="5" s="1"/>
  <c r="AL72" i="5"/>
  <c r="S72" i="5" s="1"/>
  <c r="AB72" i="5" s="1"/>
  <c r="AL74" i="5"/>
  <c r="S74" i="5" s="1"/>
  <c r="AB74" i="5" s="1"/>
  <c r="AL65" i="5"/>
  <c r="S65" i="5" s="1"/>
  <c r="AB65" i="5" s="1"/>
  <c r="AL53" i="5"/>
  <c r="S53" i="5" s="1"/>
  <c r="AB53" i="5" s="1"/>
  <c r="AL55" i="5"/>
  <c r="S55" i="5" s="1"/>
  <c r="AB55" i="5" s="1"/>
  <c r="AL10" i="5"/>
  <c r="S10" i="5" s="1"/>
  <c r="S10" i="6" s="1"/>
  <c r="AL52" i="5"/>
  <c r="S52" i="5" s="1"/>
  <c r="AL47" i="5"/>
  <c r="S47" i="5" s="1"/>
  <c r="AL30" i="5"/>
  <c r="S30" i="5" s="1"/>
  <c r="AB30" i="5" s="1"/>
  <c r="AL50" i="5"/>
  <c r="S50" i="5" s="1"/>
  <c r="AL73" i="5"/>
  <c r="S73" i="5" s="1"/>
  <c r="AB73" i="5" s="1"/>
  <c r="AL63" i="5"/>
  <c r="S63" i="5" s="1"/>
  <c r="AB63" i="5" s="1"/>
  <c r="AL62" i="5"/>
  <c r="S62" i="5" s="1"/>
  <c r="AB62" i="5" s="1"/>
  <c r="AL44" i="5"/>
  <c r="S44" i="5" s="1"/>
  <c r="AL45" i="5"/>
  <c r="S45" i="5" s="1"/>
  <c r="AB45" i="5" s="1"/>
  <c r="AL42" i="5"/>
  <c r="S42" i="5" s="1"/>
  <c r="AL35" i="5"/>
  <c r="S35" i="5" s="1"/>
  <c r="AB35" i="5" s="1"/>
  <c r="AL64" i="5"/>
  <c r="S64" i="5" s="1"/>
  <c r="AB64" i="5" s="1"/>
  <c r="AL60" i="5"/>
  <c r="S60" i="5" s="1"/>
  <c r="AB60" i="5" s="1"/>
  <c r="AL18" i="5"/>
  <c r="S18" i="5" s="1"/>
  <c r="AB18" i="5" s="1"/>
  <c r="AL12" i="5"/>
  <c r="S12" i="5" s="1"/>
  <c r="AB12" i="5" s="1"/>
  <c r="AL57" i="5"/>
  <c r="S57" i="5" s="1"/>
  <c r="AB57" i="5" s="1"/>
  <c r="AL93" i="5"/>
  <c r="S93" i="5" s="1"/>
  <c r="AL59" i="5"/>
  <c r="S59" i="5" s="1"/>
  <c r="AB59" i="5" s="1"/>
  <c r="AL28" i="5"/>
  <c r="S28" i="5" s="1"/>
  <c r="AB28" i="5" s="1"/>
  <c r="AL5" i="5"/>
  <c r="S5" i="5" s="1"/>
  <c r="AL54" i="5"/>
  <c r="S54" i="5" s="1"/>
  <c r="AL66" i="5"/>
  <c r="S66" i="5" s="1"/>
  <c r="AB66" i="5" s="1"/>
  <c r="AL58" i="5"/>
  <c r="S58" i="5" s="1"/>
  <c r="AB58" i="5" s="1"/>
  <c r="AL75" i="5"/>
  <c r="S75" i="5" s="1"/>
  <c r="AB75" i="5" s="1"/>
  <c r="AL88" i="5"/>
  <c r="S88" i="5" s="1"/>
  <c r="AB88" i="5" s="1"/>
  <c r="AL86" i="5"/>
  <c r="S86" i="5" s="1"/>
  <c r="AB86" i="5" s="1"/>
  <c r="AL76" i="5"/>
  <c r="S76" i="5" s="1"/>
  <c r="AB76" i="5" s="1"/>
  <c r="AL79" i="5"/>
  <c r="S79" i="5" s="1"/>
  <c r="AB79" i="5" s="1"/>
  <c r="AL85" i="5"/>
  <c r="S85" i="5" s="1"/>
  <c r="AB85" i="5" s="1"/>
  <c r="AL78" i="5"/>
  <c r="S78" i="5" s="1"/>
  <c r="AL80" i="5"/>
  <c r="S80" i="5" s="1"/>
  <c r="AL82" i="5"/>
  <c r="S82" i="5" s="1"/>
  <c r="AB82" i="5" s="1"/>
  <c r="AL81" i="5"/>
  <c r="S81" i="5" s="1"/>
  <c r="AB81" i="5" s="1"/>
  <c r="AL87" i="5"/>
  <c r="S87" i="5" s="1"/>
  <c r="AL27" i="5"/>
  <c r="S27" i="5" s="1"/>
  <c r="AB27" i="5" s="1"/>
  <c r="AL11" i="5"/>
  <c r="S11" i="5" s="1"/>
  <c r="AB11" i="5" s="1"/>
  <c r="AL13" i="5"/>
  <c r="S13" i="5" s="1"/>
  <c r="AB13" i="5" s="1"/>
  <c r="AL22" i="5"/>
  <c r="S22" i="5" s="1"/>
  <c r="AB22" i="5" s="1"/>
  <c r="AL49" i="5"/>
  <c r="S49" i="5" s="1"/>
  <c r="AL40" i="5"/>
  <c r="S40" i="5" s="1"/>
  <c r="AL8" i="5"/>
  <c r="S8" i="5" s="1"/>
  <c r="AL24" i="5"/>
  <c r="S24" i="5" s="1"/>
  <c r="AB24" i="5" s="1"/>
  <c r="AL41" i="5"/>
  <c r="AL33" i="5"/>
  <c r="S33" i="5" s="1"/>
  <c r="AB33" i="5" s="1"/>
  <c r="AL23" i="5"/>
  <c r="S23" i="5" s="1"/>
  <c r="AB23" i="5" s="1"/>
  <c r="AL20" i="5"/>
  <c r="S20" i="5" s="1"/>
  <c r="AB20" i="5" s="1"/>
  <c r="AL26" i="5"/>
  <c r="S26" i="5" s="1"/>
  <c r="AB26" i="5" s="1"/>
  <c r="AL32" i="5"/>
  <c r="S32" i="5" s="1"/>
  <c r="AB32" i="5" s="1"/>
  <c r="AL25" i="5"/>
  <c r="S25" i="5" s="1"/>
  <c r="AB25" i="5" s="1"/>
  <c r="AL89" i="5"/>
  <c r="S89" i="5" s="1"/>
  <c r="AL39" i="5"/>
  <c r="S39" i="5" s="1"/>
  <c r="AL70" i="5"/>
  <c r="S70" i="5" s="1"/>
  <c r="AB70" i="5" s="1"/>
  <c r="AL21" i="5"/>
  <c r="S21" i="5" s="1"/>
  <c r="AB21" i="5" s="1"/>
  <c r="R75" i="6"/>
  <c r="AA75" i="6" s="1"/>
  <c r="AA75" i="5"/>
  <c r="Q25" i="6"/>
  <c r="Z25" i="6" s="1"/>
  <c r="Z25" i="5"/>
  <c r="Q33" i="6"/>
  <c r="Z33" i="6" s="1"/>
  <c r="Z33" i="5"/>
  <c r="Q75" i="6"/>
  <c r="Z75" i="6" s="1"/>
  <c r="Z75" i="5"/>
  <c r="R59" i="6"/>
  <c r="R81" i="6"/>
  <c r="AA81" i="6" s="1"/>
  <c r="AA81" i="5"/>
  <c r="Q24" i="6"/>
  <c r="Z24" i="6" s="1"/>
  <c r="Z24" i="5"/>
  <c r="R87" i="6"/>
  <c r="R88" i="6"/>
  <c r="Q49" i="6"/>
  <c r="Z49" i="6" s="1"/>
  <c r="Z49" i="5"/>
  <c r="Q78" i="6"/>
  <c r="Z78" i="6" s="1"/>
  <c r="Z78" i="5"/>
  <c r="Q32" i="6"/>
  <c r="Z32" i="6" s="1"/>
  <c r="Z32" i="5"/>
  <c r="R23" i="6"/>
  <c r="AA23" i="6" s="1"/>
  <c r="AA23" i="5"/>
  <c r="Q19" i="6"/>
  <c r="Z19" i="6" s="1"/>
  <c r="Z19" i="5"/>
  <c r="R80" i="6"/>
  <c r="AA80" i="6" s="1"/>
  <c r="AA80" i="5"/>
  <c r="Q23" i="6"/>
  <c r="Z23" i="6" s="1"/>
  <c r="Z23" i="5"/>
  <c r="Q80" i="6"/>
  <c r="Z80" i="6" s="1"/>
  <c r="Z80" i="5"/>
  <c r="R76" i="6"/>
  <c r="AA76" i="6" s="1"/>
  <c r="AA76" i="5"/>
  <c r="R22" i="6"/>
  <c r="AA22" i="6" s="1"/>
  <c r="AA22" i="5"/>
  <c r="Q39" i="6"/>
  <c r="Z39" i="6" s="1"/>
  <c r="Z39" i="5"/>
  <c r="Q84" i="6"/>
  <c r="Z84" i="6" s="1"/>
  <c r="Z84" i="5"/>
  <c r="R18" i="6"/>
  <c r="AA18" i="6" s="1"/>
  <c r="AA18" i="5"/>
  <c r="R72" i="6"/>
  <c r="AA72" i="6" s="1"/>
  <c r="AA72" i="5"/>
  <c r="R60" i="6"/>
  <c r="R19" i="6"/>
  <c r="AA19" i="6" s="1"/>
  <c r="AA19" i="5"/>
  <c r="Q88" i="6"/>
  <c r="R82" i="6"/>
  <c r="AA82" i="6" s="1"/>
  <c r="AA82" i="5"/>
  <c r="R62" i="6"/>
  <c r="AA62" i="6" s="1"/>
  <c r="AA62" i="5"/>
  <c r="R32" i="6"/>
  <c r="Q79" i="6"/>
  <c r="Z79" i="6" s="1"/>
  <c r="Z79" i="5"/>
  <c r="Q61" i="6"/>
  <c r="Z61" i="6" s="1"/>
  <c r="Z61" i="5"/>
  <c r="R24" i="6"/>
  <c r="AA24" i="6" s="1"/>
  <c r="AA24" i="5"/>
  <c r="Q82" i="6"/>
  <c r="Z82" i="6" s="1"/>
  <c r="Z82" i="5"/>
  <c r="R69" i="6"/>
  <c r="AA69" i="6" s="1"/>
  <c r="AA69" i="5"/>
  <c r="R77" i="6"/>
  <c r="AA77" i="6" s="1"/>
  <c r="AA77" i="5"/>
  <c r="R83" i="6"/>
  <c r="R84" i="6"/>
  <c r="R74" i="6"/>
  <c r="AA74" i="6" s="1"/>
  <c r="AA74" i="5"/>
  <c r="Q18" i="6"/>
  <c r="Z18" i="6" s="1"/>
  <c r="Z18" i="5"/>
  <c r="Q73" i="6"/>
  <c r="Z73" i="6" s="1"/>
  <c r="Z73" i="5"/>
  <c r="R78" i="6"/>
  <c r="AA78" i="6" s="1"/>
  <c r="AA78" i="5"/>
  <c r="R33" i="6"/>
  <c r="Q62" i="6"/>
  <c r="Z62" i="6" s="1"/>
  <c r="Z62" i="5"/>
  <c r="R73" i="6"/>
  <c r="AA73" i="6" s="1"/>
  <c r="AA73" i="5"/>
  <c r="R39" i="6"/>
  <c r="Q74" i="6"/>
  <c r="Z74" i="6" s="1"/>
  <c r="Z74" i="5"/>
  <c r="R11" i="6"/>
  <c r="R63" i="6"/>
  <c r="AA63" i="6" s="1"/>
  <c r="AA63" i="5"/>
  <c r="R14" i="6"/>
  <c r="AA14" i="6" s="1"/>
  <c r="AA14" i="5"/>
  <c r="Q22" i="6"/>
  <c r="Z22" i="6" s="1"/>
  <c r="Z22" i="5"/>
  <c r="Q26" i="6"/>
  <c r="Z26" i="6" s="1"/>
  <c r="Z26" i="5"/>
  <c r="R67" i="6"/>
  <c r="AA67" i="6" s="1"/>
  <c r="AA67" i="5"/>
  <c r="Q14" i="6"/>
  <c r="Z14" i="6" s="1"/>
  <c r="Z14" i="5"/>
  <c r="Q86" i="6"/>
  <c r="E51" i="20"/>
  <c r="C71" i="20"/>
  <c r="D44" i="20"/>
  <c r="C64" i="20"/>
  <c r="E49" i="20"/>
  <c r="E50" i="20"/>
  <c r="E48" i="20"/>
  <c r="C68" i="20"/>
  <c r="C69" i="20"/>
  <c r="R5" i="6"/>
  <c r="E44" i="20"/>
  <c r="Q6" i="6"/>
  <c r="D48" i="20"/>
  <c r="Q8" i="6"/>
  <c r="D50" i="20"/>
  <c r="R4" i="6"/>
  <c r="D49" i="20"/>
  <c r="C70" i="20"/>
  <c r="D51" i="20"/>
  <c r="BA130" i="23"/>
  <c r="BA125" i="23"/>
  <c r="BA134" i="23"/>
  <c r="BA126" i="23"/>
  <c r="BA127" i="23"/>
  <c r="BA129" i="23"/>
  <c r="BA124" i="23"/>
  <c r="BA135" i="23"/>
  <c r="S98" i="5"/>
  <c r="S98" i="6" s="1"/>
  <c r="S97" i="5"/>
  <c r="X11" i="20"/>
  <c r="S11" i="20"/>
  <c r="V11" i="20"/>
  <c r="S96" i="5"/>
  <c r="S92" i="5"/>
  <c r="S95" i="5"/>
  <c r="S100" i="5"/>
  <c r="S100" i="6" s="1"/>
  <c r="S99" i="5"/>
  <c r="S94" i="5"/>
  <c r="Q100" i="6"/>
  <c r="Q91" i="6"/>
  <c r="Q81" i="6"/>
  <c r="Z81" i="6" s="1"/>
  <c r="Q36" i="6"/>
  <c r="Z36" i="6" s="1"/>
  <c r="Q89" i="6"/>
  <c r="R90" i="6"/>
  <c r="R47" i="6"/>
  <c r="AA47" i="6" s="1"/>
  <c r="Q87" i="6"/>
  <c r="S90" i="5"/>
  <c r="R86" i="6"/>
  <c r="R55" i="6"/>
  <c r="Q83" i="6"/>
  <c r="Z83" i="6" s="1"/>
  <c r="R43" i="6"/>
  <c r="R16" i="6"/>
  <c r="Q51" i="6"/>
  <c r="Z51" i="6" s="1"/>
  <c r="R40" i="6"/>
  <c r="Q85" i="6"/>
  <c r="Z85" i="6" s="1"/>
  <c r="R71" i="6"/>
  <c r="AA71" i="6" s="1"/>
  <c r="R54" i="6"/>
  <c r="Q43" i="6"/>
  <c r="Z43" i="6" s="1"/>
  <c r="R58" i="6"/>
  <c r="AA58" i="6" s="1"/>
  <c r="R70" i="6"/>
  <c r="AA70" i="6" s="1"/>
  <c r="R20" i="6"/>
  <c r="AA20" i="6" s="1"/>
  <c r="R85" i="6"/>
  <c r="Q11" i="6"/>
  <c r="Z11" i="6" s="1"/>
  <c r="R57" i="6"/>
  <c r="AA57" i="6" s="1"/>
  <c r="Q20" i="6"/>
  <c r="Z20" i="6" s="1"/>
  <c r="R68" i="6"/>
  <c r="AA68" i="6" s="1"/>
  <c r="R64" i="6"/>
  <c r="AA64" i="6" s="1"/>
  <c r="Q4" i="6"/>
  <c r="Q38" i="6"/>
  <c r="Q9" i="6"/>
  <c r="R38" i="6"/>
  <c r="Q27" i="6"/>
  <c r="Z27" i="6" s="1"/>
  <c r="Q66" i="6"/>
  <c r="Z66" i="6" s="1"/>
  <c r="R26" i="6"/>
  <c r="AA26" i="6" s="1"/>
  <c r="Q65" i="6"/>
  <c r="Z65" i="6" s="1"/>
  <c r="R15" i="6"/>
  <c r="R25" i="6"/>
  <c r="AA25" i="6" s="1"/>
  <c r="Q53" i="6"/>
  <c r="Z53" i="6" s="1"/>
  <c r="Q34" i="6"/>
  <c r="Z34" i="6" s="1"/>
  <c r="Q46" i="6"/>
  <c r="Z46" i="6" s="1"/>
  <c r="Q70" i="6"/>
  <c r="Z70" i="6" s="1"/>
  <c r="Q59" i="6"/>
  <c r="Z59" i="6" s="1"/>
  <c r="Q72" i="6"/>
  <c r="Z72" i="6" s="1"/>
  <c r="Q54" i="6"/>
  <c r="Z54" i="6" s="1"/>
  <c r="Q5" i="6"/>
  <c r="Q17" i="6"/>
  <c r="Z17" i="6" s="1"/>
  <c r="Q13" i="6"/>
  <c r="Z13" i="6" s="1"/>
  <c r="Q21" i="6"/>
  <c r="Z21" i="6" s="1"/>
  <c r="Q68" i="6"/>
  <c r="Z68" i="6" s="1"/>
  <c r="Q60" i="6"/>
  <c r="Z60" i="6" s="1"/>
  <c r="Q77" i="6"/>
  <c r="Z77" i="6" s="1"/>
  <c r="Q76" i="6"/>
  <c r="Z76" i="6" s="1"/>
  <c r="Q47" i="6"/>
  <c r="Z47" i="6" s="1"/>
  <c r="Q44" i="6"/>
  <c r="Z44" i="6" s="1"/>
  <c r="Q52" i="6"/>
  <c r="Z52" i="6" s="1"/>
  <c r="Q45" i="6"/>
  <c r="Z45" i="6" s="1"/>
  <c r="Q63" i="6"/>
  <c r="Z63" i="6" s="1"/>
  <c r="Q67" i="6"/>
  <c r="Z67" i="6" s="1"/>
  <c r="Q64" i="6"/>
  <c r="Z64" i="6" s="1"/>
  <c r="Q57" i="6"/>
  <c r="Z57" i="6" s="1"/>
  <c r="Q12" i="6"/>
  <c r="Z12" i="6" s="1"/>
  <c r="Q48" i="6"/>
  <c r="Z48" i="6" s="1"/>
  <c r="Q55" i="6"/>
  <c r="Z55" i="6" s="1"/>
  <c r="Q69" i="6"/>
  <c r="Z69" i="6" s="1"/>
  <c r="Q71" i="6"/>
  <c r="Z71" i="6" s="1"/>
  <c r="Q56" i="6"/>
  <c r="Z56" i="6" s="1"/>
  <c r="Q58" i="6"/>
  <c r="Z58" i="6" s="1"/>
  <c r="R21" i="6"/>
  <c r="AA21" i="6" s="1"/>
  <c r="R48" i="6"/>
  <c r="AA48" i="6" s="1"/>
  <c r="R49" i="6"/>
  <c r="AA49" i="6" s="1"/>
  <c r="R61" i="6"/>
  <c r="AA61" i="6" s="1"/>
  <c r="S17" i="5"/>
  <c r="AB17" i="5" s="1"/>
  <c r="R46" i="6"/>
  <c r="R53" i="6"/>
  <c r="R17" i="6"/>
  <c r="R37" i="6"/>
  <c r="R6" i="6"/>
  <c r="R79" i="6"/>
  <c r="AA79" i="6" s="1"/>
  <c r="S6" i="5"/>
  <c r="S9" i="5"/>
  <c r="AF60" i="1"/>
  <c r="AF67" i="1"/>
  <c r="AF54" i="1"/>
  <c r="AF64" i="1"/>
  <c r="AF55" i="1"/>
  <c r="AM29" i="5" s="1"/>
  <c r="AF49" i="1"/>
  <c r="AM6" i="5" s="1"/>
  <c r="AF46" i="1"/>
  <c r="AF44" i="1"/>
  <c r="AF65" i="1"/>
  <c r="AF43" i="1"/>
  <c r="AF71" i="1"/>
  <c r="AF50" i="1"/>
  <c r="AF62" i="1"/>
  <c r="AF61" i="1"/>
  <c r="AF68" i="1"/>
  <c r="AF73" i="1"/>
  <c r="AF69" i="1"/>
  <c r="AF63" i="1"/>
  <c r="AF57" i="1"/>
  <c r="AF53" i="1"/>
  <c r="AM17" i="5" s="1"/>
  <c r="AF66" i="1"/>
  <c r="AF70" i="1"/>
  <c r="AF45" i="1"/>
  <c r="AF52" i="1"/>
  <c r="AF58" i="1"/>
  <c r="AF56" i="1"/>
  <c r="AF47" i="1"/>
  <c r="AF48" i="1"/>
  <c r="AF59" i="1"/>
  <c r="AF72" i="1"/>
  <c r="AF51" i="1"/>
  <c r="R45" i="6"/>
  <c r="AA45" i="6" s="1"/>
  <c r="R52" i="6"/>
  <c r="AA52" i="6" s="1"/>
  <c r="R44" i="6"/>
  <c r="R8" i="6"/>
  <c r="R51" i="6"/>
  <c r="AA51" i="6" s="1"/>
  <c r="R50" i="6"/>
  <c r="AA50" i="6" s="1"/>
  <c r="R27" i="6"/>
  <c r="R13" i="6"/>
  <c r="R12" i="6"/>
  <c r="R34" i="6"/>
  <c r="R7" i="6"/>
  <c r="R9" i="6"/>
  <c r="R66" i="6"/>
  <c r="R65" i="6"/>
  <c r="S4" i="5"/>
  <c r="S16" i="5"/>
  <c r="S29" i="5"/>
  <c r="AB29" i="5" s="1"/>
  <c r="L3" i="7"/>
  <c r="L3" i="20" s="1"/>
  <c r="T24" i="20"/>
  <c r="S24" i="20"/>
  <c r="AM9" i="5" l="1"/>
  <c r="T9" i="5" s="1"/>
  <c r="AM7" i="5"/>
  <c r="AM90" i="5"/>
  <c r="AM92" i="5"/>
  <c r="AM15" i="5"/>
  <c r="T15" i="5" s="1"/>
  <c r="AC15" i="5" s="1"/>
  <c r="AM16" i="5"/>
  <c r="D66" i="20"/>
  <c r="E66" i="20"/>
  <c r="F46" i="20"/>
  <c r="AM34" i="5"/>
  <c r="T34" i="5" s="1"/>
  <c r="AM56" i="5"/>
  <c r="AM38" i="5"/>
  <c r="T38" i="5" s="1"/>
  <c r="AM31" i="5"/>
  <c r="T31" i="5" s="1"/>
  <c r="AM46" i="5"/>
  <c r="T46" i="5" s="1"/>
  <c r="AM43" i="5"/>
  <c r="T43" i="5" s="1"/>
  <c r="S31" i="6"/>
  <c r="AB31" i="6" s="1"/>
  <c r="AB31" i="5"/>
  <c r="S16" i="6"/>
  <c r="AB16" i="6" s="1"/>
  <c r="AB16" i="5"/>
  <c r="AM54" i="5"/>
  <c r="T54" i="5" s="1"/>
  <c r="AM58" i="5"/>
  <c r="T58" i="5" s="1"/>
  <c r="AC58" i="5" s="1"/>
  <c r="AM66" i="5"/>
  <c r="T66" i="5" s="1"/>
  <c r="AC66" i="5" s="1"/>
  <c r="AM37" i="5"/>
  <c r="T37" i="5" s="1"/>
  <c r="AM91" i="5"/>
  <c r="T91" i="5" s="1"/>
  <c r="AM36" i="5"/>
  <c r="T36" i="5" s="1"/>
  <c r="AM5" i="5"/>
  <c r="T5" i="5" s="1"/>
  <c r="AM28" i="5"/>
  <c r="T28" i="5" s="1"/>
  <c r="AM77" i="5"/>
  <c r="T77" i="5" s="1"/>
  <c r="AC77" i="5" s="1"/>
  <c r="AM14" i="5"/>
  <c r="T14" i="5" s="1"/>
  <c r="AC14" i="5" s="1"/>
  <c r="AM51" i="5"/>
  <c r="T51" i="5" s="1"/>
  <c r="AM83" i="5"/>
  <c r="T83" i="5" s="1"/>
  <c r="AC83" i="5" s="1"/>
  <c r="AM11" i="5"/>
  <c r="T11" i="5" s="1"/>
  <c r="AM27" i="5"/>
  <c r="T27" i="5" s="1"/>
  <c r="AC27" i="5" s="1"/>
  <c r="AM20" i="5"/>
  <c r="T20" i="5" s="1"/>
  <c r="AC20" i="5" s="1"/>
  <c r="AM13" i="5"/>
  <c r="T13" i="5" s="1"/>
  <c r="AC13" i="5" s="1"/>
  <c r="AM26" i="5"/>
  <c r="T26" i="5" s="1"/>
  <c r="AC26" i="5" s="1"/>
  <c r="AM70" i="5"/>
  <c r="T70" i="5" s="1"/>
  <c r="AC70" i="5" s="1"/>
  <c r="AM40" i="5"/>
  <c r="T40" i="5" s="1"/>
  <c r="AM25" i="5"/>
  <c r="T25" i="5" s="1"/>
  <c r="AC25" i="5" s="1"/>
  <c r="AM89" i="5"/>
  <c r="T89" i="5" s="1"/>
  <c r="AM32" i="5"/>
  <c r="T32" i="5" s="1"/>
  <c r="AM22" i="5"/>
  <c r="T22" i="5" s="1"/>
  <c r="AC22" i="5" s="1"/>
  <c r="AM21" i="5"/>
  <c r="T21" i="5" s="1"/>
  <c r="AC21" i="5" s="1"/>
  <c r="AM23" i="5"/>
  <c r="T23" i="5" s="1"/>
  <c r="AC23" i="5" s="1"/>
  <c r="AM49" i="5"/>
  <c r="T49" i="5" s="1"/>
  <c r="AM24" i="5"/>
  <c r="T24" i="5" s="1"/>
  <c r="AM41" i="5"/>
  <c r="AM33" i="5"/>
  <c r="T33" i="5" s="1"/>
  <c r="AM8" i="5"/>
  <c r="T8" i="5" s="1"/>
  <c r="AM39" i="5"/>
  <c r="T39" i="5" s="1"/>
  <c r="AM55" i="5"/>
  <c r="T55" i="5" s="1"/>
  <c r="AM10" i="5"/>
  <c r="T10" i="5" s="1"/>
  <c r="AM53" i="5"/>
  <c r="T53" i="5" s="1"/>
  <c r="AM52" i="5"/>
  <c r="T52" i="5" s="1"/>
  <c r="AM50" i="5"/>
  <c r="T50" i="5" s="1"/>
  <c r="AM30" i="5"/>
  <c r="T30" i="5" s="1"/>
  <c r="AM65" i="5"/>
  <c r="T65" i="5" s="1"/>
  <c r="AC65" i="5" s="1"/>
  <c r="AM47" i="5"/>
  <c r="T47" i="5" s="1"/>
  <c r="AM19" i="5"/>
  <c r="T19" i="5" s="1"/>
  <c r="AM48" i="5"/>
  <c r="T48" i="5" s="1"/>
  <c r="AM72" i="5"/>
  <c r="T72" i="5" s="1"/>
  <c r="AC72" i="5" s="1"/>
  <c r="AM61" i="5"/>
  <c r="T61" i="5" s="1"/>
  <c r="AC61" i="5" s="1"/>
  <c r="AM84" i="5"/>
  <c r="T84" i="5" s="1"/>
  <c r="AC84" i="5" s="1"/>
  <c r="AM74" i="5"/>
  <c r="T74" i="5" s="1"/>
  <c r="AC74" i="5" s="1"/>
  <c r="AM71" i="5"/>
  <c r="T71" i="5" s="1"/>
  <c r="AC71" i="5" s="1"/>
  <c r="AM67" i="5"/>
  <c r="T67" i="5" s="1"/>
  <c r="AC67" i="5" s="1"/>
  <c r="AM69" i="5"/>
  <c r="T69" i="5" s="1"/>
  <c r="AC69" i="5" s="1"/>
  <c r="AM68" i="5"/>
  <c r="T68" i="5" s="1"/>
  <c r="AC68" i="5" s="1"/>
  <c r="AM75" i="5"/>
  <c r="T75" i="5" s="1"/>
  <c r="AC75" i="5" s="1"/>
  <c r="AM82" i="5"/>
  <c r="T82" i="5" s="1"/>
  <c r="AM85" i="5"/>
  <c r="T85" i="5" s="1"/>
  <c r="AM86" i="5"/>
  <c r="T86" i="5" s="1"/>
  <c r="AM78" i="5"/>
  <c r="T78" i="5" s="1"/>
  <c r="AC78" i="5" s="1"/>
  <c r="AM80" i="5"/>
  <c r="T80" i="5" s="1"/>
  <c r="AC80" i="5" s="1"/>
  <c r="AM76" i="5"/>
  <c r="T76" i="5" s="1"/>
  <c r="AC76" i="5" s="1"/>
  <c r="AM88" i="5"/>
  <c r="T88" i="5" s="1"/>
  <c r="AM79" i="5"/>
  <c r="T79" i="5" s="1"/>
  <c r="AC79" i="5" s="1"/>
  <c r="AM87" i="5"/>
  <c r="T87" i="5" s="1"/>
  <c r="AM81" i="5"/>
  <c r="T81" i="5" s="1"/>
  <c r="AM42" i="5"/>
  <c r="T42" i="5" s="1"/>
  <c r="AM18" i="5"/>
  <c r="T18" i="5" s="1"/>
  <c r="AC18" i="5" s="1"/>
  <c r="AM63" i="5"/>
  <c r="T63" i="5" s="1"/>
  <c r="AC63" i="5" s="1"/>
  <c r="AM60" i="5"/>
  <c r="T60" i="5" s="1"/>
  <c r="AC60" i="5" s="1"/>
  <c r="AM64" i="5"/>
  <c r="T64" i="5" s="1"/>
  <c r="AC64" i="5" s="1"/>
  <c r="AM59" i="5"/>
  <c r="T59" i="5" s="1"/>
  <c r="AC59" i="5" s="1"/>
  <c r="AM93" i="5"/>
  <c r="T93" i="5" s="1"/>
  <c r="AM45" i="5"/>
  <c r="T45" i="5" s="1"/>
  <c r="AM12" i="5"/>
  <c r="T12" i="5" s="1"/>
  <c r="AM57" i="5"/>
  <c r="T57" i="5" s="1"/>
  <c r="AC57" i="5" s="1"/>
  <c r="AM35" i="5"/>
  <c r="T35" i="5" s="1"/>
  <c r="AM73" i="5"/>
  <c r="T73" i="5" s="1"/>
  <c r="AC73" i="5" s="1"/>
  <c r="AM62" i="5"/>
  <c r="T62" i="5" s="1"/>
  <c r="AC62" i="5" s="1"/>
  <c r="AM44" i="5"/>
  <c r="T44" i="5" s="1"/>
  <c r="S80" i="6"/>
  <c r="AB80" i="6" s="1"/>
  <c r="AB80" i="5"/>
  <c r="S84" i="6"/>
  <c r="AB84" i="6" s="1"/>
  <c r="AB84" i="5"/>
  <c r="S78" i="6"/>
  <c r="AB78" i="6" s="1"/>
  <c r="AB78" i="5"/>
  <c r="S87" i="6"/>
  <c r="AB87" i="6" s="1"/>
  <c r="AB87" i="5"/>
  <c r="S46" i="20" s="1"/>
  <c r="E69" i="20"/>
  <c r="E98" i="20" s="1"/>
  <c r="Q51" i="20"/>
  <c r="F51" i="20"/>
  <c r="T31" i="20"/>
  <c r="W31" i="20"/>
  <c r="P52" i="20"/>
  <c r="U4" i="20"/>
  <c r="W11" i="20"/>
  <c r="W30" i="20"/>
  <c r="Q31" i="20"/>
  <c r="R8" i="20"/>
  <c r="U8" i="20"/>
  <c r="V28" i="20"/>
  <c r="Q28" i="20"/>
  <c r="S9" i="20"/>
  <c r="R24" i="20"/>
  <c r="X24" i="20"/>
  <c r="U24" i="20"/>
  <c r="F50" i="20"/>
  <c r="D69" i="20"/>
  <c r="R11" i="20"/>
  <c r="R4" i="20"/>
  <c r="V10" i="20"/>
  <c r="V7" i="20"/>
  <c r="W10" i="20"/>
  <c r="S30" i="20"/>
  <c r="P30" i="20"/>
  <c r="Q30" i="20"/>
  <c r="P70" i="20"/>
  <c r="T30" i="20"/>
  <c r="T8" i="20"/>
  <c r="R28" i="20"/>
  <c r="P50" i="20"/>
  <c r="T9" i="20"/>
  <c r="X29" i="20"/>
  <c r="P24" i="20"/>
  <c r="P64" i="20"/>
  <c r="E68" i="20"/>
  <c r="F12" i="12" s="1"/>
  <c r="Q49" i="20"/>
  <c r="D64" i="20"/>
  <c r="E71" i="20"/>
  <c r="D68" i="20"/>
  <c r="P44" i="20"/>
  <c r="R10" i="20"/>
  <c r="V4" i="20"/>
  <c r="U11" i="20"/>
  <c r="U7" i="20"/>
  <c r="Q7" i="20"/>
  <c r="Q11" i="20"/>
  <c r="T4" i="20"/>
  <c r="T11" i="20"/>
  <c r="T10" i="20"/>
  <c r="P10" i="20"/>
  <c r="P7" i="20"/>
  <c r="W5" i="20"/>
  <c r="X5" i="20"/>
  <c r="P71" i="20"/>
  <c r="X31" i="20"/>
  <c r="X30" i="20"/>
  <c r="U31" i="20"/>
  <c r="U30" i="20"/>
  <c r="S8" i="20"/>
  <c r="P28" i="20"/>
  <c r="P8" i="20"/>
  <c r="W28" i="20"/>
  <c r="X8" i="20"/>
  <c r="P51" i="20"/>
  <c r="V9" i="20"/>
  <c r="Q9" i="20"/>
  <c r="P49" i="20"/>
  <c r="P9" i="20"/>
  <c r="V29" i="20"/>
  <c r="T29" i="20"/>
  <c r="S29" i="20"/>
  <c r="E64" i="20"/>
  <c r="P11" i="20"/>
  <c r="X7" i="20"/>
  <c r="V30" i="20"/>
  <c r="R31" i="20"/>
  <c r="U28" i="20"/>
  <c r="Q48" i="20"/>
  <c r="W8" i="20"/>
  <c r="Q29" i="20"/>
  <c r="U29" i="20"/>
  <c r="Q24" i="20"/>
  <c r="F48" i="20"/>
  <c r="F49" i="20"/>
  <c r="Q71" i="20"/>
  <c r="D71" i="20"/>
  <c r="Q32" i="20"/>
  <c r="V5" i="20"/>
  <c r="Q10" i="20"/>
  <c r="P4" i="20"/>
  <c r="W4" i="20"/>
  <c r="W7" i="20"/>
  <c r="X4" i="20"/>
  <c r="P31" i="20"/>
  <c r="R30" i="20"/>
  <c r="V8" i="20"/>
  <c r="S28" i="20"/>
  <c r="T28" i="20"/>
  <c r="R29" i="20"/>
  <c r="P29" i="20"/>
  <c r="V24" i="20"/>
  <c r="W24" i="20"/>
  <c r="E70" i="20"/>
  <c r="F44" i="20"/>
  <c r="Q50" i="20"/>
  <c r="U5" i="20"/>
  <c r="U10" i="20"/>
  <c r="Q5" i="20"/>
  <c r="Q4" i="20"/>
  <c r="S10" i="20"/>
  <c r="S4" i="20"/>
  <c r="P5" i="20"/>
  <c r="X10" i="20"/>
  <c r="S31" i="20"/>
  <c r="V31" i="20"/>
  <c r="P68" i="20"/>
  <c r="Q8" i="20"/>
  <c r="X28" i="20"/>
  <c r="P48" i="20"/>
  <c r="R9" i="20"/>
  <c r="P69" i="20"/>
  <c r="U9" i="20"/>
  <c r="W29" i="20"/>
  <c r="W9" i="20"/>
  <c r="X9" i="20"/>
  <c r="D70" i="20"/>
  <c r="T97" i="5"/>
  <c r="T97" i="6" s="1"/>
  <c r="F10" i="12"/>
  <c r="S24" i="6"/>
  <c r="AB24" i="6" s="1"/>
  <c r="S97" i="6"/>
  <c r="T98" i="5"/>
  <c r="T98" i="6" s="1"/>
  <c r="T92" i="5"/>
  <c r="T100" i="5"/>
  <c r="T94" i="5"/>
  <c r="T95" i="5"/>
  <c r="T96" i="5"/>
  <c r="T99" i="5"/>
  <c r="S99" i="6"/>
  <c r="S93" i="6"/>
  <c r="S96" i="6"/>
  <c r="S95" i="6"/>
  <c r="S94" i="6"/>
  <c r="S92" i="6"/>
  <c r="L59" i="7"/>
  <c r="Y59" i="7"/>
  <c r="L87" i="7"/>
  <c r="Y87" i="7"/>
  <c r="Y3" i="7"/>
  <c r="L31" i="7"/>
  <c r="Y31" i="7"/>
  <c r="S89" i="6"/>
  <c r="S91" i="6"/>
  <c r="S90" i="6"/>
  <c r="T90" i="5"/>
  <c r="S88" i="6"/>
  <c r="AB88" i="6" s="1"/>
  <c r="S66" i="20" s="1"/>
  <c r="S28" i="6"/>
  <c r="AB28" i="6" s="1"/>
  <c r="S30" i="6"/>
  <c r="AB30" i="6" s="1"/>
  <c r="S29" i="6"/>
  <c r="AB29" i="6" s="1"/>
  <c r="S86" i="6"/>
  <c r="AB86" i="6" s="1"/>
  <c r="S39" i="6"/>
  <c r="S19" i="6"/>
  <c r="AB19" i="6" s="1"/>
  <c r="S32" i="6"/>
  <c r="AB32" i="6" s="1"/>
  <c r="S81" i="6"/>
  <c r="AB81" i="6" s="1"/>
  <c r="S82" i="6"/>
  <c r="AB82" i="6" s="1"/>
  <c r="S74" i="6"/>
  <c r="AB74" i="6" s="1"/>
  <c r="S62" i="6"/>
  <c r="AB62" i="6" s="1"/>
  <c r="S35" i="6"/>
  <c r="AB35" i="6" s="1"/>
  <c r="S38" i="6"/>
  <c r="L63" i="20"/>
  <c r="L23" i="20"/>
  <c r="Y43" i="20"/>
  <c r="L43" i="20"/>
  <c r="Y3" i="20"/>
  <c r="Y63" i="20"/>
  <c r="Y23" i="20"/>
  <c r="S15" i="6"/>
  <c r="AB15" i="6" s="1"/>
  <c r="S25" i="6"/>
  <c r="AB25" i="6" s="1"/>
  <c r="S18" i="6"/>
  <c r="AB18" i="6" s="1"/>
  <c r="S83" i="6"/>
  <c r="AB83" i="6" s="1"/>
  <c r="S85" i="6"/>
  <c r="AB85" i="6" s="1"/>
  <c r="S36" i="6"/>
  <c r="AB36" i="6" s="1"/>
  <c r="AG56" i="1"/>
  <c r="AG71" i="1"/>
  <c r="AG62" i="1"/>
  <c r="AG50" i="1"/>
  <c r="AG49" i="1"/>
  <c r="AN6" i="5" s="1"/>
  <c r="AG47" i="1"/>
  <c r="AG63" i="1"/>
  <c r="AG43" i="1"/>
  <c r="AG54" i="1"/>
  <c r="AG48" i="1"/>
  <c r="AG45" i="1"/>
  <c r="AG52" i="1"/>
  <c r="AG59" i="1"/>
  <c r="AG58" i="1"/>
  <c r="AG73" i="1"/>
  <c r="AG66" i="1"/>
  <c r="AG72" i="1"/>
  <c r="AG55" i="1"/>
  <c r="AN29" i="5" s="1"/>
  <c r="AG51" i="1"/>
  <c r="AG46" i="1"/>
  <c r="AG69" i="1"/>
  <c r="AG70" i="1"/>
  <c r="AG64" i="1"/>
  <c r="AG60" i="1"/>
  <c r="AG65" i="1"/>
  <c r="AG61" i="1"/>
  <c r="AG57" i="1"/>
  <c r="AG67" i="1"/>
  <c r="AG53" i="1"/>
  <c r="AN17" i="5" s="1"/>
  <c r="AG68" i="1"/>
  <c r="AG44" i="1"/>
  <c r="S7" i="6"/>
  <c r="S79" i="6"/>
  <c r="AB79" i="6" s="1"/>
  <c r="S51" i="6"/>
  <c r="S8" i="6"/>
  <c r="S64" i="6"/>
  <c r="AB64" i="6" s="1"/>
  <c r="S56" i="6"/>
  <c r="AB56" i="6" s="1"/>
  <c r="S59" i="6"/>
  <c r="AB59" i="6" s="1"/>
  <c r="S68" i="6"/>
  <c r="AB68" i="6" s="1"/>
  <c r="S45" i="6"/>
  <c r="AB45" i="6" s="1"/>
  <c r="S12" i="6"/>
  <c r="AB12" i="6" s="1"/>
  <c r="S53" i="6"/>
  <c r="AB53" i="6" s="1"/>
  <c r="S75" i="6"/>
  <c r="AB75" i="6" s="1"/>
  <c r="S42" i="6"/>
  <c r="S27" i="6"/>
  <c r="AB27" i="6" s="1"/>
  <c r="T56" i="5"/>
  <c r="T4" i="5"/>
  <c r="T29" i="5"/>
  <c r="T16" i="5"/>
  <c r="T6" i="5"/>
  <c r="T7" i="5"/>
  <c r="S66" i="6"/>
  <c r="AB66" i="6" s="1"/>
  <c r="S49" i="6"/>
  <c r="S37" i="6"/>
  <c r="AB37" i="6" s="1"/>
  <c r="S63" i="6"/>
  <c r="AB63" i="6" s="1"/>
  <c r="S55" i="6"/>
  <c r="AB55" i="6" s="1"/>
  <c r="S70" i="6"/>
  <c r="AB70" i="6" s="1"/>
  <c r="S57" i="6"/>
  <c r="AB57" i="6" s="1"/>
  <c r="S13" i="6"/>
  <c r="AB13" i="6" s="1"/>
  <c r="S52" i="6"/>
  <c r="S44" i="6"/>
  <c r="S33" i="6"/>
  <c r="AB33" i="6" s="1"/>
  <c r="S26" i="6"/>
  <c r="AB26" i="6" s="1"/>
  <c r="S40" i="6"/>
  <c r="S14" i="6"/>
  <c r="AB14" i="6" s="1"/>
  <c r="S4" i="6"/>
  <c r="S73" i="6"/>
  <c r="AB73" i="6" s="1"/>
  <c r="T17" i="5"/>
  <c r="AC17" i="5" s="1"/>
  <c r="S9" i="6"/>
  <c r="S6" i="6"/>
  <c r="S65" i="6"/>
  <c r="AB65" i="6" s="1"/>
  <c r="S60" i="6"/>
  <c r="AB60" i="6" s="1"/>
  <c r="S72" i="6"/>
  <c r="AB72" i="6" s="1"/>
  <c r="S69" i="6"/>
  <c r="AB69" i="6" s="1"/>
  <c r="S54" i="6"/>
  <c r="S76" i="6"/>
  <c r="AB76" i="6" s="1"/>
  <c r="S17" i="6"/>
  <c r="AB17" i="6" s="1"/>
  <c r="S34" i="6"/>
  <c r="AB34" i="6" s="1"/>
  <c r="S47" i="6"/>
  <c r="S23" i="6"/>
  <c r="AB23" i="6" s="1"/>
  <c r="S43" i="6"/>
  <c r="AB43" i="6" s="1"/>
  <c r="S11" i="6"/>
  <c r="AB11" i="6" s="1"/>
  <c r="S22" i="6"/>
  <c r="AB22" i="6" s="1"/>
  <c r="S20" i="6"/>
  <c r="AB20" i="6" s="1"/>
  <c r="S50" i="6"/>
  <c r="S61" i="6"/>
  <c r="AB61" i="6" s="1"/>
  <c r="S58" i="6"/>
  <c r="AB58" i="6" s="1"/>
  <c r="S71" i="6"/>
  <c r="AB71" i="6" s="1"/>
  <c r="S77" i="6"/>
  <c r="AB77" i="6" s="1"/>
  <c r="S67" i="6"/>
  <c r="AB67" i="6" s="1"/>
  <c r="S21" i="6"/>
  <c r="AB21" i="6" s="1"/>
  <c r="S48" i="6"/>
  <c r="S46" i="6"/>
  <c r="AB46" i="6" s="1"/>
  <c r="S5" i="6"/>
  <c r="AN9" i="5" l="1"/>
  <c r="U9" i="5" s="1"/>
  <c r="AN7" i="5"/>
  <c r="AN90" i="5"/>
  <c r="AN92" i="5"/>
  <c r="AN34" i="5"/>
  <c r="AN15" i="5"/>
  <c r="U15" i="5" s="1"/>
  <c r="AD15" i="5" s="1"/>
  <c r="AN16" i="5"/>
  <c r="U16" i="5" s="1"/>
  <c r="AD16" i="5" s="1"/>
  <c r="F66" i="20"/>
  <c r="F92" i="20" s="1"/>
  <c r="T28" i="6"/>
  <c r="AC28" i="6" s="1"/>
  <c r="AC28" i="5"/>
  <c r="G46" i="20"/>
  <c r="AN56" i="5"/>
  <c r="U56" i="5" s="1"/>
  <c r="AD56" i="5" s="1"/>
  <c r="AN31" i="5"/>
  <c r="U31" i="5" s="1"/>
  <c r="AD31" i="5" s="1"/>
  <c r="AN38" i="5"/>
  <c r="U38" i="5" s="1"/>
  <c r="AN46" i="5"/>
  <c r="U46" i="5" s="1"/>
  <c r="AN43" i="5"/>
  <c r="U43" i="5" s="1"/>
  <c r="AD43" i="5" s="1"/>
  <c r="T29" i="6"/>
  <c r="AC29" i="6" s="1"/>
  <c r="AC29" i="5"/>
  <c r="T16" i="6"/>
  <c r="AC16" i="6" s="1"/>
  <c r="AC16" i="5"/>
  <c r="AN28" i="5"/>
  <c r="U28" i="5" s="1"/>
  <c r="AD28" i="5" s="1"/>
  <c r="AN5" i="5"/>
  <c r="U5" i="5" s="1"/>
  <c r="AN19" i="5"/>
  <c r="U19" i="5" s="1"/>
  <c r="AD19" i="5" s="1"/>
  <c r="AN84" i="5"/>
  <c r="U84" i="5" s="1"/>
  <c r="AN68" i="5"/>
  <c r="U68" i="5" s="1"/>
  <c r="AD68" i="5" s="1"/>
  <c r="AN71" i="5"/>
  <c r="U71" i="5" s="1"/>
  <c r="AD71" i="5" s="1"/>
  <c r="AN67" i="5"/>
  <c r="U67" i="5" s="1"/>
  <c r="AD67" i="5" s="1"/>
  <c r="AN48" i="5"/>
  <c r="U48" i="5" s="1"/>
  <c r="AN72" i="5"/>
  <c r="U72" i="5" s="1"/>
  <c r="AD72" i="5" s="1"/>
  <c r="AN74" i="5"/>
  <c r="U74" i="5" s="1"/>
  <c r="AD74" i="5" s="1"/>
  <c r="AN69" i="5"/>
  <c r="U69" i="5" s="1"/>
  <c r="AD69" i="5" s="1"/>
  <c r="AN61" i="5"/>
  <c r="U61" i="5" s="1"/>
  <c r="AD61" i="5" s="1"/>
  <c r="AN54" i="5"/>
  <c r="U54" i="5" s="1"/>
  <c r="AD54" i="5" s="1"/>
  <c r="AN66" i="5"/>
  <c r="U66" i="5" s="1"/>
  <c r="AD66" i="5" s="1"/>
  <c r="AN58" i="5"/>
  <c r="U58" i="5" s="1"/>
  <c r="AD58" i="5" s="1"/>
  <c r="AN11" i="5"/>
  <c r="U11" i="5" s="1"/>
  <c r="AD11" i="5" s="1"/>
  <c r="AN27" i="5"/>
  <c r="U27" i="5" s="1"/>
  <c r="AD27" i="5" s="1"/>
  <c r="AN20" i="5"/>
  <c r="U20" i="5" s="1"/>
  <c r="AD20" i="5" s="1"/>
  <c r="AN32" i="5"/>
  <c r="U32" i="5" s="1"/>
  <c r="AD32" i="5" s="1"/>
  <c r="AN24" i="5"/>
  <c r="U24" i="5" s="1"/>
  <c r="AN33" i="5"/>
  <c r="U33" i="5" s="1"/>
  <c r="AD33" i="5" s="1"/>
  <c r="AN49" i="5"/>
  <c r="U49" i="5" s="1"/>
  <c r="AD49" i="5" s="1"/>
  <c r="AN89" i="5"/>
  <c r="U89" i="5" s="1"/>
  <c r="AN39" i="5"/>
  <c r="U39" i="5" s="1"/>
  <c r="AD39" i="5" s="1"/>
  <c r="AN41" i="5"/>
  <c r="AN13" i="5"/>
  <c r="U13" i="5" s="1"/>
  <c r="AD13" i="5" s="1"/>
  <c r="AN40" i="5"/>
  <c r="U40" i="5" s="1"/>
  <c r="AD40" i="5" s="1"/>
  <c r="AN22" i="5"/>
  <c r="U22" i="5" s="1"/>
  <c r="AD22" i="5" s="1"/>
  <c r="AN70" i="5"/>
  <c r="U70" i="5" s="1"/>
  <c r="AD70" i="5" s="1"/>
  <c r="AN21" i="5"/>
  <c r="U21" i="5" s="1"/>
  <c r="AD21" i="5" s="1"/>
  <c r="AN23" i="5"/>
  <c r="U23" i="5" s="1"/>
  <c r="AD23" i="5" s="1"/>
  <c r="AN8" i="5"/>
  <c r="U8" i="5" s="1"/>
  <c r="AN26" i="5"/>
  <c r="U26" i="5" s="1"/>
  <c r="AD26" i="5" s="1"/>
  <c r="AN25" i="5"/>
  <c r="U25" i="5" s="1"/>
  <c r="AD25" i="5" s="1"/>
  <c r="AN73" i="5"/>
  <c r="U73" i="5" s="1"/>
  <c r="AD73" i="5" s="1"/>
  <c r="AN62" i="5"/>
  <c r="U62" i="5" s="1"/>
  <c r="AD62" i="5" s="1"/>
  <c r="AN44" i="5"/>
  <c r="U44" i="5" s="1"/>
  <c r="AD44" i="5" s="1"/>
  <c r="AN60" i="5"/>
  <c r="U60" i="5" s="1"/>
  <c r="AD60" i="5" s="1"/>
  <c r="AN59" i="5"/>
  <c r="U59" i="5" s="1"/>
  <c r="AD59" i="5" s="1"/>
  <c r="AN18" i="5"/>
  <c r="U18" i="5" s="1"/>
  <c r="AD18" i="5" s="1"/>
  <c r="AN35" i="5"/>
  <c r="U35" i="5" s="1"/>
  <c r="AD35" i="5" s="1"/>
  <c r="AN93" i="5"/>
  <c r="U93" i="5" s="1"/>
  <c r="AN42" i="5"/>
  <c r="U42" i="5" s="1"/>
  <c r="AD42" i="5" s="1"/>
  <c r="AN63" i="5"/>
  <c r="U63" i="5" s="1"/>
  <c r="AD63" i="5" s="1"/>
  <c r="AN45" i="5"/>
  <c r="U45" i="5" s="1"/>
  <c r="AD45" i="5" s="1"/>
  <c r="AN64" i="5"/>
  <c r="U64" i="5" s="1"/>
  <c r="AD64" i="5" s="1"/>
  <c r="AN12" i="5"/>
  <c r="U12" i="5" s="1"/>
  <c r="AD12" i="5" s="1"/>
  <c r="AN57" i="5"/>
  <c r="U57" i="5" s="1"/>
  <c r="AD57" i="5" s="1"/>
  <c r="AN77" i="5"/>
  <c r="U77" i="5" s="1"/>
  <c r="AD77" i="5" s="1"/>
  <c r="AN51" i="5"/>
  <c r="U51" i="5" s="1"/>
  <c r="AD51" i="5" s="1"/>
  <c r="AN14" i="5"/>
  <c r="U14" i="5" s="1"/>
  <c r="AD14" i="5" s="1"/>
  <c r="AN83" i="5"/>
  <c r="U83" i="5" s="1"/>
  <c r="AN36" i="5"/>
  <c r="U36" i="5" s="1"/>
  <c r="AD36" i="5" s="1"/>
  <c r="AN37" i="5"/>
  <c r="U37" i="5" s="1"/>
  <c r="AD37" i="5" s="1"/>
  <c r="AN91" i="5"/>
  <c r="U91" i="5" s="1"/>
  <c r="AN47" i="5"/>
  <c r="U47" i="5" s="1"/>
  <c r="AN10" i="5"/>
  <c r="U10" i="5" s="1"/>
  <c r="U10" i="6" s="1"/>
  <c r="AN65" i="5"/>
  <c r="U65" i="5" s="1"/>
  <c r="AD65" i="5" s="1"/>
  <c r="AN55" i="5"/>
  <c r="U55" i="5" s="1"/>
  <c r="AD55" i="5" s="1"/>
  <c r="AN30" i="5"/>
  <c r="U30" i="5" s="1"/>
  <c r="AD30" i="5" s="1"/>
  <c r="AN53" i="5"/>
  <c r="U53" i="5" s="1"/>
  <c r="AD53" i="5" s="1"/>
  <c r="AN52" i="5"/>
  <c r="U52" i="5" s="1"/>
  <c r="AD52" i="5" s="1"/>
  <c r="AN50" i="5"/>
  <c r="U50" i="5" s="1"/>
  <c r="AD50" i="5" s="1"/>
  <c r="AN88" i="5"/>
  <c r="U88" i="5" s="1"/>
  <c r="AD88" i="5" s="1"/>
  <c r="AN75" i="5"/>
  <c r="U75" i="5" s="1"/>
  <c r="AD75" i="5" s="1"/>
  <c r="AN76" i="5"/>
  <c r="U76" i="5" s="1"/>
  <c r="AD76" i="5" s="1"/>
  <c r="AN79" i="5"/>
  <c r="U79" i="5" s="1"/>
  <c r="AD79" i="5" s="1"/>
  <c r="AN82" i="5"/>
  <c r="U82" i="5" s="1"/>
  <c r="AN78" i="5"/>
  <c r="U78" i="5" s="1"/>
  <c r="AD78" i="5" s="1"/>
  <c r="AN80" i="5"/>
  <c r="U80" i="5" s="1"/>
  <c r="AD80" i="5" s="1"/>
  <c r="AN81" i="5"/>
  <c r="U81" i="5" s="1"/>
  <c r="AD81" i="5" s="1"/>
  <c r="AN86" i="5"/>
  <c r="U86" i="5" s="1"/>
  <c r="AN87" i="5"/>
  <c r="U87" i="5" s="1"/>
  <c r="AN85" i="5"/>
  <c r="U85" i="5" s="1"/>
  <c r="T82" i="6"/>
  <c r="AC82" i="6" s="1"/>
  <c r="AC82" i="5"/>
  <c r="T19" i="6"/>
  <c r="AC19" i="6" s="1"/>
  <c r="AC19" i="5"/>
  <c r="T24" i="6"/>
  <c r="AC24" i="6" s="1"/>
  <c r="AC24" i="5"/>
  <c r="T81" i="6"/>
  <c r="AC81" i="6" s="1"/>
  <c r="AC81" i="5"/>
  <c r="G48" i="20"/>
  <c r="Q70" i="20"/>
  <c r="G49" i="20"/>
  <c r="F70" i="20"/>
  <c r="F69" i="20"/>
  <c r="Q69" i="20"/>
  <c r="G44" i="20"/>
  <c r="F71" i="20"/>
  <c r="G50" i="20"/>
  <c r="F64" i="20"/>
  <c r="G51" i="20"/>
  <c r="F68" i="20"/>
  <c r="Q68" i="20"/>
  <c r="T87" i="6"/>
  <c r="E92" i="20"/>
  <c r="U98" i="5"/>
  <c r="U98" i="6" s="1"/>
  <c r="Y28" i="20"/>
  <c r="Z11" i="20"/>
  <c r="Y11" i="20"/>
  <c r="U97" i="5"/>
  <c r="T95" i="6"/>
  <c r="T93" i="6"/>
  <c r="T94" i="6"/>
  <c r="T99" i="6"/>
  <c r="T96" i="6"/>
  <c r="T92" i="6"/>
  <c r="Y31" i="20"/>
  <c r="Z31" i="20"/>
  <c r="Z28" i="20"/>
  <c r="Z8" i="20"/>
  <c r="Y8" i="20"/>
  <c r="T10" i="6"/>
  <c r="U92" i="5"/>
  <c r="U100" i="5"/>
  <c r="U96" i="5"/>
  <c r="U94" i="5"/>
  <c r="U95" i="5"/>
  <c r="U99" i="5"/>
  <c r="T100" i="6"/>
  <c r="T38" i="6"/>
  <c r="F13" i="12"/>
  <c r="E97" i="20"/>
  <c r="Z9" i="20"/>
  <c r="Y30" i="20"/>
  <c r="Z29" i="20"/>
  <c r="Y9" i="20"/>
  <c r="T88" i="6"/>
  <c r="T90" i="6"/>
  <c r="T91" i="6"/>
  <c r="U90" i="5"/>
  <c r="T89" i="6"/>
  <c r="T84" i="6"/>
  <c r="AC84" i="6" s="1"/>
  <c r="T80" i="6"/>
  <c r="AC80" i="6" s="1"/>
  <c r="Z26" i="20"/>
  <c r="Y13" i="20"/>
  <c r="Z6" i="20"/>
  <c r="Y29" i="20"/>
  <c r="Y6" i="20"/>
  <c r="T30" i="6"/>
  <c r="Y26" i="20"/>
  <c r="T78" i="6"/>
  <c r="AC78" i="6" s="1"/>
  <c r="Y16" i="20"/>
  <c r="Y19" i="20"/>
  <c r="T35" i="6"/>
  <c r="T31" i="6"/>
  <c r="T62" i="6"/>
  <c r="AC62" i="6" s="1"/>
  <c r="T74" i="6"/>
  <c r="AC74" i="6" s="1"/>
  <c r="T32" i="6"/>
  <c r="T39" i="6"/>
  <c r="T86" i="6"/>
  <c r="Z10" i="20"/>
  <c r="Y17" i="20"/>
  <c r="Y18" i="20"/>
  <c r="Z14" i="20"/>
  <c r="Y14" i="20"/>
  <c r="Z30" i="20"/>
  <c r="Y34" i="20"/>
  <c r="Y35" i="20"/>
  <c r="Z38" i="20"/>
  <c r="Z35" i="20"/>
  <c r="T15" i="6"/>
  <c r="AC15" i="6" s="1"/>
  <c r="Y15" i="20"/>
  <c r="Z16" i="20"/>
  <c r="Z17" i="20"/>
  <c r="Y38" i="20"/>
  <c r="Y36" i="20"/>
  <c r="Y10" i="20"/>
  <c r="Z36" i="20"/>
  <c r="Z34" i="20"/>
  <c r="E99" i="20"/>
  <c r="F14" i="12"/>
  <c r="E106" i="20"/>
  <c r="F16" i="12"/>
  <c r="Z13" i="20"/>
  <c r="Z18" i="20"/>
  <c r="Y39" i="20"/>
  <c r="Z33" i="20"/>
  <c r="Z37" i="20"/>
  <c r="T25" i="6"/>
  <c r="AC25" i="6" s="1"/>
  <c r="Z19" i="20"/>
  <c r="Z15" i="20"/>
  <c r="Y33" i="20"/>
  <c r="Y37" i="20"/>
  <c r="Z39" i="20"/>
  <c r="T34" i="6"/>
  <c r="T21" i="6"/>
  <c r="AC21" i="6" s="1"/>
  <c r="T53" i="6"/>
  <c r="T43" i="6"/>
  <c r="T26" i="6"/>
  <c r="AC26" i="6" s="1"/>
  <c r="T50" i="6"/>
  <c r="T8" i="6"/>
  <c r="T49" i="6"/>
  <c r="T14" i="6"/>
  <c r="AC14" i="6" s="1"/>
  <c r="T22" i="6"/>
  <c r="AC22" i="6" s="1"/>
  <c r="T4" i="6"/>
  <c r="T68" i="6"/>
  <c r="AC68" i="6" s="1"/>
  <c r="T71" i="6"/>
  <c r="AC71" i="6" s="1"/>
  <c r="T54" i="6"/>
  <c r="T77" i="6"/>
  <c r="AC77" i="6" s="1"/>
  <c r="AH73" i="1"/>
  <c r="AH71" i="1"/>
  <c r="AH45" i="1"/>
  <c r="AH59" i="1"/>
  <c r="AH43" i="1"/>
  <c r="AH56" i="1"/>
  <c r="AH49" i="1"/>
  <c r="AH64" i="1"/>
  <c r="AH60" i="1"/>
  <c r="AH66" i="1"/>
  <c r="AH44" i="1"/>
  <c r="AH58" i="1"/>
  <c r="AH50" i="1"/>
  <c r="AH67" i="1"/>
  <c r="AH69" i="1"/>
  <c r="AH70" i="1"/>
  <c r="AH53" i="1"/>
  <c r="AO17" i="5" s="1"/>
  <c r="AH57" i="1"/>
  <c r="AH46" i="1"/>
  <c r="AH52" i="1"/>
  <c r="AH63" i="1"/>
  <c r="AH72" i="1"/>
  <c r="AH51" i="1"/>
  <c r="AH48" i="1"/>
  <c r="AH55" i="1"/>
  <c r="AO29" i="5" s="1"/>
  <c r="AH62" i="1"/>
  <c r="AH54" i="1"/>
  <c r="AO90" i="5" s="1"/>
  <c r="AH68" i="1"/>
  <c r="AH65" i="1"/>
  <c r="AH61" i="1"/>
  <c r="AH47" i="1"/>
  <c r="T36" i="6"/>
  <c r="T44" i="6"/>
  <c r="T52" i="6"/>
  <c r="T46" i="6"/>
  <c r="T23" i="6"/>
  <c r="AC23" i="6" s="1"/>
  <c r="T61" i="6"/>
  <c r="AC61" i="6" s="1"/>
  <c r="T9" i="6"/>
  <c r="T6" i="6"/>
  <c r="T11" i="6"/>
  <c r="T18" i="6"/>
  <c r="AC18" i="6" s="1"/>
  <c r="T40" i="6"/>
  <c r="T55" i="6"/>
  <c r="T60" i="6"/>
  <c r="AC60" i="6" s="1"/>
  <c r="T59" i="6"/>
  <c r="AC59" i="6" s="1"/>
  <c r="T58" i="6"/>
  <c r="AC58" i="6" s="1"/>
  <c r="T56" i="6"/>
  <c r="U34" i="5"/>
  <c r="AD34" i="5" s="1"/>
  <c r="U17" i="5"/>
  <c r="AD17" i="5" s="1"/>
  <c r="U6" i="5"/>
  <c r="U7" i="5"/>
  <c r="T27" i="6"/>
  <c r="AC27" i="6" s="1"/>
  <c r="T45" i="6"/>
  <c r="T48" i="6"/>
  <c r="T12" i="6"/>
  <c r="T33" i="6"/>
  <c r="T75" i="6"/>
  <c r="AC75" i="6" s="1"/>
  <c r="T7" i="6"/>
  <c r="T66" i="6"/>
  <c r="AC66" i="6" s="1"/>
  <c r="T20" i="6"/>
  <c r="AC20" i="6" s="1"/>
  <c r="T70" i="6"/>
  <c r="AC70" i="6" s="1"/>
  <c r="T64" i="6"/>
  <c r="AC64" i="6" s="1"/>
  <c r="T57" i="6"/>
  <c r="AC57" i="6" s="1"/>
  <c r="T72" i="6"/>
  <c r="AC72" i="6" s="1"/>
  <c r="T47" i="6"/>
  <c r="T73" i="6"/>
  <c r="AC73" i="6" s="1"/>
  <c r="T13" i="6"/>
  <c r="AC13" i="6" s="1"/>
  <c r="T17" i="6"/>
  <c r="AC17" i="6" s="1"/>
  <c r="T37" i="6"/>
  <c r="T65" i="6"/>
  <c r="AC65" i="6" s="1"/>
  <c r="T51" i="6"/>
  <c r="T79" i="6"/>
  <c r="AC79" i="6" s="1"/>
  <c r="T42" i="6"/>
  <c r="T83" i="6"/>
  <c r="AC83" i="6" s="1"/>
  <c r="T85" i="6"/>
  <c r="T76" i="6"/>
  <c r="AC76" i="6" s="1"/>
  <c r="T69" i="6"/>
  <c r="AC69" i="6" s="1"/>
  <c r="T67" i="6"/>
  <c r="AC67" i="6" s="1"/>
  <c r="T63" i="6"/>
  <c r="AC63" i="6" s="1"/>
  <c r="T5" i="6"/>
  <c r="U29" i="5"/>
  <c r="AD29" i="5" s="1"/>
  <c r="U4" i="5"/>
  <c r="AO9" i="5" l="1"/>
  <c r="AO7" i="5"/>
  <c r="AO92" i="5"/>
  <c r="AO15" i="5"/>
  <c r="V15" i="5" s="1"/>
  <c r="AE15" i="5" s="1"/>
  <c r="AO16" i="5"/>
  <c r="V16" i="5" s="1"/>
  <c r="AE16" i="5" s="1"/>
  <c r="G66" i="20"/>
  <c r="G92" i="20" s="1"/>
  <c r="H46" i="20"/>
  <c r="AO43" i="5"/>
  <c r="V43" i="5" s="1"/>
  <c r="AO46" i="5"/>
  <c r="V46" i="5" s="1"/>
  <c r="AO34" i="5"/>
  <c r="V34" i="5" s="1"/>
  <c r="AO56" i="5"/>
  <c r="V56" i="5" s="1"/>
  <c r="AE56" i="5" s="1"/>
  <c r="AO31" i="5"/>
  <c r="V31" i="5" s="1"/>
  <c r="AE31" i="5" s="1"/>
  <c r="AO38" i="5"/>
  <c r="V38" i="5" s="1"/>
  <c r="AO36" i="5"/>
  <c r="V36" i="5" s="1"/>
  <c r="AO91" i="5"/>
  <c r="V91" i="5" s="1"/>
  <c r="AO37" i="5"/>
  <c r="V37" i="5" s="1"/>
  <c r="AO58" i="5"/>
  <c r="V58" i="5" s="1"/>
  <c r="AO66" i="5"/>
  <c r="V66" i="5" s="1"/>
  <c r="AE66" i="5" s="1"/>
  <c r="AO54" i="5"/>
  <c r="V54" i="5" s="1"/>
  <c r="AE54" i="5" s="1"/>
  <c r="V97" i="5"/>
  <c r="V97" i="6" s="1"/>
  <c r="AO6" i="5"/>
  <c r="V6" i="5" s="1"/>
  <c r="AO27" i="5"/>
  <c r="V27" i="5" s="1"/>
  <c r="AO11" i="5"/>
  <c r="V11" i="5" s="1"/>
  <c r="AE11" i="5" s="1"/>
  <c r="AO20" i="5"/>
  <c r="V20" i="5" s="1"/>
  <c r="AE20" i="5" s="1"/>
  <c r="AO49" i="5"/>
  <c r="V49" i="5" s="1"/>
  <c r="AE49" i="5" s="1"/>
  <c r="AO32" i="5"/>
  <c r="V32" i="5" s="1"/>
  <c r="AO70" i="5"/>
  <c r="V70" i="5" s="1"/>
  <c r="AE70" i="5" s="1"/>
  <c r="AO22" i="5"/>
  <c r="V22" i="5" s="1"/>
  <c r="AE22" i="5" s="1"/>
  <c r="AO21" i="5"/>
  <c r="V21" i="5" s="1"/>
  <c r="AE21" i="5" s="1"/>
  <c r="AO41" i="5"/>
  <c r="AO40" i="5"/>
  <c r="V40" i="5" s="1"/>
  <c r="AO25" i="5"/>
  <c r="V25" i="5" s="1"/>
  <c r="AE25" i="5" s="1"/>
  <c r="AO89" i="5"/>
  <c r="V89" i="5" s="1"/>
  <c r="AO13" i="5"/>
  <c r="V13" i="5" s="1"/>
  <c r="AE13" i="5" s="1"/>
  <c r="AO24" i="5"/>
  <c r="V24" i="5" s="1"/>
  <c r="AE24" i="5" s="1"/>
  <c r="AO39" i="5"/>
  <c r="V39" i="5" s="1"/>
  <c r="AE39" i="5" s="1"/>
  <c r="AO23" i="5"/>
  <c r="V23" i="5" s="1"/>
  <c r="AE23" i="5" s="1"/>
  <c r="AO26" i="5"/>
  <c r="V26" i="5" s="1"/>
  <c r="AO8" i="5"/>
  <c r="V8" i="5" s="1"/>
  <c r="AO33" i="5"/>
  <c r="V33" i="5" s="1"/>
  <c r="AO19" i="5"/>
  <c r="V19" i="5" s="1"/>
  <c r="AE19" i="5" s="1"/>
  <c r="AO48" i="5"/>
  <c r="V48" i="5" s="1"/>
  <c r="AO72" i="5"/>
  <c r="V72" i="5" s="1"/>
  <c r="AE72" i="5" s="1"/>
  <c r="AO71" i="5"/>
  <c r="V71" i="5" s="1"/>
  <c r="AE71" i="5" s="1"/>
  <c r="AO74" i="5"/>
  <c r="V74" i="5" s="1"/>
  <c r="AO61" i="5"/>
  <c r="V61" i="5" s="1"/>
  <c r="AO67" i="5"/>
  <c r="V67" i="5" s="1"/>
  <c r="AE67" i="5" s="1"/>
  <c r="AO84" i="5"/>
  <c r="V84" i="5" s="1"/>
  <c r="AE84" i="5" s="1"/>
  <c r="AO68" i="5"/>
  <c r="V68" i="5" s="1"/>
  <c r="AE68" i="5" s="1"/>
  <c r="AO69" i="5"/>
  <c r="V69" i="5" s="1"/>
  <c r="AE69" i="5" s="1"/>
  <c r="AO80" i="5"/>
  <c r="V80" i="5" s="1"/>
  <c r="AE80" i="5" s="1"/>
  <c r="AO81" i="5"/>
  <c r="V81" i="5" s="1"/>
  <c r="AE81" i="5" s="1"/>
  <c r="AO85" i="5"/>
  <c r="V85" i="5" s="1"/>
  <c r="AE85" i="5" s="1"/>
  <c r="AO88" i="5"/>
  <c r="V88" i="5" s="1"/>
  <c r="AE88" i="5" s="1"/>
  <c r="AO79" i="5"/>
  <c r="V79" i="5" s="1"/>
  <c r="AE79" i="5" s="1"/>
  <c r="AO75" i="5"/>
  <c r="V75" i="5" s="1"/>
  <c r="AE75" i="5" s="1"/>
  <c r="AO82" i="5"/>
  <c r="V82" i="5" s="1"/>
  <c r="AE82" i="5" s="1"/>
  <c r="AO86" i="5"/>
  <c r="V86" i="5" s="1"/>
  <c r="AE86" i="5" s="1"/>
  <c r="AO78" i="5"/>
  <c r="V78" i="5" s="1"/>
  <c r="AO87" i="5"/>
  <c r="V87" i="5" s="1"/>
  <c r="AO76" i="5"/>
  <c r="V76" i="5" s="1"/>
  <c r="AE76" i="5" s="1"/>
  <c r="AO83" i="5"/>
  <c r="V83" i="5" s="1"/>
  <c r="AE83" i="5" s="1"/>
  <c r="AO77" i="5"/>
  <c r="V77" i="5" s="1"/>
  <c r="AE77" i="5" s="1"/>
  <c r="AO51" i="5"/>
  <c r="V51" i="5" s="1"/>
  <c r="AE51" i="5" s="1"/>
  <c r="AO14" i="5"/>
  <c r="V14" i="5" s="1"/>
  <c r="AE14" i="5" s="1"/>
  <c r="AO65" i="5"/>
  <c r="V65" i="5" s="1"/>
  <c r="AE65" i="5" s="1"/>
  <c r="AO55" i="5"/>
  <c r="V55" i="5" s="1"/>
  <c r="AE55" i="5" s="1"/>
  <c r="AO53" i="5"/>
  <c r="V53" i="5" s="1"/>
  <c r="AE53" i="5" s="1"/>
  <c r="AO50" i="5"/>
  <c r="V50" i="5" s="1"/>
  <c r="AO30" i="5"/>
  <c r="V30" i="5" s="1"/>
  <c r="AO47" i="5"/>
  <c r="V47" i="5" s="1"/>
  <c r="AO52" i="5"/>
  <c r="V52" i="5" s="1"/>
  <c r="AE52" i="5" s="1"/>
  <c r="AO10" i="5"/>
  <c r="V10" i="5" s="1"/>
  <c r="AO42" i="5"/>
  <c r="V42" i="5" s="1"/>
  <c r="AE42" i="5" s="1"/>
  <c r="AO63" i="5"/>
  <c r="V63" i="5" s="1"/>
  <c r="AO59" i="5"/>
  <c r="V59" i="5" s="1"/>
  <c r="AO62" i="5"/>
  <c r="V62" i="5" s="1"/>
  <c r="AO44" i="5"/>
  <c r="V44" i="5" s="1"/>
  <c r="AO73" i="5"/>
  <c r="V73" i="5" s="1"/>
  <c r="AE73" i="5" s="1"/>
  <c r="AO60" i="5"/>
  <c r="V60" i="5" s="1"/>
  <c r="AO35" i="5"/>
  <c r="V35" i="5" s="1"/>
  <c r="AO64" i="5"/>
  <c r="V64" i="5" s="1"/>
  <c r="AO12" i="5"/>
  <c r="V12" i="5" s="1"/>
  <c r="AE12" i="5" s="1"/>
  <c r="AO57" i="5"/>
  <c r="V57" i="5" s="1"/>
  <c r="AO18" i="5"/>
  <c r="V18" i="5" s="1"/>
  <c r="AE18" i="5" s="1"/>
  <c r="AO93" i="5"/>
  <c r="V93" i="5" s="1"/>
  <c r="AO45" i="5"/>
  <c r="V45" i="5" s="1"/>
  <c r="AO28" i="5"/>
  <c r="V28" i="5" s="1"/>
  <c r="AO5" i="5"/>
  <c r="V5" i="5" s="1"/>
  <c r="U24" i="6"/>
  <c r="AD24" i="6" s="1"/>
  <c r="AD24" i="5"/>
  <c r="U84" i="6"/>
  <c r="G64" i="20"/>
  <c r="G69" i="20"/>
  <c r="H44" i="20"/>
  <c r="G68" i="20"/>
  <c r="H50" i="20"/>
  <c r="H49" i="20"/>
  <c r="G70" i="20"/>
  <c r="H51" i="20"/>
  <c r="G71" i="20"/>
  <c r="H48" i="20"/>
  <c r="H17" i="13"/>
  <c r="C17" i="13"/>
  <c r="J17" i="13"/>
  <c r="E17" i="13"/>
  <c r="F17" i="13"/>
  <c r="D17" i="13"/>
  <c r="I17" i="13"/>
  <c r="G10" i="12"/>
  <c r="V98" i="5"/>
  <c r="V98" i="6" s="1"/>
  <c r="U97" i="6"/>
  <c r="U87" i="6"/>
  <c r="U100" i="6"/>
  <c r="U94" i="6"/>
  <c r="U99" i="6"/>
  <c r="U96" i="6"/>
  <c r="V100" i="5"/>
  <c r="V95" i="5"/>
  <c r="V95" i="6" s="1"/>
  <c r="V96" i="5"/>
  <c r="V94" i="5"/>
  <c r="V99" i="5"/>
  <c r="V92" i="5"/>
  <c r="U93" i="6"/>
  <c r="U95" i="6"/>
  <c r="U92" i="6"/>
  <c r="V90" i="5"/>
  <c r="U90" i="6"/>
  <c r="U91" i="6"/>
  <c r="U88" i="6"/>
  <c r="AD88" i="6" s="1"/>
  <c r="U89" i="6"/>
  <c r="U16" i="6"/>
  <c r="AD16" i="6" s="1"/>
  <c r="U80" i="6"/>
  <c r="AD80" i="6" s="1"/>
  <c r="U30" i="6"/>
  <c r="AD30" i="6" s="1"/>
  <c r="U28" i="6"/>
  <c r="AD28" i="6" s="1"/>
  <c r="U78" i="6"/>
  <c r="AD78" i="6" s="1"/>
  <c r="U82" i="6"/>
  <c r="U81" i="6"/>
  <c r="AD81" i="6" s="1"/>
  <c r="U39" i="6"/>
  <c r="AD39" i="6" s="1"/>
  <c r="U31" i="6"/>
  <c r="AD31" i="6" s="1"/>
  <c r="U62" i="6"/>
  <c r="AD62" i="6" s="1"/>
  <c r="U29" i="6"/>
  <c r="AD29" i="6" s="1"/>
  <c r="U19" i="6"/>
  <c r="AD19" i="6" s="1"/>
  <c r="U32" i="6"/>
  <c r="AD32" i="6" s="1"/>
  <c r="U74" i="6"/>
  <c r="AD74" i="6" s="1"/>
  <c r="U86" i="6"/>
  <c r="U35" i="6"/>
  <c r="AD35" i="6" s="1"/>
  <c r="U38" i="6"/>
  <c r="U25" i="6"/>
  <c r="AD25" i="6" s="1"/>
  <c r="U15" i="6"/>
  <c r="AD15" i="6" s="1"/>
  <c r="F98" i="20"/>
  <c r="G13" i="12"/>
  <c r="F99" i="20"/>
  <c r="G14" i="12"/>
  <c r="F97" i="20"/>
  <c r="G12" i="12"/>
  <c r="G16" i="12"/>
  <c r="F106" i="20"/>
  <c r="U5" i="6"/>
  <c r="U85" i="6"/>
  <c r="U42" i="6"/>
  <c r="AD42" i="6" s="1"/>
  <c r="U83" i="6"/>
  <c r="U40" i="6"/>
  <c r="AD40" i="6" s="1"/>
  <c r="U58" i="6"/>
  <c r="AD58" i="6" s="1"/>
  <c r="U54" i="6"/>
  <c r="AD54" i="6" s="1"/>
  <c r="U72" i="6"/>
  <c r="AD72" i="6" s="1"/>
  <c r="U63" i="6"/>
  <c r="AD63" i="6" s="1"/>
  <c r="U75" i="6"/>
  <c r="AD75" i="6" s="1"/>
  <c r="U33" i="6"/>
  <c r="AD33" i="6" s="1"/>
  <c r="U9" i="6"/>
  <c r="U6" i="6"/>
  <c r="U79" i="6"/>
  <c r="AD79" i="6" s="1"/>
  <c r="U12" i="6"/>
  <c r="AD12" i="6" s="1"/>
  <c r="U53" i="6"/>
  <c r="AD53" i="6" s="1"/>
  <c r="U52" i="6"/>
  <c r="AD52" i="6" s="1"/>
  <c r="V7" i="5"/>
  <c r="V9" i="5"/>
  <c r="U47" i="6"/>
  <c r="U22" i="6"/>
  <c r="AD22" i="6" s="1"/>
  <c r="U11" i="6"/>
  <c r="AD11" i="6" s="1"/>
  <c r="U57" i="6"/>
  <c r="AD57" i="6" s="1"/>
  <c r="U67" i="6"/>
  <c r="AD67" i="6" s="1"/>
  <c r="U71" i="6"/>
  <c r="AD71" i="6" s="1"/>
  <c r="U70" i="6"/>
  <c r="AD70" i="6" s="1"/>
  <c r="U26" i="6"/>
  <c r="AD26" i="6" s="1"/>
  <c r="U43" i="6"/>
  <c r="AD43" i="6" s="1"/>
  <c r="U37" i="6"/>
  <c r="AD37" i="6" s="1"/>
  <c r="U51" i="6"/>
  <c r="AD51" i="6" s="1"/>
  <c r="U17" i="6"/>
  <c r="AD17" i="6" s="1"/>
  <c r="U45" i="6"/>
  <c r="AD45" i="6" s="1"/>
  <c r="U48" i="6"/>
  <c r="V17" i="5"/>
  <c r="AE17" i="5" s="1"/>
  <c r="U36" i="6"/>
  <c r="AD36" i="6" s="1"/>
  <c r="U20" i="6"/>
  <c r="AD20" i="6" s="1"/>
  <c r="U76" i="6"/>
  <c r="AD76" i="6" s="1"/>
  <c r="U69" i="6"/>
  <c r="AD69" i="6" s="1"/>
  <c r="U68" i="6"/>
  <c r="AD68" i="6" s="1"/>
  <c r="U59" i="6"/>
  <c r="AD59" i="6" s="1"/>
  <c r="U60" i="6"/>
  <c r="AD60" i="6" s="1"/>
  <c r="U23" i="6"/>
  <c r="AD23" i="6" s="1"/>
  <c r="U7" i="6"/>
  <c r="U50" i="6"/>
  <c r="AD50" i="6" s="1"/>
  <c r="U66" i="6"/>
  <c r="AD66" i="6" s="1"/>
  <c r="U34" i="6"/>
  <c r="AD34" i="6" s="1"/>
  <c r="U44" i="6"/>
  <c r="AD44" i="6" s="1"/>
  <c r="AI72" i="1"/>
  <c r="AI47" i="1"/>
  <c r="AI55" i="1"/>
  <c r="AP29" i="5" s="1"/>
  <c r="AI57" i="1"/>
  <c r="AI63" i="1"/>
  <c r="AI53" i="1"/>
  <c r="AP17" i="5" s="1"/>
  <c r="AI43" i="1"/>
  <c r="AI44" i="1"/>
  <c r="AI52" i="1"/>
  <c r="AI65" i="1"/>
  <c r="AI50" i="1"/>
  <c r="AI61" i="1"/>
  <c r="AI45" i="1"/>
  <c r="AI60" i="1"/>
  <c r="AI54" i="1"/>
  <c r="AI62" i="1"/>
  <c r="AI51" i="1"/>
  <c r="AI58" i="1"/>
  <c r="AI56" i="1"/>
  <c r="AI46" i="1"/>
  <c r="AP92" i="5" s="1"/>
  <c r="AI66" i="1"/>
  <c r="AI64" i="1"/>
  <c r="AI48" i="1"/>
  <c r="AI49" i="1"/>
  <c r="AP6" i="5" s="1"/>
  <c r="AI70" i="1"/>
  <c r="AI73" i="1"/>
  <c r="AI67" i="1"/>
  <c r="AI69" i="1"/>
  <c r="AI71" i="1"/>
  <c r="AI59" i="1"/>
  <c r="AI68" i="1"/>
  <c r="V29" i="5"/>
  <c r="V4" i="5"/>
  <c r="U27" i="6"/>
  <c r="AD27" i="6" s="1"/>
  <c r="U14" i="6"/>
  <c r="AD14" i="6" s="1"/>
  <c r="U18" i="6"/>
  <c r="AD18" i="6" s="1"/>
  <c r="U4" i="6"/>
  <c r="U55" i="6"/>
  <c r="AD55" i="6" s="1"/>
  <c r="U77" i="6"/>
  <c r="AD77" i="6" s="1"/>
  <c r="U64" i="6"/>
  <c r="AD64" i="6" s="1"/>
  <c r="U56" i="6"/>
  <c r="AD56" i="6" s="1"/>
  <c r="U65" i="6"/>
  <c r="AD65" i="6" s="1"/>
  <c r="U61" i="6"/>
  <c r="AD61" i="6" s="1"/>
  <c r="U49" i="6"/>
  <c r="AD49" i="6" s="1"/>
  <c r="U8" i="6"/>
  <c r="U46" i="6"/>
  <c r="U13" i="6"/>
  <c r="AD13" i="6" s="1"/>
  <c r="U21" i="6"/>
  <c r="AD21" i="6" s="1"/>
  <c r="U73" i="6"/>
  <c r="AD73" i="6" s="1"/>
  <c r="AP9" i="5" l="1"/>
  <c r="AP7" i="5"/>
  <c r="AP90" i="5"/>
  <c r="W90" i="5" s="1"/>
  <c r="AP15" i="5"/>
  <c r="AP16" i="5"/>
  <c r="W16" i="5" s="1"/>
  <c r="AF16" i="5" s="1"/>
  <c r="I46" i="20"/>
  <c r="L46" i="20" s="1"/>
  <c r="H66" i="20"/>
  <c r="I10" i="12" s="1"/>
  <c r="AP38" i="5"/>
  <c r="W38" i="5" s="1"/>
  <c r="W38" i="6" s="1"/>
  <c r="AP31" i="5"/>
  <c r="W31" i="5" s="1"/>
  <c r="AF31" i="5" s="1"/>
  <c r="AP34" i="5"/>
  <c r="W34" i="5" s="1"/>
  <c r="AF34" i="5" s="1"/>
  <c r="AP56" i="5"/>
  <c r="W56" i="5" s="1"/>
  <c r="AF56" i="5" s="1"/>
  <c r="AP43" i="5"/>
  <c r="W43" i="5" s="1"/>
  <c r="AF43" i="5" s="1"/>
  <c r="AP46" i="5"/>
  <c r="W46" i="5" s="1"/>
  <c r="AF46" i="5" s="1"/>
  <c r="K17" i="13"/>
  <c r="AP27" i="5"/>
  <c r="W27" i="5" s="1"/>
  <c r="AF27" i="5" s="1"/>
  <c r="AP11" i="5"/>
  <c r="W11" i="5" s="1"/>
  <c r="AF11" i="5" s="1"/>
  <c r="AP32" i="5"/>
  <c r="W32" i="5" s="1"/>
  <c r="AF32" i="5" s="1"/>
  <c r="AP70" i="5"/>
  <c r="W70" i="5" s="1"/>
  <c r="AF70" i="5" s="1"/>
  <c r="AP23" i="5"/>
  <c r="W23" i="5" s="1"/>
  <c r="AF23" i="5" s="1"/>
  <c r="AP25" i="5"/>
  <c r="W25" i="5" s="1"/>
  <c r="AF25" i="5" s="1"/>
  <c r="AP89" i="5"/>
  <c r="W89" i="5" s="1"/>
  <c r="AP20" i="5"/>
  <c r="W20" i="5" s="1"/>
  <c r="AF20" i="5" s="1"/>
  <c r="AP26" i="5"/>
  <c r="W26" i="5" s="1"/>
  <c r="AF26" i="5" s="1"/>
  <c r="AP21" i="5"/>
  <c r="W21" i="5" s="1"/>
  <c r="AF21" i="5" s="1"/>
  <c r="AP8" i="5"/>
  <c r="W8" i="5" s="1"/>
  <c r="AP39" i="5"/>
  <c r="W39" i="5" s="1"/>
  <c r="AF39" i="5" s="1"/>
  <c r="AP41" i="5"/>
  <c r="AP33" i="5"/>
  <c r="W33" i="5" s="1"/>
  <c r="AF33" i="5" s="1"/>
  <c r="AP13" i="5"/>
  <c r="W13" i="5" s="1"/>
  <c r="AF13" i="5" s="1"/>
  <c r="AP22" i="5"/>
  <c r="W22" i="5" s="1"/>
  <c r="AF22" i="5" s="1"/>
  <c r="AP49" i="5"/>
  <c r="W49" i="5" s="1"/>
  <c r="AF49" i="5" s="1"/>
  <c r="AP40" i="5"/>
  <c r="W40" i="5" s="1"/>
  <c r="AF40" i="5" s="1"/>
  <c r="AP24" i="5"/>
  <c r="W24" i="5" s="1"/>
  <c r="AF24" i="5" s="1"/>
  <c r="AP19" i="5"/>
  <c r="W19" i="5" s="1"/>
  <c r="AF19" i="5" s="1"/>
  <c r="AP72" i="5"/>
  <c r="W72" i="5" s="1"/>
  <c r="AF72" i="5" s="1"/>
  <c r="AP84" i="5"/>
  <c r="W84" i="5" s="1"/>
  <c r="AF84" i="5" s="1"/>
  <c r="AP68" i="5"/>
  <c r="W68" i="5" s="1"/>
  <c r="AF68" i="5" s="1"/>
  <c r="AP74" i="5"/>
  <c r="W74" i="5" s="1"/>
  <c r="AF74" i="5" s="1"/>
  <c r="AP71" i="5"/>
  <c r="W71" i="5" s="1"/>
  <c r="AF71" i="5" s="1"/>
  <c r="AP48" i="5"/>
  <c r="W48" i="5" s="1"/>
  <c r="AF48" i="5" s="1"/>
  <c r="AP69" i="5"/>
  <c r="W69" i="5" s="1"/>
  <c r="AF69" i="5" s="1"/>
  <c r="AP61" i="5"/>
  <c r="W61" i="5" s="1"/>
  <c r="AF61" i="5" s="1"/>
  <c r="AP67" i="5"/>
  <c r="W67" i="5" s="1"/>
  <c r="AF67" i="5" s="1"/>
  <c r="AP75" i="5"/>
  <c r="W75" i="5" s="1"/>
  <c r="AF75" i="5" s="1"/>
  <c r="AP85" i="5"/>
  <c r="W85" i="5" s="1"/>
  <c r="AF85" i="5" s="1"/>
  <c r="AP80" i="5"/>
  <c r="W80" i="5" s="1"/>
  <c r="AF80" i="5" s="1"/>
  <c r="AP82" i="5"/>
  <c r="W82" i="5" s="1"/>
  <c r="AF82" i="5" s="1"/>
  <c r="AP88" i="5"/>
  <c r="W88" i="5" s="1"/>
  <c r="AF88" i="5" s="1"/>
  <c r="AP86" i="5"/>
  <c r="W86" i="5" s="1"/>
  <c r="AF86" i="5" s="1"/>
  <c r="AP76" i="5"/>
  <c r="W76" i="5" s="1"/>
  <c r="AF76" i="5" s="1"/>
  <c r="AP79" i="5"/>
  <c r="W79" i="5" s="1"/>
  <c r="AF79" i="5" s="1"/>
  <c r="AP87" i="5"/>
  <c r="W87" i="5" s="1"/>
  <c r="AF87" i="5" s="1"/>
  <c r="AP81" i="5"/>
  <c r="W81" i="5" s="1"/>
  <c r="AF81" i="5" s="1"/>
  <c r="AP78" i="5"/>
  <c r="W78" i="5" s="1"/>
  <c r="AF78" i="5" s="1"/>
  <c r="AP28" i="5"/>
  <c r="W28" i="5" s="1"/>
  <c r="AF28" i="5" s="1"/>
  <c r="AP5" i="5"/>
  <c r="W5" i="5" s="1"/>
  <c r="AP77" i="5"/>
  <c r="W77" i="5" s="1"/>
  <c r="AF77" i="5" s="1"/>
  <c r="AP51" i="5"/>
  <c r="W51" i="5" s="1"/>
  <c r="AF51" i="5" s="1"/>
  <c r="AP83" i="5"/>
  <c r="W83" i="5" s="1"/>
  <c r="AF83" i="5" s="1"/>
  <c r="AP14" i="5"/>
  <c r="W14" i="5" s="1"/>
  <c r="AF14" i="5" s="1"/>
  <c r="AP58" i="5"/>
  <c r="W58" i="5" s="1"/>
  <c r="AF58" i="5" s="1"/>
  <c r="AP66" i="5"/>
  <c r="W66" i="5" s="1"/>
  <c r="AF66" i="5" s="1"/>
  <c r="AP54" i="5"/>
  <c r="W54" i="5" s="1"/>
  <c r="AF54" i="5" s="1"/>
  <c r="AP37" i="5"/>
  <c r="W37" i="5" s="1"/>
  <c r="AF37" i="5" s="1"/>
  <c r="AP36" i="5"/>
  <c r="W36" i="5" s="1"/>
  <c r="AF36" i="5" s="1"/>
  <c r="AP91" i="5"/>
  <c r="W91" i="5" s="1"/>
  <c r="AP55" i="5"/>
  <c r="W55" i="5" s="1"/>
  <c r="AF55" i="5" s="1"/>
  <c r="AP53" i="5"/>
  <c r="W53" i="5" s="1"/>
  <c r="AF53" i="5" s="1"/>
  <c r="AP47" i="5"/>
  <c r="W47" i="5" s="1"/>
  <c r="AF47" i="5" s="1"/>
  <c r="AP30" i="5"/>
  <c r="W30" i="5" s="1"/>
  <c r="AF30" i="5" s="1"/>
  <c r="AP10" i="5"/>
  <c r="W10" i="5" s="1"/>
  <c r="AP65" i="5"/>
  <c r="W65" i="5" s="1"/>
  <c r="AF65" i="5" s="1"/>
  <c r="AP50" i="5"/>
  <c r="W50" i="5" s="1"/>
  <c r="AF50" i="5" s="1"/>
  <c r="AP52" i="5"/>
  <c r="W52" i="5" s="1"/>
  <c r="AF52" i="5" s="1"/>
  <c r="AP63" i="5"/>
  <c r="W63" i="5" s="1"/>
  <c r="AF63" i="5" s="1"/>
  <c r="AP35" i="5"/>
  <c r="W35" i="5" s="1"/>
  <c r="AF35" i="5" s="1"/>
  <c r="AP18" i="5"/>
  <c r="W18" i="5" s="1"/>
  <c r="AF18" i="5" s="1"/>
  <c r="AP12" i="5"/>
  <c r="W12" i="5" s="1"/>
  <c r="AF12" i="5" s="1"/>
  <c r="AP57" i="5"/>
  <c r="W57" i="5" s="1"/>
  <c r="AF57" i="5" s="1"/>
  <c r="AP44" i="5"/>
  <c r="W44" i="5" s="1"/>
  <c r="AF44" i="5" s="1"/>
  <c r="AP64" i="5"/>
  <c r="W64" i="5" s="1"/>
  <c r="AF64" i="5" s="1"/>
  <c r="AP73" i="5"/>
  <c r="W73" i="5" s="1"/>
  <c r="AF73" i="5" s="1"/>
  <c r="AP60" i="5"/>
  <c r="W60" i="5" s="1"/>
  <c r="AF60" i="5" s="1"/>
  <c r="AP42" i="5"/>
  <c r="W42" i="5" s="1"/>
  <c r="AF42" i="5" s="1"/>
  <c r="AP93" i="5"/>
  <c r="W93" i="5" s="1"/>
  <c r="AP45" i="5"/>
  <c r="W45" i="5" s="1"/>
  <c r="AF45" i="5" s="1"/>
  <c r="AP59" i="5"/>
  <c r="W59" i="5" s="1"/>
  <c r="AF59" i="5" s="1"/>
  <c r="AP62" i="5"/>
  <c r="W62" i="5" s="1"/>
  <c r="AF62" i="5" s="1"/>
  <c r="V74" i="6"/>
  <c r="AE74" i="6" s="1"/>
  <c r="AE74" i="5"/>
  <c r="V78" i="6"/>
  <c r="AE78" i="6" s="1"/>
  <c r="AE78" i="5"/>
  <c r="V62" i="6"/>
  <c r="V87" i="6"/>
  <c r="AE87" i="6" s="1"/>
  <c r="AE87" i="5"/>
  <c r="V46" i="20" s="1"/>
  <c r="I51" i="20"/>
  <c r="L51" i="20" s="1"/>
  <c r="I49" i="20"/>
  <c r="L49" i="20" s="1"/>
  <c r="H64" i="20"/>
  <c r="H70" i="20"/>
  <c r="H69" i="20"/>
  <c r="H68" i="20"/>
  <c r="I50" i="20"/>
  <c r="L50" i="20" s="1"/>
  <c r="H71" i="20"/>
  <c r="I44" i="20"/>
  <c r="I48" i="20"/>
  <c r="L48" i="20" s="1"/>
  <c r="J34" i="10"/>
  <c r="I34" i="10"/>
  <c r="H34" i="10"/>
  <c r="K34" i="10"/>
  <c r="H46" i="10"/>
  <c r="J46" i="10"/>
  <c r="K46" i="10"/>
  <c r="I46" i="10"/>
  <c r="I53" i="10"/>
  <c r="K53" i="10"/>
  <c r="H53" i="10"/>
  <c r="J53" i="10"/>
  <c r="I9" i="10"/>
  <c r="H9" i="10"/>
  <c r="J9" i="10"/>
  <c r="K9" i="10"/>
  <c r="L92" i="10"/>
  <c r="H92" i="10"/>
  <c r="J92" i="10"/>
  <c r="K92" i="10"/>
  <c r="I92" i="10"/>
  <c r="H28" i="10"/>
  <c r="K28" i="10"/>
  <c r="J28" i="10"/>
  <c r="I28" i="10"/>
  <c r="I95" i="10"/>
  <c r="K95" i="10"/>
  <c r="L95" i="10"/>
  <c r="H95" i="10"/>
  <c r="J95" i="10"/>
  <c r="I31" i="10"/>
  <c r="H31" i="10"/>
  <c r="J31" i="10"/>
  <c r="K31" i="10"/>
  <c r="J86" i="10"/>
  <c r="H86" i="10"/>
  <c r="I86" i="10"/>
  <c r="K86" i="10"/>
  <c r="J90" i="10"/>
  <c r="L90" i="10"/>
  <c r="H90" i="10"/>
  <c r="I90" i="10"/>
  <c r="K90" i="10"/>
  <c r="K65" i="10"/>
  <c r="I65" i="10"/>
  <c r="J65" i="10"/>
  <c r="H65" i="10"/>
  <c r="J56" i="10"/>
  <c r="H56" i="10"/>
  <c r="I56" i="10"/>
  <c r="K56" i="10"/>
  <c r="I59" i="10"/>
  <c r="J59" i="10"/>
  <c r="K59" i="10"/>
  <c r="H59" i="10"/>
  <c r="H18" i="10"/>
  <c r="K18" i="10"/>
  <c r="J18" i="10"/>
  <c r="I18" i="10"/>
  <c r="H22" i="10"/>
  <c r="K22" i="10"/>
  <c r="I22" i="10"/>
  <c r="J22" i="10"/>
  <c r="H84" i="10"/>
  <c r="J84" i="10"/>
  <c r="K84" i="10"/>
  <c r="I84" i="10"/>
  <c r="J20" i="10"/>
  <c r="I20" i="10"/>
  <c r="K20" i="10"/>
  <c r="H20" i="10"/>
  <c r="I87" i="10"/>
  <c r="K87" i="10"/>
  <c r="H87" i="10"/>
  <c r="J87" i="10"/>
  <c r="K23" i="10"/>
  <c r="J23" i="10"/>
  <c r="I23" i="10"/>
  <c r="H23" i="10"/>
  <c r="J42" i="10"/>
  <c r="I42" i="10"/>
  <c r="K42" i="10"/>
  <c r="H42" i="10"/>
  <c r="J62" i="10"/>
  <c r="K62" i="10"/>
  <c r="H62" i="10"/>
  <c r="I62" i="10"/>
  <c r="K61" i="10"/>
  <c r="J61" i="10"/>
  <c r="H61" i="10"/>
  <c r="I61" i="10"/>
  <c r="I17" i="10"/>
  <c r="H17" i="10"/>
  <c r="J17" i="10"/>
  <c r="K17" i="10"/>
  <c r="L96" i="10"/>
  <c r="H96" i="10"/>
  <c r="J96" i="10"/>
  <c r="K96" i="10"/>
  <c r="I96" i="10"/>
  <c r="H32" i="10"/>
  <c r="I32" i="10"/>
  <c r="K32" i="10"/>
  <c r="J32" i="10"/>
  <c r="I99" i="10"/>
  <c r="K99" i="10"/>
  <c r="H99" i="10"/>
  <c r="L99" i="10"/>
  <c r="J99" i="10"/>
  <c r="I35" i="10"/>
  <c r="J35" i="10"/>
  <c r="H35" i="10"/>
  <c r="K35" i="10"/>
  <c r="J102" i="10"/>
  <c r="L102" i="10"/>
  <c r="H102" i="10"/>
  <c r="I102" i="10"/>
  <c r="K102" i="10"/>
  <c r="J98" i="10"/>
  <c r="L98" i="10"/>
  <c r="H98" i="10"/>
  <c r="I98" i="10"/>
  <c r="K98" i="10"/>
  <c r="K73" i="10"/>
  <c r="I73" i="10"/>
  <c r="J73" i="10"/>
  <c r="H73" i="10"/>
  <c r="H60" i="10"/>
  <c r="J60" i="10"/>
  <c r="I60" i="10"/>
  <c r="K60" i="10"/>
  <c r="I63" i="10"/>
  <c r="K63" i="10"/>
  <c r="H63" i="10"/>
  <c r="J63" i="10"/>
  <c r="H26" i="10"/>
  <c r="K26" i="10"/>
  <c r="J26" i="10"/>
  <c r="I26" i="10"/>
  <c r="I45" i="10"/>
  <c r="K45" i="10"/>
  <c r="H45" i="10"/>
  <c r="J45" i="10"/>
  <c r="L88" i="10"/>
  <c r="H88" i="10"/>
  <c r="J88" i="10"/>
  <c r="K88" i="10"/>
  <c r="I88" i="10"/>
  <c r="J24" i="10"/>
  <c r="I24" i="10"/>
  <c r="K24" i="10"/>
  <c r="H24" i="10"/>
  <c r="I91" i="10"/>
  <c r="K91" i="10"/>
  <c r="H91" i="10"/>
  <c r="L91" i="10"/>
  <c r="J91" i="10"/>
  <c r="I27" i="10"/>
  <c r="K27" i="10"/>
  <c r="H27" i="10"/>
  <c r="J27" i="10"/>
  <c r="J70" i="10"/>
  <c r="H70" i="10"/>
  <c r="K70" i="10"/>
  <c r="I70" i="10"/>
  <c r="J82" i="10"/>
  <c r="H82" i="10"/>
  <c r="I82" i="10"/>
  <c r="K82" i="10"/>
  <c r="K57" i="10"/>
  <c r="I57" i="10"/>
  <c r="H57" i="10"/>
  <c r="J57" i="10"/>
  <c r="J52" i="10"/>
  <c r="H52" i="10"/>
  <c r="K52" i="10"/>
  <c r="I52" i="10"/>
  <c r="K55" i="10"/>
  <c r="I55" i="10"/>
  <c r="J55" i="10"/>
  <c r="H55" i="10"/>
  <c r="I21" i="10"/>
  <c r="H21" i="10"/>
  <c r="K21" i="10"/>
  <c r="J21" i="10"/>
  <c r="K81" i="10"/>
  <c r="I81" i="10"/>
  <c r="J81" i="10"/>
  <c r="H81" i="10"/>
  <c r="H64" i="10"/>
  <c r="K64" i="10"/>
  <c r="I64" i="10"/>
  <c r="J64" i="10"/>
  <c r="I67" i="10"/>
  <c r="J67" i="10"/>
  <c r="K67" i="10"/>
  <c r="H67" i="10"/>
  <c r="I13" i="10"/>
  <c r="H13" i="10"/>
  <c r="K13" i="10"/>
  <c r="J13" i="10"/>
  <c r="K105" i="10"/>
  <c r="I105" i="10"/>
  <c r="J105" i="10"/>
  <c r="H105" i="10"/>
  <c r="L105" i="10"/>
  <c r="H76" i="10"/>
  <c r="J76" i="10"/>
  <c r="K76" i="10"/>
  <c r="I76" i="10"/>
  <c r="J12" i="10"/>
  <c r="I12" i="10"/>
  <c r="K12" i="10"/>
  <c r="H12" i="10"/>
  <c r="I79" i="10"/>
  <c r="K79" i="10"/>
  <c r="H79" i="10"/>
  <c r="J79" i="10"/>
  <c r="K15" i="10"/>
  <c r="J15" i="10"/>
  <c r="H15" i="10"/>
  <c r="I15" i="10"/>
  <c r="H14" i="10"/>
  <c r="K14" i="10"/>
  <c r="I14" i="10"/>
  <c r="J14" i="10"/>
  <c r="J58" i="10"/>
  <c r="I58" i="10"/>
  <c r="H58" i="10"/>
  <c r="K58" i="10"/>
  <c r="J94" i="10"/>
  <c r="L94" i="10"/>
  <c r="H94" i="10"/>
  <c r="I94" i="10"/>
  <c r="K94" i="10"/>
  <c r="K77" i="10"/>
  <c r="I77" i="10"/>
  <c r="J77" i="10"/>
  <c r="H77" i="10"/>
  <c r="K33" i="10"/>
  <c r="I33" i="10"/>
  <c r="H33" i="10"/>
  <c r="J33" i="10"/>
  <c r="L104" i="10"/>
  <c r="H104" i="10"/>
  <c r="J104" i="10"/>
  <c r="K104" i="10"/>
  <c r="I104" i="10"/>
  <c r="H40" i="10"/>
  <c r="K40" i="10"/>
  <c r="I40" i="10"/>
  <c r="J40" i="10"/>
  <c r="I43" i="10"/>
  <c r="K43" i="10"/>
  <c r="J43" i="10"/>
  <c r="H43" i="10"/>
  <c r="K85" i="10"/>
  <c r="I85" i="10"/>
  <c r="J85" i="10"/>
  <c r="H85" i="10"/>
  <c r="K89" i="10"/>
  <c r="I89" i="10"/>
  <c r="J89" i="10"/>
  <c r="H89" i="10"/>
  <c r="L89" i="10"/>
  <c r="H68" i="10"/>
  <c r="J68" i="10"/>
  <c r="K68" i="10"/>
  <c r="I68" i="10"/>
  <c r="I71" i="10"/>
  <c r="H71" i="10"/>
  <c r="K71" i="10"/>
  <c r="J71" i="10"/>
  <c r="H10" i="10"/>
  <c r="K10" i="10"/>
  <c r="I10" i="10"/>
  <c r="J10" i="10"/>
  <c r="K29" i="10"/>
  <c r="H29" i="10"/>
  <c r="I29" i="10"/>
  <c r="J29" i="10"/>
  <c r="H80" i="10"/>
  <c r="J80" i="10"/>
  <c r="K80" i="10"/>
  <c r="I80" i="10"/>
  <c r="J16" i="10"/>
  <c r="I16" i="10"/>
  <c r="H16" i="10"/>
  <c r="K16" i="10"/>
  <c r="I83" i="10"/>
  <c r="K83" i="10"/>
  <c r="H83" i="10"/>
  <c r="J83" i="10"/>
  <c r="K19" i="10"/>
  <c r="J19" i="10"/>
  <c r="H19" i="10"/>
  <c r="I19" i="10"/>
  <c r="J30" i="10"/>
  <c r="H30" i="10"/>
  <c r="K30" i="10"/>
  <c r="I30" i="10"/>
  <c r="J66" i="10"/>
  <c r="I66" i="10"/>
  <c r="K66" i="10"/>
  <c r="H66" i="10"/>
  <c r="K93" i="10"/>
  <c r="I93" i="10"/>
  <c r="J93" i="10"/>
  <c r="L93" i="10"/>
  <c r="H93" i="10"/>
  <c r="K41" i="10"/>
  <c r="J41" i="10"/>
  <c r="I41" i="10"/>
  <c r="H41" i="10"/>
  <c r="H44" i="10"/>
  <c r="J44" i="10"/>
  <c r="K44" i="10"/>
  <c r="I44" i="10"/>
  <c r="K47" i="10"/>
  <c r="I47" i="10"/>
  <c r="J47" i="10"/>
  <c r="H47" i="10"/>
  <c r="K101" i="10"/>
  <c r="I101" i="10"/>
  <c r="J101" i="10"/>
  <c r="L101" i="10"/>
  <c r="H101" i="10"/>
  <c r="K97" i="10"/>
  <c r="I97" i="10"/>
  <c r="J97" i="10"/>
  <c r="H97" i="10"/>
  <c r="L97" i="10"/>
  <c r="H72" i="10"/>
  <c r="I72" i="10"/>
  <c r="K72" i="10"/>
  <c r="J72" i="10"/>
  <c r="I75" i="10"/>
  <c r="K75" i="10"/>
  <c r="H75" i="10"/>
  <c r="J75" i="10"/>
  <c r="K11" i="10"/>
  <c r="J11" i="10"/>
  <c r="H11" i="10"/>
  <c r="I11" i="10"/>
  <c r="H50" i="10"/>
  <c r="J50" i="10"/>
  <c r="K50" i="10"/>
  <c r="I50" i="10"/>
  <c r="J78" i="10"/>
  <c r="H78" i="10"/>
  <c r="I78" i="10"/>
  <c r="K78" i="10"/>
  <c r="K69" i="10"/>
  <c r="H69" i="10"/>
  <c r="J69" i="10"/>
  <c r="I69" i="10"/>
  <c r="I25" i="10"/>
  <c r="H25" i="10"/>
  <c r="J25" i="10"/>
  <c r="K25" i="10"/>
  <c r="L100" i="10"/>
  <c r="H100" i="10"/>
  <c r="J100" i="10"/>
  <c r="K100" i="10"/>
  <c r="I100" i="10"/>
  <c r="I103" i="10"/>
  <c r="K103" i="10"/>
  <c r="L103" i="10"/>
  <c r="H103" i="10"/>
  <c r="J103" i="10"/>
  <c r="I39" i="10"/>
  <c r="K39" i="10"/>
  <c r="J39" i="10"/>
  <c r="H39" i="10"/>
  <c r="H54" i="10"/>
  <c r="J54" i="10"/>
  <c r="K54" i="10"/>
  <c r="I54" i="10"/>
  <c r="J74" i="10"/>
  <c r="H74" i="10"/>
  <c r="I74" i="10"/>
  <c r="K74" i="10"/>
  <c r="I49" i="10"/>
  <c r="K49" i="10"/>
  <c r="J49" i="10"/>
  <c r="H49" i="10"/>
  <c r="J48" i="10"/>
  <c r="H48" i="10"/>
  <c r="I48" i="10"/>
  <c r="K48" i="10"/>
  <c r="K51" i="10"/>
  <c r="I51" i="10"/>
  <c r="J51" i="10"/>
  <c r="H51" i="10"/>
  <c r="D34" i="10"/>
  <c r="F34" i="10"/>
  <c r="C34" i="10"/>
  <c r="E34" i="10"/>
  <c r="F46" i="10"/>
  <c r="D46" i="10"/>
  <c r="E46" i="10"/>
  <c r="C46" i="10"/>
  <c r="F53" i="10"/>
  <c r="E53" i="10"/>
  <c r="C53" i="10"/>
  <c r="D53" i="10"/>
  <c r="D9" i="10"/>
  <c r="F9" i="10"/>
  <c r="E9" i="10"/>
  <c r="C9" i="10"/>
  <c r="F92" i="10"/>
  <c r="D92" i="10"/>
  <c r="E92" i="10"/>
  <c r="C92" i="10"/>
  <c r="D28" i="10"/>
  <c r="F28" i="10"/>
  <c r="C28" i="10"/>
  <c r="E28" i="10"/>
  <c r="F95" i="10"/>
  <c r="D95" i="10"/>
  <c r="E95" i="10"/>
  <c r="C95" i="10"/>
  <c r="D31" i="10"/>
  <c r="F31" i="10"/>
  <c r="E31" i="10"/>
  <c r="C31" i="10"/>
  <c r="F86" i="10"/>
  <c r="D86" i="10"/>
  <c r="E86" i="10"/>
  <c r="C86" i="10"/>
  <c r="F90" i="10"/>
  <c r="D90" i="10"/>
  <c r="E90" i="10"/>
  <c r="C90" i="10"/>
  <c r="F65" i="10"/>
  <c r="E65" i="10"/>
  <c r="C65" i="10"/>
  <c r="D65" i="10"/>
  <c r="F56" i="10"/>
  <c r="D56" i="10"/>
  <c r="C56" i="10"/>
  <c r="E56" i="10"/>
  <c r="F59" i="10"/>
  <c r="C59" i="10"/>
  <c r="E59" i="10"/>
  <c r="D59" i="10"/>
  <c r="D18" i="10"/>
  <c r="F18" i="10"/>
  <c r="C18" i="10"/>
  <c r="E18" i="10"/>
  <c r="D22" i="10"/>
  <c r="F22" i="10"/>
  <c r="C22" i="10"/>
  <c r="E22" i="10"/>
  <c r="D37" i="10"/>
  <c r="F37" i="10"/>
  <c r="E37" i="10"/>
  <c r="C37" i="10"/>
  <c r="F84" i="10"/>
  <c r="D84" i="10"/>
  <c r="E84" i="10"/>
  <c r="C84" i="10"/>
  <c r="D20" i="10"/>
  <c r="F20" i="10"/>
  <c r="C20" i="10"/>
  <c r="E20" i="10"/>
  <c r="F87" i="10"/>
  <c r="D87" i="10"/>
  <c r="E87" i="10"/>
  <c r="C87" i="10"/>
  <c r="D23" i="10"/>
  <c r="F23" i="10"/>
  <c r="E23" i="10"/>
  <c r="C23" i="10"/>
  <c r="F42" i="10"/>
  <c r="D42" i="10"/>
  <c r="E42" i="10"/>
  <c r="C42" i="10"/>
  <c r="F62" i="10"/>
  <c r="D62" i="10"/>
  <c r="E62" i="10"/>
  <c r="C62" i="10"/>
  <c r="F61" i="10"/>
  <c r="E61" i="10"/>
  <c r="C61" i="10"/>
  <c r="D61" i="10"/>
  <c r="D17" i="10"/>
  <c r="F17" i="10"/>
  <c r="E17" i="10"/>
  <c r="C17" i="10"/>
  <c r="F96" i="10"/>
  <c r="D96" i="10"/>
  <c r="E96" i="10"/>
  <c r="C96" i="10"/>
  <c r="D32" i="10"/>
  <c r="F32" i="10"/>
  <c r="C32" i="10"/>
  <c r="E32" i="10"/>
  <c r="F99" i="10"/>
  <c r="D99" i="10"/>
  <c r="E99" i="10"/>
  <c r="C99" i="10"/>
  <c r="D35" i="10"/>
  <c r="F35" i="10"/>
  <c r="E35" i="10"/>
  <c r="C35" i="10"/>
  <c r="F102" i="10"/>
  <c r="D102" i="10"/>
  <c r="E102" i="10"/>
  <c r="C102" i="10"/>
  <c r="F98" i="10"/>
  <c r="D98" i="10"/>
  <c r="E98" i="10"/>
  <c r="C98" i="10"/>
  <c r="F73" i="10"/>
  <c r="E73" i="10"/>
  <c r="C73" i="10"/>
  <c r="D73" i="10"/>
  <c r="F60" i="10"/>
  <c r="D60" i="10"/>
  <c r="E60" i="10"/>
  <c r="C60" i="10"/>
  <c r="F63" i="10"/>
  <c r="C63" i="10"/>
  <c r="E63" i="10"/>
  <c r="D63" i="10"/>
  <c r="D26" i="10"/>
  <c r="F26" i="10"/>
  <c r="C26" i="10"/>
  <c r="E26" i="10"/>
  <c r="D38" i="10"/>
  <c r="F38" i="10"/>
  <c r="C38" i="10"/>
  <c r="E38" i="10"/>
  <c r="F45" i="10"/>
  <c r="E45" i="10"/>
  <c r="C45" i="10"/>
  <c r="D45" i="10"/>
  <c r="F88" i="10"/>
  <c r="D88" i="10"/>
  <c r="E88" i="10"/>
  <c r="C88" i="10"/>
  <c r="D24" i="10"/>
  <c r="F24" i="10"/>
  <c r="C24" i="10"/>
  <c r="E24" i="10"/>
  <c r="F91" i="10"/>
  <c r="D91" i="10"/>
  <c r="E91" i="10"/>
  <c r="C91" i="10"/>
  <c r="D27" i="10"/>
  <c r="F27" i="10"/>
  <c r="E27" i="10"/>
  <c r="C27" i="10"/>
  <c r="F70" i="10"/>
  <c r="D70" i="10"/>
  <c r="E70" i="10"/>
  <c r="C70" i="10"/>
  <c r="F82" i="10"/>
  <c r="D82" i="10"/>
  <c r="E82" i="10"/>
  <c r="C82" i="10"/>
  <c r="F57" i="10"/>
  <c r="E57" i="10"/>
  <c r="C57" i="10"/>
  <c r="D57" i="10"/>
  <c r="F52" i="10"/>
  <c r="D52" i="10"/>
  <c r="E52" i="10"/>
  <c r="C52" i="10"/>
  <c r="F55" i="10"/>
  <c r="C55" i="10"/>
  <c r="E55" i="10"/>
  <c r="D55" i="10"/>
  <c r="D21" i="10"/>
  <c r="F21" i="10"/>
  <c r="E21" i="10"/>
  <c r="C21" i="10"/>
  <c r="F81" i="10"/>
  <c r="D81" i="10"/>
  <c r="E81" i="10"/>
  <c r="C81" i="10"/>
  <c r="F64" i="10"/>
  <c r="D64" i="10"/>
  <c r="C64" i="10"/>
  <c r="E64" i="10"/>
  <c r="F67" i="10"/>
  <c r="C67" i="10"/>
  <c r="E67" i="10"/>
  <c r="D67" i="10"/>
  <c r="D13" i="10"/>
  <c r="F13" i="10"/>
  <c r="E13" i="10"/>
  <c r="C13" i="10"/>
  <c r="F105" i="10"/>
  <c r="D105" i="10"/>
  <c r="E105" i="10"/>
  <c r="C105" i="10"/>
  <c r="F76" i="10"/>
  <c r="D76" i="10"/>
  <c r="E76" i="10"/>
  <c r="C76" i="10"/>
  <c r="D12" i="10"/>
  <c r="F12" i="10"/>
  <c r="C12" i="10"/>
  <c r="E12" i="10"/>
  <c r="F79" i="10"/>
  <c r="C79" i="10"/>
  <c r="E79" i="10"/>
  <c r="D79" i="10"/>
  <c r="D15" i="10"/>
  <c r="F15" i="10"/>
  <c r="E15" i="10"/>
  <c r="C15" i="10"/>
  <c r="D14" i="10"/>
  <c r="F14" i="10"/>
  <c r="C14" i="10"/>
  <c r="E14" i="10"/>
  <c r="F58" i="10"/>
  <c r="D58" i="10"/>
  <c r="E58" i="10"/>
  <c r="C58" i="10"/>
  <c r="F94" i="10"/>
  <c r="D94" i="10"/>
  <c r="E94" i="10"/>
  <c r="C94" i="10"/>
  <c r="F77" i="10"/>
  <c r="E77" i="10"/>
  <c r="C77" i="10"/>
  <c r="D77" i="10"/>
  <c r="D33" i="10"/>
  <c r="F33" i="10"/>
  <c r="E33" i="10"/>
  <c r="C33" i="10"/>
  <c r="F104" i="10"/>
  <c r="D104" i="10"/>
  <c r="E104" i="10"/>
  <c r="C104" i="10"/>
  <c r="F40" i="10"/>
  <c r="D40" i="10"/>
  <c r="C40" i="10"/>
  <c r="E40" i="10"/>
  <c r="F43" i="10"/>
  <c r="C43" i="10"/>
  <c r="E43" i="10"/>
  <c r="D43" i="10"/>
  <c r="F85" i="10"/>
  <c r="D85" i="10"/>
  <c r="E85" i="10"/>
  <c r="C85" i="10"/>
  <c r="F89" i="10"/>
  <c r="D89" i="10"/>
  <c r="E89" i="10"/>
  <c r="C89" i="10"/>
  <c r="F68" i="10"/>
  <c r="D68" i="10"/>
  <c r="E68" i="10"/>
  <c r="C68" i="10"/>
  <c r="F71" i="10"/>
  <c r="C71" i="10"/>
  <c r="E71" i="10"/>
  <c r="D71" i="10"/>
  <c r="D10" i="10"/>
  <c r="F10" i="10"/>
  <c r="C10" i="10"/>
  <c r="E10" i="10"/>
  <c r="D29" i="10"/>
  <c r="F29" i="10"/>
  <c r="E29" i="10"/>
  <c r="C29" i="10"/>
  <c r="F80" i="10"/>
  <c r="D80" i="10"/>
  <c r="E80" i="10"/>
  <c r="C80" i="10"/>
  <c r="D16" i="10"/>
  <c r="F16" i="10"/>
  <c r="C16" i="10"/>
  <c r="E16" i="10"/>
  <c r="F83" i="10"/>
  <c r="D83" i="10"/>
  <c r="E83" i="10"/>
  <c r="C83" i="10"/>
  <c r="D19" i="10"/>
  <c r="F19" i="10"/>
  <c r="E19" i="10"/>
  <c r="C19" i="10"/>
  <c r="D30" i="10"/>
  <c r="F30" i="10"/>
  <c r="C30" i="10"/>
  <c r="E30" i="10"/>
  <c r="F66" i="10"/>
  <c r="D66" i="10"/>
  <c r="E66" i="10"/>
  <c r="C66" i="10"/>
  <c r="F93" i="10"/>
  <c r="D93" i="10"/>
  <c r="E93" i="10"/>
  <c r="C93" i="10"/>
  <c r="F41" i="10"/>
  <c r="E41" i="10"/>
  <c r="C41" i="10"/>
  <c r="D41" i="10"/>
  <c r="F44" i="10"/>
  <c r="D44" i="10"/>
  <c r="E44" i="10"/>
  <c r="C44" i="10"/>
  <c r="F47" i="10"/>
  <c r="C47" i="10"/>
  <c r="E47" i="10"/>
  <c r="D47" i="10"/>
  <c r="F101" i="10"/>
  <c r="D101" i="10"/>
  <c r="E101" i="10"/>
  <c r="C101" i="10"/>
  <c r="F97" i="10"/>
  <c r="D97" i="10"/>
  <c r="E97" i="10"/>
  <c r="C97" i="10"/>
  <c r="F72" i="10"/>
  <c r="D72" i="10"/>
  <c r="C72" i="10"/>
  <c r="E72" i="10"/>
  <c r="F75" i="10"/>
  <c r="C75" i="10"/>
  <c r="E75" i="10"/>
  <c r="D75" i="10"/>
  <c r="D11" i="10"/>
  <c r="F11" i="10"/>
  <c r="E11" i="10"/>
  <c r="C11" i="10"/>
  <c r="F50" i="10"/>
  <c r="D50" i="10"/>
  <c r="E50" i="10"/>
  <c r="C50" i="10"/>
  <c r="F78" i="10"/>
  <c r="D78" i="10"/>
  <c r="E78" i="10"/>
  <c r="C78" i="10"/>
  <c r="F69" i="10"/>
  <c r="E69" i="10"/>
  <c r="C69" i="10"/>
  <c r="D69" i="10"/>
  <c r="D25" i="10"/>
  <c r="F25" i="10"/>
  <c r="E25" i="10"/>
  <c r="C25" i="10"/>
  <c r="F100" i="10"/>
  <c r="D100" i="10"/>
  <c r="E100" i="10"/>
  <c r="C100" i="10"/>
  <c r="D36" i="10"/>
  <c r="F36" i="10"/>
  <c r="C36" i="10"/>
  <c r="E36" i="10"/>
  <c r="F103" i="10"/>
  <c r="D103" i="10"/>
  <c r="E103" i="10"/>
  <c r="C103" i="10"/>
  <c r="D39" i="10"/>
  <c r="F39" i="10"/>
  <c r="E39" i="10"/>
  <c r="C39" i="10"/>
  <c r="F54" i="10"/>
  <c r="D54" i="10"/>
  <c r="E54" i="10"/>
  <c r="C54" i="10"/>
  <c r="F74" i="10"/>
  <c r="D74" i="10"/>
  <c r="E74" i="10"/>
  <c r="C74" i="10"/>
  <c r="F49" i="10"/>
  <c r="E49" i="10"/>
  <c r="C49" i="10"/>
  <c r="D49" i="10"/>
  <c r="F48" i="10"/>
  <c r="D48" i="10"/>
  <c r="C48" i="10"/>
  <c r="E48" i="10"/>
  <c r="F51" i="10"/>
  <c r="C51" i="10"/>
  <c r="E51" i="10"/>
  <c r="D51" i="10"/>
  <c r="L21" i="13"/>
  <c r="H21" i="13"/>
  <c r="C21" i="13"/>
  <c r="J21" i="13"/>
  <c r="E21" i="13"/>
  <c r="K21" i="13"/>
  <c r="I21" i="13"/>
  <c r="F21" i="13"/>
  <c r="D21" i="13"/>
  <c r="J23" i="13"/>
  <c r="E23" i="13"/>
  <c r="L23" i="13"/>
  <c r="H23" i="13"/>
  <c r="C23" i="13"/>
  <c r="I23" i="13"/>
  <c r="F23" i="13"/>
  <c r="D23" i="13"/>
  <c r="K23" i="13"/>
  <c r="L29" i="13"/>
  <c r="H29" i="13"/>
  <c r="C29" i="13"/>
  <c r="J29" i="13"/>
  <c r="E29" i="13"/>
  <c r="K29" i="13"/>
  <c r="I29" i="13"/>
  <c r="F29" i="13"/>
  <c r="D29" i="13"/>
  <c r="K18" i="13"/>
  <c r="F18" i="13"/>
  <c r="I18" i="13"/>
  <c r="D18" i="13"/>
  <c r="E18" i="13"/>
  <c r="C18" i="13"/>
  <c r="J18" i="13"/>
  <c r="H18" i="13"/>
  <c r="K30" i="13"/>
  <c r="F30" i="13"/>
  <c r="I30" i="13"/>
  <c r="D30" i="13"/>
  <c r="J30" i="13"/>
  <c r="H30" i="13"/>
  <c r="E30" i="13"/>
  <c r="C30" i="13"/>
  <c r="L30" i="13"/>
  <c r="K14" i="13"/>
  <c r="F14" i="13"/>
  <c r="I14" i="13"/>
  <c r="D14" i="13"/>
  <c r="J14" i="13"/>
  <c r="H14" i="13"/>
  <c r="E14" i="13"/>
  <c r="C14" i="13"/>
  <c r="D16" i="13"/>
  <c r="F16" i="13"/>
  <c r="E16" i="13"/>
  <c r="C16" i="13"/>
  <c r="L25" i="13"/>
  <c r="H25" i="13"/>
  <c r="C25" i="13"/>
  <c r="J25" i="13"/>
  <c r="E25" i="13"/>
  <c r="F25" i="13"/>
  <c r="D25" i="13"/>
  <c r="K25" i="13"/>
  <c r="I25" i="13"/>
  <c r="K22" i="13"/>
  <c r="F22" i="13"/>
  <c r="I22" i="13"/>
  <c r="D22" i="13"/>
  <c r="J22" i="13"/>
  <c r="H22" i="13"/>
  <c r="E22" i="13"/>
  <c r="L22" i="13"/>
  <c r="C22" i="13"/>
  <c r="K10" i="13"/>
  <c r="F10" i="13"/>
  <c r="I10" i="13"/>
  <c r="D10" i="13"/>
  <c r="E10" i="13"/>
  <c r="C10" i="13"/>
  <c r="J10" i="13"/>
  <c r="H10" i="13"/>
  <c r="I20" i="13"/>
  <c r="D20" i="13"/>
  <c r="K20" i="13"/>
  <c r="F20" i="13"/>
  <c r="L20" i="13"/>
  <c r="C20" i="13"/>
  <c r="J20" i="13"/>
  <c r="H20" i="13"/>
  <c r="E20" i="13"/>
  <c r="I24" i="13"/>
  <c r="D24" i="13"/>
  <c r="K24" i="13"/>
  <c r="F24" i="13"/>
  <c r="H24" i="13"/>
  <c r="E24" i="13"/>
  <c r="L24" i="13"/>
  <c r="C24" i="13"/>
  <c r="J24" i="13"/>
  <c r="L33" i="13"/>
  <c r="H33" i="13"/>
  <c r="C33" i="13"/>
  <c r="J33" i="13"/>
  <c r="E33" i="13"/>
  <c r="F33" i="13"/>
  <c r="D33" i="13"/>
  <c r="K33" i="13"/>
  <c r="I33" i="13"/>
  <c r="K26" i="13"/>
  <c r="F26" i="13"/>
  <c r="I26" i="13"/>
  <c r="D26" i="13"/>
  <c r="E26" i="13"/>
  <c r="L26" i="13"/>
  <c r="C26" i="13"/>
  <c r="J26" i="13"/>
  <c r="H26" i="13"/>
  <c r="J19" i="13"/>
  <c r="E19" i="13"/>
  <c r="H19" i="13"/>
  <c r="C19" i="13"/>
  <c r="D19" i="13"/>
  <c r="K19" i="13"/>
  <c r="I19" i="13"/>
  <c r="F19" i="13"/>
  <c r="H13" i="13"/>
  <c r="C13" i="13"/>
  <c r="J13" i="13"/>
  <c r="E13" i="13"/>
  <c r="K13" i="13"/>
  <c r="I13" i="13"/>
  <c r="F13" i="13"/>
  <c r="D13" i="13"/>
  <c r="J27" i="13"/>
  <c r="E27" i="13"/>
  <c r="L27" i="13"/>
  <c r="H27" i="13"/>
  <c r="C27" i="13"/>
  <c r="D27" i="13"/>
  <c r="K27" i="13"/>
  <c r="I27" i="13"/>
  <c r="F27" i="13"/>
  <c r="J15" i="13"/>
  <c r="E15" i="13"/>
  <c r="H15" i="13"/>
  <c r="C15" i="13"/>
  <c r="I15" i="13"/>
  <c r="F15" i="13"/>
  <c r="D15" i="13"/>
  <c r="K15" i="13"/>
  <c r="I28" i="13"/>
  <c r="D28" i="13"/>
  <c r="K28" i="13"/>
  <c r="F28" i="13"/>
  <c r="L28" i="13"/>
  <c r="C28" i="13"/>
  <c r="J28" i="13"/>
  <c r="H28" i="13"/>
  <c r="E28" i="13"/>
  <c r="J31" i="13"/>
  <c r="E31" i="13"/>
  <c r="L31" i="13"/>
  <c r="H31" i="13"/>
  <c r="C31" i="13"/>
  <c r="I31" i="13"/>
  <c r="F31" i="13"/>
  <c r="D31" i="13"/>
  <c r="K31" i="13"/>
  <c r="I12" i="13"/>
  <c r="D12" i="13"/>
  <c r="K12" i="13"/>
  <c r="F12" i="13"/>
  <c r="C12" i="13"/>
  <c r="J12" i="13"/>
  <c r="H12" i="13"/>
  <c r="E12" i="13"/>
  <c r="I32" i="13"/>
  <c r="D32" i="13"/>
  <c r="K32" i="13"/>
  <c r="F32" i="13"/>
  <c r="H32" i="13"/>
  <c r="E32" i="13"/>
  <c r="L32" i="13"/>
  <c r="C32" i="13"/>
  <c r="J32" i="13"/>
  <c r="J11" i="13"/>
  <c r="E11" i="13"/>
  <c r="H11" i="13"/>
  <c r="C11" i="13"/>
  <c r="D11" i="13"/>
  <c r="K11" i="13"/>
  <c r="I11" i="13"/>
  <c r="F11" i="13"/>
  <c r="H9" i="13"/>
  <c r="C9" i="13"/>
  <c r="J9" i="13"/>
  <c r="E9" i="13"/>
  <c r="F9" i="13"/>
  <c r="D9" i="13"/>
  <c r="K9" i="13"/>
  <c r="I9" i="13"/>
  <c r="V10" i="6"/>
  <c r="V38" i="6"/>
  <c r="W98" i="5"/>
  <c r="W98" i="6" s="1"/>
  <c r="W97" i="5"/>
  <c r="V93" i="6"/>
  <c r="L87" i="10" s="1"/>
  <c r="V99" i="6"/>
  <c r="V94" i="6"/>
  <c r="V92" i="6"/>
  <c r="V96" i="6"/>
  <c r="V100" i="6"/>
  <c r="W96" i="5"/>
  <c r="W95" i="5"/>
  <c r="W92" i="5"/>
  <c r="W100" i="5"/>
  <c r="W94" i="5"/>
  <c r="W99" i="5"/>
  <c r="H10" i="12"/>
  <c r="V90" i="6"/>
  <c r="V91" i="6"/>
  <c r="V89" i="6"/>
  <c r="V88" i="6"/>
  <c r="V16" i="6"/>
  <c r="AE16" i="6" s="1"/>
  <c r="V30" i="6"/>
  <c r="L54" i="20"/>
  <c r="L53" i="20"/>
  <c r="L56" i="20"/>
  <c r="L58" i="20"/>
  <c r="L59" i="20"/>
  <c r="V32" i="6"/>
  <c r="V39" i="6"/>
  <c r="V31" i="6"/>
  <c r="AE31" i="6" s="1"/>
  <c r="V29" i="6"/>
  <c r="V25" i="6"/>
  <c r="G106" i="20"/>
  <c r="H16" i="12"/>
  <c r="V15" i="6"/>
  <c r="G98" i="20"/>
  <c r="H13" i="12"/>
  <c r="G97" i="20"/>
  <c r="H12" i="12"/>
  <c r="G99" i="20"/>
  <c r="H14" i="12"/>
  <c r="V63" i="6"/>
  <c r="V59" i="6"/>
  <c r="V72" i="6"/>
  <c r="V54" i="6"/>
  <c r="V27" i="6"/>
  <c r="V20" i="6"/>
  <c r="AE20" i="6" s="1"/>
  <c r="V11" i="6"/>
  <c r="V42" i="6"/>
  <c r="AE42" i="6" s="1"/>
  <c r="V84" i="6"/>
  <c r="V18" i="6"/>
  <c r="AE18" i="6" s="1"/>
  <c r="V48" i="6"/>
  <c r="V34" i="6"/>
  <c r="V45" i="6"/>
  <c r="V75" i="6"/>
  <c r="AE75" i="6" s="1"/>
  <c r="V43" i="6"/>
  <c r="V35" i="6"/>
  <c r="V6" i="6"/>
  <c r="V8" i="6"/>
  <c r="V65" i="6"/>
  <c r="V69" i="6"/>
  <c r="V64" i="6"/>
  <c r="V60" i="6"/>
  <c r="V76" i="6"/>
  <c r="AE76" i="6" s="1"/>
  <c r="V36" i="6"/>
  <c r="V83" i="6"/>
  <c r="V22" i="6"/>
  <c r="V80" i="6"/>
  <c r="AE80" i="6" s="1"/>
  <c r="V85" i="6"/>
  <c r="AJ49" i="1"/>
  <c r="AQ6" i="5" s="1"/>
  <c r="AJ54" i="1"/>
  <c r="AJ44" i="1"/>
  <c r="AJ50" i="1"/>
  <c r="AJ59" i="1"/>
  <c r="AJ64" i="1"/>
  <c r="AJ69" i="1"/>
  <c r="AJ53" i="1"/>
  <c r="AQ17" i="5" s="1"/>
  <c r="AJ56" i="1"/>
  <c r="AJ57" i="1"/>
  <c r="AJ67" i="1"/>
  <c r="AJ48" i="1"/>
  <c r="AJ58" i="1"/>
  <c r="AJ43" i="1"/>
  <c r="AJ66" i="1"/>
  <c r="AJ45" i="1"/>
  <c r="AJ68" i="1"/>
  <c r="AJ47" i="1"/>
  <c r="AJ61" i="1"/>
  <c r="AJ72" i="1"/>
  <c r="AJ62" i="1"/>
  <c r="AJ63" i="1"/>
  <c r="AJ71" i="1"/>
  <c r="AJ51" i="1"/>
  <c r="AJ60" i="1"/>
  <c r="AJ73" i="1"/>
  <c r="AJ55" i="1"/>
  <c r="AQ29" i="5" s="1"/>
  <c r="AJ46" i="1"/>
  <c r="AQ92" i="5" s="1"/>
  <c r="AJ52" i="1"/>
  <c r="AJ70" i="1"/>
  <c r="AJ65" i="1"/>
  <c r="W29" i="5"/>
  <c r="AF29" i="5" s="1"/>
  <c r="W4" i="5"/>
  <c r="V12" i="6"/>
  <c r="V53" i="6"/>
  <c r="AE53" i="6" s="1"/>
  <c r="V46" i="6"/>
  <c r="V24" i="6"/>
  <c r="V26" i="6"/>
  <c r="V47" i="6"/>
  <c r="V73" i="6"/>
  <c r="V66" i="6"/>
  <c r="V9" i="6"/>
  <c r="L14" i="10" s="1"/>
  <c r="V79" i="6"/>
  <c r="V68" i="6"/>
  <c r="AE68" i="6" s="1"/>
  <c r="V57" i="6"/>
  <c r="V67" i="6"/>
  <c r="V70" i="6"/>
  <c r="AE70" i="6" s="1"/>
  <c r="V14" i="6"/>
  <c r="V81" i="6"/>
  <c r="AE81" i="6" s="1"/>
  <c r="V52" i="6"/>
  <c r="AE52" i="6" s="1"/>
  <c r="V44" i="6"/>
  <c r="V21" i="6"/>
  <c r="V33" i="6"/>
  <c r="V86" i="6"/>
  <c r="V5" i="6"/>
  <c r="V50" i="6"/>
  <c r="V51" i="6"/>
  <c r="AE51" i="6" s="1"/>
  <c r="V49" i="6"/>
  <c r="V58" i="6"/>
  <c r="V77" i="6"/>
  <c r="AE77" i="6" s="1"/>
  <c r="V56" i="6"/>
  <c r="AE56" i="6" s="1"/>
  <c r="V55" i="6"/>
  <c r="V71" i="6"/>
  <c r="AE71" i="6" s="1"/>
  <c r="V40" i="6"/>
  <c r="V82" i="6"/>
  <c r="AE82" i="6" s="1"/>
  <c r="V19" i="6"/>
  <c r="AE19" i="6" s="1"/>
  <c r="V4" i="6"/>
  <c r="W6" i="5"/>
  <c r="W9" i="5"/>
  <c r="W15" i="5"/>
  <c r="AF15" i="5" s="1"/>
  <c r="W7" i="5"/>
  <c r="W17" i="5"/>
  <c r="AF17" i="5" s="1"/>
  <c r="V17" i="6"/>
  <c r="AE17" i="6" s="1"/>
  <c r="V13" i="6"/>
  <c r="AE13" i="6" s="1"/>
  <c r="V23" i="6"/>
  <c r="AE23" i="6" s="1"/>
  <c r="V28" i="6"/>
  <c r="V61" i="6"/>
  <c r="V37" i="6"/>
  <c r="V7" i="6"/>
  <c r="L12" i="10" s="1"/>
  <c r="AQ9" i="5" l="1"/>
  <c r="AQ7" i="5"/>
  <c r="AQ90" i="5"/>
  <c r="X90" i="5" s="1"/>
  <c r="AQ15" i="5"/>
  <c r="X15" i="5" s="1"/>
  <c r="AG15" i="5" s="1"/>
  <c r="AQ16" i="5"/>
  <c r="X16" i="5" s="1"/>
  <c r="AG16" i="5" s="1"/>
  <c r="AQ34" i="5"/>
  <c r="X34" i="5" s="1"/>
  <c r="L19" i="13"/>
  <c r="L18" i="13"/>
  <c r="W46" i="20"/>
  <c r="I66" i="20"/>
  <c r="I92" i="20" s="1"/>
  <c r="J46" i="20"/>
  <c r="AQ31" i="5"/>
  <c r="X31" i="5" s="1"/>
  <c r="AG31" i="5" s="1"/>
  <c r="AQ38" i="5"/>
  <c r="X38" i="5" s="1"/>
  <c r="X38" i="6" s="1"/>
  <c r="AQ43" i="5"/>
  <c r="X43" i="5" s="1"/>
  <c r="AQ46" i="5"/>
  <c r="X46" i="5" s="1"/>
  <c r="AQ56" i="5"/>
  <c r="X56" i="5" s="1"/>
  <c r="AG56" i="5" s="1"/>
  <c r="L34" i="10"/>
  <c r="L19" i="10"/>
  <c r="AE15" i="6"/>
  <c r="L41" i="10"/>
  <c r="L81" i="10"/>
  <c r="L17" i="13"/>
  <c r="L83" i="10"/>
  <c r="L15" i="13"/>
  <c r="L44" i="10"/>
  <c r="L48" i="10"/>
  <c r="AE54" i="6"/>
  <c r="L35" i="10"/>
  <c r="L72" i="10"/>
  <c r="L40" i="10"/>
  <c r="L58" i="10"/>
  <c r="L28" i="10"/>
  <c r="L49" i="10"/>
  <c r="AE55" i="6"/>
  <c r="L33" i="10"/>
  <c r="L32" i="10"/>
  <c r="L27" i="10"/>
  <c r="L68" i="10"/>
  <c r="L56" i="10"/>
  <c r="AQ77" i="5"/>
  <c r="X77" i="5" s="1"/>
  <c r="AG77" i="5" s="1"/>
  <c r="AQ83" i="5"/>
  <c r="X83" i="5" s="1"/>
  <c r="AG83" i="5" s="1"/>
  <c r="AQ14" i="5"/>
  <c r="X14" i="5" s="1"/>
  <c r="AG14" i="5" s="1"/>
  <c r="AQ51" i="5"/>
  <c r="X51" i="5" s="1"/>
  <c r="AG51" i="5" s="1"/>
  <c r="AQ11" i="5"/>
  <c r="X11" i="5" s="1"/>
  <c r="AG11" i="5" s="1"/>
  <c r="AQ27" i="5"/>
  <c r="X27" i="5" s="1"/>
  <c r="AQ23" i="5"/>
  <c r="X23" i="5" s="1"/>
  <c r="AG23" i="5" s="1"/>
  <c r="AQ49" i="5"/>
  <c r="X49" i="5" s="1"/>
  <c r="AQ40" i="5"/>
  <c r="X40" i="5" s="1"/>
  <c r="AQ20" i="5"/>
  <c r="X20" i="5" s="1"/>
  <c r="AG20" i="5" s="1"/>
  <c r="AQ22" i="5"/>
  <c r="X22" i="5" s="1"/>
  <c r="AG22" i="5" s="1"/>
  <c r="AQ26" i="5"/>
  <c r="X26" i="5" s="1"/>
  <c r="AQ24" i="5"/>
  <c r="X24" i="5" s="1"/>
  <c r="AG24" i="5" s="1"/>
  <c r="AQ41" i="5"/>
  <c r="AQ39" i="5"/>
  <c r="X39" i="5" s="1"/>
  <c r="AG39" i="5" s="1"/>
  <c r="AQ8" i="5"/>
  <c r="X8" i="5" s="1"/>
  <c r="AQ70" i="5"/>
  <c r="X70" i="5" s="1"/>
  <c r="AG70" i="5" s="1"/>
  <c r="AQ21" i="5"/>
  <c r="X21" i="5" s="1"/>
  <c r="AG21" i="5" s="1"/>
  <c r="AQ25" i="5"/>
  <c r="X25" i="5" s="1"/>
  <c r="AG25" i="5" s="1"/>
  <c r="AQ89" i="5"/>
  <c r="X89" i="5" s="1"/>
  <c r="AQ32" i="5"/>
  <c r="X32" i="5" s="1"/>
  <c r="AG32" i="5" s="1"/>
  <c r="AQ33" i="5"/>
  <c r="X33" i="5" s="1"/>
  <c r="AQ13" i="5"/>
  <c r="X13" i="5" s="1"/>
  <c r="AG13" i="5" s="1"/>
  <c r="AQ54" i="5"/>
  <c r="X54" i="5" s="1"/>
  <c r="AG54" i="5" s="1"/>
  <c r="AQ58" i="5"/>
  <c r="X58" i="5" s="1"/>
  <c r="AG58" i="5" s="1"/>
  <c r="AQ66" i="5"/>
  <c r="X66" i="5" s="1"/>
  <c r="AG66" i="5" s="1"/>
  <c r="AQ88" i="5"/>
  <c r="X88" i="5" s="1"/>
  <c r="AQ82" i="5"/>
  <c r="X82" i="5" s="1"/>
  <c r="AG82" i="5" s="1"/>
  <c r="AQ79" i="5"/>
  <c r="X79" i="5" s="1"/>
  <c r="AQ87" i="5"/>
  <c r="X87" i="5" s="1"/>
  <c r="AQ75" i="5"/>
  <c r="X75" i="5" s="1"/>
  <c r="AG75" i="5" s="1"/>
  <c r="AQ86" i="5"/>
  <c r="X86" i="5" s="1"/>
  <c r="AQ78" i="5"/>
  <c r="X78" i="5" s="1"/>
  <c r="AG78" i="5" s="1"/>
  <c r="AQ81" i="5"/>
  <c r="X81" i="5" s="1"/>
  <c r="AG81" i="5" s="1"/>
  <c r="AQ85" i="5"/>
  <c r="X85" i="5" s="1"/>
  <c r="AQ80" i="5"/>
  <c r="X80" i="5" s="1"/>
  <c r="AG80" i="5" s="1"/>
  <c r="AQ76" i="5"/>
  <c r="X76" i="5" s="1"/>
  <c r="AQ60" i="5"/>
  <c r="X60" i="5" s="1"/>
  <c r="AQ42" i="5"/>
  <c r="X42" i="5" s="1"/>
  <c r="AQ62" i="5"/>
  <c r="X62" i="5" s="1"/>
  <c r="AG62" i="5" s="1"/>
  <c r="AQ18" i="5"/>
  <c r="X18" i="5" s="1"/>
  <c r="AG18" i="5" s="1"/>
  <c r="AQ63" i="5"/>
  <c r="X63" i="5" s="1"/>
  <c r="AQ44" i="5"/>
  <c r="X44" i="5" s="1"/>
  <c r="AG44" i="5" s="1"/>
  <c r="AQ93" i="5"/>
  <c r="X93" i="5" s="1"/>
  <c r="AQ45" i="5"/>
  <c r="X45" i="5" s="1"/>
  <c r="AG45" i="5" s="1"/>
  <c r="AQ12" i="5"/>
  <c r="X12" i="5" s="1"/>
  <c r="AQ57" i="5"/>
  <c r="X57" i="5" s="1"/>
  <c r="AQ35" i="5"/>
  <c r="X35" i="5" s="1"/>
  <c r="AG35" i="5" s="1"/>
  <c r="AQ59" i="5"/>
  <c r="X59" i="5" s="1"/>
  <c r="AG59" i="5" s="1"/>
  <c r="AQ73" i="5"/>
  <c r="X73" i="5" s="1"/>
  <c r="AG73" i="5" s="1"/>
  <c r="AQ64" i="5"/>
  <c r="X64" i="5" s="1"/>
  <c r="AQ53" i="5"/>
  <c r="X53" i="5" s="1"/>
  <c r="AQ47" i="5"/>
  <c r="X47" i="5" s="1"/>
  <c r="AQ52" i="5"/>
  <c r="X52" i="5" s="1"/>
  <c r="AG52" i="5" s="1"/>
  <c r="AQ55" i="5"/>
  <c r="X55" i="5" s="1"/>
  <c r="AQ50" i="5"/>
  <c r="X50" i="5" s="1"/>
  <c r="AQ10" i="5"/>
  <c r="X10" i="5" s="1"/>
  <c r="AQ30" i="5"/>
  <c r="X30" i="5" s="1"/>
  <c r="AG30" i="5" s="1"/>
  <c r="AQ65" i="5"/>
  <c r="X65" i="5" s="1"/>
  <c r="AG65" i="5" s="1"/>
  <c r="AQ28" i="5"/>
  <c r="X28" i="5" s="1"/>
  <c r="AQ5" i="5"/>
  <c r="X5" i="5" s="1"/>
  <c r="AQ19" i="5"/>
  <c r="X19" i="5" s="1"/>
  <c r="AG19" i="5" s="1"/>
  <c r="AQ48" i="5"/>
  <c r="X48" i="5" s="1"/>
  <c r="AQ71" i="5"/>
  <c r="X71" i="5" s="1"/>
  <c r="AQ67" i="5"/>
  <c r="X67" i="5" s="1"/>
  <c r="AG67" i="5" s="1"/>
  <c r="AQ68" i="5"/>
  <c r="X68" i="5" s="1"/>
  <c r="AQ74" i="5"/>
  <c r="X74" i="5" s="1"/>
  <c r="AG74" i="5" s="1"/>
  <c r="AQ61" i="5"/>
  <c r="X61" i="5" s="1"/>
  <c r="AQ69" i="5"/>
  <c r="X69" i="5" s="1"/>
  <c r="AG69" i="5" s="1"/>
  <c r="AQ84" i="5"/>
  <c r="X84" i="5" s="1"/>
  <c r="AQ72" i="5"/>
  <c r="X72" i="5" s="1"/>
  <c r="AG72" i="5" s="1"/>
  <c r="AQ91" i="5"/>
  <c r="X91" i="5" s="1"/>
  <c r="AQ36" i="5"/>
  <c r="X36" i="5" s="1"/>
  <c r="AQ37" i="5"/>
  <c r="X37" i="5" s="1"/>
  <c r="AG37" i="5" s="1"/>
  <c r="L25" i="10"/>
  <c r="L57" i="10"/>
  <c r="L43" i="10"/>
  <c r="AE49" i="6"/>
  <c r="L80" i="10"/>
  <c r="AE86" i="6"/>
  <c r="L67" i="10"/>
  <c r="AE73" i="6"/>
  <c r="L30" i="10"/>
  <c r="L22" i="10"/>
  <c r="AE21" i="6"/>
  <c r="L61" i="10"/>
  <c r="AE67" i="6"/>
  <c r="L13" i="13"/>
  <c r="L17" i="10"/>
  <c r="AE12" i="6"/>
  <c r="L59" i="10"/>
  <c r="AE65" i="6"/>
  <c r="L42" i="10"/>
  <c r="L24" i="10"/>
  <c r="AE25" i="6"/>
  <c r="L78" i="10"/>
  <c r="AE84" i="6"/>
  <c r="L18" i="10"/>
  <c r="AE14" i="6"/>
  <c r="L77" i="10"/>
  <c r="AE83" i="6"/>
  <c r="L60" i="10"/>
  <c r="AE66" i="6"/>
  <c r="L12" i="13"/>
  <c r="AE24" i="6"/>
  <c r="L11" i="13"/>
  <c r="AE22" i="6"/>
  <c r="L14" i="13"/>
  <c r="AE39" i="6"/>
  <c r="L55" i="10"/>
  <c r="L73" i="10"/>
  <c r="AE79" i="6"/>
  <c r="L79" i="10"/>
  <c r="AE85" i="6"/>
  <c r="L63" i="10"/>
  <c r="AE69" i="6"/>
  <c r="L16" i="10"/>
  <c r="AE11" i="6"/>
  <c r="L66" i="10"/>
  <c r="AE72" i="6"/>
  <c r="L82" i="10"/>
  <c r="AE88" i="6"/>
  <c r="J48" i="20"/>
  <c r="L10" i="13"/>
  <c r="I71" i="20"/>
  <c r="J49" i="20"/>
  <c r="L9" i="10"/>
  <c r="I68" i="20"/>
  <c r="L46" i="10"/>
  <c r="I69" i="20"/>
  <c r="J51" i="20"/>
  <c r="L13" i="10"/>
  <c r="I70" i="20"/>
  <c r="J44" i="20"/>
  <c r="I64" i="20"/>
  <c r="L9" i="13"/>
  <c r="J50" i="20"/>
  <c r="L11" i="10"/>
  <c r="L51" i="10"/>
  <c r="L39" i="10"/>
  <c r="L70" i="10"/>
  <c r="L64" i="10"/>
  <c r="L65" i="10"/>
  <c r="L84" i="10"/>
  <c r="L74" i="10"/>
  <c r="L10" i="10"/>
  <c r="L45" i="10"/>
  <c r="L69" i="10"/>
  <c r="L75" i="10"/>
  <c r="L29" i="10"/>
  <c r="L15" i="10"/>
  <c r="L21" i="10"/>
  <c r="L52" i="10"/>
  <c r="L26" i="10"/>
  <c r="L86" i="10"/>
  <c r="L31" i="10"/>
  <c r="L53" i="10"/>
  <c r="L54" i="10"/>
  <c r="L50" i="10"/>
  <c r="L47" i="10"/>
  <c r="L71" i="10"/>
  <c r="L85" i="10"/>
  <c r="L76" i="10"/>
  <c r="L62" i="10"/>
  <c r="L23" i="10"/>
  <c r="L20" i="10"/>
  <c r="W24" i="6"/>
  <c r="AF24" i="6" s="1"/>
  <c r="W10" i="6"/>
  <c r="X98" i="5"/>
  <c r="W97" i="6"/>
  <c r="X97" i="5"/>
  <c r="M30" i="13"/>
  <c r="M25" i="13"/>
  <c r="W99" i="6"/>
  <c r="W93" i="6"/>
  <c r="W94" i="6"/>
  <c r="W100" i="6"/>
  <c r="W96" i="6"/>
  <c r="M22" i="13"/>
  <c r="H92" i="20"/>
  <c r="W87" i="6"/>
  <c r="AF87" i="6" s="1"/>
  <c r="X94" i="5"/>
  <c r="X92" i="5"/>
  <c r="X92" i="6" s="1"/>
  <c r="X100" i="5"/>
  <c r="O100" i="5" s="1"/>
  <c r="X99" i="5"/>
  <c r="X96" i="5"/>
  <c r="X95" i="5"/>
  <c r="O95" i="5" s="1"/>
  <c r="W95" i="6"/>
  <c r="W92" i="6"/>
  <c r="M29" i="13"/>
  <c r="M31" i="13"/>
  <c r="M32" i="13"/>
  <c r="M20" i="13"/>
  <c r="M21" i="13"/>
  <c r="M23" i="13"/>
  <c r="M27" i="13"/>
  <c r="M28" i="13"/>
  <c r="M24" i="13"/>
  <c r="M33" i="13"/>
  <c r="M26" i="13"/>
  <c r="W90" i="6"/>
  <c r="W91" i="6"/>
  <c r="W89" i="6"/>
  <c r="W88" i="6"/>
  <c r="AF88" i="6" s="1"/>
  <c r="W84" i="6"/>
  <c r="AF84" i="6" s="1"/>
  <c r="W80" i="6"/>
  <c r="AF80" i="6" s="1"/>
  <c r="W28" i="6"/>
  <c r="AF28" i="6" s="1"/>
  <c r="W35" i="6"/>
  <c r="AF35" i="6" s="1"/>
  <c r="W86" i="6"/>
  <c r="AF86" i="6" s="1"/>
  <c r="L57" i="20"/>
  <c r="W81" i="6"/>
  <c r="AF81" i="6" s="1"/>
  <c r="W19" i="6"/>
  <c r="AF19" i="6" s="1"/>
  <c r="L55" i="20"/>
  <c r="L78" i="20"/>
  <c r="L79" i="20"/>
  <c r="L74" i="20"/>
  <c r="L76" i="20"/>
  <c r="W82" i="6"/>
  <c r="AF82" i="6" s="1"/>
  <c r="W25" i="6"/>
  <c r="AF25" i="6" s="1"/>
  <c r="H98" i="20"/>
  <c r="I13" i="12"/>
  <c r="H97" i="20"/>
  <c r="I12" i="12"/>
  <c r="H99" i="20"/>
  <c r="I14" i="12"/>
  <c r="I16" i="12"/>
  <c r="H106" i="20"/>
  <c r="W17" i="6"/>
  <c r="AF17" i="6" s="1"/>
  <c r="W45" i="6"/>
  <c r="AF45" i="6" s="1"/>
  <c r="W34" i="6"/>
  <c r="AF34" i="6" s="1"/>
  <c r="W78" i="6"/>
  <c r="AF78" i="6" s="1"/>
  <c r="W51" i="6"/>
  <c r="AF51" i="6" s="1"/>
  <c r="W62" i="6"/>
  <c r="AF62" i="6" s="1"/>
  <c r="W65" i="6"/>
  <c r="AF65" i="6" s="1"/>
  <c r="W30" i="6"/>
  <c r="AF30" i="6" s="1"/>
  <c r="W47" i="6"/>
  <c r="AF47" i="6" s="1"/>
  <c r="W42" i="6"/>
  <c r="AF42" i="6" s="1"/>
  <c r="W29" i="6"/>
  <c r="AF29" i="6" s="1"/>
  <c r="W14" i="6"/>
  <c r="AF14" i="6" s="1"/>
  <c r="W11" i="6"/>
  <c r="AF11" i="6" s="1"/>
  <c r="W33" i="6"/>
  <c r="AF33" i="6" s="1"/>
  <c r="W75" i="6"/>
  <c r="AF75" i="6" s="1"/>
  <c r="W27" i="6"/>
  <c r="AF27" i="6" s="1"/>
  <c r="W56" i="6"/>
  <c r="AF56" i="6" s="1"/>
  <c r="W58" i="6"/>
  <c r="AF58" i="6" s="1"/>
  <c r="W54" i="6"/>
  <c r="AF54" i="6" s="1"/>
  <c r="W59" i="6"/>
  <c r="AF59" i="6" s="1"/>
  <c r="W52" i="6"/>
  <c r="AF52" i="6" s="1"/>
  <c r="W48" i="6"/>
  <c r="AF48" i="6" s="1"/>
  <c r="W44" i="6"/>
  <c r="AF44" i="6" s="1"/>
  <c r="W37" i="6"/>
  <c r="AF37" i="6" s="1"/>
  <c r="W50" i="6"/>
  <c r="AF50" i="6" s="1"/>
  <c r="W79" i="6"/>
  <c r="AF79" i="6" s="1"/>
  <c r="W9" i="6"/>
  <c r="W31" i="6"/>
  <c r="AF31" i="6" s="1"/>
  <c r="W20" i="6"/>
  <c r="AF20" i="6" s="1"/>
  <c r="W16" i="6"/>
  <c r="AF16" i="6" s="1"/>
  <c r="W40" i="6"/>
  <c r="AF40" i="6" s="1"/>
  <c r="X17" i="5"/>
  <c r="W23" i="6"/>
  <c r="AF23" i="6" s="1"/>
  <c r="W39" i="6"/>
  <c r="AF39" i="6" s="1"/>
  <c r="W69" i="6"/>
  <c r="AF69" i="6" s="1"/>
  <c r="W70" i="6"/>
  <c r="AF70" i="6" s="1"/>
  <c r="W76" i="6"/>
  <c r="AF76" i="6" s="1"/>
  <c r="W63" i="6"/>
  <c r="AF63" i="6" s="1"/>
  <c r="W72" i="6"/>
  <c r="AF72" i="6" s="1"/>
  <c r="W46" i="6"/>
  <c r="AF46" i="6" s="1"/>
  <c r="W21" i="6"/>
  <c r="AF21" i="6" s="1"/>
  <c r="W53" i="6"/>
  <c r="AF53" i="6" s="1"/>
  <c r="W7" i="6"/>
  <c r="W66" i="6"/>
  <c r="AF66" i="6" s="1"/>
  <c r="W8" i="6"/>
  <c r="W6" i="6"/>
  <c r="W73" i="6"/>
  <c r="AF73" i="6" s="1"/>
  <c r="W83" i="6"/>
  <c r="AF83" i="6" s="1"/>
  <c r="W22" i="6"/>
  <c r="AF22" i="6" s="1"/>
  <c r="X9" i="5"/>
  <c r="X6" i="5"/>
  <c r="X7" i="5"/>
  <c r="W43" i="6"/>
  <c r="AF43" i="6" s="1"/>
  <c r="W67" i="6"/>
  <c r="AF67" i="6" s="1"/>
  <c r="W77" i="6"/>
  <c r="AF77" i="6" s="1"/>
  <c r="W64" i="6"/>
  <c r="AF64" i="6" s="1"/>
  <c r="W60" i="6"/>
  <c r="AF60" i="6" s="1"/>
  <c r="W12" i="6"/>
  <c r="AF12" i="6" s="1"/>
  <c r="W13" i="6"/>
  <c r="AF13" i="6" s="1"/>
  <c r="W49" i="6"/>
  <c r="AF49" i="6" s="1"/>
  <c r="W61" i="6"/>
  <c r="AF61" i="6" s="1"/>
  <c r="W15" i="6"/>
  <c r="AF15" i="6" s="1"/>
  <c r="W5" i="6"/>
  <c r="W32" i="6"/>
  <c r="AF32" i="6" s="1"/>
  <c r="W4" i="6"/>
  <c r="W74" i="6"/>
  <c r="AF74" i="6" s="1"/>
  <c r="W18" i="6"/>
  <c r="AF18" i="6" s="1"/>
  <c r="W85" i="6"/>
  <c r="AF85" i="6" s="1"/>
  <c r="X4" i="5"/>
  <c r="X29" i="5"/>
  <c r="AG29" i="5" s="1"/>
  <c r="W26" i="6"/>
  <c r="AF26" i="6" s="1"/>
  <c r="W36" i="6"/>
  <c r="AF36" i="6" s="1"/>
  <c r="W68" i="6"/>
  <c r="AF68" i="6" s="1"/>
  <c r="W71" i="6"/>
  <c r="AF71" i="6" s="1"/>
  <c r="W57" i="6"/>
  <c r="AF57" i="6" s="1"/>
  <c r="W55" i="6"/>
  <c r="AF55" i="6" s="1"/>
  <c r="W66" i="20" l="1"/>
  <c r="V66" i="20"/>
  <c r="O50" i="5"/>
  <c r="AC50" i="5" s="1"/>
  <c r="AG50" i="5"/>
  <c r="K46" i="20"/>
  <c r="M46" i="20" s="1"/>
  <c r="O40" i="5"/>
  <c r="AC40" i="5" s="1"/>
  <c r="AG40" i="5"/>
  <c r="J66" i="20"/>
  <c r="AB40" i="5"/>
  <c r="O53" i="5"/>
  <c r="AA53" i="5" s="1"/>
  <c r="AG53" i="5"/>
  <c r="O43" i="5"/>
  <c r="AH43" i="5" s="1"/>
  <c r="AG43" i="5"/>
  <c r="O46" i="5"/>
  <c r="AD46" i="5" s="1"/>
  <c r="O55" i="5"/>
  <c r="AG55" i="5"/>
  <c r="O64" i="5"/>
  <c r="AH64" i="5" s="1"/>
  <c r="AG64" i="5"/>
  <c r="O42" i="5"/>
  <c r="AC42" i="5" s="1"/>
  <c r="AG42" i="5"/>
  <c r="O17" i="5"/>
  <c r="AG17" i="5"/>
  <c r="AE40" i="5"/>
  <c r="AE64" i="5"/>
  <c r="AA42" i="5"/>
  <c r="AA46" i="5"/>
  <c r="AC55" i="5"/>
  <c r="AE50" i="5"/>
  <c r="AA43" i="5"/>
  <c r="O85" i="5"/>
  <c r="O57" i="5"/>
  <c r="AG57" i="5"/>
  <c r="O76" i="5"/>
  <c r="AG76" i="5"/>
  <c r="O79" i="5"/>
  <c r="AG79" i="5"/>
  <c r="O63" i="5"/>
  <c r="AG63" i="5"/>
  <c r="O60" i="5"/>
  <c r="AA60" i="5" s="1"/>
  <c r="AG60" i="5"/>
  <c r="O61" i="5"/>
  <c r="AG61" i="5"/>
  <c r="O88" i="5"/>
  <c r="AG88" i="5"/>
  <c r="O48" i="5"/>
  <c r="AD48" i="5" s="1"/>
  <c r="AG48" i="5"/>
  <c r="O71" i="5"/>
  <c r="AG71" i="5"/>
  <c r="O68" i="5"/>
  <c r="AG68" i="5"/>
  <c r="O12" i="5"/>
  <c r="AA12" i="5" s="1"/>
  <c r="AG12" i="5"/>
  <c r="O49" i="5"/>
  <c r="AB49" i="5" s="1"/>
  <c r="AG49" i="5"/>
  <c r="J64" i="20"/>
  <c r="J71" i="20"/>
  <c r="O20" i="5"/>
  <c r="K51" i="20"/>
  <c r="M51" i="20" s="1"/>
  <c r="K50" i="20"/>
  <c r="M50" i="20" s="1"/>
  <c r="J70" i="20"/>
  <c r="O13" i="5"/>
  <c r="J68" i="20"/>
  <c r="K44" i="20"/>
  <c r="K48" i="20"/>
  <c r="M48" i="20" s="1"/>
  <c r="K49" i="20"/>
  <c r="M49" i="20" s="1"/>
  <c r="W52" i="20"/>
  <c r="W51" i="20"/>
  <c r="J69" i="20"/>
  <c r="O14" i="5"/>
  <c r="M11" i="10"/>
  <c r="O97" i="5"/>
  <c r="O23" i="5"/>
  <c r="M15" i="10"/>
  <c r="M103" i="10"/>
  <c r="O26" i="5"/>
  <c r="M101" i="10"/>
  <c r="X87" i="6"/>
  <c r="O98" i="5"/>
  <c r="X10" i="6"/>
  <c r="O10" i="5"/>
  <c r="AC10" i="5" s="1"/>
  <c r="O38" i="5"/>
  <c r="AB38" i="5" s="1"/>
  <c r="O92" i="5"/>
  <c r="M18" i="10"/>
  <c r="X98" i="6"/>
  <c r="O98" i="6" s="1"/>
  <c r="X97" i="6"/>
  <c r="O97" i="6" s="1"/>
  <c r="M90" i="10"/>
  <c r="M16" i="10"/>
  <c r="M17" i="10"/>
  <c r="M19" i="10"/>
  <c r="M86" i="10"/>
  <c r="M89" i="10"/>
  <c r="M14" i="10"/>
  <c r="M91" i="10"/>
  <c r="M94" i="10"/>
  <c r="M97" i="10"/>
  <c r="M100" i="10"/>
  <c r="M92" i="10"/>
  <c r="M20" i="10"/>
  <c r="M87" i="10"/>
  <c r="X100" i="6"/>
  <c r="M95" i="10"/>
  <c r="M98" i="10"/>
  <c r="X95" i="6"/>
  <c r="M93" i="10"/>
  <c r="M88" i="10"/>
  <c r="M96" i="10"/>
  <c r="M99" i="10"/>
  <c r="M13" i="10"/>
  <c r="M72" i="10"/>
  <c r="O87" i="5"/>
  <c r="Z87" i="5" s="1"/>
  <c r="O92" i="6"/>
  <c r="X99" i="6"/>
  <c r="O99" i="5"/>
  <c r="X93" i="6"/>
  <c r="O93" i="5"/>
  <c r="Z93" i="5" s="1"/>
  <c r="X96" i="6"/>
  <c r="O96" i="5"/>
  <c r="X94" i="6"/>
  <c r="O94" i="5"/>
  <c r="J10" i="12"/>
  <c r="K10" i="12" s="1"/>
  <c r="M44" i="10"/>
  <c r="L66" i="20"/>
  <c r="M32" i="10"/>
  <c r="X90" i="6"/>
  <c r="X89" i="6"/>
  <c r="O89" i="5"/>
  <c r="AA89" i="5" s="1"/>
  <c r="O90" i="5"/>
  <c r="X88" i="6"/>
  <c r="X91" i="6"/>
  <c r="O91" i="5"/>
  <c r="AE91" i="5" s="1"/>
  <c r="X80" i="6"/>
  <c r="AG80" i="6" s="1"/>
  <c r="O75" i="5"/>
  <c r="X84" i="6"/>
  <c r="X16" i="6"/>
  <c r="AG16" i="6" s="1"/>
  <c r="M85" i="10"/>
  <c r="M81" i="10"/>
  <c r="M30" i="10"/>
  <c r="M74" i="10"/>
  <c r="M14" i="13"/>
  <c r="M53" i="10"/>
  <c r="M22" i="10"/>
  <c r="M34" i="10"/>
  <c r="M46" i="10"/>
  <c r="M70" i="10"/>
  <c r="M50" i="10"/>
  <c r="M75" i="10"/>
  <c r="M68" i="10"/>
  <c r="M79" i="10"/>
  <c r="X30" i="6"/>
  <c r="AG30" i="6" s="1"/>
  <c r="X78" i="6"/>
  <c r="AG78" i="6" s="1"/>
  <c r="M82" i="10"/>
  <c r="M19" i="13"/>
  <c r="X28" i="6"/>
  <c r="O33" i="5"/>
  <c r="AA33" i="5" s="1"/>
  <c r="M77" i="10"/>
  <c r="M73" i="10"/>
  <c r="M43" i="10"/>
  <c r="M76" i="10"/>
  <c r="M71" i="10"/>
  <c r="M83" i="10"/>
  <c r="M17" i="13"/>
  <c r="M69" i="10"/>
  <c r="M57" i="10"/>
  <c r="M66" i="10"/>
  <c r="M84" i="10"/>
  <c r="M18" i="13"/>
  <c r="M80" i="10"/>
  <c r="M67" i="10"/>
  <c r="M78" i="10"/>
  <c r="M35" i="10"/>
  <c r="M52" i="10"/>
  <c r="M21" i="10"/>
  <c r="M28" i="10"/>
  <c r="M49" i="10"/>
  <c r="M62" i="10"/>
  <c r="M63" i="10"/>
  <c r="M27" i="10"/>
  <c r="M51" i="10"/>
  <c r="M24" i="10"/>
  <c r="M58" i="10"/>
  <c r="M33" i="10"/>
  <c r="M61" i="10"/>
  <c r="M25" i="10"/>
  <c r="M65" i="10"/>
  <c r="M55" i="10"/>
  <c r="M60" i="10"/>
  <c r="O36" i="5"/>
  <c r="AC36" i="5" s="1"/>
  <c r="X39" i="6"/>
  <c r="AG39" i="6" s="1"/>
  <c r="M12" i="13"/>
  <c r="L75" i="20"/>
  <c r="L77" i="20"/>
  <c r="M57" i="20"/>
  <c r="M59" i="20"/>
  <c r="M56" i="20"/>
  <c r="M54" i="20"/>
  <c r="M55" i="20"/>
  <c r="M53" i="20"/>
  <c r="M58" i="20"/>
  <c r="L73" i="20"/>
  <c r="O18" i="5"/>
  <c r="X35" i="6"/>
  <c r="AG35" i="6" s="1"/>
  <c r="M29" i="10"/>
  <c r="M13" i="13"/>
  <c r="M26" i="10"/>
  <c r="M31" i="10"/>
  <c r="M56" i="10"/>
  <c r="M54" i="10"/>
  <c r="M39" i="10"/>
  <c r="M23" i="10"/>
  <c r="M11" i="13"/>
  <c r="X29" i="6"/>
  <c r="AG29" i="6" s="1"/>
  <c r="X74" i="6"/>
  <c r="AG74" i="6" s="1"/>
  <c r="X31" i="6"/>
  <c r="AG31" i="6" s="1"/>
  <c r="X62" i="6"/>
  <c r="AG62" i="6" s="1"/>
  <c r="X32" i="6"/>
  <c r="AG32" i="6" s="1"/>
  <c r="M42" i="10"/>
  <c r="M64" i="10"/>
  <c r="M48" i="10"/>
  <c r="M47" i="10"/>
  <c r="M59" i="10"/>
  <c r="M45" i="10"/>
  <c r="M9" i="13"/>
  <c r="O28" i="5"/>
  <c r="O54" i="5"/>
  <c r="I99" i="20"/>
  <c r="J14" i="12"/>
  <c r="K14" i="12" s="1"/>
  <c r="I98" i="20"/>
  <c r="J13" i="12"/>
  <c r="K13" i="12" s="1"/>
  <c r="L69" i="20"/>
  <c r="I97" i="20"/>
  <c r="J12" i="12"/>
  <c r="K12" i="12" s="1"/>
  <c r="L68" i="20"/>
  <c r="J16" i="12"/>
  <c r="K16" i="12" s="1"/>
  <c r="I106" i="20"/>
  <c r="X15" i="6"/>
  <c r="AG15" i="6" s="1"/>
  <c r="O39" i="5"/>
  <c r="L70" i="20"/>
  <c r="L71" i="20"/>
  <c r="M12" i="10"/>
  <c r="O15" i="5"/>
  <c r="X83" i="6"/>
  <c r="AG83" i="6" s="1"/>
  <c r="X82" i="6"/>
  <c r="AG82" i="6" s="1"/>
  <c r="O82" i="5"/>
  <c r="X56" i="6"/>
  <c r="AG56" i="6" s="1"/>
  <c r="O56" i="5"/>
  <c r="AA56" i="5" s="1"/>
  <c r="X71" i="6"/>
  <c r="AG71" i="6" s="1"/>
  <c r="X77" i="6"/>
  <c r="AG77" i="6" s="1"/>
  <c r="X58" i="6"/>
  <c r="AG58" i="6" s="1"/>
  <c r="X68" i="6"/>
  <c r="AG68" i="6" s="1"/>
  <c r="X73" i="6"/>
  <c r="AG73" i="6" s="1"/>
  <c r="X5" i="6"/>
  <c r="X7" i="6"/>
  <c r="X61" i="6"/>
  <c r="AG61" i="6" s="1"/>
  <c r="X8" i="6"/>
  <c r="X27" i="6"/>
  <c r="X34" i="6"/>
  <c r="X45" i="6"/>
  <c r="AG45" i="6" s="1"/>
  <c r="X12" i="6"/>
  <c r="AG12" i="6" s="1"/>
  <c r="O16" i="5"/>
  <c r="O31" i="5"/>
  <c r="AC31" i="5" s="1"/>
  <c r="X24" i="6"/>
  <c r="AG24" i="6" s="1"/>
  <c r="O24" i="5"/>
  <c r="X26" i="6"/>
  <c r="O29" i="5"/>
  <c r="AE29" i="5" s="1"/>
  <c r="O30" i="5"/>
  <c r="X85" i="6"/>
  <c r="X18" i="6"/>
  <c r="AG18" i="6" s="1"/>
  <c r="X4" i="6"/>
  <c r="O4" i="5"/>
  <c r="X19" i="6"/>
  <c r="AG19" i="6" s="1"/>
  <c r="O19" i="5"/>
  <c r="X57" i="6"/>
  <c r="AG57" i="6" s="1"/>
  <c r="X72" i="6"/>
  <c r="AG72" i="6" s="1"/>
  <c r="X55" i="6"/>
  <c r="AG55" i="6" s="1"/>
  <c r="X70" i="6"/>
  <c r="AG70" i="6" s="1"/>
  <c r="O32" i="5"/>
  <c r="X47" i="6"/>
  <c r="X66" i="6"/>
  <c r="AG66" i="6" s="1"/>
  <c r="X6" i="6"/>
  <c r="X9" i="6"/>
  <c r="O35" i="5"/>
  <c r="X36" i="6"/>
  <c r="X48" i="6"/>
  <c r="AG48" i="6" s="1"/>
  <c r="O21" i="5"/>
  <c r="X21" i="6"/>
  <c r="AG21" i="6" s="1"/>
  <c r="O58" i="5"/>
  <c r="X43" i="6"/>
  <c r="AG43" i="6" s="1"/>
  <c r="X75" i="6"/>
  <c r="AG75" i="6" s="1"/>
  <c r="O38" i="6"/>
  <c r="AB38" i="6" s="1"/>
  <c r="O47" i="5"/>
  <c r="AD47" i="5" s="1"/>
  <c r="O62" i="5"/>
  <c r="O78" i="5"/>
  <c r="O11" i="5"/>
  <c r="AC11" i="5" s="1"/>
  <c r="X11" i="6"/>
  <c r="AG11" i="6" s="1"/>
  <c r="X22" i="6"/>
  <c r="AG22" i="6" s="1"/>
  <c r="X14" i="6"/>
  <c r="AG14" i="6" s="1"/>
  <c r="X40" i="6"/>
  <c r="AG40" i="6" s="1"/>
  <c r="X76" i="6"/>
  <c r="AG76" i="6" s="1"/>
  <c r="X64" i="6"/>
  <c r="AG64" i="6" s="1"/>
  <c r="X59" i="6"/>
  <c r="AG59" i="6" s="1"/>
  <c r="X67" i="6"/>
  <c r="AG67" i="6" s="1"/>
  <c r="O74" i="5"/>
  <c r="O67" i="5"/>
  <c r="X50" i="6"/>
  <c r="AG50" i="6" s="1"/>
  <c r="O25" i="5"/>
  <c r="X25" i="6"/>
  <c r="AG25" i="6" s="1"/>
  <c r="X65" i="6"/>
  <c r="AG65" i="6" s="1"/>
  <c r="O83" i="5"/>
  <c r="AA83" i="5" s="1"/>
  <c r="O6" i="5"/>
  <c r="AA6" i="5" s="1"/>
  <c r="O7" i="5"/>
  <c r="O72" i="5"/>
  <c r="X52" i="6"/>
  <c r="AG52" i="6" s="1"/>
  <c r="X44" i="6"/>
  <c r="AG44" i="6" s="1"/>
  <c r="X53" i="6"/>
  <c r="AG53" i="6" s="1"/>
  <c r="O9" i="5"/>
  <c r="AB9" i="5" s="1"/>
  <c r="O44" i="5"/>
  <c r="AE44" i="5" s="1"/>
  <c r="O84" i="5"/>
  <c r="AA84" i="5" s="1"/>
  <c r="O27" i="5"/>
  <c r="X33" i="6"/>
  <c r="X86" i="6"/>
  <c r="O86" i="5"/>
  <c r="Z86" i="5" s="1"/>
  <c r="O65" i="5"/>
  <c r="O45" i="5"/>
  <c r="AE45" i="5" s="1"/>
  <c r="O8" i="5"/>
  <c r="AD8" i="5" s="1"/>
  <c r="X42" i="6"/>
  <c r="AG42" i="6" s="1"/>
  <c r="X20" i="6"/>
  <c r="AG20" i="6" s="1"/>
  <c r="X81" i="6"/>
  <c r="AG81" i="6" s="1"/>
  <c r="O81" i="5"/>
  <c r="X54" i="6"/>
  <c r="AG54" i="6" s="1"/>
  <c r="X63" i="6"/>
  <c r="AG63" i="6" s="1"/>
  <c r="X60" i="6"/>
  <c r="AG60" i="6" s="1"/>
  <c r="X69" i="6"/>
  <c r="AG69" i="6" s="1"/>
  <c r="O69" i="5"/>
  <c r="M9" i="10"/>
  <c r="O77" i="5"/>
  <c r="O80" i="5"/>
  <c r="X79" i="6"/>
  <c r="AG79" i="6" s="1"/>
  <c r="X37" i="6"/>
  <c r="AG37" i="6" s="1"/>
  <c r="X49" i="6"/>
  <c r="AG49" i="6" s="1"/>
  <c r="O51" i="5"/>
  <c r="AC51" i="5" s="1"/>
  <c r="X51" i="6"/>
  <c r="AG51" i="6" s="1"/>
  <c r="O73" i="5"/>
  <c r="W49" i="20" s="1"/>
  <c r="O66" i="5"/>
  <c r="O70" i="5"/>
  <c r="X17" i="6"/>
  <c r="AG17" i="6" s="1"/>
  <c r="X13" i="6"/>
  <c r="AG13" i="6" s="1"/>
  <c r="X46" i="6"/>
  <c r="O37" i="5"/>
  <c r="O52" i="5"/>
  <c r="AB52" i="5" s="1"/>
  <c r="O59" i="5"/>
  <c r="AA59" i="5" s="1"/>
  <c r="X23" i="6"/>
  <c r="AG23" i="6" s="1"/>
  <c r="O34" i="5"/>
  <c r="AA34" i="5" s="1"/>
  <c r="O22" i="5"/>
  <c r="O5" i="5"/>
  <c r="AB7" i="5" l="1"/>
  <c r="AE7" i="5"/>
  <c r="AC53" i="5"/>
  <c r="Z92" i="5"/>
  <c r="AA92" i="5"/>
  <c r="AH66" i="5"/>
  <c r="AA66" i="5"/>
  <c r="Z92" i="6"/>
  <c r="AA92" i="6"/>
  <c r="AG47" i="5"/>
  <c r="AG46" i="5"/>
  <c r="AH65" i="5"/>
  <c r="AA65" i="5"/>
  <c r="AH55" i="5"/>
  <c r="AA55" i="5"/>
  <c r="AC30" i="5"/>
  <c r="AA30" i="5"/>
  <c r="AH13" i="5"/>
  <c r="AA13" i="5"/>
  <c r="AH63" i="5"/>
  <c r="AE63" i="5"/>
  <c r="AC54" i="5"/>
  <c r="AA54" i="5"/>
  <c r="AH17" i="5"/>
  <c r="AA17" i="5"/>
  <c r="AE90" i="5"/>
  <c r="AG90" i="5"/>
  <c r="AA10" i="5"/>
  <c r="AB10" i="5"/>
  <c r="AH53" i="5"/>
  <c r="AB50" i="5"/>
  <c r="AA40" i="5"/>
  <c r="AA91" i="5"/>
  <c r="Z91" i="5"/>
  <c r="K66" i="20"/>
  <c r="M66" i="20" s="1"/>
  <c r="AH40" i="5"/>
  <c r="AC90" i="5"/>
  <c r="Z90" i="5"/>
  <c r="AH12" i="5"/>
  <c r="AC12" i="5"/>
  <c r="AH50" i="5"/>
  <c r="AE47" i="5"/>
  <c r="AB47" i="5"/>
  <c r="AE32" i="5"/>
  <c r="AA32" i="5"/>
  <c r="AA85" i="5"/>
  <c r="AC85" i="5"/>
  <c r="AC43" i="5"/>
  <c r="AE43" i="5"/>
  <c r="AH57" i="5"/>
  <c r="AE57" i="5"/>
  <c r="AH82" i="5"/>
  <c r="AD82" i="5"/>
  <c r="AG84" i="5"/>
  <c r="AH83" i="5"/>
  <c r="AD83" i="5"/>
  <c r="AE46" i="5"/>
  <c r="AC46" i="5"/>
  <c r="AC39" i="5"/>
  <c r="AB39" i="5"/>
  <c r="AH26" i="5"/>
  <c r="AE26" i="5"/>
  <c r="AG85" i="5"/>
  <c r="AG27" i="5"/>
  <c r="AA27" i="5"/>
  <c r="AH58" i="5"/>
  <c r="AE58" i="5"/>
  <c r="AC48" i="5"/>
  <c r="AB48" i="5"/>
  <c r="AC37" i="5"/>
  <c r="AA37" i="5"/>
  <c r="AA86" i="5"/>
  <c r="AC86" i="5"/>
  <c r="AH84" i="5"/>
  <c r="AD84" i="5"/>
  <c r="AD87" i="5"/>
  <c r="AC87" i="5"/>
  <c r="AA36" i="5"/>
  <c r="AE36" i="5"/>
  <c r="AC88" i="5"/>
  <c r="Z88" i="5"/>
  <c r="AH59" i="5"/>
  <c r="AE59" i="5"/>
  <c r="AG33" i="5"/>
  <c r="AE33" i="5"/>
  <c r="AG86" i="5"/>
  <c r="AG89" i="5"/>
  <c r="Z89" i="5"/>
  <c r="AH85" i="5"/>
  <c r="AD85" i="5"/>
  <c r="AH60" i="5"/>
  <c r="AE60" i="5"/>
  <c r="AH46" i="5"/>
  <c r="AG87" i="5"/>
  <c r="AH16" i="5"/>
  <c r="AA16" i="5"/>
  <c r="AH11" i="5"/>
  <c r="AA11" i="5"/>
  <c r="AC38" i="6"/>
  <c r="AE38" i="6"/>
  <c r="AH45" i="5"/>
  <c r="AC45" i="5"/>
  <c r="AH62" i="5"/>
  <c r="AE62" i="5"/>
  <c r="AH33" i="5"/>
  <c r="AC33" i="5"/>
  <c r="AH48" i="5"/>
  <c r="AE48" i="5"/>
  <c r="AE34" i="5"/>
  <c r="AG34" i="5"/>
  <c r="AA35" i="5"/>
  <c r="AE35" i="5"/>
  <c r="AC38" i="5"/>
  <c r="AE38" i="5"/>
  <c r="AH42" i="5"/>
  <c r="AB42" i="5"/>
  <c r="AC44" i="5"/>
  <c r="AA44" i="5"/>
  <c r="AH29" i="5"/>
  <c r="AA29" i="5"/>
  <c r="AA28" i="5"/>
  <c r="AE28" i="5"/>
  <c r="AH88" i="5"/>
  <c r="AA88" i="5"/>
  <c r="AH27" i="5"/>
  <c r="AE27" i="5"/>
  <c r="AH32" i="5"/>
  <c r="AC32" i="5"/>
  <c r="AH39" i="5"/>
  <c r="AA39" i="5"/>
  <c r="AH89" i="5"/>
  <c r="AC89" i="5"/>
  <c r="AH49" i="5"/>
  <c r="AC49" i="5"/>
  <c r="AH61" i="5"/>
  <c r="AE61" i="5"/>
  <c r="AH86" i="5"/>
  <c r="AD86" i="5"/>
  <c r="AH87" i="5"/>
  <c r="AA87" i="5"/>
  <c r="AH51" i="5"/>
  <c r="AB51" i="5"/>
  <c r="AG26" i="5"/>
  <c r="X51" i="20" s="1"/>
  <c r="AB8" i="5"/>
  <c r="AH8" i="5"/>
  <c r="AB44" i="5"/>
  <c r="AH44" i="5"/>
  <c r="AC35" i="5"/>
  <c r="AH35" i="5"/>
  <c r="AA4" i="5"/>
  <c r="AH4" i="5"/>
  <c r="AC56" i="5"/>
  <c r="AH56" i="5"/>
  <c r="AC5" i="5"/>
  <c r="AH5" i="5"/>
  <c r="AC92" i="5"/>
  <c r="AH92" i="5"/>
  <c r="AC52" i="5"/>
  <c r="AH52" i="5"/>
  <c r="AA7" i="5"/>
  <c r="AH7" i="5"/>
  <c r="AC47" i="5"/>
  <c r="AH47" i="5"/>
  <c r="AG28" i="5"/>
  <c r="AH28" i="5"/>
  <c r="AG36" i="5"/>
  <c r="AH36" i="5"/>
  <c r="AA90" i="5"/>
  <c r="AH90" i="5"/>
  <c r="AA38" i="5"/>
  <c r="AH38" i="5"/>
  <c r="AE30" i="5"/>
  <c r="AH30" i="5"/>
  <c r="AA9" i="5"/>
  <c r="AH9" i="5"/>
  <c r="AA31" i="5"/>
  <c r="AH31" i="5"/>
  <c r="AA15" i="5"/>
  <c r="AH15" i="5"/>
  <c r="AB54" i="5"/>
  <c r="AH54" i="5"/>
  <c r="AC34" i="5"/>
  <c r="AH34" i="5"/>
  <c r="AE37" i="5"/>
  <c r="AH37" i="5"/>
  <c r="AE6" i="5"/>
  <c r="AH6" i="5"/>
  <c r="AA38" i="6"/>
  <c r="AH38" i="6"/>
  <c r="AG91" i="5"/>
  <c r="AH91" i="5"/>
  <c r="AA93" i="5"/>
  <c r="AH93" i="5"/>
  <c r="AC92" i="6"/>
  <c r="AH92" i="6"/>
  <c r="AD10" i="5"/>
  <c r="AH10" i="5"/>
  <c r="AD89" i="5"/>
  <c r="W72" i="20"/>
  <c r="R51" i="20"/>
  <c r="K69" i="20"/>
  <c r="M69" i="20" s="1"/>
  <c r="K64" i="20"/>
  <c r="W71" i="20"/>
  <c r="K71" i="20"/>
  <c r="M71" i="20" s="1"/>
  <c r="K70" i="20"/>
  <c r="M70" i="20" s="1"/>
  <c r="X49" i="20"/>
  <c r="K68" i="20"/>
  <c r="M68" i="20" s="1"/>
  <c r="O87" i="6"/>
  <c r="Z87" i="6" s="1"/>
  <c r="O10" i="6"/>
  <c r="AC10" i="6" s="1"/>
  <c r="O83" i="6"/>
  <c r="AA83" i="6" s="1"/>
  <c r="S44" i="20"/>
  <c r="W50" i="20"/>
  <c r="O24" i="6"/>
  <c r="O95" i="6"/>
  <c r="O99" i="6"/>
  <c r="O94" i="6"/>
  <c r="O100" i="6"/>
  <c r="O93" i="6"/>
  <c r="Z93" i="6" s="1"/>
  <c r="O96" i="6"/>
  <c r="S51" i="20"/>
  <c r="W48" i="20"/>
  <c r="O58" i="6"/>
  <c r="O77" i="6"/>
  <c r="O29" i="6"/>
  <c r="AE29" i="6" s="1"/>
  <c r="O30" i="6"/>
  <c r="O39" i="6"/>
  <c r="O56" i="6"/>
  <c r="AA56" i="6" s="1"/>
  <c r="O62" i="6"/>
  <c r="O73" i="6"/>
  <c r="O61" i="6"/>
  <c r="O16" i="6"/>
  <c r="O85" i="6"/>
  <c r="O68" i="6"/>
  <c r="O78" i="6"/>
  <c r="O71" i="6"/>
  <c r="O32" i="6"/>
  <c r="O5" i="6"/>
  <c r="AH5" i="6" s="1"/>
  <c r="O74" i="6"/>
  <c r="O91" i="6"/>
  <c r="AE91" i="6" s="1"/>
  <c r="O88" i="6"/>
  <c r="O89" i="6"/>
  <c r="O90" i="6"/>
  <c r="O80" i="6"/>
  <c r="O84" i="6"/>
  <c r="AA84" i="6" s="1"/>
  <c r="T51" i="20"/>
  <c r="O28" i="6"/>
  <c r="O31" i="6"/>
  <c r="AC31" i="6" s="1"/>
  <c r="O81" i="6"/>
  <c r="O82" i="6"/>
  <c r="O18" i="6"/>
  <c r="O19" i="6"/>
  <c r="O86" i="6"/>
  <c r="Z86" i="6" s="1"/>
  <c r="M76" i="20"/>
  <c r="M75" i="20"/>
  <c r="M73" i="20"/>
  <c r="M77" i="20"/>
  <c r="M79" i="20"/>
  <c r="M74" i="20"/>
  <c r="M78" i="20"/>
  <c r="O15" i="6"/>
  <c r="O35" i="6"/>
  <c r="O45" i="6"/>
  <c r="AE45" i="6" s="1"/>
  <c r="O70" i="6"/>
  <c r="O72" i="6"/>
  <c r="O8" i="6"/>
  <c r="AD8" i="6" s="1"/>
  <c r="O34" i="6"/>
  <c r="AA34" i="6" s="1"/>
  <c r="O36" i="6"/>
  <c r="AC36" i="6" s="1"/>
  <c r="O12" i="6"/>
  <c r="AA12" i="6" s="1"/>
  <c r="O25" i="6"/>
  <c r="O51" i="6"/>
  <c r="AC51" i="6" s="1"/>
  <c r="M10" i="13"/>
  <c r="O47" i="6"/>
  <c r="AD47" i="6" s="1"/>
  <c r="O6" i="6"/>
  <c r="AA6" i="6" s="1"/>
  <c r="O14" i="6"/>
  <c r="O43" i="6"/>
  <c r="O50" i="6"/>
  <c r="O33" i="6"/>
  <c r="O65" i="6"/>
  <c r="O27" i="6"/>
  <c r="O63" i="6"/>
  <c r="O52" i="6"/>
  <c r="AB52" i="6" s="1"/>
  <c r="O20" i="6"/>
  <c r="O53" i="6"/>
  <c r="AA53" i="6" s="1"/>
  <c r="O7" i="6"/>
  <c r="O42" i="6"/>
  <c r="O44" i="6"/>
  <c r="AE44" i="6" s="1"/>
  <c r="O79" i="6"/>
  <c r="O13" i="6"/>
  <c r="O76" i="6"/>
  <c r="O26" i="6"/>
  <c r="O23" i="6"/>
  <c r="O21" i="6"/>
  <c r="O22" i="6"/>
  <c r="O67" i="6"/>
  <c r="O49" i="6"/>
  <c r="AB49" i="6" s="1"/>
  <c r="O57" i="6"/>
  <c r="W44" i="20"/>
  <c r="O75" i="6"/>
  <c r="O69" i="6"/>
  <c r="O60" i="6"/>
  <c r="AA60" i="6" s="1"/>
  <c r="O11" i="6"/>
  <c r="AC11" i="6" s="1"/>
  <c r="O59" i="6"/>
  <c r="AA59" i="6" s="1"/>
  <c r="O48" i="6"/>
  <c r="AD48" i="6" s="1"/>
  <c r="O37" i="6"/>
  <c r="O4" i="6"/>
  <c r="O46" i="6"/>
  <c r="AD46" i="6" s="1"/>
  <c r="O17" i="6"/>
  <c r="O40" i="6"/>
  <c r="AC40" i="6" s="1"/>
  <c r="O64" i="6"/>
  <c r="W64" i="20"/>
  <c r="O55" i="6"/>
  <c r="AA55" i="6" s="1"/>
  <c r="O66" i="6"/>
  <c r="O54" i="6"/>
  <c r="O9" i="6"/>
  <c r="AB9" i="6" s="1"/>
  <c r="AB7" i="6" l="1"/>
  <c r="AE7" i="6"/>
  <c r="X48" i="20"/>
  <c r="AG47" i="6"/>
  <c r="AH66" i="6"/>
  <c r="AA66" i="6"/>
  <c r="AH65" i="6"/>
  <c r="AA65" i="6"/>
  <c r="AG46" i="6"/>
  <c r="U48" i="20"/>
  <c r="AC54" i="6"/>
  <c r="AA54" i="6"/>
  <c r="Z89" i="6"/>
  <c r="AA89" i="6"/>
  <c r="AC30" i="6"/>
  <c r="AA30" i="6"/>
  <c r="AH13" i="6"/>
  <c r="AA13" i="6"/>
  <c r="AH63" i="6"/>
  <c r="AE63" i="6"/>
  <c r="AH17" i="6"/>
  <c r="AA17" i="6"/>
  <c r="AE90" i="6"/>
  <c r="AG90" i="6"/>
  <c r="AA10" i="6"/>
  <c r="AB10" i="6"/>
  <c r="V48" i="20"/>
  <c r="Q44" i="20"/>
  <c r="X50" i="20"/>
  <c r="AA91" i="6"/>
  <c r="Z91" i="6"/>
  <c r="AC90" i="6"/>
  <c r="Z90" i="6"/>
  <c r="AH12" i="6"/>
  <c r="AC12" i="6"/>
  <c r="U46" i="20"/>
  <c r="V49" i="20"/>
  <c r="AH57" i="6"/>
  <c r="AE57" i="6"/>
  <c r="AE47" i="6"/>
  <c r="AB47" i="6"/>
  <c r="AE32" i="6"/>
  <c r="AA32" i="6"/>
  <c r="AA85" i="6"/>
  <c r="AC85" i="6"/>
  <c r="X46" i="20"/>
  <c r="AC43" i="6"/>
  <c r="AE43" i="6"/>
  <c r="X52" i="20"/>
  <c r="S48" i="20"/>
  <c r="AH82" i="6"/>
  <c r="AD82" i="6"/>
  <c r="AG84" i="6"/>
  <c r="AH26" i="6"/>
  <c r="AE26" i="6"/>
  <c r="AC48" i="6"/>
  <c r="AB48" i="6"/>
  <c r="AA86" i="6"/>
  <c r="AC86" i="6"/>
  <c r="AE46" i="6"/>
  <c r="AC46" i="6"/>
  <c r="AG27" i="6"/>
  <c r="AA27" i="6"/>
  <c r="AH83" i="6"/>
  <c r="AD83" i="6"/>
  <c r="T46" i="20"/>
  <c r="R46" i="20"/>
  <c r="AC39" i="6"/>
  <c r="AB39" i="6"/>
  <c r="AH58" i="6"/>
  <c r="AE58" i="6"/>
  <c r="AG85" i="6"/>
  <c r="AC37" i="6"/>
  <c r="AA37" i="6"/>
  <c r="AE33" i="6"/>
  <c r="AA33" i="6"/>
  <c r="AB42" i="6"/>
  <c r="AC42" i="6"/>
  <c r="AA40" i="6"/>
  <c r="AB40" i="6"/>
  <c r="AH84" i="6"/>
  <c r="AD84" i="6"/>
  <c r="AD87" i="6"/>
  <c r="AC87" i="6"/>
  <c r="AH59" i="6"/>
  <c r="AE59" i="6"/>
  <c r="AA36" i="6"/>
  <c r="AE36" i="6"/>
  <c r="AC88" i="6"/>
  <c r="Z88" i="6"/>
  <c r="AG86" i="6"/>
  <c r="Q46" i="20"/>
  <c r="AH85" i="6"/>
  <c r="AD85" i="6"/>
  <c r="AG87" i="6"/>
  <c r="AC50" i="6"/>
  <c r="AB50" i="6"/>
  <c r="AH60" i="6"/>
  <c r="AE60" i="6"/>
  <c r="V44" i="20"/>
  <c r="AH11" i="6"/>
  <c r="AA11" i="6"/>
  <c r="AH16" i="6"/>
  <c r="AA16" i="6"/>
  <c r="S49" i="20"/>
  <c r="AH88" i="6"/>
  <c r="AA88" i="6"/>
  <c r="AC89" i="6"/>
  <c r="AG89" i="6"/>
  <c r="AC44" i="6"/>
  <c r="AA44" i="6"/>
  <c r="AE34" i="6"/>
  <c r="AG34" i="6"/>
  <c r="AH45" i="6"/>
  <c r="AC45" i="6"/>
  <c r="AH62" i="6"/>
  <c r="AE62" i="6"/>
  <c r="AH29" i="6"/>
  <c r="AA29" i="6"/>
  <c r="AH48" i="6"/>
  <c r="AE48" i="6"/>
  <c r="AH33" i="6"/>
  <c r="AC33" i="6"/>
  <c r="AA35" i="6"/>
  <c r="AE35" i="6"/>
  <c r="AA28" i="6"/>
  <c r="AE28" i="6"/>
  <c r="AG33" i="6"/>
  <c r="AH51" i="6"/>
  <c r="AB51" i="6"/>
  <c r="U52" i="20"/>
  <c r="AG88" i="6"/>
  <c r="AH32" i="6"/>
  <c r="AC32" i="6"/>
  <c r="AH87" i="6"/>
  <c r="AA87" i="6"/>
  <c r="AH49" i="6"/>
  <c r="AC49" i="6"/>
  <c r="AH27" i="6"/>
  <c r="AE27" i="6"/>
  <c r="AH86" i="6"/>
  <c r="AD86" i="6"/>
  <c r="AH61" i="6"/>
  <c r="AE61" i="6"/>
  <c r="AH39" i="6"/>
  <c r="AA39" i="6"/>
  <c r="AG26" i="6"/>
  <c r="X71" i="20" s="1"/>
  <c r="AC55" i="6"/>
  <c r="AH55" i="6"/>
  <c r="AA42" i="6"/>
  <c r="AH42" i="6"/>
  <c r="AC52" i="6"/>
  <c r="AH52" i="6"/>
  <c r="AE6" i="6"/>
  <c r="AH6" i="6"/>
  <c r="AG36" i="6"/>
  <c r="AH36" i="6"/>
  <c r="AA15" i="6"/>
  <c r="AH15" i="6"/>
  <c r="AA9" i="6"/>
  <c r="AH9" i="6"/>
  <c r="AA46" i="6"/>
  <c r="AH46" i="6"/>
  <c r="AC47" i="6"/>
  <c r="AH47" i="6"/>
  <c r="AC34" i="6"/>
  <c r="AH34" i="6"/>
  <c r="AA31" i="6"/>
  <c r="AH31" i="6"/>
  <c r="AE30" i="6"/>
  <c r="AH30" i="6"/>
  <c r="AA93" i="6"/>
  <c r="AH93" i="6"/>
  <c r="AE40" i="6"/>
  <c r="AH40" i="6"/>
  <c r="AE37" i="6"/>
  <c r="AH37" i="6"/>
  <c r="AB44" i="6"/>
  <c r="AH44" i="6"/>
  <c r="AC35" i="6"/>
  <c r="AH35" i="6"/>
  <c r="AG28" i="6"/>
  <c r="AH28" i="6"/>
  <c r="AG91" i="6"/>
  <c r="AH91" i="6"/>
  <c r="AC56" i="6"/>
  <c r="AH56" i="6"/>
  <c r="AD10" i="6"/>
  <c r="AH10" i="6"/>
  <c r="AA90" i="6"/>
  <c r="AH90" i="6"/>
  <c r="AA7" i="6"/>
  <c r="AH7" i="6"/>
  <c r="AE50" i="6"/>
  <c r="AH50" i="6"/>
  <c r="AD89" i="6"/>
  <c r="AH89" i="6"/>
  <c r="AB54" i="6"/>
  <c r="AH54" i="6"/>
  <c r="AE64" i="6"/>
  <c r="AH64" i="6"/>
  <c r="AA4" i="6"/>
  <c r="AH4" i="6"/>
  <c r="AC53" i="6"/>
  <c r="AH53" i="6"/>
  <c r="AA43" i="6"/>
  <c r="AH43" i="6"/>
  <c r="AB8" i="6"/>
  <c r="AH8" i="6"/>
  <c r="AC5" i="6"/>
  <c r="X69" i="20"/>
  <c r="T49" i="20"/>
  <c r="U44" i="20"/>
  <c r="U71" i="20"/>
  <c r="V50" i="20"/>
  <c r="X44" i="20"/>
  <c r="V51" i="20"/>
  <c r="U50" i="20"/>
  <c r="T50" i="20"/>
  <c r="U49" i="20"/>
  <c r="U51" i="20"/>
  <c r="R50" i="20"/>
  <c r="T44" i="20"/>
  <c r="R48" i="20"/>
  <c r="R44" i="20"/>
  <c r="T48" i="20"/>
  <c r="R49" i="20"/>
  <c r="S50" i="20"/>
  <c r="S64" i="20"/>
  <c r="W70" i="20"/>
  <c r="W69" i="20"/>
  <c r="R71" i="20"/>
  <c r="X68" i="20" l="1"/>
  <c r="S68" i="20"/>
  <c r="Q66" i="20"/>
  <c r="V68" i="20"/>
  <c r="Q64" i="20"/>
  <c r="X66" i="20"/>
  <c r="T66" i="20"/>
  <c r="Y46" i="20"/>
  <c r="U66" i="20"/>
  <c r="X70" i="20"/>
  <c r="R66" i="20"/>
  <c r="S69" i="20"/>
  <c r="V69" i="20"/>
  <c r="V64" i="20"/>
  <c r="U64" i="20"/>
  <c r="X64" i="20"/>
  <c r="T70" i="20"/>
  <c r="T71" i="20"/>
  <c r="U68" i="20"/>
  <c r="T69" i="20"/>
  <c r="R68" i="20"/>
  <c r="V71" i="20"/>
  <c r="S71" i="20"/>
  <c r="T64" i="20"/>
  <c r="V70" i="20"/>
  <c r="R70" i="20"/>
  <c r="U69" i="20"/>
  <c r="S70" i="20"/>
  <c r="R69" i="20"/>
  <c r="W68" i="20"/>
  <c r="R64" i="20"/>
  <c r="T68" i="20"/>
  <c r="U70" i="20"/>
  <c r="Y51" i="20"/>
  <c r="Z51" i="20"/>
  <c r="Z53" i="20"/>
  <c r="Z58" i="20"/>
  <c r="Z59" i="20"/>
  <c r="Z55" i="20"/>
  <c r="Z56" i="20"/>
  <c r="Z57" i="20"/>
  <c r="Y55" i="20"/>
  <c r="Y53" i="20"/>
  <c r="Y57" i="20"/>
  <c r="Z54" i="20"/>
  <c r="Y58" i="20"/>
  <c r="Y54" i="20"/>
  <c r="Y56" i="20"/>
  <c r="Y59" i="20"/>
  <c r="Z46" i="20"/>
  <c r="Z48" i="20"/>
  <c r="Y48" i="20"/>
  <c r="Z49" i="20"/>
  <c r="Y49" i="20"/>
  <c r="Y50" i="20"/>
  <c r="Z50" i="20"/>
  <c r="Y79" i="20" l="1"/>
  <c r="Y78" i="20"/>
  <c r="Z77" i="20"/>
  <c r="Y74" i="20"/>
  <c r="Z73" i="20"/>
  <c r="Y76" i="20"/>
  <c r="Z79" i="20"/>
  <c r="Z76" i="20"/>
  <c r="Y75" i="20"/>
  <c r="Z78" i="20"/>
  <c r="Z75" i="20"/>
  <c r="Y73" i="20"/>
  <c r="Y77" i="20"/>
  <c r="Z74" i="20"/>
  <c r="Z69" i="20"/>
  <c r="Y71" i="20"/>
  <c r="Y66" i="20"/>
  <c r="Z66" i="20"/>
  <c r="Z71" i="20"/>
  <c r="Z70" i="20"/>
  <c r="Y70" i="20"/>
  <c r="Y69" i="20"/>
  <c r="Y68" i="20"/>
  <c r="Z68" i="20"/>
  <c r="Q72" i="20" l="1"/>
  <c r="X72" i="20"/>
  <c r="P12" i="20"/>
  <c r="U12" i="20"/>
  <c r="W12" i="20"/>
  <c r="X12" i="20"/>
  <c r="P32" i="20"/>
  <c r="R32" i="20"/>
  <c r="Q52" i="20"/>
  <c r="R52" i="20"/>
  <c r="X32" i="20"/>
  <c r="U32" i="20"/>
  <c r="W32" i="20"/>
  <c r="P72" i="20" l="1"/>
  <c r="R12" i="20"/>
  <c r="U72" i="20"/>
  <c r="Q12" i="20"/>
  <c r="Q20" i="20" s="1"/>
  <c r="R72" i="20"/>
  <c r="W41" i="4"/>
  <c r="J25" i="20" s="1"/>
  <c r="Z2" i="3"/>
  <c r="AD2" i="3"/>
  <c r="AF2" i="3"/>
  <c r="AG2" i="3"/>
  <c r="Y2" i="3"/>
  <c r="P2" i="3"/>
  <c r="P41" i="4"/>
  <c r="C25" i="20" s="1"/>
  <c r="T2" i="3"/>
  <c r="U2" i="3"/>
  <c r="X2" i="3"/>
  <c r="U41" i="4"/>
  <c r="H25" i="20" s="1"/>
  <c r="R41" i="4"/>
  <c r="W2" i="3"/>
  <c r="Q41" i="4"/>
  <c r="D25" i="20" s="1"/>
  <c r="X41" i="4"/>
  <c r="K25" i="20" s="1"/>
  <c r="S2" i="3"/>
  <c r="T41" i="4"/>
  <c r="V2" i="3"/>
  <c r="O41" i="3"/>
  <c r="R2" i="3"/>
  <c r="S41" i="4"/>
  <c r="V41" i="4"/>
  <c r="I25" i="20" s="1"/>
  <c r="Q2" i="3"/>
  <c r="F27" i="20" l="1"/>
  <c r="F25" i="20"/>
  <c r="G27" i="20"/>
  <c r="G25" i="20"/>
  <c r="E27" i="20"/>
  <c r="E25" i="20"/>
  <c r="K27" i="20"/>
  <c r="AG41" i="4"/>
  <c r="X25" i="20" s="1"/>
  <c r="H27" i="20"/>
  <c r="AD41" i="4"/>
  <c r="U25" i="20" s="1"/>
  <c r="C27" i="20"/>
  <c r="Y41" i="4"/>
  <c r="P25" i="20" s="1"/>
  <c r="I27" i="20"/>
  <c r="AE41" i="4"/>
  <c r="V25" i="20" s="1"/>
  <c r="D27" i="20"/>
  <c r="Z41" i="4"/>
  <c r="Q25" i="20" s="1"/>
  <c r="J27" i="20"/>
  <c r="AF41" i="4"/>
  <c r="W25" i="20" s="1"/>
  <c r="AB41" i="3"/>
  <c r="AA41" i="3"/>
  <c r="R5" i="20" s="1"/>
  <c r="E55" i="7"/>
  <c r="E53" i="7"/>
  <c r="E51" i="7"/>
  <c r="E48" i="7"/>
  <c r="E52" i="7"/>
  <c r="E54" i="7"/>
  <c r="E50" i="7"/>
  <c r="E49" i="7"/>
  <c r="G51" i="7"/>
  <c r="G53" i="7"/>
  <c r="G52" i="7"/>
  <c r="G55" i="7"/>
  <c r="G49" i="7"/>
  <c r="G50" i="7"/>
  <c r="G54" i="7"/>
  <c r="G48" i="7"/>
  <c r="K48" i="7"/>
  <c r="K51" i="7"/>
  <c r="K52" i="7"/>
  <c r="K54" i="7"/>
  <c r="K49" i="7"/>
  <c r="K53" i="7"/>
  <c r="K55" i="7"/>
  <c r="K50" i="7"/>
  <c r="H51" i="7"/>
  <c r="H54" i="7"/>
  <c r="H55" i="7"/>
  <c r="H50" i="7"/>
  <c r="H49" i="7"/>
  <c r="H52" i="7"/>
  <c r="H48" i="7"/>
  <c r="H53" i="7"/>
  <c r="C55" i="7"/>
  <c r="C51" i="7"/>
  <c r="C50" i="7"/>
  <c r="C48" i="7"/>
  <c r="C54" i="7"/>
  <c r="C53" i="7"/>
  <c r="C52" i="7"/>
  <c r="C49" i="7"/>
  <c r="J51" i="7"/>
  <c r="J53" i="7"/>
  <c r="J50" i="7"/>
  <c r="J54" i="7"/>
  <c r="J48" i="7"/>
  <c r="J49" i="7"/>
  <c r="J55" i="7"/>
  <c r="J52" i="7"/>
  <c r="F50" i="7"/>
  <c r="F53" i="7"/>
  <c r="F49" i="7"/>
  <c r="F48" i="7"/>
  <c r="F55" i="7"/>
  <c r="F54" i="7"/>
  <c r="F52" i="7"/>
  <c r="F51" i="7"/>
  <c r="I50" i="7"/>
  <c r="I54" i="7"/>
  <c r="I53" i="7"/>
  <c r="I52" i="7"/>
  <c r="I51" i="7"/>
  <c r="I49" i="7"/>
  <c r="I55" i="7"/>
  <c r="I48" i="7"/>
  <c r="D50" i="7"/>
  <c r="D53" i="7"/>
  <c r="D51" i="7"/>
  <c r="D52" i="7"/>
  <c r="D48" i="7"/>
  <c r="D49" i="7"/>
  <c r="D54" i="7"/>
  <c r="D55" i="7"/>
  <c r="K32" i="20"/>
  <c r="K47" i="7"/>
  <c r="K43" i="7"/>
  <c r="K34" i="7"/>
  <c r="K45" i="7"/>
  <c r="K40" i="7"/>
  <c r="K44" i="7"/>
  <c r="K37" i="7"/>
  <c r="K42" i="7"/>
  <c r="K38" i="7"/>
  <c r="K41" i="7"/>
  <c r="K46" i="7"/>
  <c r="K36" i="7"/>
  <c r="K35" i="7"/>
  <c r="K39" i="7"/>
  <c r="K32" i="7"/>
  <c r="K33" i="7"/>
  <c r="I32" i="20"/>
  <c r="I45" i="7"/>
  <c r="I37" i="7"/>
  <c r="I47" i="7"/>
  <c r="I33" i="7"/>
  <c r="I44" i="7"/>
  <c r="I32" i="7"/>
  <c r="I42" i="7"/>
  <c r="I39" i="7"/>
  <c r="I43" i="7"/>
  <c r="I34" i="7"/>
  <c r="I36" i="7"/>
  <c r="I38" i="7"/>
  <c r="I41" i="7"/>
  <c r="I46" i="7"/>
  <c r="I35" i="7"/>
  <c r="I40" i="7"/>
  <c r="D32" i="20"/>
  <c r="D34" i="7"/>
  <c r="D42" i="7"/>
  <c r="D43" i="7"/>
  <c r="D35" i="7"/>
  <c r="D44" i="7"/>
  <c r="D36" i="7"/>
  <c r="D32" i="7"/>
  <c r="D45" i="7"/>
  <c r="D46" i="7"/>
  <c r="D39" i="7"/>
  <c r="D38" i="7"/>
  <c r="D33" i="7"/>
  <c r="D37" i="7"/>
  <c r="D47" i="7"/>
  <c r="D40" i="7"/>
  <c r="D41" i="7"/>
  <c r="H32" i="20"/>
  <c r="H33" i="7"/>
  <c r="H42" i="7"/>
  <c r="H40" i="7"/>
  <c r="H35" i="7"/>
  <c r="H36" i="7"/>
  <c r="H41" i="7"/>
  <c r="H34" i="7"/>
  <c r="H43" i="7"/>
  <c r="H46" i="7"/>
  <c r="H44" i="7"/>
  <c r="H47" i="7"/>
  <c r="H32" i="7"/>
  <c r="H39" i="7"/>
  <c r="H45" i="7"/>
  <c r="H37" i="7"/>
  <c r="H38" i="7"/>
  <c r="C32" i="20"/>
  <c r="C36" i="7"/>
  <c r="C47" i="7"/>
  <c r="C46" i="7"/>
  <c r="C44" i="7"/>
  <c r="C37" i="7"/>
  <c r="C33" i="7"/>
  <c r="C41" i="7"/>
  <c r="C42" i="7"/>
  <c r="C45" i="7"/>
  <c r="C39" i="7"/>
  <c r="C38" i="7"/>
  <c r="C35" i="7"/>
  <c r="C40" i="7"/>
  <c r="C32" i="7"/>
  <c r="C43" i="7"/>
  <c r="C34" i="7"/>
  <c r="J34" i="7"/>
  <c r="J36" i="7"/>
  <c r="J47" i="7"/>
  <c r="J45" i="7"/>
  <c r="J46" i="7"/>
  <c r="J43" i="7"/>
  <c r="J37" i="7"/>
  <c r="J41" i="7"/>
  <c r="J39" i="7"/>
  <c r="J42" i="7"/>
  <c r="J38" i="7"/>
  <c r="J40" i="7"/>
  <c r="J35" i="7"/>
  <c r="J32" i="7"/>
  <c r="J33" i="7"/>
  <c r="J44" i="7"/>
  <c r="F32" i="20"/>
  <c r="F35" i="7"/>
  <c r="F36" i="7"/>
  <c r="F39" i="7"/>
  <c r="F45" i="7"/>
  <c r="F34" i="7"/>
  <c r="F46" i="7"/>
  <c r="F37" i="7"/>
  <c r="F40" i="7"/>
  <c r="F33" i="7"/>
  <c r="F42" i="7"/>
  <c r="F41" i="7"/>
  <c r="F44" i="7"/>
  <c r="F38" i="7"/>
  <c r="F32" i="7"/>
  <c r="F47" i="7"/>
  <c r="F43" i="7"/>
  <c r="G32" i="20"/>
  <c r="G32" i="7"/>
  <c r="G39" i="7"/>
  <c r="G33" i="7"/>
  <c r="G47" i="7"/>
  <c r="G37" i="7"/>
  <c r="G40" i="7"/>
  <c r="G35" i="7"/>
  <c r="G46" i="7"/>
  <c r="G36" i="7"/>
  <c r="G43" i="7"/>
  <c r="G44" i="7"/>
  <c r="G41" i="7"/>
  <c r="G45" i="7"/>
  <c r="G38" i="7"/>
  <c r="G42" i="7"/>
  <c r="G34" i="7"/>
  <c r="E32" i="20"/>
  <c r="E36" i="7"/>
  <c r="E32" i="7"/>
  <c r="E38" i="7"/>
  <c r="E44" i="7"/>
  <c r="E41" i="7"/>
  <c r="E43" i="7"/>
  <c r="E42" i="7"/>
  <c r="E37" i="7"/>
  <c r="E40" i="7"/>
  <c r="E47" i="7"/>
  <c r="E34" i="7"/>
  <c r="E39" i="7"/>
  <c r="E35" i="7"/>
  <c r="E45" i="7"/>
  <c r="E46" i="7"/>
  <c r="E33" i="7"/>
  <c r="AC41" i="3"/>
  <c r="AH41" i="3"/>
  <c r="J32" i="20"/>
  <c r="H20" i="20"/>
  <c r="D20" i="20"/>
  <c r="K20" i="20"/>
  <c r="W20" i="20"/>
  <c r="P20" i="20"/>
  <c r="G20" i="20"/>
  <c r="X20" i="20"/>
  <c r="J20" i="20"/>
  <c r="E20" i="20"/>
  <c r="W2" i="4"/>
  <c r="W41" i="5"/>
  <c r="J45" i="20" s="1"/>
  <c r="F20" i="20"/>
  <c r="U20" i="20"/>
  <c r="I20" i="20"/>
  <c r="L12" i="20"/>
  <c r="M12" i="20"/>
  <c r="Q28" i="7"/>
  <c r="L9" i="7"/>
  <c r="W28" i="7"/>
  <c r="L25" i="7"/>
  <c r="U28" i="7"/>
  <c r="L22" i="7"/>
  <c r="P28" i="7"/>
  <c r="X28" i="7"/>
  <c r="L15" i="7"/>
  <c r="L19" i="7"/>
  <c r="L16" i="7"/>
  <c r="L8" i="7"/>
  <c r="M14" i="7"/>
  <c r="M17" i="7"/>
  <c r="M13" i="7"/>
  <c r="V2" i="4"/>
  <c r="V41" i="5"/>
  <c r="I45" i="20" s="1"/>
  <c r="F28" i="7"/>
  <c r="L27" i="7"/>
  <c r="L20" i="7"/>
  <c r="L6" i="7"/>
  <c r="L18" i="7"/>
  <c r="L21" i="7"/>
  <c r="L4" i="7"/>
  <c r="E28" i="7"/>
  <c r="U2" i="4"/>
  <c r="U41" i="5"/>
  <c r="H45" i="20" s="1"/>
  <c r="K28" i="7"/>
  <c r="M12" i="7"/>
  <c r="M5" i="7"/>
  <c r="M7" i="7"/>
  <c r="M10" i="7"/>
  <c r="M16" i="7"/>
  <c r="C28" i="7"/>
  <c r="M4" i="7"/>
  <c r="Q2" i="4"/>
  <c r="Q41" i="5"/>
  <c r="D45" i="20" s="1"/>
  <c r="G28" i="7"/>
  <c r="M4" i="20"/>
  <c r="C20" i="20"/>
  <c r="S2" i="4"/>
  <c r="S41" i="5"/>
  <c r="L26" i="7"/>
  <c r="L24" i="7"/>
  <c r="L12" i="7"/>
  <c r="L17" i="7"/>
  <c r="L10" i="7"/>
  <c r="O2" i="3"/>
  <c r="S12" i="20"/>
  <c r="T2" i="4"/>
  <c r="T41" i="5"/>
  <c r="L5" i="7"/>
  <c r="H28" i="7"/>
  <c r="M24" i="7"/>
  <c r="M26" i="7"/>
  <c r="M25" i="7"/>
  <c r="M27" i="7"/>
  <c r="M20" i="7"/>
  <c r="M22" i="7"/>
  <c r="L11" i="7"/>
  <c r="P2" i="4"/>
  <c r="O41" i="4"/>
  <c r="P41" i="5"/>
  <c r="C45" i="20" s="1"/>
  <c r="M18" i="7"/>
  <c r="M19" i="7"/>
  <c r="M9" i="7"/>
  <c r="L14" i="7"/>
  <c r="L23" i="7"/>
  <c r="L7" i="7"/>
  <c r="L13" i="7"/>
  <c r="I28" i="7"/>
  <c r="X2" i="4"/>
  <c r="X41" i="5"/>
  <c r="K45" i="20" s="1"/>
  <c r="J28" i="7"/>
  <c r="R2" i="4"/>
  <c r="R41" i="5"/>
  <c r="D28" i="7"/>
  <c r="M8" i="7"/>
  <c r="M11" i="7"/>
  <c r="M23" i="7"/>
  <c r="M15" i="7"/>
  <c r="M6" i="7"/>
  <c r="M21" i="7"/>
  <c r="L4" i="20"/>
  <c r="J40" i="20" l="1"/>
  <c r="M25" i="20"/>
  <c r="F47" i="20"/>
  <c r="F45" i="20"/>
  <c r="T7" i="20"/>
  <c r="T5" i="20"/>
  <c r="S6" i="7"/>
  <c r="S5" i="20"/>
  <c r="M27" i="20"/>
  <c r="S27" i="7"/>
  <c r="E47" i="20"/>
  <c r="E45" i="20"/>
  <c r="S23" i="7"/>
  <c r="L27" i="20"/>
  <c r="L25" i="20"/>
  <c r="G47" i="20"/>
  <c r="G45" i="20"/>
  <c r="K47" i="20"/>
  <c r="AG41" i="5"/>
  <c r="X45" i="20" s="1"/>
  <c r="D47" i="20"/>
  <c r="Z41" i="5"/>
  <c r="Q45" i="20" s="1"/>
  <c r="I47" i="20"/>
  <c r="AE41" i="5"/>
  <c r="V45" i="20" s="1"/>
  <c r="S7" i="20"/>
  <c r="S4" i="7"/>
  <c r="U48" i="7"/>
  <c r="U51" i="7"/>
  <c r="U44" i="7"/>
  <c r="U46" i="7"/>
  <c r="U41" i="7"/>
  <c r="U39" i="7"/>
  <c r="U40" i="7"/>
  <c r="U33" i="7"/>
  <c r="U53" i="7"/>
  <c r="U37" i="7"/>
  <c r="U42" i="7"/>
  <c r="U45" i="7"/>
  <c r="U52" i="7"/>
  <c r="U50" i="7"/>
  <c r="U35" i="7"/>
  <c r="U54" i="7"/>
  <c r="U43" i="7"/>
  <c r="U38" i="7"/>
  <c r="U49" i="7"/>
  <c r="U55" i="7"/>
  <c r="U34" i="7"/>
  <c r="U47" i="7"/>
  <c r="U36" i="7"/>
  <c r="U32" i="7"/>
  <c r="U27" i="20"/>
  <c r="U40" i="20" s="1"/>
  <c r="AD2" i="4"/>
  <c r="Q44" i="7"/>
  <c r="Q39" i="7"/>
  <c r="Q55" i="7"/>
  <c r="Q53" i="7"/>
  <c r="Q48" i="7"/>
  <c r="Q36" i="7"/>
  <c r="Q50" i="7"/>
  <c r="Q52" i="7"/>
  <c r="Q37" i="7"/>
  <c r="Q33" i="7"/>
  <c r="Q35" i="7"/>
  <c r="Q32" i="7"/>
  <c r="Q54" i="7"/>
  <c r="Q34" i="7"/>
  <c r="Q43" i="7"/>
  <c r="Q45" i="7"/>
  <c r="Q42" i="7"/>
  <c r="Q46" i="7"/>
  <c r="Q49" i="7"/>
  <c r="Q40" i="7"/>
  <c r="Q51" i="7"/>
  <c r="Q47" i="7"/>
  <c r="Q38" i="7"/>
  <c r="Q41" i="7"/>
  <c r="Q27" i="20"/>
  <c r="Q40" i="20" s="1"/>
  <c r="Z2" i="4"/>
  <c r="C47" i="20"/>
  <c r="Y41" i="5"/>
  <c r="P45" i="20" s="1"/>
  <c r="S17" i="7"/>
  <c r="P52" i="7"/>
  <c r="P51" i="7"/>
  <c r="P54" i="7"/>
  <c r="P40" i="7"/>
  <c r="P36" i="7"/>
  <c r="P38" i="7"/>
  <c r="P32" i="7"/>
  <c r="P50" i="7"/>
  <c r="P47" i="7"/>
  <c r="P35" i="7"/>
  <c r="P37" i="7"/>
  <c r="P44" i="7"/>
  <c r="P55" i="7"/>
  <c r="P48" i="7"/>
  <c r="P46" i="7"/>
  <c r="P43" i="7"/>
  <c r="P45" i="7"/>
  <c r="P34" i="7"/>
  <c r="P49" i="7"/>
  <c r="P53" i="7"/>
  <c r="P33" i="7"/>
  <c r="P39" i="7"/>
  <c r="P42" i="7"/>
  <c r="P41" i="7"/>
  <c r="P27" i="20"/>
  <c r="P40" i="20" s="1"/>
  <c r="Y2" i="4"/>
  <c r="X33" i="7"/>
  <c r="X40" i="7"/>
  <c r="X55" i="7"/>
  <c r="X38" i="7"/>
  <c r="X50" i="7"/>
  <c r="X47" i="7"/>
  <c r="X45" i="7"/>
  <c r="X37" i="7"/>
  <c r="X43" i="7"/>
  <c r="X32" i="7"/>
  <c r="X51" i="7"/>
  <c r="X53" i="7"/>
  <c r="X39" i="7"/>
  <c r="X36" i="7"/>
  <c r="X52" i="7"/>
  <c r="X34" i="7"/>
  <c r="X35" i="7"/>
  <c r="X48" i="7"/>
  <c r="X42" i="7"/>
  <c r="X44" i="7"/>
  <c r="X49" i="7"/>
  <c r="X41" i="7"/>
  <c r="X46" i="7"/>
  <c r="X54" i="7"/>
  <c r="X27" i="20"/>
  <c r="X40" i="20" s="1"/>
  <c r="AG2" i="4"/>
  <c r="H47" i="20"/>
  <c r="AD41" i="5"/>
  <c r="U45" i="20" s="1"/>
  <c r="J47" i="20"/>
  <c r="AF41" i="5"/>
  <c r="W45" i="20" s="1"/>
  <c r="S21" i="7"/>
  <c r="W54" i="7"/>
  <c r="W53" i="7"/>
  <c r="W36" i="7"/>
  <c r="W32" i="7"/>
  <c r="W42" i="7"/>
  <c r="W43" i="7"/>
  <c r="W52" i="7"/>
  <c r="W50" i="7"/>
  <c r="W51" i="7"/>
  <c r="W33" i="7"/>
  <c r="W46" i="7"/>
  <c r="W37" i="7"/>
  <c r="W47" i="7"/>
  <c r="W55" i="7"/>
  <c r="W49" i="7"/>
  <c r="W39" i="7"/>
  <c r="W35" i="7"/>
  <c r="W44" i="7"/>
  <c r="W41" i="7"/>
  <c r="W48" i="7"/>
  <c r="W38" i="7"/>
  <c r="W40" i="7"/>
  <c r="W45" i="7"/>
  <c r="W34" i="7"/>
  <c r="W27" i="20"/>
  <c r="W40" i="20" s="1"/>
  <c r="AF2" i="4"/>
  <c r="V54" i="7"/>
  <c r="V55" i="7"/>
  <c r="V34" i="7"/>
  <c r="V46" i="7"/>
  <c r="V39" i="7"/>
  <c r="V35" i="7"/>
  <c r="V38" i="7"/>
  <c r="V51" i="7"/>
  <c r="V42" i="7"/>
  <c r="V44" i="7"/>
  <c r="V49" i="7"/>
  <c r="V47" i="7"/>
  <c r="V50" i="7"/>
  <c r="V40" i="7"/>
  <c r="V37" i="7"/>
  <c r="V41" i="7"/>
  <c r="V52" i="7"/>
  <c r="V43" i="7"/>
  <c r="V53" i="7"/>
  <c r="V45" i="7"/>
  <c r="V48" i="7"/>
  <c r="V33" i="7"/>
  <c r="V36" i="7"/>
  <c r="V32" i="7"/>
  <c r="V27" i="20"/>
  <c r="S9" i="7"/>
  <c r="S16" i="7"/>
  <c r="S14" i="7"/>
  <c r="S20" i="7"/>
  <c r="S11" i="7"/>
  <c r="S7" i="7"/>
  <c r="S13" i="7"/>
  <c r="AB41" i="4"/>
  <c r="AA41" i="4"/>
  <c r="R25" i="20" s="1"/>
  <c r="S22" i="7"/>
  <c r="S18" i="7"/>
  <c r="S15" i="7"/>
  <c r="S10" i="7"/>
  <c r="S19" i="7"/>
  <c r="S24" i="7"/>
  <c r="R21" i="7"/>
  <c r="R20" i="7"/>
  <c r="R10" i="7"/>
  <c r="R18" i="7"/>
  <c r="R16" i="7"/>
  <c r="R4" i="7"/>
  <c r="R25" i="7"/>
  <c r="R24" i="7"/>
  <c r="R13" i="7"/>
  <c r="R12" i="7"/>
  <c r="R6" i="7"/>
  <c r="R15" i="7"/>
  <c r="R26" i="7"/>
  <c r="R23" i="7"/>
  <c r="R5" i="7"/>
  <c r="R8" i="7"/>
  <c r="R7" i="7"/>
  <c r="R11" i="7"/>
  <c r="R22" i="7"/>
  <c r="R27" i="7"/>
  <c r="R14" i="7"/>
  <c r="R9" i="7"/>
  <c r="R17" i="7"/>
  <c r="R19" i="7"/>
  <c r="R7" i="20"/>
  <c r="R20" i="20" s="1"/>
  <c r="AA2" i="3"/>
  <c r="S5" i="7"/>
  <c r="S12" i="7"/>
  <c r="S25" i="7"/>
  <c r="S8" i="7"/>
  <c r="S26" i="7"/>
  <c r="E78" i="7"/>
  <c r="E77" i="7"/>
  <c r="E83" i="7"/>
  <c r="E76" i="7"/>
  <c r="E79" i="7"/>
  <c r="E81" i="7"/>
  <c r="E80" i="7"/>
  <c r="E82" i="7"/>
  <c r="K77" i="7"/>
  <c r="K76" i="7"/>
  <c r="K79" i="7"/>
  <c r="K81" i="7"/>
  <c r="K80" i="7"/>
  <c r="K83" i="7"/>
  <c r="K78" i="7"/>
  <c r="K82" i="7"/>
  <c r="I77" i="7"/>
  <c r="I82" i="7"/>
  <c r="I76" i="7"/>
  <c r="I80" i="7"/>
  <c r="I78" i="7"/>
  <c r="I83" i="7"/>
  <c r="I81" i="7"/>
  <c r="I79" i="7"/>
  <c r="C79" i="7"/>
  <c r="C81" i="7"/>
  <c r="C78" i="7"/>
  <c r="C83" i="7"/>
  <c r="C77" i="7"/>
  <c r="C76" i="7"/>
  <c r="C82" i="7"/>
  <c r="C80" i="7"/>
  <c r="G81" i="7"/>
  <c r="G77" i="7"/>
  <c r="G82" i="7"/>
  <c r="G80" i="7"/>
  <c r="G76" i="7"/>
  <c r="G78" i="7"/>
  <c r="G83" i="7"/>
  <c r="G79" i="7"/>
  <c r="J78" i="7"/>
  <c r="J82" i="7"/>
  <c r="J77" i="7"/>
  <c r="J80" i="7"/>
  <c r="J83" i="7"/>
  <c r="J76" i="7"/>
  <c r="J79" i="7"/>
  <c r="J81" i="7"/>
  <c r="D78" i="7"/>
  <c r="D82" i="7"/>
  <c r="D79" i="7"/>
  <c r="D81" i="7"/>
  <c r="D76" i="7"/>
  <c r="D80" i="7"/>
  <c r="D77" i="7"/>
  <c r="D83" i="7"/>
  <c r="H82" i="7"/>
  <c r="H80" i="7"/>
  <c r="H76" i="7"/>
  <c r="H79" i="7"/>
  <c r="H81" i="7"/>
  <c r="H77" i="7"/>
  <c r="H78" i="7"/>
  <c r="H83" i="7"/>
  <c r="F78" i="7"/>
  <c r="F77" i="7"/>
  <c r="F80" i="7"/>
  <c r="F76" i="7"/>
  <c r="F83" i="7"/>
  <c r="F79" i="7"/>
  <c r="F82" i="7"/>
  <c r="F81" i="7"/>
  <c r="T26" i="7"/>
  <c r="T24" i="7"/>
  <c r="T25" i="7"/>
  <c r="T21" i="7"/>
  <c r="T22" i="7"/>
  <c r="T20" i="7"/>
  <c r="T27" i="7"/>
  <c r="T23" i="7"/>
  <c r="K52" i="20"/>
  <c r="K62" i="7"/>
  <c r="K69" i="7"/>
  <c r="K63" i="7"/>
  <c r="K60" i="7"/>
  <c r="K72" i="7"/>
  <c r="K64" i="7"/>
  <c r="K68" i="7"/>
  <c r="K66" i="7"/>
  <c r="K70" i="7"/>
  <c r="K67" i="7"/>
  <c r="K61" i="7"/>
  <c r="K65" i="7"/>
  <c r="K74" i="7"/>
  <c r="K71" i="7"/>
  <c r="K73" i="7"/>
  <c r="K75" i="7"/>
  <c r="D52" i="20"/>
  <c r="D74" i="7"/>
  <c r="D64" i="7"/>
  <c r="D69" i="7"/>
  <c r="D67" i="7"/>
  <c r="D62" i="7"/>
  <c r="D70" i="7"/>
  <c r="D65" i="7"/>
  <c r="D66" i="7"/>
  <c r="D72" i="7"/>
  <c r="D68" i="7"/>
  <c r="D63" i="7"/>
  <c r="D60" i="7"/>
  <c r="D61" i="7"/>
  <c r="D73" i="7"/>
  <c r="D71" i="7"/>
  <c r="D75" i="7"/>
  <c r="E52" i="20"/>
  <c r="E72" i="7"/>
  <c r="E62" i="7"/>
  <c r="E65" i="7"/>
  <c r="E67" i="7"/>
  <c r="E68" i="7"/>
  <c r="E66" i="7"/>
  <c r="E60" i="7"/>
  <c r="E63" i="7"/>
  <c r="E71" i="7"/>
  <c r="E75" i="7"/>
  <c r="E73" i="7"/>
  <c r="E74" i="7"/>
  <c r="E64" i="7"/>
  <c r="E61" i="7"/>
  <c r="E69" i="7"/>
  <c r="E70" i="7"/>
  <c r="I52" i="20"/>
  <c r="I64" i="7"/>
  <c r="I61" i="7"/>
  <c r="I63" i="7"/>
  <c r="I68" i="7"/>
  <c r="I72" i="7"/>
  <c r="I71" i="7"/>
  <c r="I75" i="7"/>
  <c r="I67" i="7"/>
  <c r="I66" i="7"/>
  <c r="I69" i="7"/>
  <c r="I74" i="7"/>
  <c r="I62" i="7"/>
  <c r="I73" i="7"/>
  <c r="I65" i="7"/>
  <c r="I60" i="7"/>
  <c r="I70" i="7"/>
  <c r="C52" i="20"/>
  <c r="C61" i="7"/>
  <c r="C63" i="7"/>
  <c r="C73" i="7"/>
  <c r="C72" i="7"/>
  <c r="C69" i="7"/>
  <c r="C62" i="7"/>
  <c r="C60" i="7"/>
  <c r="C75" i="7"/>
  <c r="C64" i="7"/>
  <c r="C66" i="7"/>
  <c r="C65" i="7"/>
  <c r="C70" i="7"/>
  <c r="C67" i="7"/>
  <c r="C71" i="7"/>
  <c r="C74" i="7"/>
  <c r="C68" i="7"/>
  <c r="G52" i="20"/>
  <c r="G64" i="7"/>
  <c r="G61" i="7"/>
  <c r="G65" i="7"/>
  <c r="G67" i="7"/>
  <c r="G71" i="7"/>
  <c r="G66" i="7"/>
  <c r="G72" i="7"/>
  <c r="G75" i="7"/>
  <c r="G69" i="7"/>
  <c r="G70" i="7"/>
  <c r="G68" i="7"/>
  <c r="G60" i="7"/>
  <c r="G62" i="7"/>
  <c r="G74" i="7"/>
  <c r="G63" i="7"/>
  <c r="G73" i="7"/>
  <c r="H52" i="20"/>
  <c r="H72" i="7"/>
  <c r="H70" i="7"/>
  <c r="H73" i="7"/>
  <c r="H69" i="7"/>
  <c r="H61" i="7"/>
  <c r="H60" i="7"/>
  <c r="H67" i="7"/>
  <c r="H74" i="7"/>
  <c r="H66" i="7"/>
  <c r="H65" i="7"/>
  <c r="H71" i="7"/>
  <c r="H64" i="7"/>
  <c r="H62" i="7"/>
  <c r="H63" i="7"/>
  <c r="H68" i="7"/>
  <c r="H75" i="7"/>
  <c r="J52" i="20"/>
  <c r="J69" i="7"/>
  <c r="J66" i="7"/>
  <c r="J60" i="7"/>
  <c r="J68" i="7"/>
  <c r="J63" i="7"/>
  <c r="J64" i="7"/>
  <c r="J65" i="7"/>
  <c r="J73" i="7"/>
  <c r="J70" i="7"/>
  <c r="J75" i="7"/>
  <c r="J74" i="7"/>
  <c r="J72" i="7"/>
  <c r="J61" i="7"/>
  <c r="J62" i="7"/>
  <c r="J67" i="7"/>
  <c r="J71" i="7"/>
  <c r="F52" i="20"/>
  <c r="F64" i="7"/>
  <c r="F74" i="7"/>
  <c r="F72" i="7"/>
  <c r="F66" i="7"/>
  <c r="F68" i="7"/>
  <c r="F73" i="7"/>
  <c r="F60" i="7"/>
  <c r="F75" i="7"/>
  <c r="F62" i="7"/>
  <c r="F67" i="7"/>
  <c r="F65" i="7"/>
  <c r="F70" i="7"/>
  <c r="F71" i="7"/>
  <c r="F63" i="7"/>
  <c r="F61" i="7"/>
  <c r="F69" i="7"/>
  <c r="T12" i="20"/>
  <c r="T17" i="7"/>
  <c r="T5" i="7"/>
  <c r="T4" i="7"/>
  <c r="T10" i="7"/>
  <c r="T7" i="7"/>
  <c r="T15" i="7"/>
  <c r="T13" i="7"/>
  <c r="T8" i="7"/>
  <c r="T18" i="7"/>
  <c r="T9" i="7"/>
  <c r="T12" i="7"/>
  <c r="T6" i="7"/>
  <c r="T11" i="7"/>
  <c r="T14" i="7"/>
  <c r="T16" i="7"/>
  <c r="T19" i="7"/>
  <c r="AC41" i="4"/>
  <c r="AH41" i="4"/>
  <c r="V12" i="20"/>
  <c r="V20" i="20" s="1"/>
  <c r="G40" i="20"/>
  <c r="D40" i="20"/>
  <c r="W2" i="5"/>
  <c r="W41" i="6"/>
  <c r="J65" i="20" s="1"/>
  <c r="K40" i="20"/>
  <c r="L20" i="20"/>
  <c r="F40" i="20"/>
  <c r="H40" i="20"/>
  <c r="J56" i="7"/>
  <c r="M20" i="20"/>
  <c r="I40" i="20"/>
  <c r="AE2" i="3"/>
  <c r="L32" i="20"/>
  <c r="M32" i="20"/>
  <c r="AC2" i="3"/>
  <c r="L39" i="7"/>
  <c r="L53" i="7"/>
  <c r="L45" i="7"/>
  <c r="L43" i="7"/>
  <c r="L41" i="7"/>
  <c r="L52" i="7"/>
  <c r="L50" i="7"/>
  <c r="M35" i="7"/>
  <c r="M38" i="7"/>
  <c r="I56" i="7"/>
  <c r="L40" i="7"/>
  <c r="L38" i="7"/>
  <c r="M43" i="7"/>
  <c r="M51" i="7"/>
  <c r="L24" i="20"/>
  <c r="E40" i="20"/>
  <c r="L34" i="7"/>
  <c r="L54" i="7"/>
  <c r="L35" i="7"/>
  <c r="L46" i="7"/>
  <c r="K56" i="7"/>
  <c r="C40" i="20"/>
  <c r="M24" i="20"/>
  <c r="M42" i="7"/>
  <c r="M52" i="7"/>
  <c r="M36" i="7"/>
  <c r="M54" i="7"/>
  <c r="M33" i="7"/>
  <c r="M32" i="7"/>
  <c r="C56" i="7"/>
  <c r="AB2" i="3"/>
  <c r="F56" i="7"/>
  <c r="L28" i="7"/>
  <c r="L124" i="7" s="1"/>
  <c r="S2" i="5"/>
  <c r="S41" i="6"/>
  <c r="I36" i="10" s="1"/>
  <c r="M28" i="7"/>
  <c r="L33" i="7"/>
  <c r="L36" i="7"/>
  <c r="L51" i="7"/>
  <c r="L49" i="7"/>
  <c r="X2" i="5"/>
  <c r="X41" i="6"/>
  <c r="K65" i="20" s="1"/>
  <c r="P2" i="5"/>
  <c r="O41" i="5"/>
  <c r="P41" i="6"/>
  <c r="C65" i="20" s="1"/>
  <c r="M47" i="7"/>
  <c r="M53" i="7"/>
  <c r="M40" i="7"/>
  <c r="M45" i="7"/>
  <c r="M39" i="7"/>
  <c r="M49" i="7"/>
  <c r="T2" i="5"/>
  <c r="T41" i="6"/>
  <c r="J36" i="10" s="1"/>
  <c r="D56" i="7"/>
  <c r="H56" i="7"/>
  <c r="R2" i="5"/>
  <c r="R41" i="6"/>
  <c r="H36" i="10" s="1"/>
  <c r="M34" i="7"/>
  <c r="M50" i="7"/>
  <c r="AH2" i="3"/>
  <c r="L37" i="7"/>
  <c r="L42" i="7"/>
  <c r="L44" i="7"/>
  <c r="L55" i="7"/>
  <c r="L47" i="7"/>
  <c r="L48" i="7"/>
  <c r="E56" i="7"/>
  <c r="L32" i="7"/>
  <c r="O2" i="4"/>
  <c r="S32" i="20"/>
  <c r="M44" i="7"/>
  <c r="M48" i="7"/>
  <c r="M46" i="7"/>
  <c r="M37" i="7"/>
  <c r="M55" i="7"/>
  <c r="M41" i="7"/>
  <c r="G56" i="7"/>
  <c r="Q2" i="5"/>
  <c r="Q41" i="6"/>
  <c r="D65" i="20" s="1"/>
  <c r="U2" i="5"/>
  <c r="U41" i="6"/>
  <c r="V2" i="5"/>
  <c r="V41" i="6"/>
  <c r="I65" i="20" l="1"/>
  <c r="I91" i="20" s="1"/>
  <c r="L36" i="10"/>
  <c r="H65" i="20"/>
  <c r="I9" i="12" s="1"/>
  <c r="K36" i="10"/>
  <c r="T20" i="20"/>
  <c r="M45" i="20"/>
  <c r="L47" i="20"/>
  <c r="L45" i="20"/>
  <c r="Z5" i="20"/>
  <c r="S51" i="7"/>
  <c r="S25" i="20"/>
  <c r="Y5" i="20"/>
  <c r="M47" i="20"/>
  <c r="H37" i="10"/>
  <c r="E65" i="20"/>
  <c r="J37" i="10"/>
  <c r="G65" i="20"/>
  <c r="I37" i="10"/>
  <c r="F65" i="20"/>
  <c r="T27" i="20"/>
  <c r="T25" i="20"/>
  <c r="P56" i="7"/>
  <c r="Q56" i="7"/>
  <c r="K67" i="20"/>
  <c r="AG41" i="6"/>
  <c r="X65" i="20" s="1"/>
  <c r="W56" i="7"/>
  <c r="U56" i="7"/>
  <c r="Q47" i="20"/>
  <c r="Q60" i="20" s="1"/>
  <c r="Q63" i="7"/>
  <c r="Q76" i="7"/>
  <c r="Q70" i="7"/>
  <c r="Q78" i="7"/>
  <c r="Q74" i="7"/>
  <c r="Q72" i="7"/>
  <c r="Q83" i="7"/>
  <c r="Q60" i="7"/>
  <c r="Q81" i="7"/>
  <c r="Q80" i="7"/>
  <c r="Q61" i="7"/>
  <c r="Q71" i="7"/>
  <c r="Q67" i="7"/>
  <c r="Q66" i="7"/>
  <c r="Q75" i="7"/>
  <c r="Q79" i="7"/>
  <c r="Q62" i="7"/>
  <c r="Q68" i="7"/>
  <c r="Q65" i="7"/>
  <c r="Q82" i="7"/>
  <c r="Q73" i="7"/>
  <c r="Q77" i="7"/>
  <c r="Q69" i="7"/>
  <c r="Q64" i="7"/>
  <c r="Z2" i="5"/>
  <c r="X76" i="7"/>
  <c r="X66" i="7"/>
  <c r="X81" i="7"/>
  <c r="X67" i="7"/>
  <c r="X65" i="7"/>
  <c r="X75" i="7"/>
  <c r="X47" i="20"/>
  <c r="X60" i="20" s="1"/>
  <c r="AG2" i="5"/>
  <c r="X64" i="7"/>
  <c r="X71" i="7"/>
  <c r="X70" i="7"/>
  <c r="X82" i="7"/>
  <c r="X72" i="7"/>
  <c r="X62" i="7"/>
  <c r="X63" i="7"/>
  <c r="X78" i="7"/>
  <c r="X83" i="7"/>
  <c r="X68" i="7"/>
  <c r="X80" i="7"/>
  <c r="X69" i="7"/>
  <c r="X77" i="7"/>
  <c r="X79" i="7"/>
  <c r="X61" i="7"/>
  <c r="X73" i="7"/>
  <c r="X60" i="7"/>
  <c r="X74" i="7"/>
  <c r="D67" i="20"/>
  <c r="Z41" i="6"/>
  <c r="Q65" i="20" s="1"/>
  <c r="J60" i="20"/>
  <c r="K37" i="10"/>
  <c r="AD41" i="6"/>
  <c r="U65" i="20" s="1"/>
  <c r="C67" i="20"/>
  <c r="Y41" i="6"/>
  <c r="P65" i="20" s="1"/>
  <c r="J67" i="20"/>
  <c r="AF41" i="6"/>
  <c r="W65" i="20" s="1"/>
  <c r="W82" i="7"/>
  <c r="W78" i="7"/>
  <c r="W65" i="7"/>
  <c r="W74" i="7"/>
  <c r="W73" i="7"/>
  <c r="W60" i="7"/>
  <c r="W81" i="7"/>
  <c r="W80" i="7"/>
  <c r="W70" i="7"/>
  <c r="W66" i="7"/>
  <c r="W62" i="7"/>
  <c r="W67" i="7"/>
  <c r="W83" i="7"/>
  <c r="W77" i="7"/>
  <c r="W72" i="7"/>
  <c r="W61" i="7"/>
  <c r="W68" i="7"/>
  <c r="W75" i="7"/>
  <c r="W79" i="7"/>
  <c r="W76" i="7"/>
  <c r="W64" i="7"/>
  <c r="W69" i="7"/>
  <c r="W71" i="7"/>
  <c r="W63" i="7"/>
  <c r="W47" i="20"/>
  <c r="W60" i="20" s="1"/>
  <c r="AF2" i="5"/>
  <c r="X56" i="7"/>
  <c r="P76" i="7"/>
  <c r="P79" i="7"/>
  <c r="P78" i="7"/>
  <c r="P69" i="7"/>
  <c r="P70" i="7"/>
  <c r="P74" i="7"/>
  <c r="P67" i="7"/>
  <c r="P62" i="7"/>
  <c r="P65" i="7"/>
  <c r="P82" i="7"/>
  <c r="P63" i="7"/>
  <c r="P81" i="7"/>
  <c r="P77" i="7"/>
  <c r="P73" i="7"/>
  <c r="P75" i="7"/>
  <c r="P71" i="7"/>
  <c r="P80" i="7"/>
  <c r="P83" i="7"/>
  <c r="P61" i="7"/>
  <c r="P60" i="7"/>
  <c r="P66" i="7"/>
  <c r="P64" i="7"/>
  <c r="P72" i="7"/>
  <c r="P68" i="7"/>
  <c r="P47" i="20"/>
  <c r="P60" i="20" s="1"/>
  <c r="Y2" i="5"/>
  <c r="V83" i="7"/>
  <c r="V76" i="7"/>
  <c r="V65" i="7"/>
  <c r="V75" i="7"/>
  <c r="V61" i="7"/>
  <c r="V67" i="7"/>
  <c r="V64" i="7"/>
  <c r="V66" i="7"/>
  <c r="V47" i="20"/>
  <c r="V79" i="7"/>
  <c r="V71" i="7"/>
  <c r="V62" i="7"/>
  <c r="V78" i="7"/>
  <c r="V80" i="7"/>
  <c r="V70" i="7"/>
  <c r="V74" i="7"/>
  <c r="V81" i="7"/>
  <c r="V73" i="7"/>
  <c r="V82" i="7"/>
  <c r="V77" i="7"/>
  <c r="V63" i="7"/>
  <c r="V68" i="7"/>
  <c r="V69" i="7"/>
  <c r="V72" i="7"/>
  <c r="V60" i="7"/>
  <c r="L37" i="10"/>
  <c r="AE41" i="6"/>
  <c r="V65" i="20" s="1"/>
  <c r="U79" i="7"/>
  <c r="U77" i="7"/>
  <c r="U64" i="7"/>
  <c r="U73" i="7"/>
  <c r="U65" i="7"/>
  <c r="U63" i="7"/>
  <c r="U47" i="20"/>
  <c r="U60" i="20" s="1"/>
  <c r="U72" i="7"/>
  <c r="U60" i="7"/>
  <c r="U68" i="7"/>
  <c r="U82" i="7"/>
  <c r="U76" i="7"/>
  <c r="U66" i="7"/>
  <c r="U78" i="7"/>
  <c r="U80" i="7"/>
  <c r="U75" i="7"/>
  <c r="U62" i="7"/>
  <c r="U71" i="7"/>
  <c r="AD2" i="5"/>
  <c r="U81" i="7"/>
  <c r="U83" i="7"/>
  <c r="U70" i="7"/>
  <c r="U69" i="7"/>
  <c r="U74" i="7"/>
  <c r="U67" i="7"/>
  <c r="U61" i="7"/>
  <c r="S33" i="7"/>
  <c r="S49" i="7"/>
  <c r="S34" i="7"/>
  <c r="S36" i="7"/>
  <c r="S43" i="7"/>
  <c r="S54" i="7"/>
  <c r="S27" i="20"/>
  <c r="S53" i="7"/>
  <c r="S38" i="7"/>
  <c r="S39" i="7"/>
  <c r="S48" i="7"/>
  <c r="S44" i="7"/>
  <c r="S50" i="7"/>
  <c r="S35" i="7"/>
  <c r="S45" i="7"/>
  <c r="S55" i="7"/>
  <c r="S46" i="7"/>
  <c r="S42" i="7"/>
  <c r="S41" i="7"/>
  <c r="S47" i="7"/>
  <c r="S32" i="7"/>
  <c r="S52" i="7"/>
  <c r="S37" i="7"/>
  <c r="S40" i="7"/>
  <c r="Z7" i="20"/>
  <c r="Y7" i="20"/>
  <c r="R28" i="7"/>
  <c r="R55" i="7"/>
  <c r="R32" i="7"/>
  <c r="R52" i="7"/>
  <c r="R51" i="7"/>
  <c r="R43" i="7"/>
  <c r="R37" i="7"/>
  <c r="R48" i="7"/>
  <c r="R54" i="7"/>
  <c r="R49" i="7"/>
  <c r="R50" i="7"/>
  <c r="R45" i="7"/>
  <c r="R36" i="7"/>
  <c r="R39" i="7"/>
  <c r="R38" i="7"/>
  <c r="R53" i="7"/>
  <c r="R42" i="7"/>
  <c r="R40" i="7"/>
  <c r="R47" i="7"/>
  <c r="R33" i="7"/>
  <c r="R41" i="7"/>
  <c r="R34" i="7"/>
  <c r="R44" i="7"/>
  <c r="R46" i="7"/>
  <c r="R35" i="7"/>
  <c r="R27" i="20"/>
  <c r="R40" i="20" s="1"/>
  <c r="AA2" i="4"/>
  <c r="AB41" i="5"/>
  <c r="AA41" i="5"/>
  <c r="R45" i="20" s="1"/>
  <c r="I67" i="20"/>
  <c r="L38" i="10"/>
  <c r="F67" i="20"/>
  <c r="I38" i="10"/>
  <c r="H67" i="20"/>
  <c r="K38" i="10"/>
  <c r="E67" i="20"/>
  <c r="H38" i="10"/>
  <c r="G67" i="20"/>
  <c r="J38" i="10"/>
  <c r="S82" i="7"/>
  <c r="K104" i="7"/>
  <c r="K105" i="7"/>
  <c r="K106" i="7"/>
  <c r="K111" i="7"/>
  <c r="K107" i="7"/>
  <c r="K108" i="7"/>
  <c r="K110" i="7"/>
  <c r="K109" i="7"/>
  <c r="T52" i="7"/>
  <c r="T55" i="7"/>
  <c r="T53" i="7"/>
  <c r="T48" i="7"/>
  <c r="T54" i="7"/>
  <c r="T51" i="7"/>
  <c r="T50" i="7"/>
  <c r="T49" i="7"/>
  <c r="I111" i="7"/>
  <c r="I31" i="11" s="1"/>
  <c r="I110" i="7"/>
  <c r="I30" i="11" s="1"/>
  <c r="I107" i="7"/>
  <c r="I27" i="11" s="1"/>
  <c r="I108" i="7"/>
  <c r="I28" i="11" s="1"/>
  <c r="I106" i="7"/>
  <c r="I26" i="11" s="1"/>
  <c r="I104" i="7"/>
  <c r="I105" i="7"/>
  <c r="I25" i="11" s="1"/>
  <c r="I109" i="7"/>
  <c r="I29" i="11" s="1"/>
  <c r="H106" i="7"/>
  <c r="H26" i="11" s="1"/>
  <c r="H104" i="7"/>
  <c r="H111" i="7"/>
  <c r="H31" i="11" s="1"/>
  <c r="H109" i="7"/>
  <c r="H29" i="11" s="1"/>
  <c r="H108" i="7"/>
  <c r="H28" i="11" s="1"/>
  <c r="H110" i="7"/>
  <c r="H30" i="11" s="1"/>
  <c r="H107" i="7"/>
  <c r="H105" i="7"/>
  <c r="H25" i="11" s="1"/>
  <c r="E110" i="7"/>
  <c r="E111" i="7"/>
  <c r="E106" i="7"/>
  <c r="E105" i="7"/>
  <c r="E109" i="7"/>
  <c r="E107" i="7"/>
  <c r="E104" i="7"/>
  <c r="E108" i="7"/>
  <c r="G109" i="7"/>
  <c r="G29" i="11" s="1"/>
  <c r="G110" i="7"/>
  <c r="G30" i="11" s="1"/>
  <c r="G107" i="7"/>
  <c r="G27" i="11" s="1"/>
  <c r="G111" i="7"/>
  <c r="G31" i="11" s="1"/>
  <c r="G104" i="7"/>
  <c r="G105" i="7"/>
  <c r="G25" i="11" s="1"/>
  <c r="G108" i="7"/>
  <c r="G28" i="11" s="1"/>
  <c r="G106" i="7"/>
  <c r="G26" i="11" s="1"/>
  <c r="C106" i="7"/>
  <c r="C104" i="7"/>
  <c r="C110" i="7"/>
  <c r="C111" i="7"/>
  <c r="C105" i="7"/>
  <c r="C107" i="7"/>
  <c r="C108" i="7"/>
  <c r="C109" i="7"/>
  <c r="J109" i="7"/>
  <c r="J107" i="7"/>
  <c r="J106" i="7"/>
  <c r="J104" i="7"/>
  <c r="J111" i="7"/>
  <c r="J110" i="7"/>
  <c r="J105" i="7"/>
  <c r="J108" i="7"/>
  <c r="D109" i="7"/>
  <c r="D107" i="7"/>
  <c r="D106" i="7"/>
  <c r="D110" i="7"/>
  <c r="D111" i="7"/>
  <c r="D105" i="7"/>
  <c r="D108" i="7"/>
  <c r="D104" i="7"/>
  <c r="F111" i="7"/>
  <c r="F31" i="11" s="1"/>
  <c r="F106" i="7"/>
  <c r="F26" i="11" s="1"/>
  <c r="F109" i="7"/>
  <c r="F29" i="11" s="1"/>
  <c r="F105" i="7"/>
  <c r="F25" i="11" s="1"/>
  <c r="F110" i="7"/>
  <c r="F30" i="11" s="1"/>
  <c r="F107" i="7"/>
  <c r="F27" i="11" s="1"/>
  <c r="F104" i="7"/>
  <c r="F108" i="7"/>
  <c r="F28" i="11" s="1"/>
  <c r="E92" i="7"/>
  <c r="E97" i="7"/>
  <c r="E8" i="15"/>
  <c r="E16" i="15"/>
  <c r="E24" i="15"/>
  <c r="E99" i="7"/>
  <c r="E101" i="7"/>
  <c r="E91" i="7"/>
  <c r="E7" i="15"/>
  <c r="E17" i="15"/>
  <c r="E11" i="15"/>
  <c r="E6" i="15"/>
  <c r="E88" i="7"/>
  <c r="E9" i="15"/>
  <c r="E100" i="7"/>
  <c r="E94" i="7"/>
  <c r="E10" i="15"/>
  <c r="E18" i="15"/>
  <c r="E26" i="15"/>
  <c r="E96" i="7"/>
  <c r="E98" i="7"/>
  <c r="E5" i="15"/>
  <c r="E15" i="15"/>
  <c r="E25" i="15"/>
  <c r="E19" i="15"/>
  <c r="E12" i="15"/>
  <c r="E28" i="15"/>
  <c r="E89" i="7"/>
  <c r="E23" i="15"/>
  <c r="E27" i="15"/>
  <c r="E14" i="15"/>
  <c r="E95" i="7"/>
  <c r="E93" i="7"/>
  <c r="E103" i="7"/>
  <c r="E20" i="15"/>
  <c r="E102" i="7"/>
  <c r="E13" i="15"/>
  <c r="E90" i="7"/>
  <c r="E22" i="15"/>
  <c r="E21" i="15"/>
  <c r="C23" i="15"/>
  <c r="C7" i="15"/>
  <c r="C5" i="15"/>
  <c r="C9" i="15"/>
  <c r="C96" i="7"/>
  <c r="C97" i="7"/>
  <c r="C26" i="15"/>
  <c r="C20" i="15"/>
  <c r="C28" i="15"/>
  <c r="C19" i="15"/>
  <c r="C92" i="7"/>
  <c r="C25" i="15"/>
  <c r="C17" i="15"/>
  <c r="C13" i="15"/>
  <c r="C90" i="7"/>
  <c r="C8" i="15"/>
  <c r="C12" i="15"/>
  <c r="C14" i="15"/>
  <c r="C15" i="15"/>
  <c r="C21" i="15"/>
  <c r="C94" i="7"/>
  <c r="C6" i="15"/>
  <c r="C91" i="7"/>
  <c r="C98" i="7"/>
  <c r="C102" i="7"/>
  <c r="C24" i="15"/>
  <c r="C88" i="7"/>
  <c r="C93" i="7"/>
  <c r="C103" i="7"/>
  <c r="C27" i="15"/>
  <c r="C11" i="15"/>
  <c r="C100" i="7"/>
  <c r="C22" i="15"/>
  <c r="C99" i="7"/>
  <c r="C10" i="15"/>
  <c r="C16" i="15"/>
  <c r="C18" i="15"/>
  <c r="C89" i="7"/>
  <c r="C101" i="7"/>
  <c r="C95" i="7"/>
  <c r="D20" i="15"/>
  <c r="D12" i="15"/>
  <c r="D92" i="7"/>
  <c r="D14" i="15"/>
  <c r="D28" i="15"/>
  <c r="D17" i="15"/>
  <c r="D91" i="7"/>
  <c r="D101" i="7"/>
  <c r="D98" i="7"/>
  <c r="D23" i="15"/>
  <c r="D25" i="15"/>
  <c r="D93" i="7"/>
  <c r="D19" i="15"/>
  <c r="D11" i="15"/>
  <c r="D18" i="15"/>
  <c r="D97" i="7"/>
  <c r="D24" i="15"/>
  <c r="D100" i="7"/>
  <c r="D13" i="15"/>
  <c r="D96" i="7"/>
  <c r="D95" i="7"/>
  <c r="D16" i="15"/>
  <c r="D8" i="15"/>
  <c r="D22" i="15"/>
  <c r="D89" i="7"/>
  <c r="D94" i="7"/>
  <c r="D26" i="15"/>
  <c r="D99" i="7"/>
  <c r="D103" i="7"/>
  <c r="D7" i="15"/>
  <c r="D10" i="15"/>
  <c r="D88" i="7"/>
  <c r="D102" i="7"/>
  <c r="D21" i="15"/>
  <c r="D27" i="15"/>
  <c r="D6" i="15"/>
  <c r="D90" i="7"/>
  <c r="D5" i="15"/>
  <c r="D15" i="15"/>
  <c r="D9" i="15"/>
  <c r="H27" i="15"/>
  <c r="H16" i="15"/>
  <c r="H8" i="15"/>
  <c r="H90" i="7"/>
  <c r="H18" i="15"/>
  <c r="H99" i="7"/>
  <c r="H27" i="11"/>
  <c r="H91" i="7"/>
  <c r="H94" i="7"/>
  <c r="H23" i="15"/>
  <c r="H15" i="15"/>
  <c r="H7" i="15"/>
  <c r="H6" i="15"/>
  <c r="H22" i="15"/>
  <c r="H97" i="7"/>
  <c r="H9" i="15"/>
  <c r="H96" i="7"/>
  <c r="H89" i="7"/>
  <c r="H88" i="7"/>
  <c r="H5" i="15"/>
  <c r="H20" i="15"/>
  <c r="H12" i="15"/>
  <c r="H92" i="7"/>
  <c r="H10" i="15"/>
  <c r="H25" i="15"/>
  <c r="H98" i="7"/>
  <c r="H17" i="15"/>
  <c r="H102" i="7"/>
  <c r="H13" i="15"/>
  <c r="H101" i="7"/>
  <c r="H21" i="15"/>
  <c r="H19" i="15"/>
  <c r="H11" i="15"/>
  <c r="H100" i="7"/>
  <c r="H14" i="15"/>
  <c r="H28" i="15"/>
  <c r="H24" i="15"/>
  <c r="H93" i="7"/>
  <c r="H26" i="15"/>
  <c r="H95" i="7"/>
  <c r="H103" i="7"/>
  <c r="G100" i="7"/>
  <c r="G96" i="7"/>
  <c r="G7" i="15"/>
  <c r="G15" i="15"/>
  <c r="G23" i="15"/>
  <c r="G102" i="7"/>
  <c r="G10" i="15"/>
  <c r="G18" i="15"/>
  <c r="G26" i="15"/>
  <c r="G89" i="7"/>
  <c r="G98" i="7"/>
  <c r="G101" i="7"/>
  <c r="G9" i="15"/>
  <c r="G17" i="15"/>
  <c r="G25" i="15"/>
  <c r="G93" i="7"/>
  <c r="G12" i="15"/>
  <c r="G20" i="15"/>
  <c r="G28" i="15"/>
  <c r="G97" i="7"/>
  <c r="G103" i="7"/>
  <c r="G11" i="15"/>
  <c r="G19" i="15"/>
  <c r="G27" i="15"/>
  <c r="G95" i="7"/>
  <c r="G6" i="15"/>
  <c r="G14" i="15"/>
  <c r="G22" i="15"/>
  <c r="G90" i="7"/>
  <c r="G94" i="7"/>
  <c r="G88" i="7"/>
  <c r="G5" i="15"/>
  <c r="G13" i="15"/>
  <c r="G21" i="15"/>
  <c r="G92" i="7"/>
  <c r="G99" i="7"/>
  <c r="G8" i="15"/>
  <c r="G16" i="15"/>
  <c r="G24" i="15"/>
  <c r="G91" i="7"/>
  <c r="T43" i="7"/>
  <c r="T33" i="7"/>
  <c r="T44" i="7"/>
  <c r="T47" i="7"/>
  <c r="T46" i="7"/>
  <c r="T34" i="7"/>
  <c r="T36" i="7"/>
  <c r="T45" i="7"/>
  <c r="T41" i="7"/>
  <c r="T35" i="7"/>
  <c r="T37" i="7"/>
  <c r="T32" i="7"/>
  <c r="T40" i="7"/>
  <c r="T39" i="7"/>
  <c r="T42" i="7"/>
  <c r="T38" i="7"/>
  <c r="I90" i="7"/>
  <c r="I96" i="7"/>
  <c r="I100" i="7"/>
  <c r="I6" i="15"/>
  <c r="I14" i="15"/>
  <c r="I22" i="15"/>
  <c r="I91" i="7"/>
  <c r="I17" i="15"/>
  <c r="I103" i="7"/>
  <c r="I11" i="15"/>
  <c r="I27" i="15"/>
  <c r="I102" i="7"/>
  <c r="I8" i="15"/>
  <c r="I16" i="15"/>
  <c r="I24" i="15"/>
  <c r="I5" i="15"/>
  <c r="I21" i="15"/>
  <c r="I94" i="7"/>
  <c r="I15" i="15"/>
  <c r="I88" i="7"/>
  <c r="I99" i="7"/>
  <c r="I89" i="7"/>
  <c r="I93" i="7"/>
  <c r="I98" i="7"/>
  <c r="I10" i="15"/>
  <c r="I18" i="15"/>
  <c r="I26" i="15"/>
  <c r="I9" i="15"/>
  <c r="I25" i="15"/>
  <c r="I19" i="15"/>
  <c r="I92" i="7"/>
  <c r="I97" i="7"/>
  <c r="I101" i="7"/>
  <c r="I12" i="15"/>
  <c r="I20" i="15"/>
  <c r="I28" i="15"/>
  <c r="I13" i="15"/>
  <c r="I95" i="7"/>
  <c r="I7" i="15"/>
  <c r="I23" i="15"/>
  <c r="F27" i="15"/>
  <c r="F11" i="15"/>
  <c r="F21" i="15"/>
  <c r="F6" i="15"/>
  <c r="F28" i="15"/>
  <c r="F13" i="15"/>
  <c r="F9" i="15"/>
  <c r="F23" i="15"/>
  <c r="F7" i="15"/>
  <c r="F100" i="7"/>
  <c r="F95" i="7"/>
  <c r="F5" i="15"/>
  <c r="F26" i="15"/>
  <c r="F12" i="15"/>
  <c r="F96" i="7"/>
  <c r="F18" i="15"/>
  <c r="F14" i="15"/>
  <c r="F19" i="15"/>
  <c r="F92" i="7"/>
  <c r="F94" i="7"/>
  <c r="F89" i="7"/>
  <c r="F102" i="7"/>
  <c r="F88" i="7"/>
  <c r="F10" i="15"/>
  <c r="F99" i="7"/>
  <c r="F17" i="15"/>
  <c r="F103" i="7"/>
  <c r="F24" i="15"/>
  <c r="F20" i="15"/>
  <c r="F15" i="15"/>
  <c r="F97" i="7"/>
  <c r="F98" i="7"/>
  <c r="F90" i="7"/>
  <c r="F101" i="7"/>
  <c r="F91" i="7"/>
  <c r="F16" i="15"/>
  <c r="F22" i="15"/>
  <c r="F8" i="15"/>
  <c r="F93" i="7"/>
  <c r="F25" i="15"/>
  <c r="J27" i="15"/>
  <c r="J11" i="15"/>
  <c r="J92" i="7"/>
  <c r="J93" i="7"/>
  <c r="J10" i="15"/>
  <c r="J21" i="15"/>
  <c r="J102" i="7"/>
  <c r="J14" i="15"/>
  <c r="J25" i="15"/>
  <c r="J103" i="7"/>
  <c r="J97" i="7"/>
  <c r="J6" i="15"/>
  <c r="J28" i="15"/>
  <c r="J15" i="15"/>
  <c r="J8" i="15"/>
  <c r="J96" i="7"/>
  <c r="J22" i="15"/>
  <c r="J23" i="15"/>
  <c r="J7" i="15"/>
  <c r="J101" i="7"/>
  <c r="J99" i="7"/>
  <c r="J13" i="15"/>
  <c r="J24" i="15"/>
  <c r="J17" i="15"/>
  <c r="J91" i="7"/>
  <c r="J94" i="7"/>
  <c r="J18" i="15"/>
  <c r="J19" i="15"/>
  <c r="J89" i="7"/>
  <c r="J88" i="7"/>
  <c r="J90" i="7"/>
  <c r="J5" i="15"/>
  <c r="J16" i="15"/>
  <c r="J26" i="15"/>
  <c r="J98" i="7"/>
  <c r="J9" i="15"/>
  <c r="J20" i="15"/>
  <c r="J100" i="7"/>
  <c r="J95" i="7"/>
  <c r="J12" i="15"/>
  <c r="K92" i="7"/>
  <c r="K88" i="7"/>
  <c r="K89" i="7"/>
  <c r="K102" i="7"/>
  <c r="K96" i="7"/>
  <c r="K18" i="15"/>
  <c r="K99" i="7"/>
  <c r="K15" i="15"/>
  <c r="K16" i="15"/>
  <c r="K17" i="15"/>
  <c r="K90" i="7"/>
  <c r="K91" i="7"/>
  <c r="K6" i="15"/>
  <c r="K22" i="15"/>
  <c r="K19" i="15"/>
  <c r="K103" i="7"/>
  <c r="K20" i="15"/>
  <c r="K5" i="15"/>
  <c r="K21" i="15"/>
  <c r="K97" i="7"/>
  <c r="K101" i="7"/>
  <c r="K98" i="7"/>
  <c r="K10" i="15"/>
  <c r="K26" i="15"/>
  <c r="K7" i="15"/>
  <c r="K23" i="15"/>
  <c r="K8" i="15"/>
  <c r="K24" i="15"/>
  <c r="K9" i="15"/>
  <c r="K25" i="15"/>
  <c r="K94" i="7"/>
  <c r="K95" i="7"/>
  <c r="K100" i="7"/>
  <c r="K14" i="15"/>
  <c r="K93" i="7"/>
  <c r="K11" i="15"/>
  <c r="K27" i="15"/>
  <c r="K12" i="15"/>
  <c r="K28" i="15"/>
  <c r="K13" i="15"/>
  <c r="T32" i="20"/>
  <c r="D72" i="20"/>
  <c r="K72" i="20"/>
  <c r="C72" i="20"/>
  <c r="AC41" i="5"/>
  <c r="AH41" i="5"/>
  <c r="I16" i="13"/>
  <c r="F72" i="20"/>
  <c r="L16" i="13"/>
  <c r="I72" i="20"/>
  <c r="K16" i="13"/>
  <c r="H72" i="20"/>
  <c r="J72" i="20"/>
  <c r="H16" i="13"/>
  <c r="E72" i="20"/>
  <c r="J16" i="13"/>
  <c r="G72" i="20"/>
  <c r="V32" i="20"/>
  <c r="V40" i="20" s="1"/>
  <c r="D60" i="20"/>
  <c r="I60" i="20"/>
  <c r="J84" i="7"/>
  <c r="K60" i="20"/>
  <c r="F60" i="20"/>
  <c r="L40" i="20"/>
  <c r="H60" i="20"/>
  <c r="W2" i="6"/>
  <c r="V28" i="7"/>
  <c r="G60" i="20"/>
  <c r="L52" i="20"/>
  <c r="AE2" i="4"/>
  <c r="M52" i="20"/>
  <c r="Y12" i="20"/>
  <c r="Z12" i="20"/>
  <c r="T28" i="7"/>
  <c r="AC2" i="4"/>
  <c r="M105" i="10"/>
  <c r="M104" i="10"/>
  <c r="M102" i="10"/>
  <c r="L63" i="7"/>
  <c r="R2" i="6"/>
  <c r="L82" i="7"/>
  <c r="L64" i="7"/>
  <c r="L61" i="7"/>
  <c r="L83" i="7"/>
  <c r="L69" i="7"/>
  <c r="L77" i="7"/>
  <c r="T2" i="6"/>
  <c r="O2" i="5"/>
  <c r="S52" i="20"/>
  <c r="M81" i="7"/>
  <c r="M83" i="7"/>
  <c r="M82" i="7"/>
  <c r="M69" i="7"/>
  <c r="M74" i="7"/>
  <c r="M77" i="7"/>
  <c r="X2" i="6"/>
  <c r="S2" i="6"/>
  <c r="F84" i="7"/>
  <c r="Z24" i="7"/>
  <c r="Y24" i="7"/>
  <c r="Z12" i="7"/>
  <c r="Y12" i="7"/>
  <c r="Y5" i="7"/>
  <c r="Z5" i="7"/>
  <c r="Z16" i="7"/>
  <c r="Y16" i="7"/>
  <c r="Y20" i="7"/>
  <c r="Z20" i="7"/>
  <c r="Z9" i="7"/>
  <c r="Y9" i="7"/>
  <c r="M56" i="7"/>
  <c r="M40" i="20"/>
  <c r="H84" i="7"/>
  <c r="L44" i="20"/>
  <c r="E60" i="20"/>
  <c r="L76" i="7"/>
  <c r="E84" i="7"/>
  <c r="L60" i="7"/>
  <c r="P2" i="6"/>
  <c r="O41" i="6"/>
  <c r="M71" i="7"/>
  <c r="M61" i="7"/>
  <c r="M73" i="7"/>
  <c r="M79" i="7"/>
  <c r="M78" i="7"/>
  <c r="M72" i="7"/>
  <c r="Y26" i="7"/>
  <c r="Z26" i="7"/>
  <c r="Z11" i="7"/>
  <c r="Y11" i="7"/>
  <c r="Y25" i="7"/>
  <c r="Z25" i="7"/>
  <c r="Y15" i="7"/>
  <c r="Z15" i="7"/>
  <c r="Z21" i="7"/>
  <c r="Y21" i="7"/>
  <c r="Z22" i="7"/>
  <c r="Y22" i="7"/>
  <c r="I84" i="7"/>
  <c r="Q2" i="6"/>
  <c r="L65" i="7"/>
  <c r="U2" i="6"/>
  <c r="D84" i="7"/>
  <c r="AH2" i="4"/>
  <c r="L56" i="7"/>
  <c r="L125" i="7" s="1"/>
  <c r="M125" i="7" s="1"/>
  <c r="L79" i="7"/>
  <c r="L81" i="7"/>
  <c r="L70" i="7"/>
  <c r="L71" i="7"/>
  <c r="L75" i="7"/>
  <c r="L72" i="7"/>
  <c r="L66" i="7"/>
  <c r="M76" i="7"/>
  <c r="M67" i="7"/>
  <c r="M62" i="7"/>
  <c r="M75" i="7"/>
  <c r="M60" i="7"/>
  <c r="C84" i="7"/>
  <c r="M65" i="7"/>
  <c r="Z4" i="20"/>
  <c r="Y4" i="20"/>
  <c r="S20" i="20"/>
  <c r="Y23" i="7"/>
  <c r="Z23" i="7"/>
  <c r="Z17" i="7"/>
  <c r="Y17" i="7"/>
  <c r="Y6" i="7"/>
  <c r="Z6" i="7"/>
  <c r="Z7" i="7"/>
  <c r="Y7" i="7"/>
  <c r="Y18" i="7"/>
  <c r="Z18" i="7"/>
  <c r="S28" i="7"/>
  <c r="Z4" i="7"/>
  <c r="Y4" i="7"/>
  <c r="L68" i="7"/>
  <c r="L80" i="7"/>
  <c r="V2" i="6"/>
  <c r="AB2" i="4"/>
  <c r="L62" i="7"/>
  <c r="L73" i="7"/>
  <c r="L67" i="7"/>
  <c r="L74" i="7"/>
  <c r="L78" i="7"/>
  <c r="G84" i="7"/>
  <c r="C60" i="20"/>
  <c r="M44" i="20"/>
  <c r="M80" i="7"/>
  <c r="M70" i="7"/>
  <c r="M68" i="7"/>
  <c r="M64" i="7"/>
  <c r="M63" i="7"/>
  <c r="M66" i="7"/>
  <c r="K84" i="7"/>
  <c r="Z27" i="7"/>
  <c r="Y27" i="7"/>
  <c r="Y19" i="7"/>
  <c r="Z19" i="7"/>
  <c r="Y14" i="7"/>
  <c r="Z14" i="7"/>
  <c r="Y13" i="7"/>
  <c r="Z13" i="7"/>
  <c r="Y8" i="7"/>
  <c r="Z8" i="7"/>
  <c r="Z10" i="7"/>
  <c r="Y10" i="7"/>
  <c r="M36" i="10" l="1"/>
  <c r="J9" i="12"/>
  <c r="H91" i="20"/>
  <c r="Y25" i="20"/>
  <c r="Z25" i="20"/>
  <c r="F9" i="12"/>
  <c r="E91" i="20"/>
  <c r="L65" i="20"/>
  <c r="S80" i="7"/>
  <c r="S45" i="20"/>
  <c r="F91" i="20"/>
  <c r="G9" i="12"/>
  <c r="H9" i="12"/>
  <c r="G91" i="20"/>
  <c r="J80" i="20"/>
  <c r="T47" i="20"/>
  <c r="T45" i="20"/>
  <c r="T40" i="20"/>
  <c r="M65" i="20"/>
  <c r="U84" i="7"/>
  <c r="Q110" i="7"/>
  <c r="P19" i="15"/>
  <c r="P28" i="15"/>
  <c r="P14" i="15"/>
  <c r="Q109" i="7"/>
  <c r="P16" i="15"/>
  <c r="Q99" i="7"/>
  <c r="P25" i="15"/>
  <c r="Q106" i="7"/>
  <c r="P24" i="15"/>
  <c r="P5" i="15"/>
  <c r="Q107" i="7"/>
  <c r="Q95" i="7"/>
  <c r="P7" i="15"/>
  <c r="P12" i="15"/>
  <c r="P11" i="15"/>
  <c r="P26" i="15"/>
  <c r="P6" i="15"/>
  <c r="Q96" i="7"/>
  <c r="Q108" i="7"/>
  <c r="Q98" i="7"/>
  <c r="P22" i="15"/>
  <c r="Q89" i="7"/>
  <c r="Q100" i="7"/>
  <c r="Q92" i="7"/>
  <c r="P20" i="15"/>
  <c r="P10" i="15"/>
  <c r="Q90" i="7"/>
  <c r="Q97" i="7"/>
  <c r="Q93" i="7"/>
  <c r="P13" i="15"/>
  <c r="Q101" i="7"/>
  <c r="P17" i="15"/>
  <c r="Q103" i="7"/>
  <c r="Q88" i="7"/>
  <c r="P18" i="15"/>
  <c r="P8" i="15"/>
  <c r="Q94" i="7"/>
  <c r="P27" i="15"/>
  <c r="Q111" i="7"/>
  <c r="P15" i="15"/>
  <c r="Q91" i="7"/>
  <c r="P23" i="15"/>
  <c r="Q104" i="7"/>
  <c r="P21" i="15"/>
  <c r="Q102" i="7"/>
  <c r="Q105" i="7"/>
  <c r="P9" i="15"/>
  <c r="Q67" i="20"/>
  <c r="Q80" i="20" s="1"/>
  <c r="Z2" i="6"/>
  <c r="X107" i="7"/>
  <c r="X105" i="7"/>
  <c r="W21" i="15"/>
  <c r="X101" i="7"/>
  <c r="X98" i="7"/>
  <c r="W20" i="15"/>
  <c r="W18" i="15"/>
  <c r="W22" i="15"/>
  <c r="W25" i="15"/>
  <c r="W12" i="15"/>
  <c r="W23" i="15"/>
  <c r="W15" i="15"/>
  <c r="X110" i="7"/>
  <c r="X108" i="7"/>
  <c r="W11" i="15"/>
  <c r="W16" i="15"/>
  <c r="X90" i="7"/>
  <c r="W17" i="15"/>
  <c r="X100" i="7"/>
  <c r="X88" i="7"/>
  <c r="W9" i="15"/>
  <c r="X93" i="7"/>
  <c r="W27" i="15"/>
  <c r="W14" i="15"/>
  <c r="X109" i="7"/>
  <c r="X104" i="7"/>
  <c r="X95" i="7"/>
  <c r="W28" i="15"/>
  <c r="X91" i="7"/>
  <c r="W5" i="15"/>
  <c r="W6" i="15"/>
  <c r="W19" i="15"/>
  <c r="W26" i="15"/>
  <c r="W13" i="15"/>
  <c r="X102" i="7"/>
  <c r="W24" i="15"/>
  <c r="X67" i="20"/>
  <c r="X80" i="20" s="1"/>
  <c r="X106" i="7"/>
  <c r="X111" i="7"/>
  <c r="W7" i="15"/>
  <c r="X92" i="7"/>
  <c r="X96" i="7"/>
  <c r="X94" i="7"/>
  <c r="X89" i="7"/>
  <c r="W10" i="15"/>
  <c r="X99" i="7"/>
  <c r="X103" i="7"/>
  <c r="W8" i="15"/>
  <c r="X97" i="7"/>
  <c r="AG2" i="6"/>
  <c r="P84" i="7"/>
  <c r="V104" i="7"/>
  <c r="V111" i="7"/>
  <c r="V95" i="7"/>
  <c r="U28" i="15"/>
  <c r="U23" i="15"/>
  <c r="U13" i="15"/>
  <c r="U6" i="15"/>
  <c r="U20" i="15"/>
  <c r="V99" i="7"/>
  <c r="U15" i="15"/>
  <c r="V103" i="7"/>
  <c r="U24" i="15"/>
  <c r="U14" i="15"/>
  <c r="V107" i="7"/>
  <c r="V105" i="7"/>
  <c r="U27" i="15"/>
  <c r="V88" i="7"/>
  <c r="U9" i="15"/>
  <c r="U7" i="15"/>
  <c r="V89" i="7"/>
  <c r="U19" i="15"/>
  <c r="V91" i="7"/>
  <c r="U25" i="15"/>
  <c r="V97" i="7"/>
  <c r="U10" i="15"/>
  <c r="V67" i="20"/>
  <c r="U12" i="15"/>
  <c r="V106" i="7"/>
  <c r="V110" i="7"/>
  <c r="U11" i="15"/>
  <c r="U5" i="15"/>
  <c r="V93" i="7"/>
  <c r="V98" i="7"/>
  <c r="V101" i="7"/>
  <c r="V92" i="7"/>
  <c r="U21" i="15"/>
  <c r="V96" i="7"/>
  <c r="V100" i="7"/>
  <c r="U18" i="15"/>
  <c r="V109" i="7"/>
  <c r="V108" i="7"/>
  <c r="V94" i="7"/>
  <c r="U26" i="15"/>
  <c r="U8" i="15"/>
  <c r="V102" i="7"/>
  <c r="U17" i="15"/>
  <c r="U16" i="15"/>
  <c r="V90" i="7"/>
  <c r="U22" i="15"/>
  <c r="W109" i="7"/>
  <c r="W108" i="7"/>
  <c r="V26" i="15"/>
  <c r="V24" i="15"/>
  <c r="W101" i="7"/>
  <c r="V7" i="15"/>
  <c r="V25" i="15"/>
  <c r="W98" i="7"/>
  <c r="V8" i="15"/>
  <c r="V21" i="15"/>
  <c r="W93" i="7"/>
  <c r="V20" i="15"/>
  <c r="W107" i="7"/>
  <c r="W111" i="7"/>
  <c r="W92" i="7"/>
  <c r="W95" i="7"/>
  <c r="V10" i="15"/>
  <c r="W91" i="7"/>
  <c r="W96" i="7"/>
  <c r="V23" i="15"/>
  <c r="V28" i="15"/>
  <c r="W103" i="7"/>
  <c r="W88" i="7"/>
  <c r="V15" i="15"/>
  <c r="W102" i="7"/>
  <c r="W104" i="7"/>
  <c r="W110" i="7"/>
  <c r="W94" i="7"/>
  <c r="V9" i="15"/>
  <c r="W89" i="7"/>
  <c r="V11" i="15"/>
  <c r="W100" i="7"/>
  <c r="W99" i="7"/>
  <c r="V12" i="15"/>
  <c r="V22" i="15"/>
  <c r="V16" i="15"/>
  <c r="V5" i="15"/>
  <c r="W105" i="7"/>
  <c r="W106" i="7"/>
  <c r="V18" i="15"/>
  <c r="V19" i="15"/>
  <c r="V13" i="15"/>
  <c r="W90" i="7"/>
  <c r="V17" i="15"/>
  <c r="V6" i="15"/>
  <c r="V27" i="15"/>
  <c r="W97" i="7"/>
  <c r="V14" i="15"/>
  <c r="W67" i="20"/>
  <c r="W80" i="20" s="1"/>
  <c r="AF2" i="6"/>
  <c r="U105" i="7"/>
  <c r="U107" i="7"/>
  <c r="T12" i="15"/>
  <c r="U102" i="7"/>
  <c r="E46" i="14" s="1"/>
  <c r="U89" i="7"/>
  <c r="E31" i="14" s="1"/>
  <c r="U100" i="7"/>
  <c r="E42" i="14" s="1"/>
  <c r="T15" i="15"/>
  <c r="T6" i="15"/>
  <c r="U94" i="7"/>
  <c r="E36" i="14" s="1"/>
  <c r="T11" i="15"/>
  <c r="T9" i="15"/>
  <c r="T23" i="15"/>
  <c r="U67" i="20"/>
  <c r="U80" i="20" s="1"/>
  <c r="U86" i="20" s="1"/>
  <c r="U111" i="7"/>
  <c r="U110" i="7"/>
  <c r="T16" i="15"/>
  <c r="T24" i="15"/>
  <c r="T14" i="15"/>
  <c r="U98" i="7"/>
  <c r="E40" i="14" s="1"/>
  <c r="T18" i="15"/>
  <c r="T28" i="15"/>
  <c r="T7" i="15"/>
  <c r="U95" i="7"/>
  <c r="E37" i="14" s="1"/>
  <c r="U101" i="7"/>
  <c r="E45" i="14" s="1"/>
  <c r="T5" i="15"/>
  <c r="U109" i="7"/>
  <c r="U106" i="7"/>
  <c r="U90" i="7"/>
  <c r="E32" i="14" s="1"/>
  <c r="U96" i="7"/>
  <c r="E38" i="14" s="1"/>
  <c r="U91" i="7"/>
  <c r="E33" i="14" s="1"/>
  <c r="T8" i="15"/>
  <c r="T21" i="15"/>
  <c r="U99" i="7"/>
  <c r="E41" i="14" s="1"/>
  <c r="U97" i="7"/>
  <c r="E39" i="14" s="1"/>
  <c r="T26" i="15"/>
  <c r="T17" i="15"/>
  <c r="T19" i="15"/>
  <c r="U104" i="7"/>
  <c r="E43" i="14" s="1"/>
  <c r="U108" i="7"/>
  <c r="T25" i="15"/>
  <c r="T10" i="15"/>
  <c r="U103" i="7"/>
  <c r="E47" i="14" s="1"/>
  <c r="U88" i="7"/>
  <c r="T22" i="15"/>
  <c r="T13" i="15"/>
  <c r="T20" i="15"/>
  <c r="U93" i="7"/>
  <c r="E35" i="14" s="1"/>
  <c r="U92" i="7"/>
  <c r="E34" i="14" s="1"/>
  <c r="T27" i="15"/>
  <c r="AD2" i="6"/>
  <c r="Q84" i="7"/>
  <c r="W84" i="7"/>
  <c r="P105" i="7"/>
  <c r="P107" i="7"/>
  <c r="P90" i="7"/>
  <c r="P92" i="7"/>
  <c r="O7" i="15"/>
  <c r="P93" i="7"/>
  <c r="O12" i="15"/>
  <c r="O25" i="15"/>
  <c r="P89" i="7"/>
  <c r="P94" i="7"/>
  <c r="P102" i="7"/>
  <c r="O20" i="15"/>
  <c r="O17" i="15"/>
  <c r="P110" i="7"/>
  <c r="O11" i="15"/>
  <c r="P88" i="7"/>
  <c r="O5" i="15"/>
  <c r="P103" i="7"/>
  <c r="P95" i="7"/>
  <c r="O9" i="15"/>
  <c r="P104" i="7"/>
  <c r="P108" i="7"/>
  <c r="O27" i="15"/>
  <c r="O22" i="15"/>
  <c r="O8" i="15"/>
  <c r="P97" i="7"/>
  <c r="O21" i="15"/>
  <c r="O19" i="15"/>
  <c r="P96" i="7"/>
  <c r="O14" i="15"/>
  <c r="O16" i="15"/>
  <c r="P111" i="7"/>
  <c r="P100" i="7"/>
  <c r="O24" i="15"/>
  <c r="O6" i="15"/>
  <c r="P109" i="7"/>
  <c r="P106" i="7"/>
  <c r="P98" i="7"/>
  <c r="O10" i="15"/>
  <c r="O23" i="15"/>
  <c r="O26" i="15"/>
  <c r="O28" i="15"/>
  <c r="P101" i="7"/>
  <c r="O18" i="15"/>
  <c r="O15" i="15"/>
  <c r="P99" i="7"/>
  <c r="P91" i="7"/>
  <c r="O13" i="15"/>
  <c r="P67" i="20"/>
  <c r="P80" i="20" s="1"/>
  <c r="Y2" i="6"/>
  <c r="X84" i="7"/>
  <c r="S65" i="7"/>
  <c r="S83" i="7"/>
  <c r="S77" i="7"/>
  <c r="S64" i="7"/>
  <c r="S70" i="7"/>
  <c r="S61" i="7"/>
  <c r="S75" i="7"/>
  <c r="S76" i="7"/>
  <c r="S69" i="7"/>
  <c r="S47" i="20"/>
  <c r="S62" i="7"/>
  <c r="S67" i="7"/>
  <c r="Z27" i="20"/>
  <c r="AB41" i="6"/>
  <c r="AA41" i="6"/>
  <c r="R65" i="20" s="1"/>
  <c r="S66" i="7"/>
  <c r="S78" i="7"/>
  <c r="S63" i="7"/>
  <c r="S74" i="7"/>
  <c r="S81" i="7"/>
  <c r="S73" i="7"/>
  <c r="R56" i="7"/>
  <c r="Y27" i="20"/>
  <c r="S68" i="7"/>
  <c r="S60" i="7"/>
  <c r="S79" i="7"/>
  <c r="S72" i="7"/>
  <c r="S71" i="7"/>
  <c r="R81" i="7"/>
  <c r="R76" i="7"/>
  <c r="R66" i="7"/>
  <c r="R63" i="7"/>
  <c r="R69" i="7"/>
  <c r="R62" i="7"/>
  <c r="R78" i="7"/>
  <c r="R82" i="7"/>
  <c r="R60" i="7"/>
  <c r="R68" i="7"/>
  <c r="R64" i="7"/>
  <c r="R67" i="7"/>
  <c r="R83" i="7"/>
  <c r="R80" i="7"/>
  <c r="R72" i="7"/>
  <c r="R65" i="7"/>
  <c r="R71" i="7"/>
  <c r="R70" i="7"/>
  <c r="R47" i="20"/>
  <c r="R60" i="20" s="1"/>
  <c r="R77" i="7"/>
  <c r="R79" i="7"/>
  <c r="R61" i="7"/>
  <c r="R73" i="7"/>
  <c r="R75" i="7"/>
  <c r="R74" i="7"/>
  <c r="AA2" i="5"/>
  <c r="E96" i="20"/>
  <c r="E100" i="20" s="1"/>
  <c r="F11" i="12"/>
  <c r="F96" i="20"/>
  <c r="F100" i="20" s="1"/>
  <c r="G11" i="12"/>
  <c r="H11" i="12"/>
  <c r="G96" i="20"/>
  <c r="G100" i="20" s="1"/>
  <c r="H96" i="20"/>
  <c r="H100" i="20" s="1"/>
  <c r="I11" i="12"/>
  <c r="L67" i="20"/>
  <c r="I96" i="20"/>
  <c r="I100" i="20" s="1"/>
  <c r="J11" i="12"/>
  <c r="M67" i="20"/>
  <c r="T76" i="7"/>
  <c r="T78" i="7"/>
  <c r="T83" i="7"/>
  <c r="T82" i="7"/>
  <c r="T81" i="7"/>
  <c r="T79" i="7"/>
  <c r="T77" i="7"/>
  <c r="T80" i="7"/>
  <c r="T52" i="20"/>
  <c r="T64" i="7"/>
  <c r="T69" i="7"/>
  <c r="T60" i="7"/>
  <c r="T75" i="7"/>
  <c r="T72" i="7"/>
  <c r="T74" i="7"/>
  <c r="T62" i="7"/>
  <c r="T71" i="7"/>
  <c r="T73" i="7"/>
  <c r="T63" i="7"/>
  <c r="T68" i="7"/>
  <c r="T61" i="7"/>
  <c r="T66" i="7"/>
  <c r="T70" i="7"/>
  <c r="T67" i="7"/>
  <c r="T65" i="7"/>
  <c r="AC41" i="6"/>
  <c r="AH41" i="6"/>
  <c r="V52" i="20"/>
  <c r="V60" i="20" s="1"/>
  <c r="K80" i="20"/>
  <c r="J29" i="15"/>
  <c r="J112" i="7"/>
  <c r="L60" i="20"/>
  <c r="D80" i="20"/>
  <c r="V56" i="7"/>
  <c r="Z32" i="20"/>
  <c r="AE2" i="5"/>
  <c r="M37" i="10"/>
  <c r="Y32" i="20"/>
  <c r="AC2" i="5"/>
  <c r="T56" i="7"/>
  <c r="M10" i="10"/>
  <c r="M60" i="20"/>
  <c r="M72" i="20"/>
  <c r="G107" i="20"/>
  <c r="G108" i="20" s="1"/>
  <c r="G110" i="20" s="1"/>
  <c r="H17" i="12"/>
  <c r="G17" i="12"/>
  <c r="F107" i="20"/>
  <c r="F108" i="20" s="1"/>
  <c r="F110" i="20" s="1"/>
  <c r="I17" i="12"/>
  <c r="H107" i="20"/>
  <c r="H108" i="20" s="1"/>
  <c r="H110" i="20" s="1"/>
  <c r="E107" i="20"/>
  <c r="E108" i="20" s="1"/>
  <c r="E110" i="20" s="1"/>
  <c r="F17" i="12"/>
  <c r="L72" i="20"/>
  <c r="I107" i="20"/>
  <c r="I108" i="20" s="1"/>
  <c r="I110" i="20" s="1"/>
  <c r="J17" i="12"/>
  <c r="D29" i="15"/>
  <c r="H29" i="15"/>
  <c r="F29" i="15"/>
  <c r="E29" i="15"/>
  <c r="Y47" i="7"/>
  <c r="Z47" i="7"/>
  <c r="Z42" i="7"/>
  <c r="Y42" i="7"/>
  <c r="I11" i="11"/>
  <c r="F8" i="14"/>
  <c r="Z24" i="20"/>
  <c r="S40" i="20"/>
  <c r="Y24" i="20"/>
  <c r="Z51" i="7"/>
  <c r="Y51" i="7"/>
  <c r="Z32" i="7"/>
  <c r="S56" i="7"/>
  <c r="Y32" i="7"/>
  <c r="I13" i="11"/>
  <c r="F10" i="14"/>
  <c r="H10" i="11"/>
  <c r="E7" i="14"/>
  <c r="E22" i="14"/>
  <c r="H23" i="11"/>
  <c r="E13" i="14"/>
  <c r="H16" i="11"/>
  <c r="E16" i="14"/>
  <c r="H19" i="11"/>
  <c r="L24" i="15"/>
  <c r="L16" i="15"/>
  <c r="M95" i="7"/>
  <c r="L8" i="15"/>
  <c r="M101" i="7"/>
  <c r="M107" i="7"/>
  <c r="M98" i="7"/>
  <c r="L13" i="15"/>
  <c r="L28" i="15"/>
  <c r="L20" i="15"/>
  <c r="M102" i="7"/>
  <c r="L5" i="15"/>
  <c r="C29" i="15"/>
  <c r="C18" i="14"/>
  <c r="F24" i="11"/>
  <c r="F22" i="11"/>
  <c r="C21" i="14"/>
  <c r="AB2" i="5"/>
  <c r="D15" i="14"/>
  <c r="G18" i="11"/>
  <c r="D12" i="14"/>
  <c r="G15" i="11"/>
  <c r="G112" i="7"/>
  <c r="G8" i="11"/>
  <c r="D5" i="14"/>
  <c r="E28" i="11"/>
  <c r="J28" i="11" s="1"/>
  <c r="L108" i="7"/>
  <c r="B21" i="14"/>
  <c r="L102" i="7"/>
  <c r="E22" i="11"/>
  <c r="B20" i="14"/>
  <c r="E21" i="11"/>
  <c r="L101" i="7"/>
  <c r="Z39" i="7"/>
  <c r="Y39" i="7"/>
  <c r="F16" i="14"/>
  <c r="I19" i="11"/>
  <c r="Y46" i="7"/>
  <c r="Z46" i="7"/>
  <c r="Y44" i="7"/>
  <c r="Z44" i="7"/>
  <c r="F6" i="14"/>
  <c r="I9" i="11"/>
  <c r="I20" i="11"/>
  <c r="F17" i="14"/>
  <c r="Y54" i="7"/>
  <c r="Z54" i="7"/>
  <c r="Z43" i="7"/>
  <c r="Y43" i="7"/>
  <c r="Z36" i="7"/>
  <c r="Y36" i="7"/>
  <c r="Z35" i="7"/>
  <c r="Y35" i="7"/>
  <c r="Z37" i="7"/>
  <c r="Y37" i="7"/>
  <c r="Z38" i="7"/>
  <c r="Y38" i="7"/>
  <c r="J8" i="12"/>
  <c r="I90" i="20"/>
  <c r="I93" i="20" s="1"/>
  <c r="I80" i="20"/>
  <c r="I86" i="20" s="1"/>
  <c r="I114" i="20" s="1"/>
  <c r="I12" i="11"/>
  <c r="F9" i="14"/>
  <c r="F11" i="14"/>
  <c r="I14" i="11"/>
  <c r="I24" i="11"/>
  <c r="F18" i="14"/>
  <c r="F5" i="14"/>
  <c r="I112" i="7"/>
  <c r="I8" i="11"/>
  <c r="H90" i="20"/>
  <c r="H80" i="20"/>
  <c r="H86" i="20" s="1"/>
  <c r="H114" i="20" s="1"/>
  <c r="I8" i="12"/>
  <c r="H21" i="11"/>
  <c r="E20" i="14"/>
  <c r="H24" i="11"/>
  <c r="E18" i="14"/>
  <c r="E6" i="14"/>
  <c r="H9" i="11"/>
  <c r="D112" i="7"/>
  <c r="C80" i="20"/>
  <c r="M64" i="20"/>
  <c r="M91" i="7"/>
  <c r="L15" i="15"/>
  <c r="M93" i="7"/>
  <c r="L25" i="15"/>
  <c r="M97" i="7"/>
  <c r="L9" i="15"/>
  <c r="L7" i="15"/>
  <c r="M92" i="7"/>
  <c r="L22" i="15"/>
  <c r="M104" i="7"/>
  <c r="M100" i="7"/>
  <c r="L84" i="7"/>
  <c r="L126" i="7" s="1"/>
  <c r="F90" i="20"/>
  <c r="G8" i="12"/>
  <c r="F80" i="20"/>
  <c r="F86" i="20" s="1"/>
  <c r="F114" i="20" s="1"/>
  <c r="F9" i="11"/>
  <c r="C6" i="14"/>
  <c r="F12" i="11"/>
  <c r="C9" i="14"/>
  <c r="F15" i="11"/>
  <c r="C12" i="14"/>
  <c r="F20" i="11"/>
  <c r="C17" i="14"/>
  <c r="C15" i="14"/>
  <c r="F18" i="11"/>
  <c r="K112" i="7"/>
  <c r="G80" i="20"/>
  <c r="G86" i="20" s="1"/>
  <c r="G114" i="20" s="1"/>
  <c r="H8" i="12"/>
  <c r="G90" i="20"/>
  <c r="G29" i="15"/>
  <c r="G21" i="11"/>
  <c r="D20" i="14"/>
  <c r="D9" i="14"/>
  <c r="G12" i="11"/>
  <c r="D22" i="14"/>
  <c r="G23" i="11"/>
  <c r="G14" i="11"/>
  <c r="D11" i="14"/>
  <c r="L107" i="7"/>
  <c r="E27" i="11"/>
  <c r="J27" i="11" s="1"/>
  <c r="E29" i="11"/>
  <c r="J29" i="11" s="1"/>
  <c r="L109" i="7"/>
  <c r="L106" i="7"/>
  <c r="E26" i="11"/>
  <c r="J26" i="11" s="1"/>
  <c r="L98" i="7"/>
  <c r="B15" i="14"/>
  <c r="E18" i="11"/>
  <c r="B6" i="14"/>
  <c r="L89" i="7"/>
  <c r="E9" i="11"/>
  <c r="L92" i="7"/>
  <c r="E12" i="11"/>
  <c r="B9" i="14"/>
  <c r="L96" i="7"/>
  <c r="B13" i="14"/>
  <c r="E16" i="11"/>
  <c r="Z40" i="7"/>
  <c r="Y40" i="7"/>
  <c r="Y50" i="7"/>
  <c r="Z50" i="7"/>
  <c r="F21" i="14"/>
  <c r="I22" i="11"/>
  <c r="I18" i="11"/>
  <c r="F15" i="14"/>
  <c r="Z48" i="7"/>
  <c r="Y48" i="7"/>
  <c r="Z41" i="7"/>
  <c r="Y41" i="7"/>
  <c r="I16" i="11"/>
  <c r="F13" i="14"/>
  <c r="Y55" i="7"/>
  <c r="Z55" i="7"/>
  <c r="Y34" i="7"/>
  <c r="Z34" i="7"/>
  <c r="Y33" i="7"/>
  <c r="Z33" i="7"/>
  <c r="Z52" i="7"/>
  <c r="Y52" i="7"/>
  <c r="Z53" i="7"/>
  <c r="Y53" i="7"/>
  <c r="Y49" i="7"/>
  <c r="Z49" i="7"/>
  <c r="I10" i="11"/>
  <c r="F7" i="14"/>
  <c r="F14" i="14"/>
  <c r="I17" i="11"/>
  <c r="I29" i="15"/>
  <c r="I15" i="11"/>
  <c r="F12" i="14"/>
  <c r="F22" i="14"/>
  <c r="I23" i="11"/>
  <c r="Y20" i="20"/>
  <c r="Z20" i="20"/>
  <c r="M84" i="7"/>
  <c r="H20" i="11"/>
  <c r="E17" i="14"/>
  <c r="E12" i="14"/>
  <c r="H15" i="11"/>
  <c r="E9" i="14"/>
  <c r="H12" i="11"/>
  <c r="H112" i="7"/>
  <c r="E5" i="14"/>
  <c r="H8" i="11"/>
  <c r="H14" i="11"/>
  <c r="E11" i="14"/>
  <c r="O2" i="6"/>
  <c r="S72" i="20"/>
  <c r="M96" i="7"/>
  <c r="M109" i="7"/>
  <c r="M99" i="7"/>
  <c r="L11" i="15"/>
  <c r="L18" i="15"/>
  <c r="L23" i="15"/>
  <c r="L14" i="15"/>
  <c r="L6" i="15"/>
  <c r="M94" i="7"/>
  <c r="M106" i="7"/>
  <c r="L17" i="15"/>
  <c r="F21" i="11"/>
  <c r="C20" i="14"/>
  <c r="F11" i="11"/>
  <c r="C8" i="14"/>
  <c r="F17" i="11"/>
  <c r="C14" i="14"/>
  <c r="C10" i="14"/>
  <c r="F13" i="11"/>
  <c r="D14" i="14"/>
  <c r="G17" i="11"/>
  <c r="G19" i="11"/>
  <c r="D16" i="14"/>
  <c r="G10" i="11"/>
  <c r="D7" i="14"/>
  <c r="G11" i="11"/>
  <c r="D8" i="14"/>
  <c r="D13" i="14"/>
  <c r="G16" i="11"/>
  <c r="L91" i="7"/>
  <c r="B8" i="14"/>
  <c r="E11" i="11"/>
  <c r="E31" i="11"/>
  <c r="J31" i="11" s="1"/>
  <c r="L111" i="7"/>
  <c r="L104" i="7"/>
  <c r="B18" i="14"/>
  <c r="E24" i="11"/>
  <c r="B22" i="14"/>
  <c r="L103" i="7"/>
  <c r="E23" i="11"/>
  <c r="L94" i="7"/>
  <c r="E14" i="11"/>
  <c r="B11" i="14"/>
  <c r="B10" i="14"/>
  <c r="L93" i="7"/>
  <c r="E13" i="11"/>
  <c r="B12" i="14"/>
  <c r="L95" i="7"/>
  <c r="E15" i="11"/>
  <c r="E112" i="7"/>
  <c r="L88" i="7"/>
  <c r="B5" i="14"/>
  <c r="E8" i="11"/>
  <c r="Y45" i="7"/>
  <c r="Z45" i="7"/>
  <c r="F20" i="14"/>
  <c r="I21" i="11"/>
  <c r="Z28" i="7"/>
  <c r="Y28" i="7"/>
  <c r="H11" i="11"/>
  <c r="E8" i="14"/>
  <c r="H17" i="11"/>
  <c r="E14" i="14"/>
  <c r="E15" i="14"/>
  <c r="H18" i="11"/>
  <c r="E10" i="14"/>
  <c r="H13" i="11"/>
  <c r="H22" i="11"/>
  <c r="E21" i="14"/>
  <c r="M103" i="7"/>
  <c r="M90" i="7"/>
  <c r="M89" i="7"/>
  <c r="L27" i="15"/>
  <c r="L26" i="15"/>
  <c r="L10" i="15"/>
  <c r="M108" i="7"/>
  <c r="L21" i="15"/>
  <c r="M110" i="7"/>
  <c r="L12" i="15"/>
  <c r="M111" i="7"/>
  <c r="L19" i="15"/>
  <c r="C112" i="7"/>
  <c r="M88" i="7"/>
  <c r="M105" i="7"/>
  <c r="F112" i="7"/>
  <c r="F8" i="11"/>
  <c r="C5" i="14"/>
  <c r="F23" i="11"/>
  <c r="C22" i="14"/>
  <c r="F16" i="11"/>
  <c r="C13" i="14"/>
  <c r="C16" i="14"/>
  <c r="F19" i="11"/>
  <c r="C7" i="14"/>
  <c r="F10" i="11"/>
  <c r="C11" i="14"/>
  <c r="F14" i="11"/>
  <c r="K29" i="15"/>
  <c r="AH2" i="5"/>
  <c r="G24" i="11"/>
  <c r="D18" i="14"/>
  <c r="D17" i="14"/>
  <c r="G20" i="11"/>
  <c r="G9" i="11"/>
  <c r="D6" i="14"/>
  <c r="G13" i="11"/>
  <c r="D10" i="14"/>
  <c r="G22" i="11"/>
  <c r="D21" i="14"/>
  <c r="E80" i="20"/>
  <c r="F8" i="12"/>
  <c r="L64" i="20"/>
  <c r="E90" i="20"/>
  <c r="L99" i="7"/>
  <c r="E19" i="11"/>
  <c r="B16" i="14"/>
  <c r="E30" i="11"/>
  <c r="J30" i="11" s="1"/>
  <c r="L110" i="7"/>
  <c r="L100" i="7"/>
  <c r="E20" i="11"/>
  <c r="B17" i="14"/>
  <c r="B7" i="14"/>
  <c r="L90" i="7"/>
  <c r="E10" i="11"/>
  <c r="L97" i="7"/>
  <c r="B14" i="14"/>
  <c r="E17" i="11"/>
  <c r="L105" i="7"/>
  <c r="E25" i="11"/>
  <c r="J25" i="11" s="1"/>
  <c r="H93" i="20" l="1"/>
  <c r="H102" i="20" s="1"/>
  <c r="H112" i="20" s="1"/>
  <c r="H115" i="20" s="1"/>
  <c r="F93" i="20"/>
  <c r="F102" i="20" s="1"/>
  <c r="F112" i="20" s="1"/>
  <c r="F115" i="20" s="1"/>
  <c r="E93" i="20"/>
  <c r="E102" i="20" s="1"/>
  <c r="E112" i="20" s="1"/>
  <c r="G93" i="20"/>
  <c r="G102" i="20" s="1"/>
  <c r="G112" i="20" s="1"/>
  <c r="G115" i="20" s="1"/>
  <c r="Y45" i="20"/>
  <c r="K9" i="12"/>
  <c r="R6" i="15"/>
  <c r="S65" i="20"/>
  <c r="T67" i="20"/>
  <c r="T65" i="20"/>
  <c r="T60" i="20"/>
  <c r="Z45" i="20"/>
  <c r="E30" i="14"/>
  <c r="E49" i="14" s="1"/>
  <c r="U112" i="7"/>
  <c r="V29" i="15"/>
  <c r="Q112" i="7"/>
  <c r="P29" i="15"/>
  <c r="P112" i="7"/>
  <c r="W29" i="15"/>
  <c r="R8" i="15"/>
  <c r="X112" i="7"/>
  <c r="O29" i="15"/>
  <c r="O33" i="15" s="1"/>
  <c r="T29" i="15"/>
  <c r="W112" i="7"/>
  <c r="S96" i="7"/>
  <c r="R26" i="15"/>
  <c r="S94" i="7"/>
  <c r="S101" i="7"/>
  <c r="R14" i="15"/>
  <c r="R27" i="15"/>
  <c r="R21" i="15"/>
  <c r="R5" i="15"/>
  <c r="R20" i="15"/>
  <c r="S99" i="7"/>
  <c r="S93" i="7"/>
  <c r="R15" i="15"/>
  <c r="R18" i="15"/>
  <c r="S108" i="7"/>
  <c r="S95" i="7"/>
  <c r="R23" i="15"/>
  <c r="S107" i="7"/>
  <c r="R7" i="15"/>
  <c r="S92" i="7"/>
  <c r="S109" i="7"/>
  <c r="S91" i="7"/>
  <c r="S100" i="7"/>
  <c r="S105" i="7"/>
  <c r="R9" i="15"/>
  <c r="S88" i="7"/>
  <c r="S98" i="7"/>
  <c r="S67" i="20"/>
  <c r="R11" i="15"/>
  <c r="S103" i="7"/>
  <c r="S111" i="7"/>
  <c r="S89" i="7"/>
  <c r="R25" i="15"/>
  <c r="S110" i="7"/>
  <c r="R22" i="15"/>
  <c r="R24" i="15"/>
  <c r="S106" i="7"/>
  <c r="R16" i="15"/>
  <c r="R13" i="15"/>
  <c r="S104" i="7"/>
  <c r="R10" i="15"/>
  <c r="R12" i="15"/>
  <c r="S102" i="7"/>
  <c r="S90" i="7"/>
  <c r="R17" i="15"/>
  <c r="S97" i="7"/>
  <c r="R28" i="15"/>
  <c r="R19" i="15"/>
  <c r="R109" i="7"/>
  <c r="R107" i="7"/>
  <c r="Q23" i="15"/>
  <c r="Q7" i="15"/>
  <c r="R98" i="7"/>
  <c r="B40" i="14" s="1"/>
  <c r="R90" i="7"/>
  <c r="B32" i="14" s="1"/>
  <c r="Q16" i="15"/>
  <c r="R100" i="7"/>
  <c r="B42" i="14" s="1"/>
  <c r="Q12" i="15"/>
  <c r="Q28" i="15"/>
  <c r="Q18" i="15"/>
  <c r="Q21" i="15"/>
  <c r="R108" i="7"/>
  <c r="R110" i="7"/>
  <c r="Q19" i="15"/>
  <c r="R94" i="7"/>
  <c r="B36" i="14" s="1"/>
  <c r="Q20" i="15"/>
  <c r="R102" i="7"/>
  <c r="B46" i="14" s="1"/>
  <c r="R91" i="7"/>
  <c r="B33" i="14" s="1"/>
  <c r="R89" i="7"/>
  <c r="B31" i="14" s="1"/>
  <c r="R99" i="7"/>
  <c r="B41" i="14" s="1"/>
  <c r="R103" i="7"/>
  <c r="B47" i="14" s="1"/>
  <c r="R96" i="7"/>
  <c r="B38" i="14" s="1"/>
  <c r="Q26" i="15"/>
  <c r="R106" i="7"/>
  <c r="R104" i="7"/>
  <c r="B43" i="14" s="1"/>
  <c r="Q15" i="15"/>
  <c r="R92" i="7"/>
  <c r="B34" i="14" s="1"/>
  <c r="R88" i="7"/>
  <c r="Q8" i="15"/>
  <c r="R95" i="7"/>
  <c r="B37" i="14" s="1"/>
  <c r="Q6" i="15"/>
  <c r="Q13" i="15"/>
  <c r="Q9" i="15"/>
  <c r="R93" i="7"/>
  <c r="B35" i="14" s="1"/>
  <c r="Q17" i="15"/>
  <c r="R105" i="7"/>
  <c r="R111" i="7"/>
  <c r="Q27" i="15"/>
  <c r="R97" i="7"/>
  <c r="B39" i="14" s="1"/>
  <c r="Q14" i="15"/>
  <c r="Q10" i="15"/>
  <c r="Q11" i="15"/>
  <c r="R101" i="7"/>
  <c r="B45" i="14" s="1"/>
  <c r="Q24" i="15"/>
  <c r="Q22" i="15"/>
  <c r="Q25" i="15"/>
  <c r="Q5" i="15"/>
  <c r="R67" i="20"/>
  <c r="R80" i="20" s="1"/>
  <c r="R86" i="20" s="1"/>
  <c r="AA2" i="6"/>
  <c r="Z47" i="20"/>
  <c r="R84" i="7"/>
  <c r="I102" i="20"/>
  <c r="I112" i="20" s="1"/>
  <c r="I115" i="20" s="1"/>
  <c r="Y47" i="20"/>
  <c r="K11" i="12"/>
  <c r="T104" i="7"/>
  <c r="D43" i="14" s="1"/>
  <c r="T106" i="7"/>
  <c r="T105" i="7"/>
  <c r="T111" i="7"/>
  <c r="T107" i="7"/>
  <c r="T109" i="7"/>
  <c r="T108" i="7"/>
  <c r="T110" i="7"/>
  <c r="T72" i="20"/>
  <c r="T90" i="7"/>
  <c r="D32" i="14" s="1"/>
  <c r="T99" i="7"/>
  <c r="D41" i="14" s="1"/>
  <c r="T103" i="7"/>
  <c r="D47" i="14" s="1"/>
  <c r="T98" i="7"/>
  <c r="D40" i="14" s="1"/>
  <c r="S8" i="15"/>
  <c r="S28" i="15"/>
  <c r="T92" i="7"/>
  <c r="D34" i="14" s="1"/>
  <c r="T102" i="7"/>
  <c r="D46" i="14" s="1"/>
  <c r="S20" i="15"/>
  <c r="S21" i="15"/>
  <c r="S22" i="15"/>
  <c r="S9" i="15"/>
  <c r="S19" i="15"/>
  <c r="S27" i="15"/>
  <c r="S17" i="15"/>
  <c r="T94" i="7"/>
  <c r="D36" i="14" s="1"/>
  <c r="S23" i="15"/>
  <c r="S14" i="15"/>
  <c r="S15" i="15"/>
  <c r="S25" i="15"/>
  <c r="S24" i="15"/>
  <c r="T95" i="7"/>
  <c r="D37" i="14" s="1"/>
  <c r="T97" i="7"/>
  <c r="D39" i="14" s="1"/>
  <c r="S26" i="15"/>
  <c r="T101" i="7"/>
  <c r="D45" i="14" s="1"/>
  <c r="T88" i="7"/>
  <c r="S11" i="15"/>
  <c r="T89" i="7"/>
  <c r="D31" i="14" s="1"/>
  <c r="T93" i="7"/>
  <c r="D35" i="14" s="1"/>
  <c r="S7" i="15"/>
  <c r="S5" i="15"/>
  <c r="T91" i="7"/>
  <c r="D33" i="14" s="1"/>
  <c r="S13" i="15"/>
  <c r="S16" i="15"/>
  <c r="T100" i="7"/>
  <c r="D42" i="14" s="1"/>
  <c r="S12" i="15"/>
  <c r="S10" i="15"/>
  <c r="S6" i="15"/>
  <c r="T96" i="7"/>
  <c r="D38" i="14" s="1"/>
  <c r="S18" i="15"/>
  <c r="V72" i="20"/>
  <c r="V80" i="20" s="1"/>
  <c r="V86" i="20" s="1"/>
  <c r="V84" i="7"/>
  <c r="H20" i="12"/>
  <c r="I20" i="12"/>
  <c r="J20" i="12"/>
  <c r="Z52" i="20"/>
  <c r="Y52" i="20"/>
  <c r="J36" i="13"/>
  <c r="K36" i="13"/>
  <c r="M15" i="13"/>
  <c r="H36" i="13"/>
  <c r="I36" i="13"/>
  <c r="M38" i="10"/>
  <c r="AE2" i="6"/>
  <c r="F45" i="14"/>
  <c r="F33" i="14"/>
  <c r="F41" i="14"/>
  <c r="F36" i="14"/>
  <c r="F30" i="14"/>
  <c r="F47" i="14"/>
  <c r="F38" i="14"/>
  <c r="F37" i="14"/>
  <c r="F42" i="14"/>
  <c r="F43" i="14"/>
  <c r="F39" i="14"/>
  <c r="F31" i="14"/>
  <c r="F35" i="14"/>
  <c r="F32" i="14"/>
  <c r="F46" i="14"/>
  <c r="F40" i="14"/>
  <c r="F34" i="14"/>
  <c r="L108" i="10"/>
  <c r="I108" i="10"/>
  <c r="T84" i="7"/>
  <c r="AC2" i="6"/>
  <c r="K108" i="10"/>
  <c r="J108" i="10"/>
  <c r="G20" i="12"/>
  <c r="K17" i="12"/>
  <c r="M40" i="10"/>
  <c r="M16" i="13"/>
  <c r="L36" i="13"/>
  <c r="J17" i="11"/>
  <c r="J20" i="11"/>
  <c r="J19" i="11"/>
  <c r="J15" i="11"/>
  <c r="J10" i="11"/>
  <c r="F20" i="12"/>
  <c r="K8" i="12"/>
  <c r="E86" i="20"/>
  <c r="L80" i="20"/>
  <c r="J23" i="11"/>
  <c r="AB2" i="6"/>
  <c r="J16" i="11"/>
  <c r="J12" i="11"/>
  <c r="J9" i="11"/>
  <c r="J21" i="11"/>
  <c r="G33" i="11"/>
  <c r="Y81" i="7"/>
  <c r="Z81" i="7"/>
  <c r="Y61" i="7"/>
  <c r="Z61" i="7"/>
  <c r="Y71" i="7"/>
  <c r="Z71" i="7"/>
  <c r="Z65" i="7"/>
  <c r="Y65" i="7"/>
  <c r="Y73" i="7"/>
  <c r="Z73" i="7"/>
  <c r="Y78" i="7"/>
  <c r="Z78" i="7"/>
  <c r="Z40" i="20"/>
  <c r="Y40" i="20"/>
  <c r="C24" i="14"/>
  <c r="L112" i="7"/>
  <c r="E118" i="7"/>
  <c r="B26" i="14"/>
  <c r="J13" i="11"/>
  <c r="J14" i="11"/>
  <c r="J24" i="11"/>
  <c r="H33" i="11"/>
  <c r="M80" i="20"/>
  <c r="I33" i="11"/>
  <c r="J22" i="11"/>
  <c r="H108" i="10"/>
  <c r="M41" i="10"/>
  <c r="G118" i="7"/>
  <c r="D26" i="14"/>
  <c r="Z79" i="7"/>
  <c r="Y79" i="7"/>
  <c r="Y82" i="7"/>
  <c r="Z82" i="7"/>
  <c r="Y80" i="7"/>
  <c r="Z80" i="7"/>
  <c r="Y63" i="7"/>
  <c r="Z63" i="7"/>
  <c r="Y75" i="7"/>
  <c r="Z75" i="7"/>
  <c r="Y68" i="7"/>
  <c r="Z68" i="7"/>
  <c r="L29" i="15"/>
  <c r="F33" i="11"/>
  <c r="M112" i="7"/>
  <c r="E33" i="11"/>
  <c r="J8" i="11"/>
  <c r="AH2" i="6"/>
  <c r="E24" i="14"/>
  <c r="I118" i="7"/>
  <c r="F26" i="14"/>
  <c r="Y44" i="20"/>
  <c r="Z44" i="20"/>
  <c r="S60" i="20"/>
  <c r="Y70" i="7"/>
  <c r="Z70" i="7"/>
  <c r="Y62" i="7"/>
  <c r="Z62" i="7"/>
  <c r="Z74" i="7"/>
  <c r="Y74" i="7"/>
  <c r="Z77" i="7"/>
  <c r="Y77" i="7"/>
  <c r="Z72" i="7"/>
  <c r="Y72" i="7"/>
  <c r="Y69" i="7"/>
  <c r="Z69" i="7"/>
  <c r="F118" i="7"/>
  <c r="C26" i="14"/>
  <c r="B24" i="14"/>
  <c r="J11" i="11"/>
  <c r="E26" i="14"/>
  <c r="H118" i="7"/>
  <c r="J18" i="11"/>
  <c r="F24" i="14"/>
  <c r="D24" i="14"/>
  <c r="Z64" i="7"/>
  <c r="Y64" i="7"/>
  <c r="Z76" i="7"/>
  <c r="Y76" i="7"/>
  <c r="Y83" i="7"/>
  <c r="Z83" i="7"/>
  <c r="Z66" i="7"/>
  <c r="Y66" i="7"/>
  <c r="Z67" i="7"/>
  <c r="Y67" i="7"/>
  <c r="Z60" i="7"/>
  <c r="S84" i="7"/>
  <c r="Y60" i="7"/>
  <c r="Z56" i="7"/>
  <c r="Y56" i="7"/>
  <c r="Y65" i="20" l="1"/>
  <c r="T80" i="20"/>
  <c r="T86" i="20" s="1"/>
  <c r="Z65" i="20"/>
  <c r="P33" i="15"/>
  <c r="P34" i="15" s="1"/>
  <c r="O34" i="15"/>
  <c r="U118" i="7"/>
  <c r="E51" i="14"/>
  <c r="Z67" i="20"/>
  <c r="Q29" i="15"/>
  <c r="Y67" i="20"/>
  <c r="B30" i="14"/>
  <c r="B49" i="14" s="1"/>
  <c r="R112" i="7"/>
  <c r="X23" i="15"/>
  <c r="X14" i="15"/>
  <c r="X9" i="15"/>
  <c r="X19" i="15"/>
  <c r="X27" i="15"/>
  <c r="X8" i="15"/>
  <c r="X20" i="15"/>
  <c r="X28" i="15"/>
  <c r="X7" i="15"/>
  <c r="X13" i="15"/>
  <c r="X12" i="15"/>
  <c r="X22" i="15"/>
  <c r="X15" i="15"/>
  <c r="X25" i="15"/>
  <c r="X18" i="15"/>
  <c r="X16" i="15"/>
  <c r="X6" i="15"/>
  <c r="M36" i="13"/>
  <c r="L112" i="20"/>
  <c r="X17" i="15"/>
  <c r="X11" i="15"/>
  <c r="X24" i="15"/>
  <c r="X21" i="15"/>
  <c r="X10" i="15"/>
  <c r="K20" i="12"/>
  <c r="X26" i="15"/>
  <c r="M108" i="10"/>
  <c r="U29" i="15"/>
  <c r="F49" i="14"/>
  <c r="V112" i="7"/>
  <c r="F51" i="14" s="1"/>
  <c r="D30" i="14"/>
  <c r="D49" i="14" s="1"/>
  <c r="T112" i="7"/>
  <c r="S29" i="15"/>
  <c r="Y72" i="20"/>
  <c r="Z72" i="20"/>
  <c r="G24" i="14"/>
  <c r="L118" i="7"/>
  <c r="C45" i="14"/>
  <c r="Z101" i="7"/>
  <c r="Y101" i="7"/>
  <c r="Y89" i="7"/>
  <c r="C31" i="14"/>
  <c r="Z89" i="7"/>
  <c r="G26" i="14"/>
  <c r="L127" i="7"/>
  <c r="L128" i="7" s="1"/>
  <c r="L129" i="7" s="1"/>
  <c r="Z111" i="7"/>
  <c r="Y111" i="7"/>
  <c r="C43" i="14"/>
  <c r="Z104" i="7"/>
  <c r="Y104" i="7"/>
  <c r="Z109" i="7"/>
  <c r="Y109" i="7"/>
  <c r="Z108" i="7"/>
  <c r="Y108" i="7"/>
  <c r="Z97" i="7"/>
  <c r="Y97" i="7"/>
  <c r="C39" i="14"/>
  <c r="Y102" i="7"/>
  <c r="C46" i="14"/>
  <c r="Z102" i="7"/>
  <c r="Y96" i="7"/>
  <c r="Z96" i="7"/>
  <c r="C38" i="14"/>
  <c r="C36" i="14"/>
  <c r="Y94" i="7"/>
  <c r="Z94" i="7"/>
  <c r="R29" i="15"/>
  <c r="X5" i="15"/>
  <c r="L86" i="20"/>
  <c r="E114" i="20"/>
  <c r="E115" i="20" s="1"/>
  <c r="Z91" i="7"/>
  <c r="Y91" i="7"/>
  <c r="C33" i="14"/>
  <c r="Z84" i="7"/>
  <c r="Y84" i="7"/>
  <c r="J33" i="11"/>
  <c r="C32" i="14"/>
  <c r="Y90" i="7"/>
  <c r="Z90" i="7"/>
  <c r="Z98" i="7"/>
  <c r="C40" i="14"/>
  <c r="Y98" i="7"/>
  <c r="Z92" i="7"/>
  <c r="Y92" i="7"/>
  <c r="C34" i="14"/>
  <c r="Z110" i="7"/>
  <c r="Y110" i="7"/>
  <c r="C42" i="14"/>
  <c r="Z100" i="7"/>
  <c r="Y100" i="7"/>
  <c r="C30" i="14"/>
  <c r="Z88" i="7"/>
  <c r="Y88" i="7"/>
  <c r="S112" i="7"/>
  <c r="Z60" i="20"/>
  <c r="Y60" i="20"/>
  <c r="Y107" i="7"/>
  <c r="Z107" i="7"/>
  <c r="C47" i="14"/>
  <c r="Z103" i="7"/>
  <c r="Y103" i="7"/>
  <c r="Z105" i="7"/>
  <c r="Y105" i="7"/>
  <c r="Z64" i="20"/>
  <c r="Y64" i="20"/>
  <c r="S80" i="20"/>
  <c r="C41" i="14"/>
  <c r="Z99" i="7"/>
  <c r="Y99" i="7"/>
  <c r="C37" i="14"/>
  <c r="Y95" i="7"/>
  <c r="Z95" i="7"/>
  <c r="Z106" i="7"/>
  <c r="Y106" i="7"/>
  <c r="C35" i="14"/>
  <c r="Z93" i="7"/>
  <c r="Y93" i="7"/>
  <c r="Q33" i="15" l="1"/>
  <c r="R33" i="15" s="1"/>
  <c r="B51" i="14"/>
  <c r="R118" i="7"/>
  <c r="V118" i="7"/>
  <c r="X29" i="15"/>
  <c r="D51" i="14"/>
  <c r="T118" i="7"/>
  <c r="Y80" i="20"/>
  <c r="Z80" i="20"/>
  <c r="S86" i="20"/>
  <c r="Y86" i="20" s="1"/>
  <c r="Y112" i="7"/>
  <c r="C51" i="14"/>
  <c r="Z112" i="7"/>
  <c r="S118" i="7"/>
  <c r="C49" i="14"/>
  <c r="G49" i="14" s="1"/>
  <c r="Q34" i="15" l="1"/>
  <c r="S33" i="15"/>
  <c r="R34" i="15"/>
  <c r="Y118" i="7"/>
  <c r="G51" i="14"/>
  <c r="T33" i="15" l="1"/>
  <c r="S34" i="15"/>
  <c r="U33" i="15" l="1"/>
  <c r="U34" i="15" s="1"/>
  <c r="T34" i="15"/>
</calcChain>
</file>

<file path=xl/comments1.xml><?xml version="1.0" encoding="utf-8"?>
<comments xmlns="http://schemas.openxmlformats.org/spreadsheetml/2006/main">
  <authors>
    <author>hosanm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 xml:space="preserve">Level of Accuracy
</t>
        </r>
      </text>
    </comment>
  </commentList>
</comments>
</file>

<file path=xl/sharedStrings.xml><?xml version="1.0" encoding="utf-8"?>
<sst xmlns="http://schemas.openxmlformats.org/spreadsheetml/2006/main" count="1058" uniqueCount="485">
  <si>
    <t>Projects</t>
  </si>
  <si>
    <t>Type</t>
  </si>
  <si>
    <t>Comm Yr</t>
  </si>
  <si>
    <t>Copper</t>
  </si>
  <si>
    <t>Aluminium</t>
  </si>
  <si>
    <t>Components %</t>
  </si>
  <si>
    <t>Asset Class %</t>
  </si>
  <si>
    <t>TL60</t>
  </si>
  <si>
    <t>SS60</t>
  </si>
  <si>
    <t>SS45</t>
  </si>
  <si>
    <t>PC15</t>
  </si>
  <si>
    <t>CPI</t>
  </si>
  <si>
    <t>Total</t>
  </si>
  <si>
    <t>Base Cost</t>
  </si>
  <si>
    <t>Table 4: Component Weighted Escalators by Project Type</t>
  </si>
  <si>
    <t>Component Weighted Escalators</t>
  </si>
  <si>
    <t>Category</t>
  </si>
  <si>
    <t>Stage</t>
  </si>
  <si>
    <t>Est. Level</t>
  </si>
  <si>
    <t>Proposed</t>
  </si>
  <si>
    <t>Asset Growth</t>
  </si>
  <si>
    <t>Table 2c: Show Dollars Inflated to</t>
  </si>
  <si>
    <t>Component</t>
  </si>
  <si>
    <t>Program</t>
  </si>
  <si>
    <t>Table 1:  Cost Breakdowns by Project Type</t>
  </si>
  <si>
    <t>Non-Network</t>
  </si>
  <si>
    <t>2012/13</t>
  </si>
  <si>
    <t>2014/15</t>
  </si>
  <si>
    <t>2015/16</t>
  </si>
  <si>
    <t>2016/17</t>
  </si>
  <si>
    <t>2017/18</t>
  </si>
  <si>
    <t>2018/19</t>
  </si>
  <si>
    <t>Table 2a: CPI</t>
  </si>
  <si>
    <t>TL45</t>
  </si>
  <si>
    <t>TL10</t>
  </si>
  <si>
    <t>SS15</t>
  </si>
  <si>
    <t>TO10</t>
  </si>
  <si>
    <t>Other40</t>
  </si>
  <si>
    <t>TL-S</t>
  </si>
  <si>
    <t>TL-M</t>
  </si>
  <si>
    <t>TL-L-Br</t>
  </si>
  <si>
    <t>TL-L-Gr</t>
  </si>
  <si>
    <t>TC</t>
  </si>
  <si>
    <t>TL-Refurb</t>
  </si>
  <si>
    <t>SS-Gr</t>
  </si>
  <si>
    <t>(GIS)</t>
  </si>
  <si>
    <t>SS-Br-Sgle</t>
  </si>
  <si>
    <t>SS-Br-Mult</t>
  </si>
  <si>
    <t>Net-TF</t>
  </si>
  <si>
    <t>Supp-TF</t>
  </si>
  <si>
    <t>P&amp;C-Sgle</t>
  </si>
  <si>
    <t>P&amp;C-Mult</t>
  </si>
  <si>
    <t>Cap Bank</t>
  </si>
  <si>
    <t>Crude oil</t>
  </si>
  <si>
    <t>Fabricated steel</t>
  </si>
  <si>
    <t>General labour</t>
  </si>
  <si>
    <t>Producer margin</t>
  </si>
  <si>
    <t>Construction costs</t>
  </si>
  <si>
    <t>TAS EGW Labour</t>
  </si>
  <si>
    <t xml:space="preserve">Al </t>
  </si>
  <si>
    <t xml:space="preserve">Steel </t>
  </si>
  <si>
    <t xml:space="preserve">Cu </t>
  </si>
  <si>
    <t xml:space="preserve">Concrete (Found.) </t>
  </si>
  <si>
    <t xml:space="preserve">Bldgs &amp; Demol. </t>
  </si>
  <si>
    <t xml:space="preserve">Prod. Labour </t>
  </si>
  <si>
    <t xml:space="preserve">Prod. Margin </t>
  </si>
  <si>
    <t xml:space="preserve">Transport </t>
  </si>
  <si>
    <t xml:space="preserve">Material - Others </t>
  </si>
  <si>
    <t xml:space="preserve">Plant Hire &amp; Establishment </t>
  </si>
  <si>
    <t xml:space="preserve">Labour-Ext-Civil &amp; Gen. </t>
  </si>
  <si>
    <t xml:space="preserve">Labour-External-EGW </t>
  </si>
  <si>
    <t xml:space="preserve">Labour - Internal </t>
  </si>
  <si>
    <t xml:space="preserve">Labour - Other </t>
  </si>
  <si>
    <t>Table A1: Input cost escalators (% excl CPI)</t>
  </si>
  <si>
    <t>Table A2: Component-Input Escalator Mapping</t>
  </si>
  <si>
    <t>Table A3: Component escalators (% excl CPI)</t>
  </si>
  <si>
    <t>CPI only</t>
  </si>
  <si>
    <t>Non-Network (CPI only)</t>
  </si>
  <si>
    <t>Escalated Cost</t>
  </si>
  <si>
    <t>Inflated Cost</t>
  </si>
  <si>
    <t>June in Year</t>
  </si>
  <si>
    <t>Spend Profile ($m)</t>
  </si>
  <si>
    <t>Commission Profile ($m)</t>
  </si>
  <si>
    <t>WIP ($m)</t>
  </si>
  <si>
    <t>Spend - Escalated Costs ($m)</t>
  </si>
  <si>
    <t>Commission - Escalated Costs ($m)</t>
  </si>
  <si>
    <t>Spend - Base Costs ($m)</t>
  </si>
  <si>
    <t>Commission - Base Costs ($m)</t>
  </si>
  <si>
    <t>Escalated Cost Spend Profile ($m)</t>
  </si>
  <si>
    <t>Escalated Cost Commission Profile ($m)</t>
  </si>
  <si>
    <t>Risked Cost Spend Profile ($m)</t>
  </si>
  <si>
    <t>Risked Cost Commission Profile ($m)</t>
  </si>
  <si>
    <t>Cost+CPI Spend Profile ($m)</t>
  </si>
  <si>
    <t>Cost+CPI Commission Profile ($m)</t>
  </si>
  <si>
    <t>By Asset Class</t>
  </si>
  <si>
    <t>By Category</t>
  </si>
  <si>
    <t>Note: Table A2 is presented as Table 12 in the Project Estimating Manual</t>
  </si>
  <si>
    <t>1=Y/0=N</t>
  </si>
  <si>
    <t xml:space="preserve">4.3 FORECAST CAPEX - NETWORK - by project </t>
  </si>
  <si>
    <t>Yearly expenditure by project</t>
  </si>
  <si>
    <t>Project ID</t>
  </si>
  <si>
    <t>Project Description</t>
  </si>
  <si>
    <t>TOTAL</t>
  </si>
  <si>
    <t>REASON FOR PROJECT</t>
  </si>
  <si>
    <t>Reg Test / Business Case (Y/N)</t>
  </si>
  <si>
    <t>Reg Test / Business Case Cost Estimate</t>
  </si>
  <si>
    <t>Reason for Variance from Cost Estimate / Expected Commissioning Date</t>
  </si>
  <si>
    <t>Asset Renewal</t>
  </si>
  <si>
    <t>Asset condition, reliability of supply, safety and environmental issues</t>
  </si>
  <si>
    <t>Operational Support Systems</t>
  </si>
  <si>
    <t>Network Management, process improvement</t>
  </si>
  <si>
    <t>Augmentation</t>
  </si>
  <si>
    <t>Compliance, capacity constraints and asset condition</t>
  </si>
  <si>
    <t>Asset condition, obsolescence</t>
  </si>
  <si>
    <t>Connection</t>
  </si>
  <si>
    <t>Customer Requirements, Reliability</t>
  </si>
  <si>
    <t>Compliance, capacity constraints, connection application</t>
  </si>
  <si>
    <t>Compliance, relability of supply (lightning protection)</t>
  </si>
  <si>
    <t>Asset Condition and reliability</t>
  </si>
  <si>
    <t>Asset  condition, reliability and security of supply</t>
  </si>
  <si>
    <t>Asset condition and reliability, Capacity issues</t>
  </si>
  <si>
    <t>Network Planning, process improvement</t>
  </si>
  <si>
    <t>Asset  condition, security of supply</t>
  </si>
  <si>
    <t>Compliance (voltage control)</t>
  </si>
  <si>
    <t>Compliance (network performance requirements)</t>
  </si>
  <si>
    <t>Customer Requirements,  Security of supply</t>
  </si>
  <si>
    <t>Asset Condition, Security of Supply</t>
  </si>
  <si>
    <t>Asset Condition, Reliability, Compliance</t>
  </si>
  <si>
    <t>Asset Condition/Risk Mitigation</t>
  </si>
  <si>
    <t>Compliance, asset condition and management</t>
  </si>
  <si>
    <t>Customer requirements, capacity constraints and reliability of supply</t>
  </si>
  <si>
    <t>Customer Requirements</t>
  </si>
  <si>
    <t>Asset Condition</t>
  </si>
  <si>
    <t>Compliance, Condition</t>
  </si>
  <si>
    <t>Compliance and security of supply (load growth)</t>
  </si>
  <si>
    <t>Asset Condition, Reliabiilty of Supply</t>
  </si>
  <si>
    <t>Asset condition, security and reliability of supply</t>
  </si>
  <si>
    <t>Asset Condition. Reliability</t>
  </si>
  <si>
    <t>Reliability and security of supply</t>
  </si>
  <si>
    <t>Asset condition, capacity constraints</t>
  </si>
  <si>
    <t>Asset condition, compliance, protection co-ordination, operational efficiency</t>
  </si>
  <si>
    <t>Customer Requirements, Security of Supply</t>
  </si>
  <si>
    <t>Customer requirements, demand growth and reliability of supply</t>
  </si>
  <si>
    <t>Compliance, Physical Security, Business Needs</t>
  </si>
  <si>
    <t>Function in-sourcing, Asset Condition Monitoring, Safety</t>
  </si>
  <si>
    <t>Process improvement</t>
  </si>
  <si>
    <t>Asset Condition, reliability</t>
  </si>
  <si>
    <t>Compliacne, Reliability of Supply (lightning protection)</t>
  </si>
  <si>
    <t>Asset condition, reliability, safety and security of supply</t>
  </si>
  <si>
    <t>Compliance</t>
  </si>
  <si>
    <t>Compliance, security of supply</t>
  </si>
  <si>
    <t>Asset condition, compliance (network performance requirement), security of supply</t>
  </si>
  <si>
    <t xml:space="preserve">Compliance and security of supply </t>
  </si>
  <si>
    <t>Capacity Issues</t>
  </si>
  <si>
    <t>Compliance (voltage control), reliability of supply</t>
  </si>
  <si>
    <t>Capcity Issues, reliability of supply</t>
  </si>
  <si>
    <t>Land and Easements</t>
  </si>
  <si>
    <t>Land purchases to address augmentation, development and connection requirements</t>
  </si>
  <si>
    <t xml:space="preserve">Operational efficiency, Compliance, reliability of supply </t>
  </si>
  <si>
    <t>Security of critical infrastructure</t>
  </si>
  <si>
    <t>Operational Requirements, compliance</t>
  </si>
  <si>
    <t>Asset condition, functionality, reliabiility</t>
  </si>
  <si>
    <t>Asset Condition, reliability, obsolecence</t>
  </si>
  <si>
    <t>Asset  condition, safety, security of supply</t>
  </si>
  <si>
    <t>Asset condition, safety and reliability, operational efficiency</t>
  </si>
  <si>
    <t>Subtotal</t>
  </si>
  <si>
    <t xml:space="preserve">4.4 FORECAST CAPEX - Non-Network - by project </t>
  </si>
  <si>
    <t>Business Case (Y/N)</t>
  </si>
  <si>
    <t>Business Support</t>
  </si>
  <si>
    <t>4.2 FORECAST CAPEX by asset class</t>
  </si>
  <si>
    <t>Asset class</t>
  </si>
  <si>
    <t>Transmission line assets - long life (60)</t>
  </si>
  <si>
    <t>Transmission line assets - medium life (45)</t>
  </si>
  <si>
    <t>Transmission line assets - short life (10)</t>
  </si>
  <si>
    <t>Substation assets - long life (60)</t>
  </si>
  <si>
    <t>Substation assets - medium life (45)</t>
  </si>
  <si>
    <t>Substation assets - short life (15)</t>
  </si>
  <si>
    <t>Protection and control - short life (15)</t>
  </si>
  <si>
    <t>Transmission operations - short life (10)</t>
  </si>
  <si>
    <t>Other - medium life (40)</t>
  </si>
  <si>
    <t>Land</t>
  </si>
  <si>
    <t>TOTAL CAPEX</t>
  </si>
  <si>
    <t>4.1 FORECAST CAPEX by project category</t>
  </si>
  <si>
    <t>Project Category</t>
  </si>
  <si>
    <t>NETWORK</t>
  </si>
  <si>
    <t xml:space="preserve">LOAD DRIVEN </t>
  </si>
  <si>
    <t xml:space="preserve">NON-LOAD DRIVEN </t>
  </si>
  <si>
    <t>Physical Security / Compliance</t>
  </si>
  <si>
    <t>Inventory / Spares</t>
  </si>
  <si>
    <t>NON NETWORK</t>
  </si>
  <si>
    <t>SUPPORT THE BUSINESS</t>
  </si>
  <si>
    <t>Information Technology</t>
  </si>
  <si>
    <t>TOTAL FORECAST CAPEX</t>
  </si>
  <si>
    <t>$ million, real (June 2014)</t>
  </si>
  <si>
    <t>ID</t>
  </si>
  <si>
    <t>Network</t>
  </si>
  <si>
    <t>Table 5a: Project Categories</t>
  </si>
  <si>
    <t>Table 5b: Categories Combined</t>
  </si>
  <si>
    <t>For PTRM</t>
  </si>
  <si>
    <t xml:space="preserve">Projects identified with Asset Growth (Costs include Risk, Escalation, and Inflation) </t>
  </si>
  <si>
    <t>LOA %</t>
  </si>
  <si>
    <t xml:space="preserve">Aluminium </t>
  </si>
  <si>
    <t xml:space="preserve">Copper </t>
  </si>
  <si>
    <t>7a</t>
  </si>
  <si>
    <t>8a</t>
  </si>
  <si>
    <t>This sheet transforms the input cost escalators (Table A1), provided by consultants, into a set that matches the cost components used in Transend's costs estimating process (Table A3). The mapping table (Table A2) defines the transformation parameters.</t>
  </si>
  <si>
    <t xml:space="preserve"> Commissioning</t>
  </si>
  <si>
    <t>Year</t>
  </si>
  <si>
    <t>Table 3a: Cost Escalators by Component (excl. CPI) - From EscalatorMapping Sheet</t>
  </si>
  <si>
    <t>Cost + LOA</t>
  </si>
  <si>
    <t>Spend - Costs+LOA ($m)</t>
  </si>
  <si>
    <t>Commission - Costs+LOA ($m)</t>
  </si>
  <si>
    <t>Fault Level Mitigation Program</t>
  </si>
  <si>
    <t>Strategic Easement and Land Acquisition</t>
  </si>
  <si>
    <t>Physical Security/Compliance</t>
  </si>
  <si>
    <t>Inventory/Spares</t>
  </si>
  <si>
    <t>Load driven</t>
  </si>
  <si>
    <t>Total load driven</t>
  </si>
  <si>
    <t>Non-load driven</t>
  </si>
  <si>
    <t>Total non-load driven</t>
  </si>
  <si>
    <t>Total network</t>
  </si>
  <si>
    <t>Non-network</t>
  </si>
  <si>
    <t>Support the business</t>
  </si>
  <si>
    <t>Total support the business</t>
  </si>
  <si>
    <t>Total non-network</t>
  </si>
  <si>
    <t>Total capital expenditure as incurred by project category</t>
  </si>
  <si>
    <t>2014-15</t>
  </si>
  <si>
    <t>2015-16</t>
  </si>
  <si>
    <t>2016-17</t>
  </si>
  <si>
    <t>2017-18</t>
  </si>
  <si>
    <t>2018-19</t>
  </si>
  <si>
    <t>Check</t>
  </si>
  <si>
    <t>Protection and control - short life (4)</t>
  </si>
  <si>
    <t>Transmission operations - short life (4)</t>
  </si>
  <si>
    <t>Other - short life (9)</t>
  </si>
  <si>
    <t>Other - short life (4)</t>
  </si>
  <si>
    <t>CALC: Join and Remove Blanks</t>
  </si>
  <si>
    <t>Table 6: Start Financial Year</t>
  </si>
  <si>
    <t>(20XX/XY)</t>
  </si>
  <si>
    <t>Com45</t>
  </si>
  <si>
    <t>Com10</t>
  </si>
  <si>
    <t>Table 3b: Cumulative Escalators by Component (excl. CPI) (To Dec)</t>
  </si>
  <si>
    <t>Inflation</t>
  </si>
  <si>
    <t>PC4</t>
  </si>
  <si>
    <t>TO4</t>
  </si>
  <si>
    <t>Other9</t>
  </si>
  <si>
    <t>Other4</t>
  </si>
  <si>
    <t>LB</t>
  </si>
  <si>
    <t>Jun 12
to
Dec 12</t>
  </si>
  <si>
    <t>Dec 12
to
Dec 13</t>
  </si>
  <si>
    <t>Dec 13
to
Dec 14</t>
  </si>
  <si>
    <t>Dec 14
to
Dec 15</t>
  </si>
  <si>
    <t>Dec 15
to
Dec 16</t>
  </si>
  <si>
    <t>Dec 16
to
Dec 17</t>
  </si>
  <si>
    <t>Dec 17
to
Dec 18</t>
  </si>
  <si>
    <t>Dec 18
to
Dec 19</t>
  </si>
  <si>
    <t>Dec 19
to
Dec 20</t>
  </si>
  <si>
    <t>Table 2b: Cumulative CPI (to June) from June 2012</t>
  </si>
  <si>
    <t>Com5</t>
  </si>
  <si>
    <t>Telecommunications - long life (45)</t>
  </si>
  <si>
    <t>Telecommunications - medium life (10)</t>
  </si>
  <si>
    <t>Telecommunications - short life (5)</t>
  </si>
  <si>
    <t>Land &amp; E'ments (Tas)</t>
  </si>
  <si>
    <t>Land (Tas)</t>
  </si>
  <si>
    <t>Land/E'ments (Tas)</t>
  </si>
  <si>
    <t>Land &amp; Easements (Tas)</t>
  </si>
  <si>
    <t>ND1209</t>
  </si>
  <si>
    <t>ND1211</t>
  </si>
  <si>
    <t>ND1214</t>
  </si>
  <si>
    <t>ND1215</t>
  </si>
  <si>
    <t>Business support</t>
  </si>
  <si>
    <t>ND1221</t>
  </si>
  <si>
    <t>ND1275</t>
  </si>
  <si>
    <t>ND1224</t>
  </si>
  <si>
    <t>ND1192</t>
  </si>
  <si>
    <t>ND1261</t>
  </si>
  <si>
    <t>ND1118</t>
  </si>
  <si>
    <t>ND1259</t>
  </si>
  <si>
    <t>ND1226</t>
  </si>
  <si>
    <t>ND1227</t>
  </si>
  <si>
    <t>ND1228</t>
  </si>
  <si>
    <t>ND1229</t>
  </si>
  <si>
    <t>ND1230</t>
  </si>
  <si>
    <t>ND1231</t>
  </si>
  <si>
    <t>ND1232</t>
  </si>
  <si>
    <t>ND1233</t>
  </si>
  <si>
    <t>ND1234</t>
  </si>
  <si>
    <t>ND1235</t>
  </si>
  <si>
    <t>ND1236</t>
  </si>
  <si>
    <t>ND1238</t>
  </si>
  <si>
    <t>ND1239</t>
  </si>
  <si>
    <t>ND1240</t>
  </si>
  <si>
    <t>ND1242</t>
  </si>
  <si>
    <t>ND1243</t>
  </si>
  <si>
    <t>ND1244</t>
  </si>
  <si>
    <t>ND1268</t>
  </si>
  <si>
    <t>ND1253</t>
  </si>
  <si>
    <t>ND1254</t>
  </si>
  <si>
    <t>ND1256</t>
  </si>
  <si>
    <t>Office equipment and minor assets</t>
  </si>
  <si>
    <t>Equity Raising</t>
  </si>
  <si>
    <t>Communication assets - long life (45)</t>
  </si>
  <si>
    <t>Communication assets - medium life (10)</t>
  </si>
  <si>
    <t>Communication assets - short life (5)</t>
  </si>
  <si>
    <t>Capex - INCURRED</t>
  </si>
  <si>
    <t>Capex - COMMISSIONED</t>
  </si>
  <si>
    <t>ND1205-1</t>
  </si>
  <si>
    <t>ND1206-1</t>
  </si>
  <si>
    <t>ND1207-1</t>
  </si>
  <si>
    <t>ND1260-1</t>
  </si>
  <si>
    <t>ND1205-2</t>
  </si>
  <si>
    <t>ND1206-2</t>
  </si>
  <si>
    <t>ND1207-2</t>
  </si>
  <si>
    <t>ND1260-2</t>
  </si>
  <si>
    <t>Newton - Queenstown Security Augmentation</t>
  </si>
  <si>
    <t>Waddamana - Palmerston 220 kV Security Augmentation</t>
  </si>
  <si>
    <t>2020/21</t>
  </si>
  <si>
    <t>Tungatinah Substation 110 kV redevelopment</t>
  </si>
  <si>
    <t>Meadowbank Substation 110 kV redevelopment</t>
  </si>
  <si>
    <t>ND0709</t>
  </si>
  <si>
    <t>ND0949</t>
  </si>
  <si>
    <t>Burnie Substation 110 kV redevelopment</t>
  </si>
  <si>
    <t>Creek Road Substation 110 kV redevelopment</t>
  </si>
  <si>
    <t>ND0958</t>
  </si>
  <si>
    <t>ND0948</t>
  </si>
  <si>
    <t>ND0733</t>
  </si>
  <si>
    <t>ND0908</t>
  </si>
  <si>
    <t>Committed</t>
  </si>
  <si>
    <t>3b</t>
  </si>
  <si>
    <t>$Dec nominal</t>
  </si>
  <si>
    <t>ND0937</t>
  </si>
  <si>
    <t>Base ($June 2012)</t>
  </si>
  <si>
    <t xml:space="preserve"> + Risk factor</t>
  </si>
  <si>
    <t xml:space="preserve"> + Real labour and materials escalation</t>
  </si>
  <si>
    <t xml:space="preserve"> + CPI June 2012 to June 2014</t>
  </si>
  <si>
    <t>$June 2014</t>
  </si>
  <si>
    <t>Substation AC distribution system renewal program</t>
  </si>
  <si>
    <t>Information Technology applications program</t>
  </si>
  <si>
    <t>Information Technology desktop program</t>
  </si>
  <si>
    <t>Information Technology infrastructure program</t>
  </si>
  <si>
    <t>Information Technology security system program</t>
  </si>
  <si>
    <t>Substation DC distribution system renewal program</t>
  </si>
  <si>
    <t>Substation EHV Bus Bar protection renewal program</t>
  </si>
  <si>
    <t>Enterprise Asset Management system</t>
  </si>
  <si>
    <t>HV Feeder protection renewal program</t>
  </si>
  <si>
    <t>North Hobart Substation 11 kV connection point</t>
  </si>
  <si>
    <t>Operations Building air conditioning renewal</t>
  </si>
  <si>
    <t>Operations Building compliance program</t>
  </si>
  <si>
    <t>Rosebery Substation transformer capacity augmentation</t>
  </si>
  <si>
    <t>SCADA System renewal program</t>
  </si>
  <si>
    <t>Substation Disconnector and Earth Switch renewal program</t>
  </si>
  <si>
    <t>Substation fire suppression renewal program</t>
  </si>
  <si>
    <t>Telecommunications bearer system program</t>
  </si>
  <si>
    <t>Telecommunications ethernet system program</t>
  </si>
  <si>
    <t>Telecommunications multiplexer system program</t>
  </si>
  <si>
    <t>Telecommunications site infrastructure program</t>
  </si>
  <si>
    <t>Telecommunications telephone system program</t>
  </si>
  <si>
    <t>Network Modelling Enhancement program</t>
  </si>
  <si>
    <t>Network Operations and Control System enhancement program</t>
  </si>
  <si>
    <t>Telecommunications Network Operation and Control System enhancement program</t>
  </si>
  <si>
    <t>Transformer protection renewal program</t>
  </si>
  <si>
    <t>Transmission line protection renewal program</t>
  </si>
  <si>
    <t>Transmission line access track renewal program</t>
  </si>
  <si>
    <t>Transmission line anode renewal program</t>
  </si>
  <si>
    <t>Transmission line fall arrest system installation program</t>
  </si>
  <si>
    <t>Transmission line foundation renewal program</t>
  </si>
  <si>
    <t>Transmission line insulator assembly renewal program</t>
  </si>
  <si>
    <t>Transmission line light detection and ranging program</t>
  </si>
  <si>
    <t>Transmission line access track security system compliance program</t>
  </si>
  <si>
    <t>Transmission line signage compliance program</t>
  </si>
  <si>
    <t>Transmission line support assembly renewal program</t>
  </si>
  <si>
    <t>Transmission line wood pole renewal program</t>
  </si>
  <si>
    <t>Substation condition based monitoring program</t>
  </si>
  <si>
    <t>Port Latta Substation structure renewal</t>
  </si>
  <si>
    <t>Railton Substation 110 kV post insulator and busbar renewal</t>
  </si>
  <si>
    <t>Substation site infrastructure program</t>
  </si>
  <si>
    <t>Test equipment</t>
  </si>
  <si>
    <t>Fleet Vehicle Procurement program</t>
  </si>
  <si>
    <t>Reyrolle Type LMT Switchgear renewal program</t>
  </si>
  <si>
    <t>Trevallyn Office Building compliance program</t>
  </si>
  <si>
    <t>Condition Based Risk Management System (Stage 2)</t>
  </si>
  <si>
    <t>Substation Lightning Protection enhancement program</t>
  </si>
  <si>
    <t>Bridgewater 110 kV transmission line security augmentation</t>
  </si>
  <si>
    <t>Queenstown Substation Transformer T1 replacement</t>
  </si>
  <si>
    <t>George Town Substation 110 kV redevelopment</t>
  </si>
  <si>
    <t>Smart Transmission Grid Development program</t>
  </si>
  <si>
    <t>3a</t>
  </si>
  <si>
    <t>Diff</t>
  </si>
  <si>
    <t>ND1310</t>
  </si>
  <si>
    <t>ND0789</t>
  </si>
  <si>
    <t>ND1308</t>
  </si>
  <si>
    <t>ND0790</t>
  </si>
  <si>
    <t>ND1311</t>
  </si>
  <si>
    <t>ND1307</t>
  </si>
  <si>
    <t>ND1309</t>
  </si>
  <si>
    <t>Transmission line support assembly refurbishment program</t>
  </si>
  <si>
    <t>22 July 2013 forecasts CEG</t>
  </si>
  <si>
    <t>Strategic spare 110/33/22/11 kV 30/60 MVA supply transformer</t>
  </si>
  <si>
    <t>Strategic spare mobile 110/33/22/11 kV substation</t>
  </si>
  <si>
    <t>Strategic spare 33 kV switchgear</t>
  </si>
  <si>
    <t>Strategic spare 110/22/11 kV 17/25 MVA supply transformer</t>
  </si>
  <si>
    <t>Strategic spare dual secondary winding 110/11-6.6 kV 45-45 MVA supply transformer</t>
  </si>
  <si>
    <t>High Voltage switchgear refurbishment program</t>
  </si>
  <si>
    <t>Substation HV switchgear replacement program</t>
  </si>
  <si>
    <t>Substation Power transformer refurbishment program</t>
  </si>
  <si>
    <t>Geographical Information System renewal and data collection tools</t>
  </si>
  <si>
    <t>Yearly Spend Total</t>
  </si>
  <si>
    <t>Asset Class Total</t>
  </si>
  <si>
    <t>* Red if diff&gt;10</t>
  </si>
  <si>
    <t>ND0826</t>
  </si>
  <si>
    <t>Avoca Substation 110 kV Redevelopment</t>
  </si>
  <si>
    <t>ND1031</t>
  </si>
  <si>
    <t>Northern OPGW Program</t>
  </si>
  <si>
    <t>ND1114</t>
  </si>
  <si>
    <t>ND0730</t>
  </si>
  <si>
    <t>ND1306</t>
  </si>
  <si>
    <t>ND1116</t>
  </si>
  <si>
    <t>ND1219</t>
  </si>
  <si>
    <t>ND1220</t>
  </si>
  <si>
    <t>ND1313</t>
  </si>
  <si>
    <t>ND1312</t>
  </si>
  <si>
    <t>CPI June 2012 to June 2014</t>
  </si>
  <si>
    <t>Transmission line K-pole renewal program</t>
  </si>
  <si>
    <t>Transmission line conductor assembly renewal program</t>
  </si>
  <si>
    <t>St Marys Substation transformer capacity augmentation</t>
  </si>
  <si>
    <t>Lindisfarne Substation transformer T2 and T3 replacement</t>
  </si>
  <si>
    <t>Jun12 to Jun13</t>
  </si>
  <si>
    <t>Jun13 to Jun14</t>
  </si>
  <si>
    <t>Jun14 to Jun15</t>
  </si>
  <si>
    <t>Jun15 to Jun16</t>
  </si>
  <si>
    <t>Jun16 to Jun17</t>
  </si>
  <si>
    <t>Jun17 to Jun18</t>
  </si>
  <si>
    <t>Jun18 to Jun19</t>
  </si>
  <si>
    <t>ND0822</t>
  </si>
  <si>
    <t>ND0924</t>
  </si>
  <si>
    <t>ND0925</t>
  </si>
  <si>
    <t>ND0926</t>
  </si>
  <si>
    <t>ND0928</t>
  </si>
  <si>
    <t>ND0929</t>
  </si>
  <si>
    <t>ND0941</t>
  </si>
  <si>
    <t>ND0966</t>
  </si>
  <si>
    <t>ND0989</t>
  </si>
  <si>
    <t>ND0981</t>
  </si>
  <si>
    <t>ND1002</t>
  </si>
  <si>
    <t>ND1341</t>
  </si>
  <si>
    <t>ND1342</t>
  </si>
  <si>
    <t>ND1340</t>
  </si>
  <si>
    <t>ND1343</t>
  </si>
  <si>
    <t>ND1339</t>
  </si>
  <si>
    <t>ND1098</t>
  </si>
  <si>
    <t>Asset Class Check</t>
  </si>
  <si>
    <t>Projects estimates in $June 2014 to be converted to $June 2012</t>
  </si>
  <si>
    <t>Project Adjustments - the input data above is expressed in $June 2012, so where projects are estimated in other terms, adjustments are required to derive $June 2012.</t>
  </si>
  <si>
    <t>Converted to $June 2012, project type re-assigned to "0" so no real escalation is applied.</t>
  </si>
  <si>
    <t>See adj below</t>
  </si>
  <si>
    <t>ND1001</t>
  </si>
  <si>
    <t>Strategic easement acquisition</t>
  </si>
  <si>
    <t>2013/14</t>
  </si>
  <si>
    <t>Projects estimates in $2013-14 nominal (ie $Dec 2013) to be converted to $June 2012</t>
  </si>
  <si>
    <t>CPI June 2012 to December 2013</t>
  </si>
  <si>
    <t>Projects to be commissioned in 2013-14 contribute to asset growth are expressed in $Dec2013, need to be adjusted to $June 2012 (used for asset growth calculation)</t>
  </si>
  <si>
    <t>Converted to $June 2012, project type assigned "0" so no real escalation is applied</t>
  </si>
  <si>
    <t>2012-13</t>
  </si>
  <si>
    <t>2013-14</t>
  </si>
  <si>
    <t>As per Regulatory Accounts - Replacement asset value as at 30 June 2013 ($m)</t>
  </si>
  <si>
    <t>Asset growth % pa</t>
  </si>
  <si>
    <t>Expressed in $m June 2014 including assets contributing to asset growth from the totals above</t>
  </si>
  <si>
    <t>Facilities Access Control System</t>
  </si>
  <si>
    <t>ND0990</t>
  </si>
  <si>
    <t>Substation VESDA and fire suppression program</t>
  </si>
  <si>
    <t>ND1348</t>
  </si>
  <si>
    <t>Operations Building accommodation expansion</t>
  </si>
  <si>
    <t>ND1204</t>
  </si>
  <si>
    <t>Substation AC supply replacement program</t>
  </si>
  <si>
    <t>ND1062</t>
  </si>
  <si>
    <t>Insourcing Drawing Management</t>
  </si>
  <si>
    <t>Wesley Vale 11 kV to 22 kV conversion</t>
  </si>
  <si>
    <t>Consumer engagement management system</t>
  </si>
  <si>
    <t>Average risk factor % on total portfolio base dollars</t>
  </si>
  <si>
    <t>Southern transmission system rationalisation program</t>
  </si>
  <si>
    <t>Derwent Bridge transmission line redevelopment</t>
  </si>
  <si>
    <t>TBA3</t>
  </si>
  <si>
    <t>TBA2</t>
  </si>
  <si>
    <t>TBA1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</si>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</sst>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[=0]\-;0.0"/>
    <numFmt numFmtId="165" formatCode="[=0]\-;0.00%"/>
    <numFmt numFmtId="166" formatCode="[=0]\-;General"/>
    <numFmt numFmtId="167" formatCode="[=0]\-;&quot;Y&quot;"/>
    <numFmt numFmtId="168" formatCode="mmm\ yyyy"/>
    <numFmt numFmtId="169" formatCode="[=0]&quot;&quot;;General"/>
    <numFmt numFmtId="170" formatCode="[=0]\-;0.000,,"/>
    <numFmt numFmtId="171" formatCode="[=0]\-;0%"/>
    <numFmt numFmtId="172" formatCode="[=0]&quot;-&quot;;0.000,,"/>
    <numFmt numFmtId="173" formatCode="[=0]&quot;-&quot;;0.0,,"/>
    <numFmt numFmtId="174" formatCode="0.0000%"/>
    <numFmt numFmtId="175" formatCode="m/d/yy\ h:mm:ss"/>
    <numFmt numFmtId="176" formatCode="[=0]\-;0.0,,"/>
    <numFmt numFmtId="177" formatCode="0.000"/>
    <numFmt numFmtId="178" formatCode="[=0]\-;0"/>
    <numFmt numFmtId="179" formatCode="0.0"/>
    <numFmt numFmtId="180" formatCode="[=0]\-;0.00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Arial Black"/>
      <family val="2"/>
    </font>
    <font>
      <u/>
      <sz val="10"/>
      <color indexed="12"/>
      <name val="MS Sans Serif"/>
      <family val="2"/>
    </font>
    <font>
      <sz val="10"/>
      <name val="Arial Black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0"/>
      <name val="Helv"/>
    </font>
    <font>
      <sz val="10"/>
      <color indexed="8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20"/>
      <color rgb="FFFF0000"/>
      <name val="Arial"/>
      <family val="2"/>
    </font>
    <font>
      <sz val="10"/>
      <color rgb="FFFF0000"/>
      <name val="Arial"/>
      <family val="2"/>
    </font>
    <font>
      <sz val="8"/>
      <color rgb="FF0066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40">
    <xf numFmtId="0" fontId="0" fillId="0" borderId="0"/>
    <xf numFmtId="43" fontId="20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15" fillId="0" borderId="1"/>
    <xf numFmtId="0" fontId="3" fillId="0" borderId="0" applyNumberFormat="0" applyFill="0" applyBorder="0" applyAlignment="0" applyProtection="0"/>
    <xf numFmtId="0" fontId="7" fillId="0" borderId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3" applyNumberFormat="0" applyFont="0" applyFill="0" applyAlignment="0" applyProtection="0"/>
    <xf numFmtId="0" fontId="7" fillId="0" borderId="4" applyNumberFormat="0" applyFont="0" applyFill="0" applyAlignment="0" applyProtection="0"/>
    <xf numFmtId="0" fontId="7" fillId="0" borderId="5" applyNumberFormat="0" applyFont="0" applyFill="0" applyAlignment="0" applyProtection="0"/>
    <xf numFmtId="0" fontId="7" fillId="0" borderId="6" applyNumberFormat="0" applyFont="0" applyFill="0" applyAlignment="0" applyProtection="0"/>
    <xf numFmtId="0" fontId="7" fillId="0" borderId="7" applyNumberFormat="0" applyFont="0" applyFill="0" applyAlignment="0" applyProtection="0"/>
    <xf numFmtId="0" fontId="7" fillId="2" borderId="0" applyNumberFormat="0" applyFont="0" applyBorder="0" applyAlignment="0" applyProtection="0"/>
    <xf numFmtId="0" fontId="7" fillId="0" borderId="8" applyNumberFormat="0" applyFont="0" applyFill="0" applyAlignment="0" applyProtection="0"/>
    <xf numFmtId="0" fontId="7" fillId="0" borderId="9" applyNumberFormat="0" applyFont="0" applyFill="0" applyAlignment="0" applyProtection="0"/>
    <xf numFmtId="46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10" applyNumberFormat="0" applyFont="0" applyFill="0" applyAlignment="0" applyProtection="0"/>
    <xf numFmtId="0" fontId="7" fillId="0" borderId="11" applyNumberFormat="0" applyFont="0" applyFill="0" applyAlignment="0" applyProtection="0"/>
    <xf numFmtId="0" fontId="7" fillId="0" borderId="2" applyNumberFormat="0" applyFont="0" applyFill="0" applyAlignment="0" applyProtection="0"/>
    <xf numFmtId="0" fontId="7" fillId="0" borderId="12" applyNumberFormat="0" applyFont="0" applyFill="0" applyAlignment="0" applyProtection="0"/>
    <xf numFmtId="0" fontId="7" fillId="0" borderId="2" applyNumberFormat="0" applyFont="0" applyFill="0" applyAlignment="0" applyProtection="0"/>
    <xf numFmtId="0" fontId="7" fillId="0" borderId="0" applyNumberFormat="0" applyFont="0" applyFill="0" applyBorder="0" applyProtection="0">
      <alignment horizontal="center"/>
    </xf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 applyNumberFormat="0" applyFill="0" applyBorder="0" applyProtection="0">
      <alignment horizontal="left"/>
    </xf>
    <xf numFmtId="0" fontId="7" fillId="2" borderId="0" applyNumberFormat="0" applyFont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7" fillId="0" borderId="14" applyNumberFormat="0" applyFont="0" applyFill="0" applyAlignment="0" applyProtection="0"/>
    <xf numFmtId="175" fontId="7" fillId="0" borderId="0" applyFont="0" applyFill="0" applyBorder="0" applyAlignment="0" applyProtection="0"/>
    <xf numFmtId="0" fontId="7" fillId="0" borderId="15" applyNumberFormat="0" applyFont="0" applyFill="0" applyAlignment="0" applyProtection="0"/>
    <xf numFmtId="0" fontId="7" fillId="0" borderId="16" applyNumberFormat="0" applyFont="0" applyFill="0" applyAlignment="0" applyProtection="0"/>
    <xf numFmtId="0" fontId="7" fillId="0" borderId="17" applyNumberFormat="0" applyFont="0" applyFill="0" applyAlignment="0" applyProtection="0"/>
    <xf numFmtId="0" fontId="7" fillId="0" borderId="18" applyNumberFormat="0" applyFont="0" applyFill="0" applyAlignment="0" applyProtection="0"/>
    <xf numFmtId="0" fontId="7" fillId="0" borderId="19" applyNumberFormat="0" applyFont="0" applyFill="0" applyAlignment="0" applyProtection="0"/>
  </cellStyleXfs>
  <cellXfs count="615">
    <xf numFmtId="0" fontId="0" fillId="0" borderId="0" xfId="0"/>
    <xf numFmtId="0" fontId="23" fillId="0" borderId="0" xfId="0" applyFont="1"/>
    <xf numFmtId="0" fontId="23" fillId="12" borderId="0" xfId="0" applyFont="1" applyFill="1"/>
    <xf numFmtId="0" fontId="24" fillId="12" borderId="0" xfId="0" applyFont="1" applyFill="1"/>
    <xf numFmtId="0" fontId="23" fillId="12" borderId="20" xfId="0" applyFont="1" applyFill="1" applyBorder="1"/>
    <xf numFmtId="0" fontId="23" fillId="12" borderId="21" xfId="0" applyFont="1" applyFill="1" applyBorder="1"/>
    <xf numFmtId="0" fontId="23" fillId="12" borderId="22" xfId="0" applyFont="1" applyFill="1" applyBorder="1"/>
    <xf numFmtId="0" fontId="23" fillId="12" borderId="23" xfId="0" applyFont="1" applyFill="1" applyBorder="1"/>
    <xf numFmtId="0" fontId="23" fillId="12" borderId="24" xfId="0" applyFont="1" applyFill="1" applyBorder="1"/>
    <xf numFmtId="0" fontId="23" fillId="12" borderId="25" xfId="0" applyFont="1" applyFill="1" applyBorder="1"/>
    <xf numFmtId="0" fontId="23" fillId="12" borderId="26" xfId="0" applyFont="1" applyFill="1" applyBorder="1"/>
    <xf numFmtId="0" fontId="23" fillId="12" borderId="27" xfId="0" applyFont="1" applyFill="1" applyBorder="1"/>
    <xf numFmtId="0" fontId="25" fillId="12" borderId="0" xfId="0" applyFont="1" applyFill="1"/>
    <xf numFmtId="0" fontId="23" fillId="12" borderId="0" xfId="0" applyFont="1" applyFill="1" applyAlignment="1">
      <alignment horizontal="center"/>
    </xf>
    <xf numFmtId="0" fontId="23" fillId="12" borderId="28" xfId="0" applyFont="1" applyFill="1" applyBorder="1"/>
    <xf numFmtId="0" fontId="23" fillId="12" borderId="28" xfId="0" applyFont="1" applyFill="1" applyBorder="1" applyAlignment="1">
      <alignment horizontal="left"/>
    </xf>
    <xf numFmtId="0" fontId="23" fillId="12" borderId="26" xfId="0" applyFont="1" applyFill="1" applyBorder="1" applyAlignment="1">
      <alignment horizontal="center"/>
    </xf>
    <xf numFmtId="0" fontId="23" fillId="12" borderId="30" xfId="0" applyFont="1" applyFill="1" applyBorder="1" applyAlignment="1">
      <alignment horizontal="center"/>
    </xf>
    <xf numFmtId="0" fontId="23" fillId="0" borderId="31" xfId="0" applyFont="1" applyFill="1" applyBorder="1"/>
    <xf numFmtId="0" fontId="25" fillId="0" borderId="0" xfId="0" applyFont="1" applyFill="1"/>
    <xf numFmtId="0" fontId="23" fillId="0" borderId="0" xfId="0" applyFont="1" applyFill="1"/>
    <xf numFmtId="0" fontId="23" fillId="12" borderId="0" xfId="0" applyFont="1" applyFill="1" applyBorder="1"/>
    <xf numFmtId="0" fontId="25" fillId="12" borderId="0" xfId="0" applyFont="1" applyFill="1" applyBorder="1"/>
    <xf numFmtId="0" fontId="23" fillId="12" borderId="32" xfId="0" applyFont="1" applyFill="1" applyBorder="1"/>
    <xf numFmtId="0" fontId="23" fillId="12" borderId="22" xfId="0" applyFont="1" applyFill="1" applyBorder="1" applyAlignment="1">
      <alignment horizontal="center"/>
    </xf>
    <xf numFmtId="0" fontId="23" fillId="12" borderId="21" xfId="0" applyFont="1" applyFill="1" applyBorder="1" applyAlignment="1">
      <alignment horizontal="center"/>
    </xf>
    <xf numFmtId="169" fontId="23" fillId="12" borderId="33" xfId="0" applyNumberFormat="1" applyFont="1" applyFill="1" applyBorder="1" applyAlignment="1">
      <alignment horizontal="center"/>
    </xf>
    <xf numFmtId="169" fontId="23" fillId="12" borderId="34" xfId="0" applyNumberFormat="1" applyFont="1" applyFill="1" applyBorder="1" applyAlignment="1">
      <alignment horizontal="center"/>
    </xf>
    <xf numFmtId="169" fontId="23" fillId="12" borderId="31" xfId="0" applyNumberFormat="1" applyFont="1" applyFill="1" applyBorder="1" applyAlignment="1">
      <alignment horizontal="center"/>
    </xf>
    <xf numFmtId="169" fontId="23" fillId="12" borderId="22" xfId="0" applyNumberFormat="1" applyFont="1" applyFill="1" applyBorder="1"/>
    <xf numFmtId="169" fontId="23" fillId="12" borderId="29" xfId="0" applyNumberFormat="1" applyFont="1" applyFill="1" applyBorder="1"/>
    <xf numFmtId="169" fontId="23" fillId="12" borderId="25" xfId="0" applyNumberFormat="1" applyFont="1" applyFill="1" applyBorder="1"/>
    <xf numFmtId="169" fontId="23" fillId="12" borderId="28" xfId="0" applyNumberFormat="1" applyFont="1" applyFill="1" applyBorder="1"/>
    <xf numFmtId="0" fontId="23" fillId="0" borderId="35" xfId="0" applyFont="1" applyFill="1" applyBorder="1" applyAlignment="1">
      <alignment horizontal="center" textRotation="180" wrapText="1"/>
    </xf>
    <xf numFmtId="0" fontId="23" fillId="0" borderId="36" xfId="0" applyFont="1" applyFill="1" applyBorder="1" applyAlignment="1">
      <alignment horizontal="center" textRotation="180" wrapText="1"/>
    </xf>
    <xf numFmtId="0" fontId="23" fillId="0" borderId="37" xfId="0" applyFont="1" applyFill="1" applyBorder="1" applyAlignment="1">
      <alignment horizontal="center" textRotation="180" wrapText="1"/>
    </xf>
    <xf numFmtId="168" fontId="23" fillId="12" borderId="26" xfId="0" applyNumberFormat="1" applyFont="1" applyFill="1" applyBorder="1" applyAlignment="1">
      <alignment horizontal="center" vertical="center" textRotation="180"/>
    </xf>
    <xf numFmtId="168" fontId="23" fillId="12" borderId="27" xfId="0" applyNumberFormat="1" applyFont="1" applyFill="1" applyBorder="1" applyAlignment="1">
      <alignment horizontal="center" vertical="center" textRotation="180"/>
    </xf>
    <xf numFmtId="169" fontId="23" fillId="12" borderId="28" xfId="0" applyNumberFormat="1" applyFont="1" applyFill="1" applyBorder="1" applyAlignment="1">
      <alignment textRotation="180"/>
    </xf>
    <xf numFmtId="169" fontId="23" fillId="12" borderId="26" xfId="0" applyNumberFormat="1" applyFont="1" applyFill="1" applyBorder="1" applyAlignment="1">
      <alignment textRotation="180"/>
    </xf>
    <xf numFmtId="169" fontId="23" fillId="12" borderId="27" xfId="0" applyNumberFormat="1" applyFont="1" applyFill="1" applyBorder="1" applyAlignment="1">
      <alignment textRotation="180"/>
    </xf>
    <xf numFmtId="43" fontId="26" fillId="13" borderId="0" xfId="0" applyNumberFormat="1" applyFont="1" applyFill="1"/>
    <xf numFmtId="0" fontId="26" fillId="13" borderId="0" xfId="0" applyFont="1" applyFill="1"/>
    <xf numFmtId="0" fontId="26" fillId="13" borderId="22" xfId="0" applyFont="1" applyFill="1" applyBorder="1"/>
    <xf numFmtId="0" fontId="26" fillId="13" borderId="29" xfId="0" applyFont="1" applyFill="1" applyBorder="1"/>
    <xf numFmtId="0" fontId="26" fillId="13" borderId="25" xfId="0" applyFont="1" applyFill="1" applyBorder="1"/>
    <xf numFmtId="43" fontId="26" fillId="13" borderId="25" xfId="1" applyNumberFormat="1" applyFont="1" applyFill="1" applyBorder="1"/>
    <xf numFmtId="0" fontId="27" fillId="13" borderId="0" xfId="0" applyFont="1" applyFill="1"/>
    <xf numFmtId="0" fontId="26" fillId="13" borderId="30" xfId="0" applyFont="1" applyFill="1" applyBorder="1"/>
    <xf numFmtId="0" fontId="26" fillId="13" borderId="34" xfId="0" applyFont="1" applyFill="1" applyBorder="1"/>
    <xf numFmtId="0" fontId="26" fillId="13" borderId="33" xfId="0" applyFont="1" applyFill="1" applyBorder="1"/>
    <xf numFmtId="0" fontId="26" fillId="13" borderId="31" xfId="0" applyFont="1" applyFill="1" applyBorder="1"/>
    <xf numFmtId="0" fontId="23" fillId="12" borderId="30" xfId="0" applyFont="1" applyFill="1" applyBorder="1" applyAlignment="1">
      <alignment horizontal="center" wrapText="1"/>
    </xf>
    <xf numFmtId="0" fontId="23" fillId="12" borderId="26" xfId="0" applyFont="1" applyFill="1" applyBorder="1" applyAlignment="1">
      <alignment horizontal="center" wrapText="1"/>
    </xf>
    <xf numFmtId="170" fontId="23" fillId="0" borderId="22" xfId="0" applyNumberFormat="1" applyFont="1" applyFill="1" applyBorder="1"/>
    <xf numFmtId="170" fontId="23" fillId="0" borderId="20" xfId="0" applyNumberFormat="1" applyFont="1" applyFill="1" applyBorder="1"/>
    <xf numFmtId="170" fontId="23" fillId="14" borderId="20" xfId="0" applyNumberFormat="1" applyFont="1" applyFill="1" applyBorder="1"/>
    <xf numFmtId="170" fontId="23" fillId="0" borderId="21" xfId="0" applyNumberFormat="1" applyFont="1" applyFill="1" applyBorder="1"/>
    <xf numFmtId="170" fontId="23" fillId="0" borderId="29" xfId="0" applyNumberFormat="1" applyFont="1" applyFill="1" applyBorder="1"/>
    <xf numFmtId="170" fontId="23" fillId="0" borderId="0" xfId="0" applyNumberFormat="1" applyFont="1" applyFill="1" applyBorder="1"/>
    <xf numFmtId="170" fontId="23" fillId="14" borderId="0" xfId="0" applyNumberFormat="1" applyFont="1" applyFill="1" applyBorder="1"/>
    <xf numFmtId="170" fontId="23" fillId="0" borderId="32" xfId="0" applyNumberFormat="1" applyFont="1" applyFill="1" applyBorder="1"/>
    <xf numFmtId="170" fontId="23" fillId="0" borderId="0" xfId="0" applyNumberFormat="1" applyFont="1" applyFill="1"/>
    <xf numFmtId="170" fontId="23" fillId="14" borderId="0" xfId="0" applyNumberFormat="1" applyFont="1" applyFill="1"/>
    <xf numFmtId="0" fontId="26" fillId="13" borderId="38" xfId="0" applyFont="1" applyFill="1" applyBorder="1" applyAlignment="1">
      <alignment horizontal="center" textRotation="180" wrapText="1"/>
    </xf>
    <xf numFmtId="0" fontId="26" fillId="13" borderId="39" xfId="0" applyFont="1" applyFill="1" applyBorder="1" applyAlignment="1">
      <alignment horizontal="center" textRotation="180" wrapText="1"/>
    </xf>
    <xf numFmtId="0" fontId="26" fillId="13" borderId="40" xfId="0" applyFont="1" applyFill="1" applyBorder="1" applyAlignment="1">
      <alignment horizontal="center" textRotation="180" wrapText="1"/>
    </xf>
    <xf numFmtId="171" fontId="26" fillId="0" borderId="0" xfId="7" applyNumberFormat="1" applyFont="1" applyFill="1" applyBorder="1"/>
    <xf numFmtId="171" fontId="26" fillId="0" borderId="32" xfId="7" applyNumberFormat="1" applyFont="1" applyFill="1" applyBorder="1"/>
    <xf numFmtId="171" fontId="26" fillId="0" borderId="23" xfId="7" applyNumberFormat="1" applyFont="1" applyFill="1" applyBorder="1"/>
    <xf numFmtId="171" fontId="26" fillId="0" borderId="24" xfId="7" applyNumberFormat="1" applyFont="1" applyFill="1" applyBorder="1"/>
    <xf numFmtId="0" fontId="25" fillId="15" borderId="0" xfId="0" applyFont="1" applyFill="1"/>
    <xf numFmtId="0" fontId="23" fillId="15" borderId="0" xfId="0" applyFont="1" applyFill="1"/>
    <xf numFmtId="0" fontId="23" fillId="15" borderId="21" xfId="0" applyFont="1" applyFill="1" applyBorder="1" applyAlignment="1">
      <alignment textRotation="180"/>
    </xf>
    <xf numFmtId="169" fontId="23" fillId="15" borderId="22" xfId="0" applyNumberFormat="1" applyFont="1" applyFill="1" applyBorder="1"/>
    <xf numFmtId="170" fontId="23" fillId="15" borderId="22" xfId="0" applyNumberFormat="1" applyFont="1" applyFill="1" applyBorder="1"/>
    <xf numFmtId="170" fontId="23" fillId="15" borderId="20" xfId="0" applyNumberFormat="1" applyFont="1" applyFill="1" applyBorder="1"/>
    <xf numFmtId="170" fontId="23" fillId="15" borderId="21" xfId="0" applyNumberFormat="1" applyFont="1" applyFill="1" applyBorder="1"/>
    <xf numFmtId="169" fontId="23" fillId="15" borderId="29" xfId="0" applyNumberFormat="1" applyFont="1" applyFill="1" applyBorder="1"/>
    <xf numFmtId="170" fontId="23" fillId="15" borderId="29" xfId="0" applyNumberFormat="1" applyFont="1" applyFill="1" applyBorder="1"/>
    <xf numFmtId="170" fontId="23" fillId="15" borderId="0" xfId="0" applyNumberFormat="1" applyFont="1" applyFill="1" applyBorder="1"/>
    <xf numFmtId="170" fontId="23" fillId="15" borderId="32" xfId="0" applyNumberFormat="1" applyFont="1" applyFill="1" applyBorder="1"/>
    <xf numFmtId="169" fontId="23" fillId="15" borderId="25" xfId="0" applyNumberFormat="1" applyFont="1" applyFill="1" applyBorder="1"/>
    <xf numFmtId="170" fontId="23" fillId="15" borderId="25" xfId="0" applyNumberFormat="1" applyFont="1" applyFill="1" applyBorder="1"/>
    <xf numFmtId="170" fontId="23" fillId="15" borderId="23" xfId="0" applyNumberFormat="1" applyFont="1" applyFill="1" applyBorder="1"/>
    <xf numFmtId="170" fontId="23" fillId="15" borderId="24" xfId="0" applyNumberFormat="1" applyFont="1" applyFill="1" applyBorder="1"/>
    <xf numFmtId="170" fontId="23" fillId="15" borderId="0" xfId="0" applyNumberFormat="1" applyFont="1" applyFill="1"/>
    <xf numFmtId="0" fontId="25" fillId="16" borderId="0" xfId="0" applyFont="1" applyFill="1"/>
    <xf numFmtId="0" fontId="23" fillId="16" borderId="0" xfId="0" applyFont="1" applyFill="1"/>
    <xf numFmtId="169" fontId="23" fillId="16" borderId="22" xfId="0" applyNumberFormat="1" applyFont="1" applyFill="1" applyBorder="1"/>
    <xf numFmtId="170" fontId="23" fillId="16" borderId="22" xfId="0" applyNumberFormat="1" applyFont="1" applyFill="1" applyBorder="1"/>
    <xf numFmtId="170" fontId="23" fillId="16" borderId="20" xfId="0" applyNumberFormat="1" applyFont="1" applyFill="1" applyBorder="1"/>
    <xf numFmtId="170" fontId="23" fillId="16" borderId="21" xfId="0" applyNumberFormat="1" applyFont="1" applyFill="1" applyBorder="1"/>
    <xf numFmtId="169" fontId="23" fillId="16" borderId="29" xfId="0" applyNumberFormat="1" applyFont="1" applyFill="1" applyBorder="1"/>
    <xf numFmtId="170" fontId="23" fillId="16" borderId="29" xfId="0" applyNumberFormat="1" applyFont="1" applyFill="1" applyBorder="1"/>
    <xf numFmtId="170" fontId="23" fillId="16" borderId="0" xfId="0" applyNumberFormat="1" applyFont="1" applyFill="1" applyBorder="1"/>
    <xf numFmtId="170" fontId="23" fillId="16" borderId="32" xfId="0" applyNumberFormat="1" applyFont="1" applyFill="1" applyBorder="1"/>
    <xf numFmtId="169" fontId="23" fillId="16" borderId="25" xfId="0" applyNumberFormat="1" applyFont="1" applyFill="1" applyBorder="1"/>
    <xf numFmtId="170" fontId="23" fillId="16" borderId="25" xfId="0" applyNumberFormat="1" applyFont="1" applyFill="1" applyBorder="1"/>
    <xf numFmtId="170" fontId="23" fillId="16" borderId="23" xfId="0" applyNumberFormat="1" applyFont="1" applyFill="1" applyBorder="1"/>
    <xf numFmtId="170" fontId="23" fillId="16" borderId="24" xfId="0" applyNumberFormat="1" applyFont="1" applyFill="1" applyBorder="1"/>
    <xf numFmtId="170" fontId="23" fillId="16" borderId="0" xfId="0" applyNumberFormat="1" applyFont="1" applyFill="1"/>
    <xf numFmtId="165" fontId="23" fillId="0" borderId="32" xfId="7" applyNumberFormat="1" applyFont="1" applyFill="1" applyBorder="1"/>
    <xf numFmtId="165" fontId="23" fillId="0" borderId="24" xfId="7" applyNumberFormat="1" applyFont="1" applyFill="1" applyBorder="1"/>
    <xf numFmtId="0" fontId="28" fillId="0" borderId="0" xfId="0" applyFont="1"/>
    <xf numFmtId="0" fontId="2" fillId="0" borderId="0" xfId="0" applyFont="1"/>
    <xf numFmtId="0" fontId="0" fillId="0" borderId="0" xfId="0" applyFill="1"/>
    <xf numFmtId="0" fontId="5" fillId="0" borderId="0" xfId="0" applyFont="1"/>
    <xf numFmtId="0" fontId="5" fillId="0" borderId="0" xfId="0" applyFont="1" applyFill="1"/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justify"/>
    </xf>
    <xf numFmtId="0" fontId="0" fillId="8" borderId="42" xfId="0" applyFill="1" applyBorder="1"/>
    <xf numFmtId="0" fontId="7" fillId="5" borderId="42" xfId="0" applyFont="1" applyFill="1" applyBorder="1"/>
    <xf numFmtId="172" fontId="7" fillId="0" borderId="43" xfId="0" applyNumberFormat="1" applyFont="1" applyBorder="1"/>
    <xf numFmtId="0" fontId="0" fillId="0" borderId="43" xfId="0" applyBorder="1"/>
    <xf numFmtId="0" fontId="0" fillId="0" borderId="44" xfId="0" applyBorder="1" applyAlignment="1">
      <alignment wrapText="1"/>
    </xf>
    <xf numFmtId="0" fontId="0" fillId="0" borderId="42" xfId="0" applyBorder="1"/>
    <xf numFmtId="0" fontId="0" fillId="8" borderId="43" xfId="0" applyFill="1" applyBorder="1"/>
    <xf numFmtId="0" fontId="7" fillId="5" borderId="43" xfId="0" applyFont="1" applyFill="1" applyBorder="1"/>
    <xf numFmtId="0" fontId="0" fillId="8" borderId="46" xfId="0" applyFill="1" applyBorder="1"/>
    <xf numFmtId="0" fontId="7" fillId="5" borderId="46" xfId="0" applyFont="1" applyFill="1" applyBorder="1"/>
    <xf numFmtId="0" fontId="0" fillId="5" borderId="46" xfId="0" applyFill="1" applyBorder="1"/>
    <xf numFmtId="0" fontId="0" fillId="0" borderId="47" xfId="0" applyBorder="1" applyAlignment="1">
      <alignment wrapText="1"/>
    </xf>
    <xf numFmtId="0" fontId="0" fillId="0" borderId="46" xfId="0" applyBorder="1"/>
    <xf numFmtId="0" fontId="7" fillId="0" borderId="0" xfId="0" applyFont="1"/>
    <xf numFmtId="0" fontId="4" fillId="0" borderId="0" xfId="0" applyFont="1"/>
    <xf numFmtId="0" fontId="0" fillId="0" borderId="0" xfId="0" applyAlignment="1"/>
    <xf numFmtId="0" fontId="5" fillId="0" borderId="0" xfId="0" applyFont="1" applyFill="1" applyBorder="1"/>
    <xf numFmtId="0" fontId="0" fillId="0" borderId="0" xfId="0" applyBorder="1"/>
    <xf numFmtId="0" fontId="9" fillId="0" borderId="0" xfId="0" applyFont="1" applyFill="1"/>
    <xf numFmtId="0" fontId="9" fillId="0" borderId="0" xfId="0" applyFont="1" applyFill="1" applyBorder="1"/>
    <xf numFmtId="0" fontId="5" fillId="7" borderId="41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wrapText="1"/>
    </xf>
    <xf numFmtId="0" fontId="0" fillId="0" borderId="42" xfId="0" applyBorder="1" applyAlignment="1"/>
    <xf numFmtId="0" fontId="0" fillId="0" borderId="48" xfId="0" applyBorder="1"/>
    <xf numFmtId="0" fontId="0" fillId="0" borderId="43" xfId="0" applyFill="1" applyBorder="1"/>
    <xf numFmtId="0" fontId="0" fillId="0" borderId="49" xfId="0" applyBorder="1"/>
    <xf numFmtId="0" fontId="5" fillId="6" borderId="42" xfId="0" applyFont="1" applyFill="1" applyBorder="1"/>
    <xf numFmtId="0" fontId="9" fillId="3" borderId="46" xfId="0" applyFont="1" applyFill="1" applyBorder="1" applyAlignment="1">
      <alignment horizontal="center" vertical="center"/>
    </xf>
    <xf numFmtId="0" fontId="9" fillId="6" borderId="43" xfId="0" applyFont="1" applyFill="1" applyBorder="1"/>
    <xf numFmtId="0" fontId="9" fillId="0" borderId="51" xfId="0" applyFont="1" applyFill="1" applyBorder="1"/>
    <xf numFmtId="0" fontId="0" fillId="9" borderId="52" xfId="0" applyFill="1" applyBorder="1"/>
    <xf numFmtId="0" fontId="0" fillId="9" borderId="53" xfId="0" applyFill="1" applyBorder="1"/>
    <xf numFmtId="0" fontId="0" fillId="0" borderId="0" xfId="0" applyFill="1" applyBorder="1" applyAlignment="1">
      <alignment horizontal="center"/>
    </xf>
    <xf numFmtId="0" fontId="0" fillId="3" borderId="52" xfId="0" applyFill="1" applyBorder="1"/>
    <xf numFmtId="0" fontId="0" fillId="3" borderId="53" xfId="0" applyFill="1" applyBorder="1"/>
    <xf numFmtId="0" fontId="0" fillId="8" borderId="52" xfId="0" applyFill="1" applyBorder="1"/>
    <xf numFmtId="0" fontId="0" fillId="8" borderId="53" xfId="0" applyFill="1" applyBorder="1"/>
    <xf numFmtId="0" fontId="0" fillId="10" borderId="52" xfId="0" applyFill="1" applyBorder="1"/>
    <xf numFmtId="0" fontId="0" fillId="10" borderId="53" xfId="0" applyFill="1" applyBorder="1"/>
    <xf numFmtId="0" fontId="0" fillId="7" borderId="52" xfId="0" applyFill="1" applyBorder="1"/>
    <xf numFmtId="0" fontId="0" fillId="7" borderId="53" xfId="0" applyFill="1" applyBorder="1"/>
    <xf numFmtId="0" fontId="5" fillId="6" borderId="0" xfId="0" applyFont="1" applyFill="1" applyBorder="1"/>
    <xf numFmtId="0" fontId="0" fillId="6" borderId="0" xfId="0" applyFill="1" applyBorder="1"/>
    <xf numFmtId="0" fontId="5" fillId="0" borderId="0" xfId="0" applyFont="1" applyBorder="1"/>
    <xf numFmtId="0" fontId="5" fillId="4" borderId="51" xfId="0" applyFont="1" applyFill="1" applyBorder="1" applyAlignment="1">
      <alignment horizontal="center" vertical="center"/>
    </xf>
    <xf numFmtId="0" fontId="5" fillId="6" borderId="54" xfId="0" applyFont="1" applyFill="1" applyBorder="1"/>
    <xf numFmtId="0" fontId="0" fillId="6" borderId="52" xfId="0" applyFill="1" applyBorder="1"/>
    <xf numFmtId="0" fontId="0" fillId="6" borderId="53" xfId="0" applyFill="1" applyBorder="1"/>
    <xf numFmtId="0" fontId="23" fillId="12" borderId="2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5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72" fontId="7" fillId="0" borderId="43" xfId="0" applyNumberFormat="1" applyFont="1" applyBorder="1" applyAlignment="1">
      <alignment horizontal="center"/>
    </xf>
    <xf numFmtId="172" fontId="5" fillId="0" borderId="43" xfId="0" applyNumberFormat="1" applyFont="1" applyBorder="1" applyAlignment="1">
      <alignment horizontal="center"/>
    </xf>
    <xf numFmtId="172" fontId="7" fillId="0" borderId="46" xfId="0" applyNumberFormat="1" applyFont="1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7" borderId="41" xfId="0" applyNumberFormat="1" applyFill="1" applyBorder="1" applyAlignment="1">
      <alignment horizontal="center"/>
    </xf>
    <xf numFmtId="172" fontId="5" fillId="7" borderId="41" xfId="0" applyNumberFormat="1" applyFont="1" applyFill="1" applyBorder="1" applyAlignment="1">
      <alignment horizontal="center"/>
    </xf>
    <xf numFmtId="0" fontId="7" fillId="8" borderId="42" xfId="0" applyFont="1" applyFill="1" applyBorder="1" applyAlignment="1">
      <alignment horizontal="center"/>
    </xf>
    <xf numFmtId="0" fontId="7" fillId="8" borderId="4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3" fillId="15" borderId="28" xfId="0" applyNumberFormat="1" applyFont="1" applyFill="1" applyBorder="1" applyAlignment="1">
      <alignment horizontal="center" vertical="top" textRotation="180"/>
    </xf>
    <xf numFmtId="0" fontId="23" fillId="15" borderId="26" xfId="0" applyNumberFormat="1" applyFont="1" applyFill="1" applyBorder="1" applyAlignment="1">
      <alignment horizontal="center" vertical="top" textRotation="180"/>
    </xf>
    <xf numFmtId="0" fontId="23" fillId="15" borderId="27" xfId="0" applyNumberFormat="1" applyFont="1" applyFill="1" applyBorder="1" applyAlignment="1">
      <alignment horizontal="center" vertical="top" textRotation="180"/>
    </xf>
    <xf numFmtId="0" fontId="23" fillId="16" borderId="28" xfId="0" applyNumberFormat="1" applyFont="1" applyFill="1" applyBorder="1" applyAlignment="1">
      <alignment horizontal="center" vertical="top" textRotation="180"/>
    </xf>
    <xf numFmtId="0" fontId="23" fillId="16" borderId="26" xfId="0" applyNumberFormat="1" applyFont="1" applyFill="1" applyBorder="1" applyAlignment="1">
      <alignment horizontal="center" vertical="top" textRotation="180"/>
    </xf>
    <xf numFmtId="0" fontId="23" fillId="16" borderId="27" xfId="0" applyNumberFormat="1" applyFont="1" applyFill="1" applyBorder="1" applyAlignment="1">
      <alignment horizontal="center" vertical="top" textRotation="180"/>
    </xf>
    <xf numFmtId="0" fontId="5" fillId="6" borderId="42" xfId="0" applyFont="1" applyFill="1" applyBorder="1" applyAlignment="1">
      <alignment horizontal="center" vertical="center"/>
    </xf>
    <xf numFmtId="173" fontId="7" fillId="8" borderId="42" xfId="0" applyNumberFormat="1" applyFont="1" applyFill="1" applyBorder="1" applyAlignment="1">
      <alignment horizontal="right" vertical="center" indent="2"/>
    </xf>
    <xf numFmtId="173" fontId="5" fillId="8" borderId="42" xfId="0" applyNumberFormat="1" applyFont="1" applyFill="1" applyBorder="1" applyAlignment="1">
      <alignment horizontal="right" vertical="center" indent="2"/>
    </xf>
    <xf numFmtId="173" fontId="7" fillId="5" borderId="43" xfId="0" applyNumberFormat="1" applyFont="1" applyFill="1" applyBorder="1" applyAlignment="1">
      <alignment horizontal="right" vertical="center" indent="2"/>
    </xf>
    <xf numFmtId="173" fontId="5" fillId="5" borderId="43" xfId="0" applyNumberFormat="1" applyFont="1" applyFill="1" applyBorder="1" applyAlignment="1">
      <alignment horizontal="right" vertical="center" indent="2"/>
    </xf>
    <xf numFmtId="173" fontId="7" fillId="8" borderId="43" xfId="0" applyNumberFormat="1" applyFont="1" applyFill="1" applyBorder="1" applyAlignment="1">
      <alignment horizontal="right" vertical="center" indent="2"/>
    </xf>
    <xf numFmtId="173" fontId="5" fillId="8" borderId="43" xfId="0" applyNumberFormat="1" applyFont="1" applyFill="1" applyBorder="1" applyAlignment="1">
      <alignment horizontal="right" vertical="center" indent="2"/>
    </xf>
    <xf numFmtId="173" fontId="7" fillId="5" borderId="42" xfId="0" applyNumberFormat="1" applyFont="1" applyFill="1" applyBorder="1" applyAlignment="1">
      <alignment horizontal="right" vertical="center" indent="2"/>
    </xf>
    <xf numFmtId="173" fontId="5" fillId="5" borderId="42" xfId="0" applyNumberFormat="1" applyFont="1" applyFill="1" applyBorder="1" applyAlignment="1">
      <alignment horizontal="right" vertical="center" indent="2"/>
    </xf>
    <xf numFmtId="173" fontId="7" fillId="8" borderId="46" xfId="0" applyNumberFormat="1" applyFont="1" applyFill="1" applyBorder="1" applyAlignment="1">
      <alignment horizontal="right" vertical="center" indent="2"/>
    </xf>
    <xf numFmtId="173" fontId="5" fillId="8" borderId="46" xfId="0" applyNumberFormat="1" applyFont="1" applyFill="1" applyBorder="1" applyAlignment="1">
      <alignment horizontal="right" vertical="center" indent="2"/>
    </xf>
    <xf numFmtId="173" fontId="7" fillId="4" borderId="0" xfId="0" applyNumberFormat="1" applyFont="1" applyFill="1" applyAlignment="1">
      <alignment horizontal="right" vertical="center" indent="2"/>
    </xf>
    <xf numFmtId="173" fontId="5" fillId="4" borderId="0" xfId="0" applyNumberFormat="1" applyFont="1" applyFill="1" applyAlignment="1">
      <alignment horizontal="right" vertical="center" indent="2"/>
    </xf>
    <xf numFmtId="173" fontId="7" fillId="5" borderId="46" xfId="0" applyNumberFormat="1" applyFont="1" applyFill="1" applyBorder="1" applyAlignment="1">
      <alignment horizontal="right" vertical="center" indent="2"/>
    </xf>
    <xf numFmtId="173" fontId="5" fillId="5" borderId="46" xfId="0" applyNumberFormat="1" applyFont="1" applyFill="1" applyBorder="1" applyAlignment="1">
      <alignment horizontal="right" vertical="center" indent="2"/>
    </xf>
    <xf numFmtId="173" fontId="7" fillId="0" borderId="0" xfId="0" applyNumberFormat="1" applyFont="1" applyAlignment="1">
      <alignment horizontal="right" vertical="center" indent="2"/>
    </xf>
    <xf numFmtId="173" fontId="5" fillId="0" borderId="0" xfId="0" applyNumberFormat="1" applyFont="1" applyAlignment="1">
      <alignment horizontal="right" vertical="center" indent="2"/>
    </xf>
    <xf numFmtId="173" fontId="5" fillId="6" borderId="41" xfId="0" applyNumberFormat="1" applyFont="1" applyFill="1" applyBorder="1" applyAlignment="1">
      <alignment horizontal="right" vertical="center" indent="2"/>
    </xf>
    <xf numFmtId="173" fontId="7" fillId="8" borderId="42" xfId="0" applyNumberFormat="1" applyFont="1" applyFill="1" applyBorder="1" applyAlignment="1">
      <alignment horizontal="right" vertical="center" indent="5"/>
    </xf>
    <xf numFmtId="173" fontId="5" fillId="8" borderId="42" xfId="0" applyNumberFormat="1" applyFont="1" applyFill="1" applyBorder="1" applyAlignment="1">
      <alignment horizontal="right" vertical="center" indent="5"/>
    </xf>
    <xf numFmtId="173" fontId="7" fillId="5" borderId="43" xfId="0" applyNumberFormat="1" applyFont="1" applyFill="1" applyBorder="1" applyAlignment="1">
      <alignment horizontal="right" vertical="center" indent="5"/>
    </xf>
    <xf numFmtId="173" fontId="5" fillId="5" borderId="43" xfId="0" applyNumberFormat="1" applyFont="1" applyFill="1" applyBorder="1" applyAlignment="1">
      <alignment horizontal="right" vertical="center" indent="5"/>
    </xf>
    <xf numFmtId="173" fontId="7" fillId="8" borderId="43" xfId="0" applyNumberFormat="1" applyFont="1" applyFill="1" applyBorder="1" applyAlignment="1">
      <alignment horizontal="right" vertical="center" indent="5"/>
    </xf>
    <xf numFmtId="173" fontId="5" fillId="8" borderId="43" xfId="0" applyNumberFormat="1" applyFont="1" applyFill="1" applyBorder="1" applyAlignment="1">
      <alignment horizontal="right" vertical="center" indent="5"/>
    </xf>
    <xf numFmtId="173" fontId="7" fillId="5" borderId="48" xfId="0" applyNumberFormat="1" applyFont="1" applyFill="1" applyBorder="1" applyAlignment="1">
      <alignment horizontal="right" indent="5"/>
    </xf>
    <xf numFmtId="173" fontId="7" fillId="5" borderId="43" xfId="0" applyNumberFormat="1" applyFont="1" applyFill="1" applyBorder="1" applyAlignment="1">
      <alignment horizontal="right" indent="5"/>
    </xf>
    <xf numFmtId="173" fontId="7" fillId="5" borderId="0" xfId="0" applyNumberFormat="1" applyFont="1" applyFill="1" applyBorder="1" applyAlignment="1">
      <alignment horizontal="right" indent="5"/>
    </xf>
    <xf numFmtId="173" fontId="5" fillId="5" borderId="45" xfId="0" applyNumberFormat="1" applyFont="1" applyFill="1" applyBorder="1" applyAlignment="1">
      <alignment horizontal="right" indent="5"/>
    </xf>
    <xf numFmtId="173" fontId="7" fillId="5" borderId="49" xfId="0" applyNumberFormat="1" applyFont="1" applyFill="1" applyBorder="1" applyAlignment="1">
      <alignment horizontal="right" indent="5"/>
    </xf>
    <xf numFmtId="173" fontId="7" fillId="5" borderId="46" xfId="0" applyNumberFormat="1" applyFont="1" applyFill="1" applyBorder="1" applyAlignment="1">
      <alignment horizontal="right" indent="5"/>
    </xf>
    <xf numFmtId="173" fontId="7" fillId="5" borderId="55" xfId="0" applyNumberFormat="1" applyFont="1" applyFill="1" applyBorder="1" applyAlignment="1">
      <alignment horizontal="right" indent="5"/>
    </xf>
    <xf numFmtId="173" fontId="5" fillId="5" borderId="47" xfId="0" applyNumberFormat="1" applyFont="1" applyFill="1" applyBorder="1" applyAlignment="1">
      <alignment horizontal="right" indent="5"/>
    </xf>
    <xf numFmtId="173" fontId="7" fillId="0" borderId="0" xfId="0" applyNumberFormat="1" applyFont="1" applyFill="1" applyAlignment="1">
      <alignment horizontal="right" indent="5"/>
    </xf>
    <xf numFmtId="173" fontId="5" fillId="0" borderId="0" xfId="0" applyNumberFormat="1" applyFont="1" applyFill="1" applyAlignment="1">
      <alignment horizontal="right" indent="5"/>
    </xf>
    <xf numFmtId="173" fontId="8" fillId="6" borderId="0" xfId="0" applyNumberFormat="1" applyFont="1" applyFill="1" applyBorder="1" applyAlignment="1">
      <alignment horizontal="right" indent="5"/>
    </xf>
    <xf numFmtId="173" fontId="5" fillId="6" borderId="0" xfId="0" applyNumberFormat="1" applyFont="1" applyFill="1" applyBorder="1" applyAlignment="1">
      <alignment horizontal="right" indent="5"/>
    </xf>
    <xf numFmtId="0" fontId="0" fillId="0" borderId="45" xfId="0" applyBorder="1" applyAlignment="1">
      <alignment vertical="center"/>
    </xf>
    <xf numFmtId="0" fontId="0" fillId="4" borderId="51" xfId="0" applyFill="1" applyBorder="1" applyAlignment="1">
      <alignment vertical="center"/>
    </xf>
    <xf numFmtId="0" fontId="9" fillId="4" borderId="51" xfId="0" applyFont="1" applyFill="1" applyBorder="1" applyAlignment="1">
      <alignment vertical="center"/>
    </xf>
    <xf numFmtId="0" fontId="5" fillId="8" borderId="42" xfId="0" applyFont="1" applyFill="1" applyBorder="1" applyAlignment="1">
      <alignment vertical="center"/>
    </xf>
    <xf numFmtId="0" fontId="0" fillId="8" borderId="51" xfId="0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11" fillId="8" borderId="51" xfId="0" applyFont="1" applyFill="1" applyBorder="1" applyAlignment="1">
      <alignment vertical="center"/>
    </xf>
    <xf numFmtId="0" fontId="5" fillId="5" borderId="43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5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5" fillId="8" borderId="43" xfId="0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5" fillId="8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5" fillId="5" borderId="42" xfId="0" applyFont="1" applyFill="1" applyBorder="1" applyAlignment="1">
      <alignment vertical="center"/>
    </xf>
    <xf numFmtId="0" fontId="0" fillId="5" borderId="51" xfId="0" applyFill="1" applyBorder="1" applyAlignment="1">
      <alignment vertical="center"/>
    </xf>
    <xf numFmtId="0" fontId="5" fillId="5" borderId="51" xfId="0" applyFont="1" applyFill="1" applyBorder="1" applyAlignment="1">
      <alignment vertical="center"/>
    </xf>
    <xf numFmtId="0" fontId="11" fillId="5" borderId="51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5" fillId="8" borderId="46" xfId="0" applyFont="1" applyFill="1" applyBorder="1" applyAlignment="1">
      <alignment vertical="center"/>
    </xf>
    <xf numFmtId="0" fontId="0" fillId="8" borderId="55" xfId="0" applyFill="1" applyBorder="1" applyAlignment="1">
      <alignment vertical="center"/>
    </xf>
    <xf numFmtId="0" fontId="5" fillId="8" borderId="55" xfId="0" applyFont="1" applyFill="1" applyBorder="1" applyAlignment="1">
      <alignment vertical="center"/>
    </xf>
    <xf numFmtId="0" fontId="12" fillId="8" borderId="55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8" borderId="50" xfId="0" applyFont="1" applyFill="1" applyBorder="1" applyAlignment="1">
      <alignment vertical="center"/>
    </xf>
    <xf numFmtId="0" fontId="0" fillId="8" borderId="44" xfId="0" applyFill="1" applyBorder="1" applyAlignment="1">
      <alignment vertical="center"/>
    </xf>
    <xf numFmtId="0" fontId="5" fillId="5" borderId="49" xfId="0" applyFont="1" applyFill="1" applyBorder="1" applyAlignment="1">
      <alignment vertical="center"/>
    </xf>
    <xf numFmtId="0" fontId="0" fillId="5" borderId="47" xfId="0" applyFill="1" applyBorder="1" applyAlignment="1">
      <alignment vertical="center"/>
    </xf>
    <xf numFmtId="0" fontId="0" fillId="5" borderId="55" xfId="0" applyFill="1" applyBorder="1" applyAlignment="1">
      <alignment vertical="center"/>
    </xf>
    <xf numFmtId="165" fontId="23" fillId="0" borderId="23" xfId="7" applyNumberFormat="1" applyFont="1" applyFill="1" applyBorder="1"/>
    <xf numFmtId="165" fontId="23" fillId="12" borderId="56" xfId="1" applyNumberFormat="1" applyFont="1" applyFill="1" applyBorder="1"/>
    <xf numFmtId="165" fontId="23" fillId="12" borderId="57" xfId="1" applyNumberFormat="1" applyFont="1" applyFill="1" applyBorder="1"/>
    <xf numFmtId="165" fontId="23" fillId="12" borderId="58" xfId="1" applyNumberFormat="1" applyFont="1" applyFill="1" applyBorder="1"/>
    <xf numFmtId="165" fontId="23" fillId="12" borderId="59" xfId="1" applyNumberFormat="1" applyFont="1" applyFill="1" applyBorder="1"/>
    <xf numFmtId="165" fontId="23" fillId="12" borderId="60" xfId="1" applyNumberFormat="1" applyFont="1" applyFill="1" applyBorder="1"/>
    <xf numFmtId="165" fontId="23" fillId="12" borderId="61" xfId="1" applyNumberFormat="1" applyFont="1" applyFill="1" applyBorder="1"/>
    <xf numFmtId="165" fontId="23" fillId="12" borderId="45" xfId="1" applyNumberFormat="1" applyFont="1" applyFill="1" applyBorder="1"/>
    <xf numFmtId="165" fontId="23" fillId="12" borderId="43" xfId="1" applyNumberFormat="1" applyFont="1" applyFill="1" applyBorder="1"/>
    <xf numFmtId="165" fontId="23" fillId="12" borderId="62" xfId="1" applyNumberFormat="1" applyFont="1" applyFill="1" applyBorder="1"/>
    <xf numFmtId="165" fontId="23" fillId="12" borderId="63" xfId="1" applyNumberFormat="1" applyFont="1" applyFill="1" applyBorder="1"/>
    <xf numFmtId="165" fontId="23" fillId="12" borderId="64" xfId="1" applyNumberFormat="1" applyFont="1" applyFill="1" applyBorder="1"/>
    <xf numFmtId="165" fontId="23" fillId="12" borderId="65" xfId="1" applyNumberFormat="1" applyFont="1" applyFill="1" applyBorder="1"/>
    <xf numFmtId="165" fontId="23" fillId="12" borderId="23" xfId="0" applyNumberFormat="1" applyFont="1" applyFill="1" applyBorder="1"/>
    <xf numFmtId="165" fontId="23" fillId="12" borderId="66" xfId="1" applyNumberFormat="1" applyFont="1" applyFill="1" applyBorder="1"/>
    <xf numFmtId="165" fontId="23" fillId="12" borderId="67" xfId="1" applyNumberFormat="1" applyFont="1" applyFill="1" applyBorder="1"/>
    <xf numFmtId="165" fontId="23" fillId="12" borderId="68" xfId="1" applyNumberFormat="1" applyFont="1" applyFill="1" applyBorder="1"/>
    <xf numFmtId="0" fontId="22" fillId="0" borderId="0" xfId="0" applyFont="1"/>
    <xf numFmtId="0" fontId="5" fillId="3" borderId="42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7" fillId="0" borderId="0" xfId="6"/>
    <xf numFmtId="0" fontId="30" fillId="12" borderId="0" xfId="0" applyFont="1" applyFill="1"/>
    <xf numFmtId="0" fontId="23" fillId="0" borderId="28" xfId="0" applyNumberFormat="1" applyFont="1" applyFill="1" applyBorder="1" applyAlignment="1">
      <alignment horizontal="center" vertical="top" textRotation="180"/>
    </xf>
    <xf numFmtId="0" fontId="23" fillId="0" borderId="26" xfId="0" applyNumberFormat="1" applyFont="1" applyFill="1" applyBorder="1" applyAlignment="1">
      <alignment horizontal="center" vertical="top" textRotation="180"/>
    </xf>
    <xf numFmtId="0" fontId="23" fillId="0" borderId="27" xfId="0" applyNumberFormat="1" applyFont="1" applyFill="1" applyBorder="1" applyAlignment="1">
      <alignment horizontal="center" vertical="top" textRotation="180"/>
    </xf>
    <xf numFmtId="0" fontId="23" fillId="0" borderId="21" xfId="0" applyFont="1" applyFill="1" applyBorder="1" applyAlignment="1">
      <alignment textRotation="180"/>
    </xf>
    <xf numFmtId="169" fontId="23" fillId="0" borderId="22" xfId="0" applyNumberFormat="1" applyFont="1" applyFill="1" applyBorder="1"/>
    <xf numFmtId="169" fontId="23" fillId="0" borderId="29" xfId="0" applyNumberFormat="1" applyFont="1" applyFill="1" applyBorder="1"/>
    <xf numFmtId="169" fontId="23" fillId="0" borderId="25" xfId="0" applyNumberFormat="1" applyFont="1" applyFill="1" applyBorder="1"/>
    <xf numFmtId="170" fontId="23" fillId="0" borderId="25" xfId="0" applyNumberFormat="1" applyFont="1" applyFill="1" applyBorder="1"/>
    <xf numFmtId="170" fontId="23" fillId="0" borderId="23" xfId="0" applyNumberFormat="1" applyFont="1" applyFill="1" applyBorder="1"/>
    <xf numFmtId="170" fontId="23" fillId="0" borderId="24" xfId="0" applyNumberFormat="1" applyFont="1" applyFill="1" applyBorder="1"/>
    <xf numFmtId="0" fontId="23" fillId="12" borderId="26" xfId="0" applyNumberFormat="1" applyFont="1" applyFill="1" applyBorder="1" applyAlignment="1">
      <alignment horizontal="center" vertical="top" textRotation="180"/>
    </xf>
    <xf numFmtId="170" fontId="23" fillId="12" borderId="20" xfId="0" applyNumberFormat="1" applyFont="1" applyFill="1" applyBorder="1"/>
    <xf numFmtId="170" fontId="23" fillId="12" borderId="0" xfId="0" applyNumberFormat="1" applyFont="1" applyFill="1" applyBorder="1"/>
    <xf numFmtId="170" fontId="23" fillId="12" borderId="23" xfId="0" applyNumberFormat="1" applyFont="1" applyFill="1" applyBorder="1"/>
    <xf numFmtId="170" fontId="23" fillId="12" borderId="0" xfId="0" applyNumberFormat="1" applyFont="1" applyFill="1"/>
    <xf numFmtId="0" fontId="23" fillId="18" borderId="26" xfId="0" applyNumberFormat="1" applyFont="1" applyFill="1" applyBorder="1" applyAlignment="1">
      <alignment horizontal="center" vertical="top" textRotation="180"/>
    </xf>
    <xf numFmtId="170" fontId="23" fillId="18" borderId="20" xfId="0" applyNumberFormat="1" applyFont="1" applyFill="1" applyBorder="1"/>
    <xf numFmtId="170" fontId="23" fillId="18" borderId="0" xfId="0" applyNumberFormat="1" applyFont="1" applyFill="1" applyBorder="1"/>
    <xf numFmtId="170" fontId="23" fillId="18" borderId="23" xfId="0" applyNumberFormat="1" applyFont="1" applyFill="1" applyBorder="1"/>
    <xf numFmtId="170" fontId="23" fillId="18" borderId="0" xfId="0" applyNumberFormat="1" applyFont="1" applyFill="1"/>
    <xf numFmtId="0" fontId="23" fillId="18" borderId="0" xfId="0" applyFont="1" applyFill="1"/>
    <xf numFmtId="0" fontId="23" fillId="15" borderId="21" xfId="0" applyFont="1" applyFill="1" applyBorder="1" applyAlignment="1">
      <alignment textRotation="180" wrapText="1"/>
    </xf>
    <xf numFmtId="0" fontId="23" fillId="14" borderId="26" xfId="0" applyNumberFormat="1" applyFont="1" applyFill="1" applyBorder="1" applyAlignment="1">
      <alignment horizontal="center" vertical="top" textRotation="180"/>
    </xf>
    <xf numFmtId="170" fontId="23" fillId="14" borderId="23" xfId="0" applyNumberFormat="1" applyFont="1" applyFill="1" applyBorder="1"/>
    <xf numFmtId="0" fontId="25" fillId="12" borderId="0" xfId="0" applyFont="1" applyFill="1" applyAlignment="1">
      <alignment horizontal="left"/>
    </xf>
    <xf numFmtId="0" fontId="25" fillId="12" borderId="0" xfId="0" applyFont="1" applyFill="1" applyAlignment="1">
      <alignment horizontal="center"/>
    </xf>
    <xf numFmtId="164" fontId="23" fillId="12" borderId="0" xfId="0" applyNumberFormat="1" applyFont="1" applyFill="1"/>
    <xf numFmtId="164" fontId="23" fillId="12" borderId="0" xfId="0" applyNumberFormat="1" applyFont="1" applyFill="1" applyAlignment="1">
      <alignment horizontal="center"/>
    </xf>
    <xf numFmtId="170" fontId="25" fillId="12" borderId="0" xfId="0" applyNumberFormat="1" applyFont="1" applyFill="1"/>
    <xf numFmtId="0" fontId="23" fillId="12" borderId="28" xfId="0" applyNumberFormat="1" applyFont="1" applyFill="1" applyBorder="1" applyAlignment="1">
      <alignment horizontal="left"/>
    </xf>
    <xf numFmtId="0" fontId="23" fillId="12" borderId="26" xfId="0" applyNumberFormat="1" applyFont="1" applyFill="1" applyBorder="1" applyAlignment="1">
      <alignment horizontal="center"/>
    </xf>
    <xf numFmtId="0" fontId="23" fillId="12" borderId="26" xfId="0" applyNumberFormat="1" applyFont="1" applyFill="1" applyBorder="1"/>
    <xf numFmtId="0" fontId="23" fillId="12" borderId="26" xfId="0" applyNumberFormat="1" applyFont="1" applyFill="1" applyBorder="1" applyAlignment="1">
      <alignment horizontal="center" wrapText="1"/>
    </xf>
    <xf numFmtId="0" fontId="23" fillId="12" borderId="28" xfId="0" applyNumberFormat="1" applyFont="1" applyFill="1" applyBorder="1" applyAlignment="1">
      <alignment horizontal="center" vertical="center" textRotation="180"/>
    </xf>
    <xf numFmtId="0" fontId="23" fillId="12" borderId="26" xfId="0" applyNumberFormat="1" applyFont="1" applyFill="1" applyBorder="1" applyAlignment="1">
      <alignment horizontal="center" vertical="center" textRotation="180"/>
    </xf>
    <xf numFmtId="0" fontId="23" fillId="12" borderId="27" xfId="0" applyNumberFormat="1" applyFont="1" applyFill="1" applyBorder="1" applyAlignment="1">
      <alignment horizontal="center" vertical="center" textRotation="180"/>
    </xf>
    <xf numFmtId="168" fontId="23" fillId="12" borderId="30" xfId="0" quotePrefix="1" applyNumberFormat="1" applyFont="1" applyFill="1" applyBorder="1" applyAlignment="1">
      <alignment horizontal="center" vertical="center" wrapText="1"/>
    </xf>
    <xf numFmtId="0" fontId="23" fillId="12" borderId="0" xfId="0" applyNumberFormat="1" applyFont="1" applyFill="1"/>
    <xf numFmtId="166" fontId="23" fillId="12" borderId="29" xfId="0" applyNumberFormat="1" applyFont="1" applyFill="1" applyBorder="1"/>
    <xf numFmtId="166" fontId="23" fillId="12" borderId="0" xfId="0" applyNumberFormat="1" applyFont="1" applyFill="1" applyBorder="1"/>
    <xf numFmtId="164" fontId="23" fillId="12" borderId="0" xfId="0" applyNumberFormat="1" applyFont="1" applyFill="1" applyBorder="1"/>
    <xf numFmtId="167" fontId="23" fillId="12" borderId="0" xfId="0" applyNumberFormat="1" applyFont="1" applyFill="1" applyBorder="1" applyAlignment="1">
      <alignment horizontal="center"/>
    </xf>
    <xf numFmtId="170" fontId="23" fillId="12" borderId="22" xfId="0" applyNumberFormat="1" applyFont="1" applyFill="1" applyBorder="1"/>
    <xf numFmtId="170" fontId="23" fillId="12" borderId="21" xfId="0" applyNumberFormat="1" applyFont="1" applyFill="1" applyBorder="1"/>
    <xf numFmtId="170" fontId="23" fillId="12" borderId="33" xfId="0" applyNumberFormat="1" applyFont="1" applyFill="1" applyBorder="1"/>
    <xf numFmtId="170" fontId="23" fillId="12" borderId="29" xfId="0" applyNumberFormat="1" applyFont="1" applyFill="1" applyBorder="1"/>
    <xf numFmtId="170" fontId="23" fillId="12" borderId="32" xfId="0" applyNumberFormat="1" applyFont="1" applyFill="1" applyBorder="1"/>
    <xf numFmtId="170" fontId="23" fillId="12" borderId="34" xfId="0" applyNumberFormat="1" applyFont="1" applyFill="1" applyBorder="1"/>
    <xf numFmtId="0" fontId="23" fillId="12" borderId="0" xfId="0" applyFont="1" applyFill="1" applyAlignment="1">
      <alignment horizontal="left"/>
    </xf>
    <xf numFmtId="0" fontId="23" fillId="12" borderId="30" xfId="0" applyNumberFormat="1" applyFont="1" applyFill="1" applyBorder="1" applyAlignment="1">
      <alignment horizontal="center"/>
    </xf>
    <xf numFmtId="165" fontId="23" fillId="12" borderId="34" xfId="7" applyNumberFormat="1" applyFont="1" applyFill="1" applyBorder="1"/>
    <xf numFmtId="165" fontId="23" fillId="12" borderId="29" xfId="7" applyNumberFormat="1" applyFont="1" applyFill="1" applyBorder="1"/>
    <xf numFmtId="165" fontId="23" fillId="12" borderId="0" xfId="7" applyNumberFormat="1" applyFont="1" applyFill="1" applyBorder="1"/>
    <xf numFmtId="165" fontId="23" fillId="12" borderId="32" xfId="7" applyNumberFormat="1" applyFont="1" applyFill="1" applyBorder="1"/>
    <xf numFmtId="0" fontId="0" fillId="12" borderId="0" xfId="0" applyFill="1"/>
    <xf numFmtId="171" fontId="23" fillId="12" borderId="29" xfId="7" applyNumberFormat="1" applyFont="1" applyFill="1" applyBorder="1"/>
    <xf numFmtId="171" fontId="23" fillId="12" borderId="0" xfId="7" applyNumberFormat="1" applyFont="1" applyFill="1" applyBorder="1"/>
    <xf numFmtId="171" fontId="23" fillId="12" borderId="32" xfId="7" applyNumberFormat="1" applyFont="1" applyFill="1" applyBorder="1"/>
    <xf numFmtId="166" fontId="23" fillId="12" borderId="0" xfId="0" applyNumberFormat="1" applyFont="1" applyFill="1" applyBorder="1" applyAlignment="1">
      <alignment horizontal="center"/>
    </xf>
    <xf numFmtId="166" fontId="25" fillId="12" borderId="0" xfId="0" applyNumberFormat="1" applyFont="1" applyFill="1" applyAlignment="1">
      <alignment horizontal="center"/>
    </xf>
    <xf numFmtId="166" fontId="23" fillId="12" borderId="0" xfId="0" applyNumberFormat="1" applyFont="1" applyFill="1" applyAlignment="1">
      <alignment horizontal="center"/>
    </xf>
    <xf numFmtId="166" fontId="23" fillId="12" borderId="26" xfId="0" applyNumberFormat="1" applyFont="1" applyFill="1" applyBorder="1" applyAlignment="1">
      <alignment horizontal="center"/>
    </xf>
    <xf numFmtId="0" fontId="25" fillId="19" borderId="0" xfId="0" applyFont="1" applyFill="1"/>
    <xf numFmtId="170" fontId="23" fillId="19" borderId="0" xfId="0" applyNumberFormat="1" applyFont="1" applyFill="1"/>
    <xf numFmtId="0" fontId="23" fillId="19" borderId="26" xfId="0" applyNumberFormat="1" applyFont="1" applyFill="1" applyBorder="1" applyAlignment="1">
      <alignment horizontal="center" vertical="center" textRotation="180"/>
    </xf>
    <xf numFmtId="170" fontId="23" fillId="19" borderId="20" xfId="0" applyNumberFormat="1" applyFont="1" applyFill="1" applyBorder="1"/>
    <xf numFmtId="170" fontId="23" fillId="19" borderId="0" xfId="0" applyNumberFormat="1" applyFont="1" applyFill="1" applyBorder="1"/>
    <xf numFmtId="0" fontId="23" fillId="19" borderId="0" xfId="0" applyFont="1" applyFill="1"/>
    <xf numFmtId="0" fontId="21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7" fillId="8" borderId="42" xfId="0" applyFont="1" applyFill="1" applyBorder="1" applyAlignment="1">
      <alignment horizontal="left"/>
    </xf>
    <xf numFmtId="0" fontId="7" fillId="8" borderId="43" xfId="0" applyFont="1" applyFill="1" applyBorder="1" applyAlignment="1">
      <alignment horizontal="left"/>
    </xf>
    <xf numFmtId="0" fontId="7" fillId="8" borderId="46" xfId="0" applyFont="1" applyFill="1" applyBorder="1" applyAlignment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NumberFormat="1" applyFont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17" fontId="23" fillId="0" borderId="0" xfId="0" applyNumberFormat="1" applyFont="1"/>
    <xf numFmtId="10" fontId="23" fillId="0" borderId="0" xfId="7" applyNumberFormat="1" applyFont="1"/>
    <xf numFmtId="176" fontId="23" fillId="12" borderId="0" xfId="0" applyNumberFormat="1" applyFont="1" applyFill="1"/>
    <xf numFmtId="176" fontId="23" fillId="15" borderId="0" xfId="0" applyNumberFormat="1" applyFont="1" applyFill="1"/>
    <xf numFmtId="10" fontId="26" fillId="0" borderId="29" xfId="7" applyNumberFormat="1" applyFont="1" applyFill="1" applyBorder="1"/>
    <xf numFmtId="10" fontId="26" fillId="16" borderId="25" xfId="7" applyNumberFormat="1" applyFont="1" applyFill="1" applyBorder="1"/>
    <xf numFmtId="0" fontId="25" fillId="0" borderId="0" xfId="0" applyFont="1" applyAlignment="1">
      <alignment horizontal="right"/>
    </xf>
    <xf numFmtId="10" fontId="23" fillId="17" borderId="0" xfId="7" applyNumberFormat="1" applyFont="1" applyFill="1"/>
    <xf numFmtId="177" fontId="23" fillId="0" borderId="0" xfId="0" applyNumberFormat="1" applyFont="1"/>
    <xf numFmtId="0" fontId="5" fillId="20" borderId="26" xfId="6" applyFont="1" applyFill="1" applyBorder="1" applyAlignment="1">
      <alignment horizontal="left" vertical="center"/>
    </xf>
    <xf numFmtId="0" fontId="5" fillId="20" borderId="26" xfId="6" applyFont="1" applyFill="1" applyBorder="1" applyAlignment="1">
      <alignment horizontal="center" vertical="center"/>
    </xf>
    <xf numFmtId="0" fontId="5" fillId="20" borderId="55" xfId="6" applyFont="1" applyFill="1" applyBorder="1" applyAlignment="1">
      <alignment horizontal="left" indent="5"/>
    </xf>
    <xf numFmtId="0" fontId="31" fillId="20" borderId="55" xfId="0" applyFont="1" applyFill="1" applyBorder="1"/>
    <xf numFmtId="0" fontId="5" fillId="20" borderId="0" xfId="6" applyFont="1" applyFill="1" applyBorder="1" applyAlignment="1">
      <alignment horizontal="left" indent="5"/>
    </xf>
    <xf numFmtId="0" fontId="5" fillId="20" borderId="0" xfId="6" applyFont="1" applyFill="1" applyBorder="1" applyAlignment="1">
      <alignment horizontal="left" indent="3"/>
    </xf>
    <xf numFmtId="0" fontId="5" fillId="20" borderId="20" xfId="6" applyFont="1" applyFill="1" applyBorder="1"/>
    <xf numFmtId="0" fontId="31" fillId="20" borderId="23" xfId="0" applyFont="1" applyFill="1" applyBorder="1"/>
    <xf numFmtId="0" fontId="5" fillId="20" borderId="0" xfId="6" applyFont="1" applyFill="1" applyBorder="1"/>
    <xf numFmtId="0" fontId="5" fillId="20" borderId="23" xfId="6" applyFont="1" applyFill="1" applyBorder="1" applyAlignment="1">
      <alignment horizontal="left" vertical="center"/>
    </xf>
    <xf numFmtId="0" fontId="5" fillId="20" borderId="23" xfId="6" applyFont="1" applyFill="1" applyBorder="1" applyAlignment="1">
      <alignment horizontal="center" vertical="center"/>
    </xf>
    <xf numFmtId="0" fontId="24" fillId="0" borderId="0" xfId="0" applyFont="1"/>
    <xf numFmtId="177" fontId="24" fillId="0" borderId="0" xfId="0" applyNumberFormat="1" applyFont="1"/>
    <xf numFmtId="177" fontId="24" fillId="0" borderId="0" xfId="0" applyNumberFormat="1" applyFont="1" applyAlignment="1">
      <alignment horizontal="right"/>
    </xf>
    <xf numFmtId="177" fontId="23" fillId="0" borderId="52" xfId="0" applyNumberFormat="1" applyFont="1" applyBorder="1"/>
    <xf numFmtId="177" fontId="5" fillId="20" borderId="36" xfId="6" applyNumberFormat="1" applyFont="1" applyFill="1" applyBorder="1"/>
    <xf numFmtId="177" fontId="5" fillId="20" borderId="26" xfId="6" applyNumberFormat="1" applyFont="1" applyFill="1" applyBorder="1"/>
    <xf numFmtId="0" fontId="23" fillId="12" borderId="29" xfId="0" applyFont="1" applyFill="1" applyBorder="1"/>
    <xf numFmtId="0" fontId="23" fillId="0" borderId="22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8" fillId="12" borderId="70" xfId="0" applyFont="1" applyFill="1" applyBorder="1"/>
    <xf numFmtId="0" fontId="23" fillId="12" borderId="71" xfId="0" applyFont="1" applyFill="1" applyBorder="1"/>
    <xf numFmtId="0" fontId="26" fillId="12" borderId="72" xfId="0" applyFont="1" applyFill="1" applyBorder="1"/>
    <xf numFmtId="0" fontId="23" fillId="12" borderId="73" xfId="0" applyFont="1" applyFill="1" applyBorder="1"/>
    <xf numFmtId="0" fontId="23" fillId="12" borderId="75" xfId="0" applyFont="1" applyFill="1" applyBorder="1"/>
    <xf numFmtId="0" fontId="26" fillId="12" borderId="76" xfId="0" applyFont="1" applyFill="1" applyBorder="1"/>
    <xf numFmtId="0" fontId="23" fillId="12" borderId="72" xfId="0" applyFont="1" applyFill="1" applyBorder="1"/>
    <xf numFmtId="0" fontId="23" fillId="12" borderId="76" xfId="0" applyFont="1" applyFill="1" applyBorder="1"/>
    <xf numFmtId="178" fontId="28" fillId="12" borderId="70" xfId="0" applyNumberFormat="1" applyFont="1" applyFill="1" applyBorder="1" applyAlignment="1">
      <alignment horizontal="center"/>
    </xf>
    <xf numFmtId="178" fontId="28" fillId="12" borderId="69" xfId="0" applyNumberFormat="1" applyFont="1" applyFill="1" applyBorder="1" applyAlignment="1">
      <alignment horizontal="center"/>
    </xf>
    <xf numFmtId="178" fontId="28" fillId="12" borderId="74" xfId="0" applyNumberFormat="1" applyFont="1" applyFill="1" applyBorder="1" applyAlignment="1">
      <alignment horizontal="center"/>
    </xf>
    <xf numFmtId="178" fontId="28" fillId="12" borderId="70" xfId="0" applyNumberFormat="1" applyFont="1" applyFill="1" applyBorder="1" applyAlignment="1">
      <alignment horizontal="left"/>
    </xf>
    <xf numFmtId="178" fontId="28" fillId="12" borderId="69" xfId="0" applyNumberFormat="1" applyFont="1" applyFill="1" applyBorder="1" applyAlignment="1">
      <alignment horizontal="left"/>
    </xf>
    <xf numFmtId="178" fontId="28" fillId="12" borderId="74" xfId="0" applyNumberFormat="1" applyFont="1" applyFill="1" applyBorder="1" applyAlignment="1">
      <alignment horizontal="left"/>
    </xf>
    <xf numFmtId="0" fontId="28" fillId="12" borderId="77" xfId="0" applyFont="1" applyFill="1" applyBorder="1"/>
    <xf numFmtId="0" fontId="23" fillId="0" borderId="21" xfId="0" applyFont="1" applyFill="1" applyBorder="1" applyAlignment="1">
      <alignment horizontal="left"/>
    </xf>
    <xf numFmtId="0" fontId="23" fillId="0" borderId="32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178" fontId="28" fillId="12" borderId="0" xfId="0" applyNumberFormat="1" applyFont="1" applyFill="1" applyBorder="1" applyAlignment="1">
      <alignment horizontal="left"/>
    </xf>
    <xf numFmtId="178" fontId="28" fillId="12" borderId="71" xfId="0" applyNumberFormat="1" applyFont="1" applyFill="1" applyBorder="1" applyAlignment="1">
      <alignment horizontal="left"/>
    </xf>
    <xf numFmtId="178" fontId="28" fillId="12" borderId="75" xfId="0" applyNumberFormat="1" applyFont="1" applyFill="1" applyBorder="1" applyAlignment="1">
      <alignment horizontal="left"/>
    </xf>
    <xf numFmtId="0" fontId="23" fillId="12" borderId="30" xfId="0" applyFont="1" applyFill="1" applyBorder="1"/>
    <xf numFmtId="0" fontId="23" fillId="0" borderId="29" xfId="0" applyFont="1" applyFill="1" applyBorder="1" applyAlignment="1" applyProtection="1">
      <alignment horizontal="left"/>
    </xf>
    <xf numFmtId="43" fontId="23" fillId="12" borderId="26" xfId="1" applyFont="1" applyFill="1" applyBorder="1" applyAlignment="1">
      <alignment horizontal="center"/>
    </xf>
    <xf numFmtId="43" fontId="23" fillId="0" borderId="0" xfId="1" applyFont="1" applyBorder="1" applyProtection="1"/>
    <xf numFmtId="166" fontId="23" fillId="12" borderId="29" xfId="0" applyNumberFormat="1" applyFont="1" applyFill="1" applyBorder="1" applyAlignment="1">
      <alignment horizontal="left"/>
    </xf>
    <xf numFmtId="0" fontId="23" fillId="16" borderId="21" xfId="0" applyFont="1" applyFill="1" applyBorder="1" applyAlignment="1">
      <alignment horizontal="center" textRotation="180" wrapText="1"/>
    </xf>
    <xf numFmtId="0" fontId="23" fillId="16" borderId="21" xfId="0" applyFont="1" applyFill="1" applyBorder="1" applyAlignment="1">
      <alignment horizontal="center" textRotation="180"/>
    </xf>
    <xf numFmtId="0" fontId="10" fillId="9" borderId="54" xfId="0" applyFont="1" applyFill="1" applyBorder="1" applyAlignment="1">
      <alignment vertical="center"/>
    </xf>
    <xf numFmtId="0" fontId="10" fillId="3" borderId="54" xfId="0" applyFont="1" applyFill="1" applyBorder="1" applyAlignment="1">
      <alignment vertical="center"/>
    </xf>
    <xf numFmtId="0" fontId="10" fillId="8" borderId="54" xfId="0" applyFont="1" applyFill="1" applyBorder="1" applyAlignment="1">
      <alignment vertical="center"/>
    </xf>
    <xf numFmtId="0" fontId="10" fillId="10" borderId="54" xfId="0" applyFont="1" applyFill="1" applyBorder="1" applyAlignment="1">
      <alignment vertical="center"/>
    </xf>
    <xf numFmtId="0" fontId="10" fillId="7" borderId="54" xfId="0" applyFont="1" applyFill="1" applyBorder="1" applyAlignment="1">
      <alignment vertical="center"/>
    </xf>
    <xf numFmtId="0" fontId="0" fillId="0" borderId="54" xfId="0" applyBorder="1"/>
    <xf numFmtId="0" fontId="0" fillId="0" borderId="52" xfId="0" applyBorder="1"/>
    <xf numFmtId="0" fontId="0" fillId="0" borderId="53" xfId="0" applyBorder="1"/>
    <xf numFmtId="0" fontId="10" fillId="11" borderId="54" xfId="0" applyFont="1" applyFill="1" applyBorder="1" applyAlignment="1">
      <alignment vertical="center"/>
    </xf>
    <xf numFmtId="0" fontId="0" fillId="15" borderId="52" xfId="0" applyFill="1" applyBorder="1"/>
    <xf numFmtId="0" fontId="0" fillId="15" borderId="53" xfId="0" applyFill="1" applyBorder="1"/>
    <xf numFmtId="0" fontId="9" fillId="3" borderId="48" xfId="0" applyFont="1" applyFill="1" applyBorder="1" applyAlignment="1">
      <alignment horizontal="center" vertical="center"/>
    </xf>
    <xf numFmtId="0" fontId="9" fillId="0" borderId="52" xfId="0" applyFont="1" applyFill="1" applyBorder="1"/>
    <xf numFmtId="0" fontId="33" fillId="15" borderId="54" xfId="0" applyFont="1" applyFill="1" applyBorder="1"/>
    <xf numFmtId="171" fontId="24" fillId="0" borderId="29" xfId="1" applyNumberFormat="1" applyFont="1" applyFill="1" applyBorder="1"/>
    <xf numFmtId="171" fontId="24" fillId="0" borderId="0" xfId="1" applyNumberFormat="1" applyFont="1" applyFill="1" applyBorder="1"/>
    <xf numFmtId="171" fontId="24" fillId="0" borderId="22" xfId="1" applyNumberFormat="1" applyFont="1" applyFill="1" applyBorder="1"/>
    <xf numFmtId="171" fontId="24" fillId="0" borderId="20" xfId="1" applyNumberFormat="1" applyFont="1" applyFill="1" applyBorder="1"/>
    <xf numFmtId="171" fontId="24" fillId="0" borderId="21" xfId="1" applyNumberFormat="1" applyFont="1" applyFill="1" applyBorder="1"/>
    <xf numFmtId="171" fontId="24" fillId="0" borderId="32" xfId="1" applyNumberFormat="1" applyFont="1" applyFill="1" applyBorder="1"/>
    <xf numFmtId="171" fontId="28" fillId="0" borderId="0" xfId="7" applyNumberFormat="1" applyFont="1" applyFill="1" applyBorder="1"/>
    <xf numFmtId="171" fontId="26" fillId="17" borderId="0" xfId="7" applyNumberFormat="1" applyFont="1" applyFill="1" applyBorder="1"/>
    <xf numFmtId="171" fontId="26" fillId="17" borderId="32" xfId="7" applyNumberFormat="1" applyFont="1" applyFill="1" applyBorder="1"/>
    <xf numFmtId="0" fontId="26" fillId="13" borderId="22" xfId="0" applyFont="1" applyFill="1" applyBorder="1" applyAlignment="1">
      <alignment horizontal="center" wrapText="1" readingOrder="1"/>
    </xf>
    <xf numFmtId="0" fontId="26" fillId="13" borderId="57" xfId="0" applyFont="1" applyFill="1" applyBorder="1" applyAlignment="1">
      <alignment horizontal="center" wrapText="1" readingOrder="1"/>
    </xf>
    <xf numFmtId="0" fontId="26" fillId="13" borderId="58" xfId="0" applyFont="1" applyFill="1" applyBorder="1" applyAlignment="1">
      <alignment horizontal="center" wrapText="1" readingOrder="1"/>
    </xf>
    <xf numFmtId="43" fontId="26" fillId="13" borderId="64" xfId="1" applyNumberFormat="1" applyFont="1" applyFill="1" applyBorder="1"/>
    <xf numFmtId="43" fontId="26" fillId="13" borderId="65" xfId="1" applyNumberFormat="1" applyFont="1" applyFill="1" applyBorder="1"/>
    <xf numFmtId="10" fontId="26" fillId="0" borderId="60" xfId="7" applyNumberFormat="1" applyFont="1" applyFill="1" applyBorder="1"/>
    <xf numFmtId="10" fontId="26" fillId="0" borderId="61" xfId="7" applyNumberFormat="1" applyFont="1" applyFill="1" applyBorder="1"/>
    <xf numFmtId="10" fontId="26" fillId="0" borderId="43" xfId="7" applyNumberFormat="1" applyFont="1" applyFill="1" applyBorder="1"/>
    <xf numFmtId="10" fontId="26" fillId="0" borderId="62" xfId="7" applyNumberFormat="1" applyFont="1" applyFill="1" applyBorder="1"/>
    <xf numFmtId="10" fontId="26" fillId="0" borderId="43" xfId="7" applyNumberFormat="1" applyFont="1" applyFill="1" applyBorder="1" applyProtection="1"/>
    <xf numFmtId="10" fontId="26" fillId="16" borderId="64" xfId="7" applyNumberFormat="1" applyFont="1" applyFill="1" applyBorder="1"/>
    <xf numFmtId="10" fontId="26" fillId="16" borderId="65" xfId="7" applyNumberFormat="1" applyFont="1" applyFill="1" applyBorder="1"/>
    <xf numFmtId="10" fontId="26" fillId="13" borderId="22" xfId="1" applyNumberFormat="1" applyFont="1" applyFill="1" applyBorder="1"/>
    <xf numFmtId="10" fontId="26" fillId="13" borderId="60" xfId="1" applyNumberFormat="1" applyFont="1" applyFill="1" applyBorder="1"/>
    <xf numFmtId="10" fontId="26" fillId="13" borderId="61" xfId="1" applyNumberFormat="1" applyFont="1" applyFill="1" applyBorder="1"/>
    <xf numFmtId="10" fontId="26" fillId="13" borderId="29" xfId="1" applyNumberFormat="1" applyFont="1" applyFill="1" applyBorder="1"/>
    <xf numFmtId="10" fontId="26" fillId="13" borderId="43" xfId="1" applyNumberFormat="1" applyFont="1" applyFill="1" applyBorder="1"/>
    <xf numFmtId="10" fontId="26" fillId="13" borderId="62" xfId="1" applyNumberFormat="1" applyFont="1" applyFill="1" applyBorder="1"/>
    <xf numFmtId="0" fontId="7" fillId="20" borderId="49" xfId="6" applyFont="1" applyFill="1" applyBorder="1" applyAlignment="1">
      <alignment horizontal="right"/>
    </xf>
    <xf numFmtId="0" fontId="7" fillId="20" borderId="54" xfId="6" applyFont="1" applyFill="1" applyBorder="1" applyAlignment="1">
      <alignment horizontal="right"/>
    </xf>
    <xf numFmtId="0" fontId="7" fillId="20" borderId="50" xfId="6" applyFont="1" applyFill="1" applyBorder="1" applyAlignment="1">
      <alignment horizontal="right"/>
    </xf>
    <xf numFmtId="0" fontId="5" fillId="20" borderId="36" xfId="6" applyFont="1" applyFill="1" applyBorder="1" applyAlignment="1">
      <alignment horizontal="right"/>
    </xf>
    <xf numFmtId="0" fontId="31" fillId="20" borderId="55" xfId="0" applyFont="1" applyFill="1" applyBorder="1" applyAlignment="1">
      <alignment horizontal="right"/>
    </xf>
    <xf numFmtId="0" fontId="31" fillId="20" borderId="23" xfId="0" applyFont="1" applyFill="1" applyBorder="1" applyAlignment="1">
      <alignment horizontal="right"/>
    </xf>
    <xf numFmtId="0" fontId="5" fillId="20" borderId="23" xfId="6" applyFont="1" applyFill="1" applyBorder="1" applyAlignment="1"/>
    <xf numFmtId="0" fontId="5" fillId="20" borderId="55" xfId="6" applyFont="1" applyFill="1" applyBorder="1" applyAlignment="1"/>
    <xf numFmtId="0" fontId="5" fillId="20" borderId="36" xfId="6" applyFont="1" applyFill="1" applyBorder="1" applyAlignment="1"/>
    <xf numFmtId="0" fontId="5" fillId="20" borderId="26" xfId="6" applyFont="1" applyFill="1" applyBorder="1" applyAlignment="1">
      <alignment vertical="center"/>
    </xf>
    <xf numFmtId="179" fontId="23" fillId="0" borderId="0" xfId="0" applyNumberFormat="1" applyFont="1"/>
    <xf numFmtId="0" fontId="10" fillId="11" borderId="52" xfId="0" applyFont="1" applyFill="1" applyBorder="1" applyAlignment="1">
      <alignment vertical="center"/>
    </xf>
    <xf numFmtId="0" fontId="10" fillId="11" borderId="53" xfId="0" applyFont="1" applyFill="1" applyBorder="1" applyAlignment="1">
      <alignment vertical="center"/>
    </xf>
    <xf numFmtId="10" fontId="28" fillId="0" borderId="29" xfId="7" applyNumberFormat="1" applyFont="1" applyFill="1" applyBorder="1"/>
    <xf numFmtId="10" fontId="28" fillId="0" borderId="43" xfId="7" applyNumberFormat="1" applyFont="1" applyFill="1" applyBorder="1"/>
    <xf numFmtId="10" fontId="28" fillId="0" borderId="43" xfId="7" applyNumberFormat="1" applyFont="1" applyFill="1" applyBorder="1" applyProtection="1"/>
    <xf numFmtId="10" fontId="28" fillId="0" borderId="22" xfId="7" applyNumberFormat="1" applyFont="1" applyFill="1" applyBorder="1"/>
    <xf numFmtId="10" fontId="28" fillId="0" borderId="60" xfId="7" applyNumberFormat="1" applyFont="1" applyFill="1" applyBorder="1"/>
    <xf numFmtId="10" fontId="28" fillId="0" borderId="60" xfId="7" applyNumberFormat="1" applyFont="1" applyFill="1" applyBorder="1" applyProtection="1"/>
    <xf numFmtId="170" fontId="23" fillId="0" borderId="0" xfId="0" applyNumberFormat="1" applyFont="1" applyFill="1" applyBorder="1" applyProtection="1"/>
    <xf numFmtId="0" fontId="23" fillId="0" borderId="32" xfId="0" applyFont="1" applyFill="1" applyBorder="1" applyAlignment="1">
      <alignment horizontal="left"/>
    </xf>
    <xf numFmtId="2" fontId="7" fillId="0" borderId="0" xfId="6" applyNumberFormat="1"/>
    <xf numFmtId="0" fontId="34" fillId="0" borderId="0" xfId="6" applyFont="1"/>
    <xf numFmtId="0" fontId="7" fillId="0" borderId="52" xfId="6" applyBorder="1"/>
    <xf numFmtId="2" fontId="7" fillId="0" borderId="52" xfId="6" applyNumberFormat="1" applyBorder="1"/>
    <xf numFmtId="0" fontId="6" fillId="0" borderId="52" xfId="6" applyFont="1" applyBorder="1"/>
    <xf numFmtId="0" fontId="5" fillId="0" borderId="52" xfId="6" applyFont="1" applyBorder="1" applyAlignment="1">
      <alignment horizontal="right"/>
    </xf>
    <xf numFmtId="0" fontId="35" fillId="0" borderId="0" xfId="6" applyFont="1" applyAlignment="1">
      <alignment horizontal="right"/>
    </xf>
    <xf numFmtId="2" fontId="35" fillId="0" borderId="0" xfId="6" applyNumberFormat="1" applyFont="1"/>
    <xf numFmtId="170" fontId="23" fillId="0" borderId="0" xfId="7" applyNumberFormat="1" applyFont="1" applyFill="1" applyBorder="1"/>
    <xf numFmtId="170" fontId="23" fillId="0" borderId="29" xfId="7" applyNumberFormat="1" applyFont="1" applyFill="1" applyBorder="1"/>
    <xf numFmtId="170" fontId="23" fillId="0" borderId="32" xfId="7" applyNumberFormat="1" applyFont="1" applyFill="1" applyBorder="1"/>
    <xf numFmtId="170" fontId="23" fillId="12" borderId="34" xfId="7" applyNumberFormat="1" applyFont="1" applyFill="1" applyBorder="1"/>
    <xf numFmtId="170" fontId="23" fillId="0" borderId="0" xfId="7" applyNumberFormat="1" applyFont="1" applyFill="1" applyBorder="1" applyProtection="1"/>
    <xf numFmtId="0" fontId="23" fillId="0" borderId="32" xfId="0" applyFont="1" applyFill="1" applyBorder="1" applyAlignment="1">
      <alignment horizontal="left"/>
    </xf>
    <xf numFmtId="171" fontId="24" fillId="0" borderId="25" xfId="1" applyNumberFormat="1" applyFont="1" applyFill="1" applyBorder="1"/>
    <xf numFmtId="171" fontId="24" fillId="0" borderId="23" xfId="1" applyNumberFormat="1" applyFont="1" applyFill="1" applyBorder="1"/>
    <xf numFmtId="171" fontId="24" fillId="0" borderId="24" xfId="1" applyNumberFormat="1" applyFont="1" applyFill="1" applyBorder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76" fontId="23" fillId="0" borderId="0" xfId="0" applyNumberFormat="1" applyFont="1"/>
    <xf numFmtId="170" fontId="23" fillId="0" borderId="29" xfId="0" applyNumberFormat="1" applyFont="1" applyFill="1" applyBorder="1" applyProtection="1"/>
    <xf numFmtId="170" fontId="23" fillId="0" borderId="32" xfId="0" applyNumberFormat="1" applyFont="1" applyFill="1" applyBorder="1" applyProtection="1"/>
    <xf numFmtId="180" fontId="24" fillId="12" borderId="0" xfId="7" applyNumberFormat="1" applyFont="1" applyFill="1" applyBorder="1" applyAlignment="1">
      <alignment horizontal="center"/>
    </xf>
    <xf numFmtId="0" fontId="24" fillId="12" borderId="26" xfId="0" applyNumberFormat="1" applyFont="1" applyFill="1" applyBorder="1" applyAlignment="1">
      <alignment horizontal="center" wrapText="1"/>
    </xf>
    <xf numFmtId="9" fontId="23" fillId="0" borderId="0" xfId="7" applyFont="1" applyFill="1" applyBorder="1" applyAlignment="1" applyProtection="1">
      <alignment horizontal="left"/>
    </xf>
    <xf numFmtId="9" fontId="23" fillId="0" borderId="0" xfId="7" applyNumberFormat="1" applyFont="1" applyFill="1" applyBorder="1" applyAlignment="1" applyProtection="1">
      <alignment horizontal="left"/>
    </xf>
    <xf numFmtId="170" fontId="23" fillId="0" borderId="0" xfId="1" applyNumberFormat="1" applyFont="1" applyFill="1" applyBorder="1" applyProtection="1"/>
    <xf numFmtId="0" fontId="23" fillId="0" borderId="29" xfId="0" quotePrefix="1" applyFont="1" applyFill="1" applyBorder="1" applyAlignment="1" applyProtection="1">
      <alignment horizontal="left"/>
    </xf>
    <xf numFmtId="0" fontId="28" fillId="20" borderId="22" xfId="0" applyFont="1" applyFill="1" applyBorder="1"/>
    <xf numFmtId="10" fontId="36" fillId="0" borderId="29" xfId="7" applyNumberFormat="1" applyFont="1" applyFill="1" applyBorder="1"/>
    <xf numFmtId="10" fontId="36" fillId="0" borderId="43" xfId="7" applyNumberFormat="1" applyFont="1" applyFill="1" applyBorder="1"/>
    <xf numFmtId="169" fontId="23" fillId="12" borderId="28" xfId="0" applyNumberFormat="1" applyFont="1" applyFill="1" applyBorder="1" applyAlignment="1">
      <alignment horizontal="center" textRotation="180"/>
    </xf>
    <xf numFmtId="169" fontId="23" fillId="12" borderId="26" xfId="0" applyNumberFormat="1" applyFont="1" applyFill="1" applyBorder="1" applyAlignment="1">
      <alignment horizontal="center" textRotation="180"/>
    </xf>
    <xf numFmtId="169" fontId="23" fillId="12" borderId="27" xfId="0" applyNumberFormat="1" applyFont="1" applyFill="1" applyBorder="1" applyAlignment="1">
      <alignment horizontal="center" textRotation="180"/>
    </xf>
    <xf numFmtId="169" fontId="23" fillId="12" borderId="27" xfId="0" applyNumberFormat="1" applyFont="1" applyFill="1" applyBorder="1" applyAlignment="1">
      <alignment horizontal="center" vertical="center" textRotation="180" wrapText="1"/>
    </xf>
    <xf numFmtId="169" fontId="37" fillId="12" borderId="27" xfId="0" applyNumberFormat="1" applyFont="1" applyFill="1" applyBorder="1" applyAlignment="1">
      <alignment horizontal="center" vertical="center" textRotation="180"/>
    </xf>
    <xf numFmtId="0" fontId="23" fillId="17" borderId="29" xfId="0" applyFont="1" applyFill="1" applyBorder="1" applyAlignment="1" applyProtection="1">
      <alignment horizontal="left"/>
    </xf>
    <xf numFmtId="0" fontId="23" fillId="17" borderId="0" xfId="0" applyFont="1" applyFill="1" applyBorder="1" applyAlignment="1" applyProtection="1">
      <alignment horizontal="left"/>
    </xf>
    <xf numFmtId="0" fontId="23" fillId="17" borderId="0" xfId="0" applyFont="1" applyFill="1" applyBorder="1" applyAlignment="1" applyProtection="1">
      <alignment horizontal="center"/>
    </xf>
    <xf numFmtId="0" fontId="23" fillId="17" borderId="0" xfId="0" applyNumberFormat="1" applyFont="1" applyFill="1" applyBorder="1" applyAlignment="1" applyProtection="1">
      <alignment horizontal="center"/>
    </xf>
    <xf numFmtId="43" fontId="23" fillId="17" borderId="0" xfId="1" applyFont="1" applyFill="1" applyBorder="1" applyProtection="1"/>
    <xf numFmtId="170" fontId="23" fillId="17" borderId="22" xfId="0" applyNumberFormat="1" applyFont="1" applyFill="1" applyBorder="1"/>
    <xf numFmtId="170" fontId="23" fillId="17" borderId="20" xfId="0" applyNumberFormat="1" applyFont="1" applyFill="1" applyBorder="1"/>
    <xf numFmtId="170" fontId="23" fillId="17" borderId="21" xfId="0" applyNumberFormat="1" applyFont="1" applyFill="1" applyBorder="1"/>
    <xf numFmtId="170" fontId="23" fillId="17" borderId="22" xfId="7" applyNumberFormat="1" applyFont="1" applyFill="1" applyBorder="1"/>
    <xf numFmtId="170" fontId="23" fillId="17" borderId="20" xfId="7" applyNumberFormat="1" applyFont="1" applyFill="1" applyBorder="1"/>
    <xf numFmtId="170" fontId="23" fillId="17" borderId="0" xfId="7" applyNumberFormat="1" applyFont="1" applyFill="1" applyBorder="1"/>
    <xf numFmtId="170" fontId="23" fillId="17" borderId="21" xfId="7" applyNumberFormat="1" applyFont="1" applyFill="1" applyBorder="1"/>
    <xf numFmtId="170" fontId="23" fillId="17" borderId="34" xfId="7" applyNumberFormat="1" applyFont="1" applyFill="1" applyBorder="1"/>
    <xf numFmtId="0" fontId="0" fillId="17" borderId="0" xfId="0" applyFill="1"/>
    <xf numFmtId="9" fontId="23" fillId="17" borderId="0" xfId="7" applyFont="1" applyFill="1" applyBorder="1" applyAlignment="1" applyProtection="1">
      <alignment horizontal="left"/>
    </xf>
    <xf numFmtId="170" fontId="23" fillId="17" borderId="29" xfId="0" applyNumberFormat="1" applyFont="1" applyFill="1" applyBorder="1"/>
    <xf numFmtId="170" fontId="23" fillId="17" borderId="0" xfId="0" applyNumberFormat="1" applyFont="1" applyFill="1" applyBorder="1"/>
    <xf numFmtId="170" fontId="23" fillId="17" borderId="32" xfId="0" applyNumberFormat="1" applyFont="1" applyFill="1" applyBorder="1"/>
    <xf numFmtId="170" fontId="23" fillId="17" borderId="29" xfId="7" applyNumberFormat="1" applyFont="1" applyFill="1" applyBorder="1"/>
    <xf numFmtId="170" fontId="23" fillId="17" borderId="32" xfId="7" applyNumberFormat="1" applyFont="1" applyFill="1" applyBorder="1"/>
    <xf numFmtId="170" fontId="23" fillId="17" borderId="29" xfId="0" applyNumberFormat="1" applyFont="1" applyFill="1" applyBorder="1" applyProtection="1"/>
    <xf numFmtId="170" fontId="23" fillId="17" borderId="0" xfId="0" applyNumberFormat="1" applyFont="1" applyFill="1" applyBorder="1" applyProtection="1"/>
    <xf numFmtId="170" fontId="23" fillId="17" borderId="32" xfId="0" applyNumberFormat="1" applyFont="1" applyFill="1" applyBorder="1" applyProtection="1"/>
    <xf numFmtId="0" fontId="0" fillId="0" borderId="0" xfId="0" applyAlignment="1">
      <alignment horizontal="right"/>
    </xf>
    <xf numFmtId="10" fontId="38" fillId="21" borderId="0" xfId="7" applyNumberFormat="1" applyFont="1" applyFill="1" applyAlignment="1">
      <alignment horizontal="center"/>
    </xf>
    <xf numFmtId="43" fontId="23" fillId="0" borderId="0" xfId="1" applyFont="1" applyFill="1" applyBorder="1" applyProtection="1"/>
    <xf numFmtId="10" fontId="36" fillId="0" borderId="50" xfId="7" applyNumberFormat="1" applyFont="1" applyFill="1" applyBorder="1"/>
    <xf numFmtId="10" fontId="36" fillId="0" borderId="51" xfId="7" applyNumberFormat="1" applyFont="1" applyFill="1" applyBorder="1"/>
    <xf numFmtId="10" fontId="36" fillId="0" borderId="44" xfId="7" applyNumberFormat="1" applyFont="1" applyFill="1" applyBorder="1"/>
    <xf numFmtId="0" fontId="36" fillId="0" borderId="49" xfId="0" applyFont="1" applyFill="1" applyBorder="1"/>
    <xf numFmtId="0" fontId="36" fillId="0" borderId="55" xfId="0" applyFont="1" applyFill="1" applyBorder="1"/>
    <xf numFmtId="0" fontId="36" fillId="0" borderId="47" xfId="0" applyFont="1" applyFill="1" applyBorder="1"/>
    <xf numFmtId="0" fontId="25" fillId="0" borderId="0" xfId="0" applyFont="1" applyFill="1" applyBorder="1" applyAlignment="1" applyProtection="1">
      <alignment horizontal="left"/>
    </xf>
    <xf numFmtId="0" fontId="21" fillId="0" borderId="0" xfId="0" applyFont="1"/>
    <xf numFmtId="0" fontId="0" fillId="17" borderId="0" xfId="0" applyFill="1" applyAlignment="1">
      <alignment horizontal="center"/>
    </xf>
    <xf numFmtId="0" fontId="0" fillId="0" borderId="0" xfId="0" applyFill="1" applyAlignment="1">
      <alignment horizontal="center"/>
    </xf>
    <xf numFmtId="165" fontId="23" fillId="12" borderId="0" xfId="7" applyNumberFormat="1" applyFont="1" applyFill="1"/>
    <xf numFmtId="165" fontId="23" fillId="12" borderId="27" xfId="7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 applyProtection="1">
      <alignment horizontal="center"/>
    </xf>
    <xf numFmtId="170" fontId="23" fillId="17" borderId="0" xfId="7" applyNumberFormat="1" applyFont="1" applyFill="1" applyBorder="1" applyProtection="1"/>
    <xf numFmtId="170" fontId="23" fillId="0" borderId="22" xfId="7" applyNumberFormat="1" applyFont="1" applyFill="1" applyBorder="1"/>
    <xf numFmtId="170" fontId="23" fillId="0" borderId="20" xfId="7" applyNumberFormat="1" applyFont="1" applyFill="1" applyBorder="1"/>
    <xf numFmtId="170" fontId="23" fillId="0" borderId="21" xfId="7" applyNumberFormat="1" applyFont="1" applyFill="1" applyBorder="1"/>
    <xf numFmtId="0" fontId="39" fillId="0" borderId="0" xfId="0" applyFont="1"/>
    <xf numFmtId="0" fontId="23" fillId="0" borderId="0" xfId="0" applyNumberFormat="1" applyFont="1" applyFill="1" applyBorder="1" applyAlignment="1" applyProtection="1">
      <alignment horizontal="center"/>
    </xf>
    <xf numFmtId="0" fontId="40" fillId="17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170" fontId="23" fillId="0" borderId="34" xfId="7" applyNumberFormat="1" applyFont="1" applyFill="1" applyBorder="1"/>
    <xf numFmtId="0" fontId="0" fillId="22" borderId="0" xfId="0" applyFill="1"/>
    <xf numFmtId="0" fontId="0" fillId="22" borderId="0" xfId="0" applyFill="1" applyAlignment="1">
      <alignment horizontal="center"/>
    </xf>
    <xf numFmtId="43" fontId="23" fillId="22" borderId="0" xfId="1" applyFont="1" applyFill="1" applyBorder="1" applyProtection="1"/>
    <xf numFmtId="170" fontId="23" fillId="22" borderId="0" xfId="0" applyNumberFormat="1" applyFont="1" applyFill="1" applyBorder="1" applyProtection="1"/>
    <xf numFmtId="170" fontId="23" fillId="22" borderId="34" xfId="7" applyNumberFormat="1" applyFont="1" applyFill="1" applyBorder="1"/>
    <xf numFmtId="0" fontId="23" fillId="22" borderId="29" xfId="0" applyFont="1" applyFill="1" applyBorder="1" applyAlignment="1" applyProtection="1">
      <alignment horizontal="left"/>
    </xf>
    <xf numFmtId="0" fontId="23" fillId="22" borderId="0" xfId="0" applyFont="1" applyFill="1" applyBorder="1" applyAlignment="1" applyProtection="1">
      <alignment horizontal="left"/>
    </xf>
    <xf numFmtId="0" fontId="40" fillId="22" borderId="0" xfId="0" applyFont="1" applyFill="1" applyBorder="1" applyAlignment="1" applyProtection="1">
      <alignment horizontal="left"/>
    </xf>
    <xf numFmtId="0" fontId="23" fillId="22" borderId="0" xfId="0" applyFont="1" applyFill="1" applyBorder="1" applyAlignment="1" applyProtection="1">
      <alignment horizontal="center"/>
    </xf>
    <xf numFmtId="170" fontId="23" fillId="22" borderId="29" xfId="0" applyNumberFormat="1" applyFont="1" applyFill="1" applyBorder="1" applyProtection="1"/>
    <xf numFmtId="170" fontId="23" fillId="22" borderId="32" xfId="0" applyNumberFormat="1" applyFont="1" applyFill="1" applyBorder="1" applyProtection="1"/>
    <xf numFmtId="170" fontId="23" fillId="22" borderId="29" xfId="7" applyNumberFormat="1" applyFont="1" applyFill="1" applyBorder="1"/>
    <xf numFmtId="170" fontId="23" fillId="22" borderId="0" xfId="7" applyNumberFormat="1" applyFont="1" applyFill="1" applyBorder="1"/>
    <xf numFmtId="170" fontId="23" fillId="22" borderId="32" xfId="7" applyNumberFormat="1" applyFont="1" applyFill="1" applyBorder="1"/>
    <xf numFmtId="0" fontId="21" fillId="0" borderId="0" xfId="0" applyFont="1" applyFill="1"/>
    <xf numFmtId="176" fontId="23" fillId="0" borderId="0" xfId="0" applyNumberFormat="1" applyFont="1" applyFill="1"/>
    <xf numFmtId="176" fontId="0" fillId="0" borderId="0" xfId="0" applyNumberFormat="1"/>
    <xf numFmtId="176" fontId="0" fillId="0" borderId="0" xfId="0" applyNumberFormat="1" applyFill="1"/>
    <xf numFmtId="10" fontId="0" fillId="0" borderId="0" xfId="7" applyNumberFormat="1" applyFont="1"/>
    <xf numFmtId="0" fontId="0" fillId="0" borderId="0" xfId="0" applyFill="1" applyAlignment="1">
      <alignment horizontal="right"/>
    </xf>
    <xf numFmtId="15" fontId="0" fillId="0" borderId="0" xfId="0" applyNumberFormat="1"/>
    <xf numFmtId="10" fontId="26" fillId="13" borderId="0" xfId="7" applyNumberFormat="1" applyFont="1" applyFill="1"/>
    <xf numFmtId="0" fontId="23" fillId="17" borderId="29" xfId="0" quotePrefix="1" applyFont="1" applyFill="1" applyBorder="1" applyAlignment="1" applyProtection="1">
      <alignment horizontal="left"/>
    </xf>
    <xf numFmtId="170" fontId="0" fillId="0" borderId="0" xfId="0" applyNumberFormat="1" applyFill="1"/>
    <xf numFmtId="0" fontId="32" fillId="16" borderId="22" xfId="0" applyFont="1" applyFill="1" applyBorder="1" applyAlignment="1">
      <alignment horizontal="left" vertical="top" wrapText="1"/>
    </xf>
    <xf numFmtId="0" fontId="32" fillId="16" borderId="20" xfId="0" applyFont="1" applyFill="1" applyBorder="1" applyAlignment="1">
      <alignment horizontal="left" vertical="top" wrapText="1"/>
    </xf>
    <xf numFmtId="0" fontId="32" fillId="16" borderId="21" xfId="0" applyFont="1" applyFill="1" applyBorder="1" applyAlignment="1">
      <alignment horizontal="left" vertical="top" wrapText="1"/>
    </xf>
    <xf numFmtId="0" fontId="32" fillId="16" borderId="29" xfId="0" applyFont="1" applyFill="1" applyBorder="1" applyAlignment="1">
      <alignment horizontal="left" vertical="top" wrapText="1"/>
    </xf>
    <xf numFmtId="0" fontId="32" fillId="16" borderId="0" xfId="0" applyFont="1" applyFill="1" applyBorder="1" applyAlignment="1">
      <alignment horizontal="left" vertical="top" wrapText="1"/>
    </xf>
    <xf numFmtId="0" fontId="32" fillId="16" borderId="32" xfId="0" applyFont="1" applyFill="1" applyBorder="1" applyAlignment="1">
      <alignment horizontal="left" vertical="top" wrapText="1"/>
    </xf>
    <xf numFmtId="0" fontId="32" fillId="16" borderId="25" xfId="0" applyFont="1" applyFill="1" applyBorder="1" applyAlignment="1">
      <alignment horizontal="left" vertical="top" wrapText="1"/>
    </xf>
    <xf numFmtId="0" fontId="32" fillId="16" borderId="23" xfId="0" applyFont="1" applyFill="1" applyBorder="1" applyAlignment="1">
      <alignment horizontal="left" vertical="top" wrapText="1"/>
    </xf>
    <xf numFmtId="0" fontId="32" fillId="16" borderId="24" xfId="0" applyFont="1" applyFill="1" applyBorder="1" applyAlignment="1">
      <alignment horizontal="left" vertical="top" wrapText="1"/>
    </xf>
    <xf numFmtId="0" fontId="23" fillId="12" borderId="29" xfId="0" applyFont="1" applyFill="1" applyBorder="1" applyAlignment="1">
      <alignment horizontal="center"/>
    </xf>
    <xf numFmtId="0" fontId="23" fillId="12" borderId="32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32" xfId="0" applyFont="1" applyFill="1" applyBorder="1" applyAlignment="1">
      <alignment horizontal="left"/>
    </xf>
    <xf numFmtId="0" fontId="23" fillId="0" borderId="25" xfId="0" applyFont="1" applyFill="1" applyBorder="1" applyAlignment="1">
      <alignment horizontal="left"/>
    </xf>
    <xf numFmtId="0" fontId="23" fillId="0" borderId="23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23" fillId="0" borderId="28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9" fillId="12" borderId="0" xfId="0" applyFont="1" applyFill="1" applyAlignment="1">
      <alignment horizontal="center"/>
    </xf>
    <xf numFmtId="0" fontId="29" fillId="18" borderId="0" xfId="0" applyFont="1" applyFill="1" applyAlignment="1">
      <alignment horizontal="center"/>
    </xf>
    <xf numFmtId="0" fontId="5" fillId="7" borderId="50" xfId="0" applyFont="1" applyFill="1" applyBorder="1" applyAlignment="1">
      <alignment horizontal="center" vertical="center"/>
    </xf>
    <xf numFmtId="0" fontId="5" fillId="7" borderId="51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left" vertical="center"/>
    </xf>
    <xf numFmtId="0" fontId="6" fillId="4" borderId="50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</cellXfs>
  <cellStyles count="40">
    <cellStyle name="Comma" xfId="1" builtinId="3"/>
    <cellStyle name="HEADER" xfId="2"/>
    <cellStyle name="HELV10" xfId="3"/>
    <cellStyle name="HELV10-UNDER" xfId="4"/>
    <cellStyle name="Hyperlink_Forecast Capex Templates (6)" xfId="5"/>
    <cellStyle name="Normal" xfId="0" builtinId="0"/>
    <cellStyle name="Normal 2" xfId="6"/>
    <cellStyle name="Percent" xfId="7" builtinId="5"/>
    <cellStyle name="Percent 2" xfId="8"/>
    <cellStyle name="RISKbigPercent" xfId="9"/>
    <cellStyle name="RISKblandrEdge" xfId="10"/>
    <cellStyle name="RISKblCorner" xfId="11"/>
    <cellStyle name="RISKbottomEdge" xfId="12"/>
    <cellStyle name="RISKbrCorner" xfId="13"/>
    <cellStyle name="RISKdarkBoxed" xfId="14"/>
    <cellStyle name="RISKdarkShade" xfId="15"/>
    <cellStyle name="RISKdbottomEdge" xfId="16"/>
    <cellStyle name="RISKdrightEdge" xfId="17"/>
    <cellStyle name="RISKdurationTime" xfId="18"/>
    <cellStyle name="RISKinNumber" xfId="19"/>
    <cellStyle name="RISKlandrEdge" xfId="20"/>
    <cellStyle name="RISKleftEdge" xfId="21"/>
    <cellStyle name="RISKlightBoxed" xfId="22"/>
    <cellStyle name="RISKltandbEdge" xfId="23"/>
    <cellStyle name="RISKnormBoxed" xfId="24"/>
    <cellStyle name="RISKnormCenter" xfId="25"/>
    <cellStyle name="RISKnormHeading" xfId="26"/>
    <cellStyle name="RISKnormItal" xfId="27"/>
    <cellStyle name="RISKnormLabel" xfId="28"/>
    <cellStyle name="RISKnormShade" xfId="29"/>
    <cellStyle name="RISKnormTitle" xfId="30"/>
    <cellStyle name="RISKoutNumber" xfId="31"/>
    <cellStyle name="RISKrightEdge" xfId="32"/>
    <cellStyle name="RISKrtandbEdge" xfId="33"/>
    <cellStyle name="RISKssTime" xfId="34"/>
    <cellStyle name="RISKtandbEdge" xfId="35"/>
    <cellStyle name="RISKtlandrEdge" xfId="36"/>
    <cellStyle name="RISKtlCorner" xfId="37"/>
    <cellStyle name="RISKtopEdge" xfId="38"/>
    <cellStyle name="RISKtrCorner" xfId="39"/>
  </cellStyles>
  <dxfs count="1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3CC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46"/>
  <sheetViews>
    <sheetView tabSelected="1" topLeftCell="A3" zoomScale="70" zoomScaleNormal="70" workbookViewId="0">
      <pane ySplit="852" activePane="bottomLeft"/>
      <selection activeCell="L3" sqref="L1:L1048576"/>
      <selection pane="bottomLeft" activeCell="D148" sqref="D148"/>
    </sheetView>
  </sheetViews>
  <sheetFormatPr defaultColWidth="9.109375" defaultRowHeight="14.4" x14ac:dyDescent="0.3"/>
  <cols>
    <col min="1" max="1" width="14.109375" customWidth="1"/>
    <col min="2" max="2" width="8.88671875" customWidth="1"/>
    <col min="3" max="3" width="57" customWidth="1"/>
    <col min="4" max="4" width="24.88671875" bestFit="1" customWidth="1"/>
    <col min="5" max="7" width="8.88671875"/>
    <col min="8" max="8" width="11" customWidth="1"/>
    <col min="9" max="15" width="8.88671875"/>
    <col min="16" max="16" width="13.6640625" customWidth="1"/>
    <col min="17" max="20" width="8.88671875"/>
    <col min="21" max="21" width="11" customWidth="1"/>
    <col min="22" max="22" width="12.6640625" bestFit="1" customWidth="1"/>
    <col min="23" max="23" width="11.33203125" bestFit="1" customWidth="1"/>
    <col min="24" max="28" width="8.88671875" customWidth="1"/>
    <col min="29" max="30" width="12.6640625" bestFit="1" customWidth="1"/>
    <col min="31" max="31" width="8.88671875" customWidth="1"/>
    <col min="32" max="32" width="12.6640625" bestFit="1" customWidth="1"/>
    <col min="33" max="53" width="8.88671875" customWidth="1"/>
    <col min="54" max="16384" width="9.109375" style="106"/>
  </cols>
  <sheetData>
    <row r="1" spans="1:55" ht="15" x14ac:dyDescent="0.25">
      <c r="BA1" s="270" t="s">
        <v>408</v>
      </c>
    </row>
    <row r="2" spans="1:55" ht="15.75" thickBot="1" x14ac:dyDescent="0.3"/>
    <row r="3" spans="1:55" ht="48.75" customHeight="1" thickBot="1" x14ac:dyDescent="0.35">
      <c r="A3" s="106"/>
      <c r="B3" s="15" t="s">
        <v>194</v>
      </c>
      <c r="C3" s="166" t="s">
        <v>0</v>
      </c>
      <c r="D3" s="16" t="s">
        <v>16</v>
      </c>
      <c r="E3" s="16" t="s">
        <v>2</v>
      </c>
      <c r="F3" s="16" t="s">
        <v>1</v>
      </c>
      <c r="G3" s="16"/>
      <c r="H3" s="16" t="s">
        <v>17</v>
      </c>
      <c r="I3" s="16" t="s">
        <v>18</v>
      </c>
      <c r="J3" s="16" t="s">
        <v>23</v>
      </c>
      <c r="K3" s="53" t="s">
        <v>20</v>
      </c>
      <c r="L3" s="53"/>
      <c r="M3" s="53"/>
      <c r="N3" s="53"/>
      <c r="O3" s="53"/>
      <c r="P3" s="407" t="s">
        <v>13</v>
      </c>
      <c r="Q3" s="308" t="str">
        <f>Parameters!B66</f>
        <v>2012/13</v>
      </c>
      <c r="R3" s="309" t="str">
        <f>LEFT(Q3,2) &amp; RIGHT(Q3,2) &amp; "/" &amp; (VALUE(RIGHT(Q3,2))+1)</f>
        <v>2013/14</v>
      </c>
      <c r="S3" s="309" t="str">
        <f t="shared" ref="S3:Y3" si="0">LEFT(R3,2) &amp; RIGHT(R3,2) &amp; "/" &amp; (VALUE(RIGHT(R3,2))+1)</f>
        <v>2014/15</v>
      </c>
      <c r="T3" s="309" t="str">
        <f t="shared" si="0"/>
        <v>2015/16</v>
      </c>
      <c r="U3" s="309" t="str">
        <f t="shared" si="0"/>
        <v>2016/17</v>
      </c>
      <c r="V3" s="309" t="str">
        <f t="shared" si="0"/>
        <v>2017/18</v>
      </c>
      <c r="W3" s="309" t="str">
        <f t="shared" si="0"/>
        <v>2018/19</v>
      </c>
      <c r="X3" s="309" t="str">
        <f t="shared" si="0"/>
        <v>2019/20</v>
      </c>
      <c r="Y3" s="310" t="str">
        <f t="shared" si="0"/>
        <v>2020/21</v>
      </c>
      <c r="Z3" s="505" t="s">
        <v>7</v>
      </c>
      <c r="AA3" s="506" t="s">
        <v>33</v>
      </c>
      <c r="AB3" s="506" t="s">
        <v>34</v>
      </c>
      <c r="AC3" s="506" t="s">
        <v>8</v>
      </c>
      <c r="AD3" s="506" t="s">
        <v>9</v>
      </c>
      <c r="AE3" s="506" t="s">
        <v>35</v>
      </c>
      <c r="AF3" s="506" t="s">
        <v>10</v>
      </c>
      <c r="AG3" s="506" t="s">
        <v>243</v>
      </c>
      <c r="AH3" s="506" t="s">
        <v>36</v>
      </c>
      <c r="AI3" s="506" t="s">
        <v>244</v>
      </c>
      <c r="AJ3" s="506" t="s">
        <v>37</v>
      </c>
      <c r="AK3" s="506" t="s">
        <v>245</v>
      </c>
      <c r="AL3" s="506" t="s">
        <v>246</v>
      </c>
      <c r="AM3" s="506" t="s">
        <v>239</v>
      </c>
      <c r="AN3" s="506" t="s">
        <v>240</v>
      </c>
      <c r="AO3" s="506" t="s">
        <v>258</v>
      </c>
      <c r="AP3" s="506" t="s">
        <v>247</v>
      </c>
      <c r="AQ3" s="506"/>
      <c r="AR3" s="506"/>
      <c r="AS3" s="506"/>
      <c r="AT3" s="506"/>
      <c r="AU3" s="506"/>
      <c r="AV3" s="506"/>
      <c r="AW3" s="507"/>
      <c r="AX3" s="508" t="s">
        <v>406</v>
      </c>
      <c r="AY3" s="508" t="s">
        <v>407</v>
      </c>
      <c r="AZ3" s="508" t="s">
        <v>13</v>
      </c>
      <c r="BA3" s="509" t="s">
        <v>387</v>
      </c>
    </row>
    <row r="4" spans="1:55" ht="14.4" customHeight="1" x14ac:dyDescent="0.25">
      <c r="A4" s="106" t="s">
        <v>454</v>
      </c>
      <c r="B4" s="510" t="s">
        <v>409</v>
      </c>
      <c r="C4" s="511" t="s">
        <v>410</v>
      </c>
      <c r="D4" s="511" t="s">
        <v>107</v>
      </c>
      <c r="E4" s="555" t="s">
        <v>27</v>
      </c>
      <c r="F4" s="512">
        <v>0</v>
      </c>
      <c r="G4" s="511"/>
      <c r="H4" s="511" t="s">
        <v>327</v>
      </c>
      <c r="I4" s="512" t="s">
        <v>328</v>
      </c>
      <c r="J4" s="513">
        <v>0</v>
      </c>
      <c r="K4" s="513">
        <v>0</v>
      </c>
      <c r="L4" s="512"/>
      <c r="M4" s="511"/>
      <c r="N4" s="511"/>
      <c r="O4" s="511"/>
      <c r="P4" s="514">
        <v>269400.15564202337</v>
      </c>
      <c r="Q4" s="515">
        <v>0</v>
      </c>
      <c r="R4" s="516">
        <v>0</v>
      </c>
      <c r="S4" s="516">
        <v>269400.15564202337</v>
      </c>
      <c r="T4" s="516">
        <v>0</v>
      </c>
      <c r="U4" s="516">
        <v>0</v>
      </c>
      <c r="V4" s="516">
        <v>0</v>
      </c>
      <c r="W4" s="516">
        <v>0</v>
      </c>
      <c r="X4" s="516">
        <v>0</v>
      </c>
      <c r="Y4" s="517">
        <v>0</v>
      </c>
      <c r="Z4" s="518">
        <v>0</v>
      </c>
      <c r="AA4" s="519">
        <v>0</v>
      </c>
      <c r="AB4" s="519">
        <v>0</v>
      </c>
      <c r="AC4" s="519">
        <v>75432.043579766541</v>
      </c>
      <c r="AD4" s="519">
        <v>121230.0700389105</v>
      </c>
      <c r="AE4" s="519">
        <v>16164.009338521402</v>
      </c>
      <c r="AF4" s="520">
        <v>56574.032684824902</v>
      </c>
      <c r="AG4" s="519">
        <v>0</v>
      </c>
      <c r="AH4" s="519">
        <v>0</v>
      </c>
      <c r="AI4" s="519">
        <v>0</v>
      </c>
      <c r="AJ4" s="519">
        <v>0</v>
      </c>
      <c r="AK4" s="519">
        <v>0</v>
      </c>
      <c r="AL4" s="519">
        <v>0</v>
      </c>
      <c r="AM4" s="519">
        <v>0</v>
      </c>
      <c r="AN4" s="519">
        <v>0</v>
      </c>
      <c r="AO4" s="519">
        <v>0</v>
      </c>
      <c r="AP4" s="519">
        <v>0</v>
      </c>
      <c r="AQ4" s="519">
        <v>0</v>
      </c>
      <c r="AR4" s="519">
        <v>0</v>
      </c>
      <c r="AS4" s="519">
        <v>0</v>
      </c>
      <c r="AT4" s="519">
        <v>0</v>
      </c>
      <c r="AU4" s="519">
        <v>0</v>
      </c>
      <c r="AV4" s="519">
        <v>0</v>
      </c>
      <c r="AW4" s="521">
        <v>0</v>
      </c>
      <c r="AX4" s="485">
        <f t="shared" ref="AX4:AX35" si="1">SUM(Q4:Y4)</f>
        <v>269400.15564202337</v>
      </c>
      <c r="AY4" s="485">
        <f t="shared" ref="AY4:AY35" si="2">SUM(Z4:AW4)</f>
        <v>269400.15564202337</v>
      </c>
      <c r="AZ4" s="485">
        <f t="shared" ref="AZ4:AZ35" si="3">P4</f>
        <v>269400.15564202337</v>
      </c>
      <c r="BA4" s="485">
        <f t="shared" ref="BA4:BA35" si="4">MAX(AX4:AZ4)-MIN(AX4:AZ4)</f>
        <v>0</v>
      </c>
      <c r="BC4" s="581"/>
    </row>
    <row r="5" spans="1:55" ht="14.4" customHeight="1" x14ac:dyDescent="0.25">
      <c r="A5" s="106"/>
      <c r="B5" s="406" t="s">
        <v>415</v>
      </c>
      <c r="C5" s="351" t="s">
        <v>382</v>
      </c>
      <c r="D5" s="351" t="s">
        <v>111</v>
      </c>
      <c r="E5" s="556" t="s">
        <v>29</v>
      </c>
      <c r="F5" s="353">
        <v>1</v>
      </c>
      <c r="G5" s="351"/>
      <c r="H5" s="351" t="s">
        <v>19</v>
      </c>
      <c r="I5" s="352">
        <v>1</v>
      </c>
      <c r="J5" s="352">
        <v>0</v>
      </c>
      <c r="K5" s="352">
        <v>0</v>
      </c>
      <c r="L5" s="353"/>
      <c r="M5" s="351"/>
      <c r="N5" s="351"/>
      <c r="O5" s="351"/>
      <c r="P5" s="408">
        <v>1449642</v>
      </c>
      <c r="Q5" s="58"/>
      <c r="R5" s="59"/>
      <c r="S5" s="59">
        <v>674</v>
      </c>
      <c r="T5" s="59">
        <v>334344</v>
      </c>
      <c r="U5" s="59">
        <v>1114624</v>
      </c>
      <c r="V5" s="59">
        <v>0</v>
      </c>
      <c r="W5" s="59">
        <v>0</v>
      </c>
      <c r="X5" s="59">
        <v>0</v>
      </c>
      <c r="Y5" s="61"/>
      <c r="Z5" s="483">
        <v>374100</v>
      </c>
      <c r="AA5" s="482">
        <v>30450</v>
      </c>
      <c r="AB5" s="482">
        <v>30450</v>
      </c>
      <c r="AC5" s="482">
        <v>238866</v>
      </c>
      <c r="AD5" s="482">
        <v>383891</v>
      </c>
      <c r="AE5" s="482">
        <v>51186</v>
      </c>
      <c r="AF5" s="500">
        <v>340699</v>
      </c>
      <c r="AG5" s="482"/>
      <c r="AH5" s="482"/>
      <c r="AI5" s="482"/>
      <c r="AJ5" s="482"/>
      <c r="AK5" s="482"/>
      <c r="AL5" s="482"/>
      <c r="AM5" s="482"/>
      <c r="AN5" s="482"/>
      <c r="AO5" s="482"/>
      <c r="AP5" s="482"/>
      <c r="AQ5" s="482"/>
      <c r="AR5" s="482"/>
      <c r="AS5" s="482"/>
      <c r="AT5" s="482"/>
      <c r="AU5" s="482"/>
      <c r="AV5" s="482"/>
      <c r="AW5" s="484"/>
      <c r="AX5" s="485">
        <f t="shared" si="1"/>
        <v>1449642</v>
      </c>
      <c r="AY5" s="485">
        <f t="shared" si="2"/>
        <v>1449642</v>
      </c>
      <c r="AZ5" s="485">
        <f t="shared" si="3"/>
        <v>1449642</v>
      </c>
      <c r="BA5" s="485">
        <f t="shared" si="4"/>
        <v>0</v>
      </c>
      <c r="BC5" s="581"/>
    </row>
    <row r="6" spans="1:55" ht="14.4" customHeight="1" x14ac:dyDescent="0.25">
      <c r="A6" s="106" t="s">
        <v>454</v>
      </c>
      <c r="B6" s="510" t="s">
        <v>326</v>
      </c>
      <c r="C6" s="511" t="s">
        <v>321</v>
      </c>
      <c r="D6" s="511" t="s">
        <v>107</v>
      </c>
      <c r="E6" s="555" t="s">
        <v>27</v>
      </c>
      <c r="F6" s="512">
        <v>0</v>
      </c>
      <c r="G6" s="511"/>
      <c r="H6" s="511" t="s">
        <v>327</v>
      </c>
      <c r="I6" s="513" t="s">
        <v>328</v>
      </c>
      <c r="J6" s="513">
        <v>0</v>
      </c>
      <c r="K6" s="513">
        <v>0</v>
      </c>
      <c r="L6" s="512"/>
      <c r="M6" s="511"/>
      <c r="N6" s="524"/>
      <c r="O6" s="511"/>
      <c r="P6" s="514">
        <v>27632.153364335201</v>
      </c>
      <c r="Q6" s="525">
        <v>0</v>
      </c>
      <c r="R6" s="526">
        <v>0</v>
      </c>
      <c r="S6" s="526">
        <v>27632.153364335201</v>
      </c>
      <c r="T6" s="526">
        <v>0</v>
      </c>
      <c r="U6" s="526">
        <v>0</v>
      </c>
      <c r="V6" s="526">
        <v>0</v>
      </c>
      <c r="W6" s="526">
        <v>0</v>
      </c>
      <c r="X6" s="526">
        <v>0</v>
      </c>
      <c r="Y6" s="527">
        <v>0</v>
      </c>
      <c r="Z6" s="528">
        <v>0</v>
      </c>
      <c r="AA6" s="520">
        <v>0</v>
      </c>
      <c r="AB6" s="520">
        <v>0</v>
      </c>
      <c r="AC6" s="520">
        <v>7737.0029420138571</v>
      </c>
      <c r="AD6" s="520">
        <v>12434.46901395084</v>
      </c>
      <c r="AE6" s="520">
        <v>1657.929201860112</v>
      </c>
      <c r="AF6" s="520">
        <v>5802.7522065103922</v>
      </c>
      <c r="AG6" s="520">
        <v>0</v>
      </c>
      <c r="AH6" s="520">
        <v>0</v>
      </c>
      <c r="AI6" s="520">
        <v>0</v>
      </c>
      <c r="AJ6" s="520">
        <v>0</v>
      </c>
      <c r="AK6" s="520">
        <v>0</v>
      </c>
      <c r="AL6" s="520">
        <v>0</v>
      </c>
      <c r="AM6" s="520">
        <v>0</v>
      </c>
      <c r="AN6" s="520">
        <v>0</v>
      </c>
      <c r="AO6" s="520">
        <v>0</v>
      </c>
      <c r="AP6" s="520">
        <v>0</v>
      </c>
      <c r="AQ6" s="520">
        <v>0</v>
      </c>
      <c r="AR6" s="520">
        <v>0</v>
      </c>
      <c r="AS6" s="520">
        <v>0</v>
      </c>
      <c r="AT6" s="520">
        <v>0</v>
      </c>
      <c r="AU6" s="520">
        <v>0</v>
      </c>
      <c r="AV6" s="520">
        <v>0</v>
      </c>
      <c r="AW6" s="529">
        <v>0</v>
      </c>
      <c r="AX6" s="485">
        <f t="shared" si="1"/>
        <v>27632.153364335201</v>
      </c>
      <c r="AY6" s="485">
        <f t="shared" si="2"/>
        <v>27632.153364335201</v>
      </c>
      <c r="AZ6" s="485">
        <f t="shared" si="3"/>
        <v>27632.153364335201</v>
      </c>
      <c r="BA6" s="485">
        <f t="shared" si="4"/>
        <v>0</v>
      </c>
      <c r="BC6" s="581"/>
    </row>
    <row r="7" spans="1:55" ht="14.4" customHeight="1" x14ac:dyDescent="0.25">
      <c r="A7" s="106"/>
      <c r="B7" s="406" t="s">
        <v>393</v>
      </c>
      <c r="C7" s="351" t="s">
        <v>380</v>
      </c>
      <c r="D7" s="351" t="s">
        <v>109</v>
      </c>
      <c r="E7" s="556" t="s">
        <v>31</v>
      </c>
      <c r="F7" s="353">
        <v>18</v>
      </c>
      <c r="G7" s="351"/>
      <c r="H7" s="351" t="s">
        <v>19</v>
      </c>
      <c r="I7" s="352">
        <v>1</v>
      </c>
      <c r="J7" s="352">
        <v>0</v>
      </c>
      <c r="K7" s="352">
        <v>0</v>
      </c>
      <c r="L7" s="353"/>
      <c r="M7" s="351"/>
      <c r="N7" s="351"/>
      <c r="O7" s="351"/>
      <c r="P7" s="408">
        <v>454350</v>
      </c>
      <c r="Q7" s="58"/>
      <c r="R7" s="59">
        <v>0</v>
      </c>
      <c r="S7" s="59"/>
      <c r="T7" s="59"/>
      <c r="U7" s="59"/>
      <c r="V7" s="59"/>
      <c r="W7" s="59">
        <v>454350</v>
      </c>
      <c r="X7" s="59">
        <v>0</v>
      </c>
      <c r="Y7" s="61"/>
      <c r="Z7" s="483"/>
      <c r="AA7" s="482"/>
      <c r="AB7" s="482"/>
      <c r="AC7" s="482"/>
      <c r="AD7" s="482"/>
      <c r="AE7" s="482"/>
      <c r="AF7" s="482"/>
      <c r="AG7" s="482"/>
      <c r="AH7" s="482">
        <v>454350</v>
      </c>
      <c r="AI7" s="482"/>
      <c r="AJ7" s="482"/>
      <c r="AK7" s="482"/>
      <c r="AL7" s="482"/>
      <c r="AM7" s="482"/>
      <c r="AN7" s="482"/>
      <c r="AO7" s="482"/>
      <c r="AP7" s="482"/>
      <c r="AQ7" s="482"/>
      <c r="AR7" s="482"/>
      <c r="AS7" s="482"/>
      <c r="AT7" s="482"/>
      <c r="AU7" s="482"/>
      <c r="AV7" s="482"/>
      <c r="AW7" s="484"/>
      <c r="AX7" s="485">
        <f t="shared" si="1"/>
        <v>454350</v>
      </c>
      <c r="AY7" s="485">
        <f t="shared" si="2"/>
        <v>454350</v>
      </c>
      <c r="AZ7" s="485">
        <f t="shared" si="3"/>
        <v>454350</v>
      </c>
      <c r="BA7" s="485">
        <f t="shared" si="4"/>
        <v>0</v>
      </c>
      <c r="BC7" s="581"/>
    </row>
    <row r="8" spans="1:55" ht="14.4" customHeight="1" x14ac:dyDescent="0.25">
      <c r="A8" s="106"/>
      <c r="B8" s="406" t="s">
        <v>483</v>
      </c>
      <c r="C8" s="351" t="s">
        <v>477</v>
      </c>
      <c r="D8" s="351" t="s">
        <v>109</v>
      </c>
      <c r="E8" s="556" t="s">
        <v>30</v>
      </c>
      <c r="F8" s="353">
        <v>18</v>
      </c>
      <c r="G8" s="351"/>
      <c r="H8" s="351" t="s">
        <v>19</v>
      </c>
      <c r="I8" s="352">
        <v>1</v>
      </c>
      <c r="J8" s="352">
        <v>0</v>
      </c>
      <c r="K8" s="352">
        <v>0</v>
      </c>
      <c r="L8" s="353"/>
      <c r="M8" s="351"/>
      <c r="N8" s="351"/>
      <c r="O8" s="351"/>
      <c r="P8" s="408">
        <v>980000</v>
      </c>
      <c r="Q8" s="58"/>
      <c r="R8" s="59">
        <v>0</v>
      </c>
      <c r="S8" s="59">
        <v>155000</v>
      </c>
      <c r="T8" s="59">
        <v>480000</v>
      </c>
      <c r="U8" s="59">
        <v>265000</v>
      </c>
      <c r="V8" s="59">
        <v>80000</v>
      </c>
      <c r="W8" s="59">
        <v>0</v>
      </c>
      <c r="X8" s="59">
        <v>0</v>
      </c>
      <c r="Y8" s="61"/>
      <c r="Z8" s="483"/>
      <c r="AA8" s="482"/>
      <c r="AB8" s="482"/>
      <c r="AC8" s="482"/>
      <c r="AD8" s="482"/>
      <c r="AE8" s="482"/>
      <c r="AF8" s="482"/>
      <c r="AG8" s="482"/>
      <c r="AH8" s="482">
        <v>980000</v>
      </c>
      <c r="AI8" s="482"/>
      <c r="AJ8" s="482"/>
      <c r="AK8" s="482"/>
      <c r="AL8" s="482"/>
      <c r="AM8" s="482"/>
      <c r="AN8" s="482"/>
      <c r="AO8" s="482"/>
      <c r="AP8" s="482"/>
      <c r="AQ8" s="482"/>
      <c r="AR8" s="482"/>
      <c r="AS8" s="482"/>
      <c r="AT8" s="482"/>
      <c r="AU8" s="482"/>
      <c r="AV8" s="482"/>
      <c r="AW8" s="484"/>
      <c r="AX8" s="485">
        <f t="shared" si="1"/>
        <v>980000</v>
      </c>
      <c r="AY8" s="485">
        <f t="shared" si="2"/>
        <v>980000</v>
      </c>
      <c r="AZ8" s="485">
        <f t="shared" si="3"/>
        <v>980000</v>
      </c>
      <c r="BA8" s="485">
        <f t="shared" si="4"/>
        <v>0</v>
      </c>
      <c r="BC8" s="581"/>
    </row>
    <row r="9" spans="1:55" ht="14.4" customHeight="1" x14ac:dyDescent="0.25">
      <c r="A9" s="106" t="s">
        <v>454</v>
      </c>
      <c r="B9" s="510" t="s">
        <v>325</v>
      </c>
      <c r="C9" s="511" t="s">
        <v>322</v>
      </c>
      <c r="D9" s="511" t="s">
        <v>107</v>
      </c>
      <c r="E9" s="555" t="s">
        <v>27</v>
      </c>
      <c r="F9" s="512">
        <v>0</v>
      </c>
      <c r="G9" s="511"/>
      <c r="H9" s="511" t="s">
        <v>327</v>
      </c>
      <c r="I9" s="513" t="s">
        <v>328</v>
      </c>
      <c r="J9" s="513">
        <v>0</v>
      </c>
      <c r="K9" s="513">
        <v>0</v>
      </c>
      <c r="L9" s="512"/>
      <c r="M9" s="511"/>
      <c r="N9" s="511"/>
      <c r="O9" s="511"/>
      <c r="P9" s="514">
        <v>962930.99743760086</v>
      </c>
      <c r="Q9" s="525">
        <v>0</v>
      </c>
      <c r="R9" s="526">
        <v>0</v>
      </c>
      <c r="S9" s="526">
        <v>962930.99743760086</v>
      </c>
      <c r="T9" s="526">
        <v>0</v>
      </c>
      <c r="U9" s="526">
        <v>0</v>
      </c>
      <c r="V9" s="526">
        <v>0</v>
      </c>
      <c r="W9" s="526">
        <v>0</v>
      </c>
      <c r="X9" s="526">
        <v>0</v>
      </c>
      <c r="Y9" s="527">
        <v>0</v>
      </c>
      <c r="Z9" s="528">
        <v>0</v>
      </c>
      <c r="AA9" s="520">
        <v>0</v>
      </c>
      <c r="AB9" s="520">
        <v>0</v>
      </c>
      <c r="AC9" s="520">
        <v>269620.67928252823</v>
      </c>
      <c r="AD9" s="520">
        <v>433318.94884692045</v>
      </c>
      <c r="AE9" s="520">
        <v>57775.859846256055</v>
      </c>
      <c r="AF9" s="520">
        <v>202215.50946189617</v>
      </c>
      <c r="AG9" s="520">
        <v>0</v>
      </c>
      <c r="AH9" s="520">
        <v>0</v>
      </c>
      <c r="AI9" s="520">
        <v>0</v>
      </c>
      <c r="AJ9" s="520">
        <v>0</v>
      </c>
      <c r="AK9" s="520">
        <v>0</v>
      </c>
      <c r="AL9" s="520">
        <v>0</v>
      </c>
      <c r="AM9" s="520">
        <v>0</v>
      </c>
      <c r="AN9" s="520">
        <v>0</v>
      </c>
      <c r="AO9" s="520">
        <v>0</v>
      </c>
      <c r="AP9" s="520">
        <v>0</v>
      </c>
      <c r="AQ9" s="520">
        <v>0</v>
      </c>
      <c r="AR9" s="520">
        <v>0</v>
      </c>
      <c r="AS9" s="520">
        <v>0</v>
      </c>
      <c r="AT9" s="520">
        <v>0</v>
      </c>
      <c r="AU9" s="520">
        <v>0</v>
      </c>
      <c r="AV9" s="520">
        <v>0</v>
      </c>
      <c r="AW9" s="529">
        <v>0</v>
      </c>
      <c r="AX9" s="485">
        <f t="shared" si="1"/>
        <v>962930.99743760086</v>
      </c>
      <c r="AY9" s="485">
        <f t="shared" si="2"/>
        <v>962930.99743760098</v>
      </c>
      <c r="AZ9" s="485">
        <f t="shared" si="3"/>
        <v>962930.99743760086</v>
      </c>
      <c r="BA9" s="485">
        <f t="shared" si="4"/>
        <v>0</v>
      </c>
      <c r="BC9" s="581"/>
    </row>
    <row r="10" spans="1:55" ht="14.4" customHeight="1" x14ac:dyDescent="0.25">
      <c r="A10" s="106"/>
      <c r="B10" s="501" t="s">
        <v>481</v>
      </c>
      <c r="C10" s="351" t="s">
        <v>480</v>
      </c>
      <c r="D10" s="351" t="s">
        <v>107</v>
      </c>
      <c r="E10" s="556" t="s">
        <v>29</v>
      </c>
      <c r="F10" s="353">
        <v>1</v>
      </c>
      <c r="G10" s="351"/>
      <c r="H10" s="351" t="s">
        <v>19</v>
      </c>
      <c r="I10" s="554">
        <v>1</v>
      </c>
      <c r="J10" s="554">
        <v>0</v>
      </c>
      <c r="K10" s="554">
        <v>0</v>
      </c>
      <c r="L10" s="353"/>
      <c r="M10" s="351"/>
      <c r="N10" s="351"/>
      <c r="O10" s="351"/>
      <c r="P10" s="535">
        <v>1000000</v>
      </c>
      <c r="Q10" s="58"/>
      <c r="R10" s="59">
        <v>0</v>
      </c>
      <c r="S10" s="59">
        <v>400000</v>
      </c>
      <c r="T10" s="59">
        <v>600000</v>
      </c>
      <c r="U10" s="59">
        <v>0</v>
      </c>
      <c r="V10" s="59">
        <v>0</v>
      </c>
      <c r="W10" s="59">
        <v>0</v>
      </c>
      <c r="X10" s="59">
        <v>0</v>
      </c>
      <c r="Y10" s="61"/>
      <c r="Z10" s="483">
        <v>860000</v>
      </c>
      <c r="AA10" s="482">
        <v>70000</v>
      </c>
      <c r="AB10" s="482">
        <v>70000</v>
      </c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/>
      <c r="AP10" s="482"/>
      <c r="AQ10" s="482"/>
      <c r="AR10" s="482"/>
      <c r="AS10" s="482"/>
      <c r="AT10" s="482"/>
      <c r="AU10" s="482"/>
      <c r="AV10" s="482"/>
      <c r="AW10" s="484"/>
      <c r="AX10" s="485">
        <f t="shared" si="1"/>
        <v>1000000</v>
      </c>
      <c r="AY10" s="485">
        <f t="shared" si="2"/>
        <v>1000000</v>
      </c>
      <c r="AZ10" s="485">
        <f t="shared" si="3"/>
        <v>1000000</v>
      </c>
      <c r="BA10" s="485">
        <f t="shared" si="4"/>
        <v>0</v>
      </c>
      <c r="BC10" s="581"/>
    </row>
    <row r="11" spans="1:55" ht="14.4" customHeight="1" x14ac:dyDescent="0.25">
      <c r="A11" s="106"/>
      <c r="B11" s="501" t="s">
        <v>267</v>
      </c>
      <c r="C11" s="351" t="s">
        <v>343</v>
      </c>
      <c r="D11" s="351" t="s">
        <v>109</v>
      </c>
      <c r="E11" s="556" t="s">
        <v>31</v>
      </c>
      <c r="F11" s="353">
        <v>18</v>
      </c>
      <c r="G11" s="351"/>
      <c r="H11" s="351" t="s">
        <v>19</v>
      </c>
      <c r="I11" s="554">
        <v>1</v>
      </c>
      <c r="J11" s="554">
        <v>1</v>
      </c>
      <c r="K11" s="554">
        <v>0</v>
      </c>
      <c r="L11" s="353"/>
      <c r="M11" s="351"/>
      <c r="N11" s="351"/>
      <c r="O11" s="351"/>
      <c r="P11" s="535">
        <v>5939000</v>
      </c>
      <c r="Q11" s="58"/>
      <c r="R11" s="59">
        <v>0</v>
      </c>
      <c r="S11" s="59">
        <v>300000</v>
      </c>
      <c r="T11" s="59">
        <v>3107500</v>
      </c>
      <c r="U11" s="59">
        <v>1219000</v>
      </c>
      <c r="V11" s="59">
        <v>562500</v>
      </c>
      <c r="W11" s="59">
        <v>750000</v>
      </c>
      <c r="X11" s="59">
        <v>0</v>
      </c>
      <c r="Y11" s="61"/>
      <c r="Z11" s="483"/>
      <c r="AA11" s="482"/>
      <c r="AB11" s="482"/>
      <c r="AC11" s="482"/>
      <c r="AD11" s="482"/>
      <c r="AE11" s="482"/>
      <c r="AF11" s="482"/>
      <c r="AG11" s="482"/>
      <c r="AH11" s="482">
        <v>5939000</v>
      </c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4"/>
      <c r="AX11" s="485">
        <f t="shared" si="1"/>
        <v>5939000</v>
      </c>
      <c r="AY11" s="485">
        <f t="shared" si="2"/>
        <v>5939000</v>
      </c>
      <c r="AZ11" s="485">
        <f t="shared" si="3"/>
        <v>5939000</v>
      </c>
      <c r="BA11" s="485">
        <f t="shared" si="4"/>
        <v>0</v>
      </c>
      <c r="BC11" s="581"/>
    </row>
    <row r="12" spans="1:55" ht="14.4" customHeight="1" x14ac:dyDescent="0.25">
      <c r="A12" s="106"/>
      <c r="B12" s="406" t="s">
        <v>482</v>
      </c>
      <c r="C12" s="351" t="s">
        <v>467</v>
      </c>
      <c r="D12" s="351" t="s">
        <v>270</v>
      </c>
      <c r="E12" s="556" t="s">
        <v>27</v>
      </c>
      <c r="F12" s="353">
        <v>18</v>
      </c>
      <c r="G12" s="351"/>
      <c r="H12" s="351" t="s">
        <v>19</v>
      </c>
      <c r="I12" s="352">
        <v>1</v>
      </c>
      <c r="J12" s="352">
        <v>0</v>
      </c>
      <c r="K12" s="352">
        <v>0</v>
      </c>
      <c r="L12" s="353"/>
      <c r="M12" s="351"/>
      <c r="N12" s="351"/>
      <c r="O12" s="351"/>
      <c r="P12" s="408">
        <v>158278</v>
      </c>
      <c r="Q12" s="58"/>
      <c r="R12" s="59">
        <v>0</v>
      </c>
      <c r="S12" s="59">
        <v>158278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/>
      <c r="Z12" s="483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>
        <v>158278</v>
      </c>
      <c r="AL12" s="482"/>
      <c r="AM12" s="482"/>
      <c r="AN12" s="482"/>
      <c r="AO12" s="482"/>
      <c r="AP12" s="482"/>
      <c r="AQ12" s="482"/>
      <c r="AR12" s="482"/>
      <c r="AS12" s="482"/>
      <c r="AT12" s="482"/>
      <c r="AU12" s="482"/>
      <c r="AV12" s="482"/>
      <c r="AW12" s="484"/>
      <c r="AX12" s="485">
        <f t="shared" si="1"/>
        <v>158278</v>
      </c>
      <c r="AY12" s="485">
        <f t="shared" si="2"/>
        <v>158278</v>
      </c>
      <c r="AZ12" s="485">
        <f t="shared" si="3"/>
        <v>158278</v>
      </c>
      <c r="BA12" s="485">
        <f t="shared" si="4"/>
        <v>0</v>
      </c>
      <c r="BC12" s="581"/>
    </row>
    <row r="13" spans="1:55" ht="14.4" customHeight="1" x14ac:dyDescent="0.25">
      <c r="A13" s="106"/>
      <c r="B13" s="406" t="s">
        <v>416</v>
      </c>
      <c r="C13" s="351" t="s">
        <v>212</v>
      </c>
      <c r="D13" s="351" t="s">
        <v>114</v>
      </c>
      <c r="E13" s="556" t="s">
        <v>29</v>
      </c>
      <c r="F13" s="353">
        <v>9</v>
      </c>
      <c r="G13" s="351"/>
      <c r="H13" s="351" t="s">
        <v>19</v>
      </c>
      <c r="I13" s="352">
        <v>1</v>
      </c>
      <c r="J13" s="352">
        <v>1</v>
      </c>
      <c r="K13" s="352">
        <v>0</v>
      </c>
      <c r="L13" s="353"/>
      <c r="M13" s="351"/>
      <c r="N13" s="351"/>
      <c r="O13" s="351"/>
      <c r="P13" s="408">
        <v>3028432</v>
      </c>
      <c r="Q13" s="58"/>
      <c r="R13" s="59">
        <v>0</v>
      </c>
      <c r="S13" s="59">
        <v>380472</v>
      </c>
      <c r="T13" s="59">
        <v>2595282</v>
      </c>
      <c r="U13" s="59">
        <v>52678</v>
      </c>
      <c r="V13" s="59">
        <v>0</v>
      </c>
      <c r="W13" s="59">
        <v>0</v>
      </c>
      <c r="X13" s="59">
        <v>0</v>
      </c>
      <c r="Y13" s="61"/>
      <c r="Z13" s="483"/>
      <c r="AA13" s="482"/>
      <c r="AB13" s="482"/>
      <c r="AC13" s="482">
        <v>466211</v>
      </c>
      <c r="AD13" s="482">
        <v>2380794</v>
      </c>
      <c r="AE13" s="482">
        <v>29006</v>
      </c>
      <c r="AF13" s="482">
        <v>152421</v>
      </c>
      <c r="AG13" s="482"/>
      <c r="AH13" s="482"/>
      <c r="AI13" s="482"/>
      <c r="AJ13" s="482"/>
      <c r="AK13" s="482"/>
      <c r="AL13" s="482"/>
      <c r="AM13" s="482"/>
      <c r="AN13" s="482"/>
      <c r="AO13" s="482"/>
      <c r="AP13" s="482"/>
      <c r="AQ13" s="482"/>
      <c r="AR13" s="482"/>
      <c r="AS13" s="482"/>
      <c r="AT13" s="482"/>
      <c r="AU13" s="482"/>
      <c r="AV13" s="482"/>
      <c r="AW13" s="484"/>
      <c r="AX13" s="485">
        <f t="shared" si="1"/>
        <v>3028432</v>
      </c>
      <c r="AY13" s="485">
        <f t="shared" si="2"/>
        <v>3028432</v>
      </c>
      <c r="AZ13" s="485">
        <f t="shared" si="3"/>
        <v>3028432</v>
      </c>
      <c r="BA13" s="485">
        <f t="shared" si="4"/>
        <v>0</v>
      </c>
      <c r="BC13" s="581"/>
    </row>
    <row r="14" spans="1:55" ht="14.4" customHeight="1" x14ac:dyDescent="0.25">
      <c r="A14" s="106"/>
      <c r="B14" s="406" t="s">
        <v>389</v>
      </c>
      <c r="C14" s="351" t="s">
        <v>377</v>
      </c>
      <c r="D14" s="351" t="s">
        <v>270</v>
      </c>
      <c r="E14" s="556" t="s">
        <v>31</v>
      </c>
      <c r="F14" s="353">
        <v>18</v>
      </c>
      <c r="G14" s="351"/>
      <c r="H14" s="351" t="s">
        <v>19</v>
      </c>
      <c r="I14" s="352">
        <v>1</v>
      </c>
      <c r="J14" s="352">
        <v>1</v>
      </c>
      <c r="K14" s="352">
        <v>0</v>
      </c>
      <c r="L14" s="353"/>
      <c r="M14" s="351"/>
      <c r="N14" s="351"/>
      <c r="O14" s="351"/>
      <c r="P14" s="408">
        <v>3157000</v>
      </c>
      <c r="Q14" s="494"/>
      <c r="R14" s="59">
        <v>0</v>
      </c>
      <c r="S14" s="59">
        <v>640000</v>
      </c>
      <c r="T14" s="472">
        <v>957000</v>
      </c>
      <c r="U14" s="472">
        <v>600000</v>
      </c>
      <c r="V14" s="472">
        <v>200000</v>
      </c>
      <c r="W14" s="472">
        <v>760000</v>
      </c>
      <c r="X14" s="472">
        <v>0</v>
      </c>
      <c r="Y14" s="495"/>
      <c r="Z14" s="483"/>
      <c r="AA14" s="482"/>
      <c r="AB14" s="482"/>
      <c r="AC14" s="482"/>
      <c r="AD14" s="482"/>
      <c r="AE14" s="482"/>
      <c r="AF14" s="482"/>
      <c r="AG14" s="482"/>
      <c r="AH14" s="482"/>
      <c r="AI14" s="482"/>
      <c r="AJ14" s="482"/>
      <c r="AK14" s="482">
        <v>3157000</v>
      </c>
      <c r="AL14" s="482"/>
      <c r="AM14" s="482"/>
      <c r="AN14" s="482"/>
      <c r="AO14" s="482"/>
      <c r="AP14" s="482"/>
      <c r="AQ14" s="482"/>
      <c r="AR14" s="482"/>
      <c r="AS14" s="482"/>
      <c r="AT14" s="482"/>
      <c r="AU14" s="482"/>
      <c r="AV14" s="482"/>
      <c r="AW14" s="484"/>
      <c r="AX14" s="485">
        <f t="shared" si="1"/>
        <v>3157000</v>
      </c>
      <c r="AY14" s="485">
        <f t="shared" si="2"/>
        <v>3157000</v>
      </c>
      <c r="AZ14" s="485">
        <f t="shared" si="3"/>
        <v>3157000</v>
      </c>
      <c r="BA14" s="485">
        <f t="shared" si="4"/>
        <v>0</v>
      </c>
      <c r="BC14" s="581"/>
    </row>
    <row r="15" spans="1:55" ht="14.4" customHeight="1" x14ac:dyDescent="0.25">
      <c r="A15" s="106"/>
      <c r="B15" s="406" t="s">
        <v>291</v>
      </c>
      <c r="C15" s="351" t="s">
        <v>405</v>
      </c>
      <c r="D15" s="351" t="s">
        <v>109</v>
      </c>
      <c r="E15" s="556" t="s">
        <v>31</v>
      </c>
      <c r="F15" s="353">
        <v>15</v>
      </c>
      <c r="G15" s="351"/>
      <c r="H15" s="351" t="s">
        <v>19</v>
      </c>
      <c r="I15" s="352">
        <v>1</v>
      </c>
      <c r="J15" s="352">
        <v>1</v>
      </c>
      <c r="K15" s="352">
        <v>0</v>
      </c>
      <c r="L15" s="353"/>
      <c r="M15" s="351"/>
      <c r="N15" s="351"/>
      <c r="O15" s="351"/>
      <c r="P15" s="408">
        <v>500000</v>
      </c>
      <c r="Q15" s="494"/>
      <c r="R15" s="472">
        <v>0</v>
      </c>
      <c r="S15" s="472">
        <v>100000</v>
      </c>
      <c r="T15" s="472">
        <v>100000</v>
      </c>
      <c r="U15" s="472">
        <v>100000</v>
      </c>
      <c r="V15" s="472">
        <v>100000</v>
      </c>
      <c r="W15" s="472">
        <v>100000</v>
      </c>
      <c r="X15" s="472">
        <v>0</v>
      </c>
      <c r="Y15" s="495"/>
      <c r="Z15" s="483"/>
      <c r="AA15" s="482"/>
      <c r="AB15" s="482"/>
      <c r="AC15" s="482"/>
      <c r="AD15" s="482"/>
      <c r="AE15" s="482"/>
      <c r="AF15" s="482"/>
      <c r="AG15" s="482"/>
      <c r="AH15" s="482"/>
      <c r="AI15" s="482"/>
      <c r="AJ15" s="482"/>
      <c r="AK15" s="482"/>
      <c r="AL15" s="482">
        <v>500000</v>
      </c>
      <c r="AM15" s="482"/>
      <c r="AN15" s="482"/>
      <c r="AO15" s="482"/>
      <c r="AP15" s="482"/>
      <c r="AQ15" s="482"/>
      <c r="AR15" s="482"/>
      <c r="AS15" s="482"/>
      <c r="AT15" s="482"/>
      <c r="AU15" s="482"/>
      <c r="AV15" s="482"/>
      <c r="AW15" s="484"/>
      <c r="AX15" s="485">
        <f t="shared" si="1"/>
        <v>500000</v>
      </c>
      <c r="AY15" s="485">
        <f t="shared" si="2"/>
        <v>500000</v>
      </c>
      <c r="AZ15" s="485">
        <f t="shared" si="3"/>
        <v>500000</v>
      </c>
      <c r="BA15" s="485">
        <f t="shared" si="4"/>
        <v>0</v>
      </c>
      <c r="BC15" s="581"/>
    </row>
    <row r="16" spans="1:55" ht="14.4" customHeight="1" x14ac:dyDescent="0.25">
      <c r="A16" s="106" t="s">
        <v>454</v>
      </c>
      <c r="B16" s="510" t="s">
        <v>330</v>
      </c>
      <c r="C16" s="511" t="s">
        <v>384</v>
      </c>
      <c r="D16" s="511" t="s">
        <v>107</v>
      </c>
      <c r="E16" s="555" t="s">
        <v>27</v>
      </c>
      <c r="F16" s="512">
        <v>0</v>
      </c>
      <c r="G16" s="511"/>
      <c r="H16" s="511" t="s">
        <v>327</v>
      </c>
      <c r="I16" s="513" t="s">
        <v>386</v>
      </c>
      <c r="J16" s="513">
        <v>0</v>
      </c>
      <c r="K16" s="513">
        <v>0</v>
      </c>
      <c r="L16" s="512"/>
      <c r="M16" s="511"/>
      <c r="N16" s="511"/>
      <c r="O16" s="511"/>
      <c r="P16" s="514">
        <v>9379978.3847394902</v>
      </c>
      <c r="Q16" s="530">
        <v>0</v>
      </c>
      <c r="R16" s="531">
        <v>3477848.5679035783</v>
      </c>
      <c r="S16" s="531">
        <v>5902129.8168359119</v>
      </c>
      <c r="T16" s="531">
        <v>0</v>
      </c>
      <c r="U16" s="531">
        <v>0</v>
      </c>
      <c r="V16" s="531">
        <v>0</v>
      </c>
      <c r="W16" s="531">
        <v>0</v>
      </c>
      <c r="X16" s="531">
        <v>0</v>
      </c>
      <c r="Y16" s="532">
        <v>0</v>
      </c>
      <c r="Z16" s="528">
        <v>0</v>
      </c>
      <c r="AA16" s="520">
        <v>0</v>
      </c>
      <c r="AB16" s="520">
        <v>0</v>
      </c>
      <c r="AC16" s="520">
        <v>2626393.9477270572</v>
      </c>
      <c r="AD16" s="520">
        <v>4220990.2731327703</v>
      </c>
      <c r="AE16" s="520">
        <v>562798.70308436942</v>
      </c>
      <c r="AF16" s="520">
        <v>1969795.4607952929</v>
      </c>
      <c r="AG16" s="520">
        <v>0</v>
      </c>
      <c r="AH16" s="520">
        <v>0</v>
      </c>
      <c r="AI16" s="520">
        <v>0</v>
      </c>
      <c r="AJ16" s="520">
        <v>0</v>
      </c>
      <c r="AK16" s="520">
        <v>0</v>
      </c>
      <c r="AL16" s="520">
        <v>0</v>
      </c>
      <c r="AM16" s="520">
        <v>0</v>
      </c>
      <c r="AN16" s="520">
        <v>0</v>
      </c>
      <c r="AO16" s="520">
        <v>0</v>
      </c>
      <c r="AP16" s="520">
        <v>0</v>
      </c>
      <c r="AQ16" s="520">
        <v>0</v>
      </c>
      <c r="AR16" s="520">
        <v>0</v>
      </c>
      <c r="AS16" s="520">
        <v>0</v>
      </c>
      <c r="AT16" s="520">
        <v>0</v>
      </c>
      <c r="AU16" s="520">
        <v>0</v>
      </c>
      <c r="AV16" s="520">
        <v>0</v>
      </c>
      <c r="AW16" s="529">
        <v>0</v>
      </c>
      <c r="AX16" s="485">
        <f t="shared" si="1"/>
        <v>9379978.3847394902</v>
      </c>
      <c r="AY16" s="485">
        <f t="shared" si="2"/>
        <v>9379978.3847394902</v>
      </c>
      <c r="AZ16" s="485">
        <f t="shared" si="3"/>
        <v>9379978.3847394902</v>
      </c>
      <c r="BA16" s="485">
        <f t="shared" si="4"/>
        <v>0</v>
      </c>
      <c r="BC16" s="581"/>
    </row>
    <row r="17" spans="1:55" ht="14.4" customHeight="1" x14ac:dyDescent="0.25">
      <c r="A17" s="106"/>
      <c r="B17" s="406" t="s">
        <v>268</v>
      </c>
      <c r="C17" s="351" t="s">
        <v>402</v>
      </c>
      <c r="D17" s="351" t="s">
        <v>107</v>
      </c>
      <c r="E17" s="556" t="s">
        <v>31</v>
      </c>
      <c r="F17" s="353">
        <v>9</v>
      </c>
      <c r="G17" s="351"/>
      <c r="H17" s="351" t="s">
        <v>19</v>
      </c>
      <c r="I17" s="352">
        <v>1</v>
      </c>
      <c r="J17" s="352">
        <v>1</v>
      </c>
      <c r="K17" s="352">
        <v>0</v>
      </c>
      <c r="L17" s="353"/>
      <c r="M17" s="351"/>
      <c r="N17" s="351"/>
      <c r="O17" s="351"/>
      <c r="P17" s="408">
        <v>2319152</v>
      </c>
      <c r="Q17" s="494"/>
      <c r="R17" s="472">
        <v>0</v>
      </c>
      <c r="S17" s="472"/>
      <c r="T17" s="472"/>
      <c r="U17" s="472">
        <v>312462</v>
      </c>
      <c r="V17" s="472">
        <v>1392526</v>
      </c>
      <c r="W17" s="472">
        <v>614164</v>
      </c>
      <c r="X17" s="472">
        <v>0</v>
      </c>
      <c r="Y17" s="495"/>
      <c r="Z17" s="483"/>
      <c r="AA17" s="482"/>
      <c r="AB17" s="482"/>
      <c r="AC17" s="482">
        <v>649363</v>
      </c>
      <c r="AD17" s="482">
        <v>1043618</v>
      </c>
      <c r="AE17" s="482">
        <v>139149</v>
      </c>
      <c r="AF17" s="482">
        <v>487022</v>
      </c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4"/>
      <c r="AX17" s="485">
        <f t="shared" si="1"/>
        <v>2319152</v>
      </c>
      <c r="AY17" s="485">
        <f t="shared" si="2"/>
        <v>2319152</v>
      </c>
      <c r="AZ17" s="485">
        <f t="shared" si="3"/>
        <v>2319152</v>
      </c>
      <c r="BA17" s="485">
        <f t="shared" si="4"/>
        <v>0</v>
      </c>
      <c r="BC17" s="581"/>
    </row>
    <row r="18" spans="1:55" ht="15" x14ac:dyDescent="0.25">
      <c r="A18" s="106"/>
      <c r="B18" s="406" t="s">
        <v>269</v>
      </c>
      <c r="C18" s="351" t="s">
        <v>344</v>
      </c>
      <c r="D18" s="351" t="s">
        <v>107</v>
      </c>
      <c r="E18" s="556" t="s">
        <v>484</v>
      </c>
      <c r="F18" s="353">
        <v>13</v>
      </c>
      <c r="G18" s="351"/>
      <c r="H18" s="351" t="s">
        <v>19</v>
      </c>
      <c r="I18" s="352">
        <v>1</v>
      </c>
      <c r="J18" s="352">
        <v>1</v>
      </c>
      <c r="K18" s="352">
        <v>0</v>
      </c>
      <c r="L18" s="353"/>
      <c r="M18" s="351"/>
      <c r="N18" s="351"/>
      <c r="O18" s="351"/>
      <c r="P18" s="408">
        <v>2371472.0000000005</v>
      </c>
      <c r="Q18" s="494"/>
      <c r="R18" s="472">
        <v>0</v>
      </c>
      <c r="S18" s="472">
        <v>0</v>
      </c>
      <c r="T18" s="472"/>
      <c r="U18" s="472"/>
      <c r="V18" s="472">
        <v>308291</v>
      </c>
      <c r="W18" s="472">
        <v>2039466</v>
      </c>
      <c r="X18" s="472">
        <v>23715</v>
      </c>
      <c r="Y18" s="495"/>
      <c r="Z18" s="483"/>
      <c r="AA18" s="482"/>
      <c r="AB18" s="482"/>
      <c r="AC18" s="482"/>
      <c r="AD18" s="482"/>
      <c r="AE18" s="482"/>
      <c r="AF18" s="482">
        <v>2371472</v>
      </c>
      <c r="AG18" s="482"/>
      <c r="AH18" s="482"/>
      <c r="AI18" s="482"/>
      <c r="AJ18" s="482"/>
      <c r="AK18" s="482"/>
      <c r="AL18" s="482"/>
      <c r="AM18" s="482"/>
      <c r="AN18" s="482"/>
      <c r="AO18" s="482"/>
      <c r="AP18" s="482"/>
      <c r="AQ18" s="482"/>
      <c r="AR18" s="482"/>
      <c r="AS18" s="482"/>
      <c r="AT18" s="482"/>
      <c r="AU18" s="482"/>
      <c r="AV18" s="482"/>
      <c r="AW18" s="484"/>
      <c r="AX18" s="485">
        <f t="shared" si="1"/>
        <v>2371472</v>
      </c>
      <c r="AY18" s="485">
        <f t="shared" si="2"/>
        <v>2371472</v>
      </c>
      <c r="AZ18" s="485">
        <f t="shared" si="3"/>
        <v>2371472.0000000005</v>
      </c>
      <c r="BA18" s="485">
        <f t="shared" si="4"/>
        <v>0</v>
      </c>
      <c r="BC18" s="581"/>
    </row>
    <row r="19" spans="1:55" ht="14.4" customHeight="1" x14ac:dyDescent="0.25">
      <c r="A19" s="106"/>
      <c r="B19" s="406" t="s">
        <v>306</v>
      </c>
      <c r="C19" s="351" t="s">
        <v>337</v>
      </c>
      <c r="D19" s="351" t="s">
        <v>191</v>
      </c>
      <c r="E19" s="556" t="s">
        <v>31</v>
      </c>
      <c r="F19" s="353">
        <v>18</v>
      </c>
      <c r="G19" s="351"/>
      <c r="H19" s="351" t="s">
        <v>19</v>
      </c>
      <c r="I19" s="554">
        <v>1</v>
      </c>
      <c r="J19" s="554">
        <v>1</v>
      </c>
      <c r="K19" s="554">
        <v>0</v>
      </c>
      <c r="L19" s="353"/>
      <c r="M19" s="351"/>
      <c r="N19" s="351"/>
      <c r="O19" s="351"/>
      <c r="P19" s="535">
        <v>5169798.4000000004</v>
      </c>
      <c r="Q19" s="494"/>
      <c r="R19" s="472">
        <v>0</v>
      </c>
      <c r="S19" s="472">
        <v>1426609.6</v>
      </c>
      <c r="T19" s="472">
        <v>506313.60000000003</v>
      </c>
      <c r="U19" s="472">
        <v>875056</v>
      </c>
      <c r="V19" s="472">
        <v>1715209.6</v>
      </c>
      <c r="W19" s="472">
        <v>646609.6</v>
      </c>
      <c r="X19" s="472">
        <v>0</v>
      </c>
      <c r="Y19" s="495"/>
      <c r="Z19" s="483"/>
      <c r="AA19" s="482"/>
      <c r="AB19" s="482"/>
      <c r="AC19" s="482"/>
      <c r="AD19" s="482"/>
      <c r="AE19" s="482"/>
      <c r="AF19" s="482"/>
      <c r="AG19" s="482"/>
      <c r="AH19" s="482"/>
      <c r="AI19" s="482"/>
      <c r="AJ19" s="482"/>
      <c r="AK19" s="482"/>
      <c r="AL19" s="482">
        <v>5169798.4000000004</v>
      </c>
      <c r="AM19" s="482"/>
      <c r="AN19" s="482"/>
      <c r="AO19" s="482"/>
      <c r="AP19" s="482"/>
      <c r="AQ19" s="482"/>
      <c r="AR19" s="482"/>
      <c r="AS19" s="482"/>
      <c r="AT19" s="482"/>
      <c r="AU19" s="482"/>
      <c r="AV19" s="482"/>
      <c r="AW19" s="484"/>
      <c r="AX19" s="485">
        <f t="shared" si="1"/>
        <v>5169798.4000000004</v>
      </c>
      <c r="AY19" s="485">
        <f t="shared" si="2"/>
        <v>5169798.4000000004</v>
      </c>
      <c r="AZ19" s="485">
        <f t="shared" si="3"/>
        <v>5169798.4000000004</v>
      </c>
      <c r="BA19" s="485">
        <f t="shared" si="4"/>
        <v>0</v>
      </c>
      <c r="BC19" s="581"/>
    </row>
    <row r="20" spans="1:55" ht="14.4" customHeight="1" x14ac:dyDescent="0.25">
      <c r="A20" s="106"/>
      <c r="B20" s="406" t="s">
        <v>310</v>
      </c>
      <c r="C20" s="351" t="s">
        <v>337</v>
      </c>
      <c r="D20" s="351" t="s">
        <v>109</v>
      </c>
      <c r="E20" s="556" t="s">
        <v>31</v>
      </c>
      <c r="F20" s="353">
        <v>18</v>
      </c>
      <c r="G20" s="351"/>
      <c r="H20" s="351" t="s">
        <v>19</v>
      </c>
      <c r="I20" s="554">
        <v>1</v>
      </c>
      <c r="J20" s="554">
        <v>1</v>
      </c>
      <c r="K20" s="554">
        <v>0</v>
      </c>
      <c r="L20" s="353"/>
      <c r="M20" s="351"/>
      <c r="N20" s="351"/>
      <c r="O20" s="351"/>
      <c r="P20" s="535">
        <v>4772121.5999999996</v>
      </c>
      <c r="Q20" s="494"/>
      <c r="R20" s="472">
        <v>0</v>
      </c>
      <c r="S20" s="472">
        <v>1316870.3999999999</v>
      </c>
      <c r="T20" s="472">
        <v>467366.39999999997</v>
      </c>
      <c r="U20" s="472">
        <v>807744</v>
      </c>
      <c r="V20" s="472">
        <v>1583270.4</v>
      </c>
      <c r="W20" s="472">
        <v>596870.40000000002</v>
      </c>
      <c r="X20" s="472">
        <v>0</v>
      </c>
      <c r="Y20" s="495"/>
      <c r="Z20" s="483"/>
      <c r="AA20" s="482"/>
      <c r="AB20" s="486"/>
      <c r="AC20" s="482"/>
      <c r="AD20" s="482"/>
      <c r="AE20" s="482"/>
      <c r="AF20" s="482"/>
      <c r="AG20" s="482"/>
      <c r="AH20" s="482"/>
      <c r="AI20" s="482"/>
      <c r="AJ20" s="482"/>
      <c r="AK20" s="482"/>
      <c r="AL20" s="482">
        <v>4772121.5999999996</v>
      </c>
      <c r="AM20" s="482"/>
      <c r="AN20" s="482"/>
      <c r="AO20" s="482"/>
      <c r="AP20" s="482"/>
      <c r="AQ20" s="482"/>
      <c r="AR20" s="482"/>
      <c r="AS20" s="482"/>
      <c r="AT20" s="482"/>
      <c r="AU20" s="482"/>
      <c r="AV20" s="482"/>
      <c r="AW20" s="484"/>
      <c r="AX20" s="485">
        <f t="shared" si="1"/>
        <v>4772121.5999999996</v>
      </c>
      <c r="AY20" s="485">
        <f t="shared" si="2"/>
        <v>4772121.5999999996</v>
      </c>
      <c r="AZ20" s="485">
        <f t="shared" si="3"/>
        <v>4772121.5999999996</v>
      </c>
      <c r="BA20" s="485">
        <f t="shared" si="4"/>
        <v>0</v>
      </c>
      <c r="BC20" s="581"/>
    </row>
    <row r="21" spans="1:55" ht="14.4" customHeight="1" x14ac:dyDescent="0.25">
      <c r="A21" s="106"/>
      <c r="B21" s="406" t="s">
        <v>307</v>
      </c>
      <c r="C21" s="351" t="s">
        <v>338</v>
      </c>
      <c r="D21" s="351" t="s">
        <v>191</v>
      </c>
      <c r="E21" s="556" t="s">
        <v>31</v>
      </c>
      <c r="F21" s="353">
        <v>18</v>
      </c>
      <c r="G21" s="351"/>
      <c r="H21" s="351" t="s">
        <v>19</v>
      </c>
      <c r="I21" s="554">
        <v>1</v>
      </c>
      <c r="J21" s="554">
        <v>1</v>
      </c>
      <c r="K21" s="554">
        <v>0</v>
      </c>
      <c r="L21" s="353"/>
      <c r="M21" s="351"/>
      <c r="N21" s="351"/>
      <c r="O21" s="351"/>
      <c r="P21" s="535">
        <v>382843.20000000007</v>
      </c>
      <c r="Q21" s="494"/>
      <c r="R21" s="472">
        <v>0</v>
      </c>
      <c r="S21" s="472">
        <v>71731.360000000015</v>
      </c>
      <c r="T21" s="472">
        <v>91511.840000000011</v>
      </c>
      <c r="U21" s="472">
        <v>74100</v>
      </c>
      <c r="V21" s="472">
        <v>86096.319999999992</v>
      </c>
      <c r="W21" s="472">
        <v>59403.680000000008</v>
      </c>
      <c r="X21" s="472">
        <v>0</v>
      </c>
      <c r="Y21" s="495"/>
      <c r="Z21" s="483"/>
      <c r="AA21" s="482"/>
      <c r="AB21" s="482"/>
      <c r="AC21" s="482"/>
      <c r="AD21" s="482"/>
      <c r="AE21" s="482"/>
      <c r="AF21" s="482"/>
      <c r="AG21" s="482"/>
      <c r="AH21" s="482"/>
      <c r="AI21" s="482"/>
      <c r="AJ21" s="482"/>
      <c r="AK21" s="482"/>
      <c r="AL21" s="482">
        <v>382843.20000000007</v>
      </c>
      <c r="AM21" s="482"/>
      <c r="AN21" s="482"/>
      <c r="AO21" s="482"/>
      <c r="AP21" s="482"/>
      <c r="AQ21" s="482"/>
      <c r="AR21" s="482"/>
      <c r="AS21" s="482"/>
      <c r="AT21" s="482"/>
      <c r="AU21" s="482"/>
      <c r="AV21" s="482"/>
      <c r="AW21" s="484"/>
      <c r="AX21" s="485">
        <f t="shared" si="1"/>
        <v>382843.2</v>
      </c>
      <c r="AY21" s="485">
        <f t="shared" si="2"/>
        <v>382843.20000000007</v>
      </c>
      <c r="AZ21" s="485">
        <f t="shared" si="3"/>
        <v>382843.20000000007</v>
      </c>
      <c r="BA21" s="485">
        <f t="shared" si="4"/>
        <v>0</v>
      </c>
      <c r="BC21" s="581"/>
    </row>
    <row r="22" spans="1:55" ht="14.4" customHeight="1" x14ac:dyDescent="0.25">
      <c r="A22" s="106"/>
      <c r="B22" s="406" t="s">
        <v>311</v>
      </c>
      <c r="C22" s="351" t="s">
        <v>338</v>
      </c>
      <c r="D22" s="351" t="s">
        <v>109</v>
      </c>
      <c r="E22" s="556" t="s">
        <v>31</v>
      </c>
      <c r="F22" s="353">
        <v>18</v>
      </c>
      <c r="G22" s="351"/>
      <c r="H22" s="351" t="s">
        <v>19</v>
      </c>
      <c r="I22" s="554">
        <v>1</v>
      </c>
      <c r="J22" s="554">
        <v>1</v>
      </c>
      <c r="K22" s="554">
        <v>0</v>
      </c>
      <c r="L22" s="353"/>
      <c r="M22" s="351"/>
      <c r="N22" s="351"/>
      <c r="O22" s="351"/>
      <c r="P22" s="535">
        <v>2009926.8</v>
      </c>
      <c r="Q22" s="494"/>
      <c r="R22" s="472">
        <v>0</v>
      </c>
      <c r="S22" s="472">
        <v>376589.64</v>
      </c>
      <c r="T22" s="472">
        <v>480437.16000000003</v>
      </c>
      <c r="U22" s="472">
        <v>389025</v>
      </c>
      <c r="V22" s="472">
        <v>452005.68</v>
      </c>
      <c r="W22" s="472">
        <v>311869.32</v>
      </c>
      <c r="X22" s="472">
        <v>0</v>
      </c>
      <c r="Y22" s="495"/>
      <c r="Z22" s="483"/>
      <c r="AA22" s="482"/>
      <c r="AB22" s="482"/>
      <c r="AC22" s="482"/>
      <c r="AD22" s="482"/>
      <c r="AE22" s="482"/>
      <c r="AF22" s="482"/>
      <c r="AG22" s="482"/>
      <c r="AH22" s="482"/>
      <c r="AI22" s="482"/>
      <c r="AJ22" s="482"/>
      <c r="AK22" s="482"/>
      <c r="AL22" s="482">
        <v>2009926.8</v>
      </c>
      <c r="AM22" s="482"/>
      <c r="AN22" s="482"/>
      <c r="AO22" s="482"/>
      <c r="AP22" s="482"/>
      <c r="AQ22" s="482"/>
      <c r="AR22" s="482"/>
      <c r="AS22" s="482"/>
      <c r="AT22" s="482"/>
      <c r="AU22" s="482"/>
      <c r="AV22" s="482"/>
      <c r="AW22" s="484"/>
      <c r="AX22" s="485">
        <f t="shared" si="1"/>
        <v>2009926.8</v>
      </c>
      <c r="AY22" s="485">
        <f t="shared" si="2"/>
        <v>2009926.8</v>
      </c>
      <c r="AZ22" s="485">
        <f t="shared" si="3"/>
        <v>2009926.8</v>
      </c>
      <c r="BA22" s="485">
        <f t="shared" si="4"/>
        <v>0</v>
      </c>
      <c r="BC22" s="581"/>
    </row>
    <row r="23" spans="1:55" ht="14.4" customHeight="1" x14ac:dyDescent="0.25">
      <c r="A23" s="106"/>
      <c r="B23" s="406" t="s">
        <v>308</v>
      </c>
      <c r="C23" s="351" t="s">
        <v>339</v>
      </c>
      <c r="D23" s="351" t="s">
        <v>191</v>
      </c>
      <c r="E23" s="556" t="s">
        <v>31</v>
      </c>
      <c r="F23" s="353">
        <v>18</v>
      </c>
      <c r="G23" s="351"/>
      <c r="H23" s="351" t="s">
        <v>19</v>
      </c>
      <c r="I23" s="554">
        <v>1</v>
      </c>
      <c r="J23" s="554">
        <v>1</v>
      </c>
      <c r="K23" s="554">
        <v>0</v>
      </c>
      <c r="L23" s="353"/>
      <c r="M23" s="351"/>
      <c r="N23" s="351"/>
      <c r="O23" s="351"/>
      <c r="P23" s="535">
        <v>814005.76000000001</v>
      </c>
      <c r="Q23" s="494"/>
      <c r="R23" s="472">
        <v>0</v>
      </c>
      <c r="S23" s="472">
        <v>85188.319999999992</v>
      </c>
      <c r="T23" s="472">
        <v>429633.12000000005</v>
      </c>
      <c r="U23" s="472">
        <v>188550.72</v>
      </c>
      <c r="V23" s="472">
        <v>50618.080000000002</v>
      </c>
      <c r="W23" s="472">
        <v>60015.520000000004</v>
      </c>
      <c r="X23" s="472">
        <v>0</v>
      </c>
      <c r="Y23" s="495"/>
      <c r="Z23" s="483"/>
      <c r="AA23" s="482"/>
      <c r="AB23" s="482"/>
      <c r="AC23" s="482"/>
      <c r="AD23" s="482"/>
      <c r="AE23" s="482"/>
      <c r="AF23" s="482"/>
      <c r="AG23" s="482"/>
      <c r="AH23" s="482"/>
      <c r="AI23" s="482"/>
      <c r="AJ23" s="482"/>
      <c r="AK23" s="482"/>
      <c r="AL23" s="482">
        <v>814005.76000000001</v>
      </c>
      <c r="AM23" s="482"/>
      <c r="AN23" s="482"/>
      <c r="AO23" s="482"/>
      <c r="AP23" s="482"/>
      <c r="AQ23" s="482"/>
      <c r="AR23" s="482"/>
      <c r="AS23" s="482"/>
      <c r="AT23" s="482"/>
      <c r="AU23" s="482"/>
      <c r="AV23" s="482"/>
      <c r="AW23" s="484"/>
      <c r="AX23" s="485">
        <f t="shared" si="1"/>
        <v>814005.76000000001</v>
      </c>
      <c r="AY23" s="485">
        <f t="shared" si="2"/>
        <v>814005.76000000001</v>
      </c>
      <c r="AZ23" s="485">
        <f t="shared" si="3"/>
        <v>814005.76000000001</v>
      </c>
      <c r="BA23" s="485">
        <f t="shared" si="4"/>
        <v>0</v>
      </c>
      <c r="BC23" s="581"/>
    </row>
    <row r="24" spans="1:55" ht="14.4" customHeight="1" x14ac:dyDescent="0.25">
      <c r="A24" s="106"/>
      <c r="B24" s="406" t="s">
        <v>312</v>
      </c>
      <c r="C24" s="351" t="s">
        <v>339</v>
      </c>
      <c r="D24" s="351" t="s">
        <v>109</v>
      </c>
      <c r="E24" s="556" t="s">
        <v>31</v>
      </c>
      <c r="F24" s="353">
        <v>18</v>
      </c>
      <c r="G24" s="351"/>
      <c r="H24" s="351" t="s">
        <v>19</v>
      </c>
      <c r="I24" s="554">
        <v>1</v>
      </c>
      <c r="J24" s="554">
        <v>1</v>
      </c>
      <c r="K24" s="554">
        <v>0</v>
      </c>
      <c r="L24" s="353"/>
      <c r="M24" s="351"/>
      <c r="N24" s="351"/>
      <c r="O24" s="351"/>
      <c r="P24" s="535">
        <v>4273530.24</v>
      </c>
      <c r="Q24" s="494"/>
      <c r="R24" s="472">
        <v>0</v>
      </c>
      <c r="S24" s="472">
        <v>447238.67999999993</v>
      </c>
      <c r="T24" s="472">
        <v>2255573.88</v>
      </c>
      <c r="U24" s="472">
        <v>989891.27999999991</v>
      </c>
      <c r="V24" s="472">
        <v>265744.92</v>
      </c>
      <c r="W24" s="472">
        <v>315081.48000000004</v>
      </c>
      <c r="X24" s="472">
        <v>0</v>
      </c>
      <c r="Y24" s="495"/>
      <c r="Z24" s="483"/>
      <c r="AA24" s="482"/>
      <c r="AB24" s="482"/>
      <c r="AC24" s="482"/>
      <c r="AD24" s="482"/>
      <c r="AE24" s="482"/>
      <c r="AF24" s="482"/>
      <c r="AG24" s="482"/>
      <c r="AH24" s="482"/>
      <c r="AI24" s="482"/>
      <c r="AJ24" s="482"/>
      <c r="AK24" s="482"/>
      <c r="AL24" s="482">
        <v>4273530.24</v>
      </c>
      <c r="AM24" s="482"/>
      <c r="AN24" s="482"/>
      <c r="AO24" s="482"/>
      <c r="AP24" s="482"/>
      <c r="AQ24" s="482"/>
      <c r="AR24" s="482"/>
      <c r="AS24" s="482"/>
      <c r="AT24" s="482"/>
      <c r="AU24" s="482"/>
      <c r="AV24" s="482"/>
      <c r="AW24" s="484"/>
      <c r="AX24" s="485">
        <f t="shared" si="1"/>
        <v>4273530.2399999993</v>
      </c>
      <c r="AY24" s="485">
        <f t="shared" si="2"/>
        <v>4273530.24</v>
      </c>
      <c r="AZ24" s="485">
        <f t="shared" si="3"/>
        <v>4273530.24</v>
      </c>
      <c r="BA24" s="485">
        <f t="shared" si="4"/>
        <v>0</v>
      </c>
      <c r="BC24" s="581"/>
    </row>
    <row r="25" spans="1:55" ht="14.4" customHeight="1" x14ac:dyDescent="0.25">
      <c r="A25" s="106"/>
      <c r="B25" s="406" t="s">
        <v>309</v>
      </c>
      <c r="C25" s="351" t="s">
        <v>340</v>
      </c>
      <c r="D25" s="351" t="s">
        <v>191</v>
      </c>
      <c r="E25" s="556" t="s">
        <v>31</v>
      </c>
      <c r="F25" s="353">
        <v>18</v>
      </c>
      <c r="G25" s="351"/>
      <c r="H25" s="351" t="s">
        <v>19</v>
      </c>
      <c r="I25" s="554">
        <v>1</v>
      </c>
      <c r="J25" s="554">
        <v>1</v>
      </c>
      <c r="K25" s="554">
        <v>0</v>
      </c>
      <c r="L25" s="353"/>
      <c r="M25" s="351"/>
      <c r="N25" s="351"/>
      <c r="O25" s="351"/>
      <c r="P25" s="535">
        <v>278148</v>
      </c>
      <c r="Q25" s="494"/>
      <c r="R25" s="472">
        <v>0</v>
      </c>
      <c r="S25" s="472">
        <v>75800.159999999989</v>
      </c>
      <c r="T25" s="472">
        <v>27863.360000000001</v>
      </c>
      <c r="U25" s="472">
        <v>100006.24</v>
      </c>
      <c r="V25" s="472">
        <v>54784.160000000003</v>
      </c>
      <c r="W25" s="472">
        <v>19694.079999999998</v>
      </c>
      <c r="X25" s="472">
        <v>0</v>
      </c>
      <c r="Y25" s="495"/>
      <c r="Z25" s="483"/>
      <c r="AA25" s="482"/>
      <c r="AB25" s="482"/>
      <c r="AC25" s="482"/>
      <c r="AD25" s="482"/>
      <c r="AE25" s="482"/>
      <c r="AF25" s="482"/>
      <c r="AG25" s="482"/>
      <c r="AH25" s="482"/>
      <c r="AI25" s="482"/>
      <c r="AJ25" s="482"/>
      <c r="AK25" s="482"/>
      <c r="AL25" s="482">
        <v>278148</v>
      </c>
      <c r="AM25" s="482"/>
      <c r="AN25" s="482"/>
      <c r="AO25" s="482"/>
      <c r="AP25" s="482"/>
      <c r="AQ25" s="482"/>
      <c r="AR25" s="482"/>
      <c r="AS25" s="482"/>
      <c r="AT25" s="482"/>
      <c r="AU25" s="482"/>
      <c r="AV25" s="482"/>
      <c r="AW25" s="484"/>
      <c r="AX25" s="485">
        <f t="shared" si="1"/>
        <v>278148</v>
      </c>
      <c r="AY25" s="485">
        <f t="shared" si="2"/>
        <v>278148</v>
      </c>
      <c r="AZ25" s="485">
        <f t="shared" si="3"/>
        <v>278148</v>
      </c>
      <c r="BA25" s="485">
        <f t="shared" si="4"/>
        <v>0</v>
      </c>
      <c r="BC25" s="581"/>
    </row>
    <row r="26" spans="1:55" ht="14.4" customHeight="1" x14ac:dyDescent="0.25">
      <c r="A26" s="106"/>
      <c r="B26" s="406" t="s">
        <v>313</v>
      </c>
      <c r="C26" s="351" t="s">
        <v>340</v>
      </c>
      <c r="D26" s="351" t="s">
        <v>109</v>
      </c>
      <c r="E26" s="556" t="s">
        <v>31</v>
      </c>
      <c r="F26" s="353">
        <v>18</v>
      </c>
      <c r="G26" s="351"/>
      <c r="H26" s="351" t="s">
        <v>19</v>
      </c>
      <c r="I26" s="554">
        <v>1</v>
      </c>
      <c r="J26" s="554">
        <v>1</v>
      </c>
      <c r="K26" s="554">
        <v>0</v>
      </c>
      <c r="L26" s="353"/>
      <c r="M26" s="351"/>
      <c r="N26" s="351"/>
      <c r="O26" s="351"/>
      <c r="P26" s="535">
        <v>1460276.9999999998</v>
      </c>
      <c r="Q26" s="494"/>
      <c r="R26" s="472">
        <v>0</v>
      </c>
      <c r="S26" s="472">
        <v>397950.83999999997</v>
      </c>
      <c r="T26" s="472">
        <v>146282.63999999998</v>
      </c>
      <c r="U26" s="472">
        <v>525032.76</v>
      </c>
      <c r="V26" s="472">
        <v>287616.83999999997</v>
      </c>
      <c r="W26" s="472">
        <v>103393.92</v>
      </c>
      <c r="X26" s="472">
        <v>0</v>
      </c>
      <c r="Y26" s="495"/>
      <c r="Z26" s="483"/>
      <c r="AA26" s="482"/>
      <c r="AB26" s="482"/>
      <c r="AC26" s="482"/>
      <c r="AD26" s="482"/>
      <c r="AE26" s="482"/>
      <c r="AF26" s="482"/>
      <c r="AG26" s="482"/>
      <c r="AH26" s="482"/>
      <c r="AI26" s="482"/>
      <c r="AJ26" s="482"/>
      <c r="AK26" s="482"/>
      <c r="AL26" s="482">
        <v>1460276.9999999998</v>
      </c>
      <c r="AM26" s="482"/>
      <c r="AN26" s="482"/>
      <c r="AO26" s="482"/>
      <c r="AP26" s="482"/>
      <c r="AQ26" s="482"/>
      <c r="AR26" s="482"/>
      <c r="AS26" s="482"/>
      <c r="AT26" s="482"/>
      <c r="AU26" s="482"/>
      <c r="AV26" s="482"/>
      <c r="AW26" s="484"/>
      <c r="AX26" s="485">
        <f t="shared" si="1"/>
        <v>1460277</v>
      </c>
      <c r="AY26" s="485">
        <f t="shared" si="2"/>
        <v>1460276.9999999998</v>
      </c>
      <c r="AZ26" s="485">
        <f t="shared" si="3"/>
        <v>1460276.9999999998</v>
      </c>
      <c r="BA26" s="485">
        <f t="shared" si="4"/>
        <v>0</v>
      </c>
      <c r="BC26" s="581"/>
    </row>
    <row r="27" spans="1:55" ht="14.4" customHeight="1" x14ac:dyDescent="0.25">
      <c r="A27" s="106" t="s">
        <v>454</v>
      </c>
      <c r="B27" s="510" t="s">
        <v>474</v>
      </c>
      <c r="C27" s="511" t="s">
        <v>475</v>
      </c>
      <c r="D27" s="511" t="s">
        <v>109</v>
      </c>
      <c r="E27" s="555" t="s">
        <v>27</v>
      </c>
      <c r="F27" s="512">
        <v>0</v>
      </c>
      <c r="G27" s="511"/>
      <c r="H27" s="511" t="s">
        <v>327</v>
      </c>
      <c r="I27" s="512" t="s">
        <v>386</v>
      </c>
      <c r="J27" s="512">
        <v>0</v>
      </c>
      <c r="K27" s="512">
        <v>0</v>
      </c>
      <c r="L27" s="512"/>
      <c r="M27" s="511"/>
      <c r="N27" s="511"/>
      <c r="O27" s="511"/>
      <c r="P27" s="514">
        <v>505001.42355509161</v>
      </c>
      <c r="Q27" s="530"/>
      <c r="R27" s="531">
        <v>0</v>
      </c>
      <c r="S27" s="531">
        <v>505001.42355509161</v>
      </c>
      <c r="T27" s="531"/>
      <c r="U27" s="531"/>
      <c r="V27" s="531"/>
      <c r="W27" s="531"/>
      <c r="X27" s="531"/>
      <c r="Y27" s="532"/>
      <c r="Z27" s="528">
        <v>0</v>
      </c>
      <c r="AA27" s="520">
        <v>0</v>
      </c>
      <c r="AB27" s="520">
        <v>0</v>
      </c>
      <c r="AC27" s="520">
        <v>0</v>
      </c>
      <c r="AD27" s="520">
        <v>0</v>
      </c>
      <c r="AE27" s="520">
        <v>0</v>
      </c>
      <c r="AF27" s="520">
        <v>0</v>
      </c>
      <c r="AG27" s="520">
        <v>0</v>
      </c>
      <c r="AH27" s="520">
        <v>0</v>
      </c>
      <c r="AI27" s="520">
        <v>0</v>
      </c>
      <c r="AJ27" s="520">
        <v>50500.142355509161</v>
      </c>
      <c r="AK27" s="520">
        <v>252500.7117775458</v>
      </c>
      <c r="AL27" s="520">
        <v>202000.56942203664</v>
      </c>
      <c r="AM27" s="520"/>
      <c r="AN27" s="520"/>
      <c r="AO27" s="520"/>
      <c r="AP27" s="520"/>
      <c r="AQ27" s="520"/>
      <c r="AR27" s="520"/>
      <c r="AS27" s="520"/>
      <c r="AT27" s="520"/>
      <c r="AU27" s="520"/>
      <c r="AV27" s="520"/>
      <c r="AW27" s="529"/>
      <c r="AX27" s="485">
        <f t="shared" si="1"/>
        <v>505001.42355509161</v>
      </c>
      <c r="AY27" s="485">
        <f t="shared" si="2"/>
        <v>505001.42355509161</v>
      </c>
      <c r="AZ27" s="485">
        <f t="shared" si="3"/>
        <v>505001.42355509161</v>
      </c>
      <c r="BA27" s="485">
        <f t="shared" si="4"/>
        <v>0</v>
      </c>
      <c r="BC27" s="581"/>
    </row>
    <row r="28" spans="1:55" ht="14.4" customHeight="1" x14ac:dyDescent="0.25">
      <c r="A28" s="106"/>
      <c r="B28" s="406" t="s">
        <v>324</v>
      </c>
      <c r="C28" s="351" t="s">
        <v>425</v>
      </c>
      <c r="D28" s="351" t="s">
        <v>107</v>
      </c>
      <c r="E28" s="556" t="s">
        <v>31</v>
      </c>
      <c r="F28" s="353">
        <v>11</v>
      </c>
      <c r="G28" s="351"/>
      <c r="H28" s="351" t="s">
        <v>19</v>
      </c>
      <c r="I28" s="353">
        <v>1</v>
      </c>
      <c r="J28" s="353">
        <v>0</v>
      </c>
      <c r="K28" s="353">
        <v>0</v>
      </c>
      <c r="L28" s="353"/>
      <c r="M28" s="351"/>
      <c r="N28" s="351"/>
      <c r="O28" s="351"/>
      <c r="P28" s="535">
        <v>5815000</v>
      </c>
      <c r="Q28" s="494"/>
      <c r="R28" s="472"/>
      <c r="S28" s="472"/>
      <c r="T28" s="472"/>
      <c r="U28" s="472">
        <v>50000</v>
      </c>
      <c r="V28" s="472">
        <v>4217000</v>
      </c>
      <c r="W28" s="472">
        <v>1548000</v>
      </c>
      <c r="X28" s="472"/>
      <c r="Y28" s="495"/>
      <c r="Z28" s="483"/>
      <c r="AA28" s="482"/>
      <c r="AB28" s="482"/>
      <c r="AC28" s="482">
        <v>755950</v>
      </c>
      <c r="AD28" s="482">
        <v>4942750</v>
      </c>
      <c r="AE28" s="482"/>
      <c r="AF28" s="482">
        <v>116300</v>
      </c>
      <c r="AG28" s="482"/>
      <c r="AH28" s="482"/>
      <c r="AI28" s="482"/>
      <c r="AJ28" s="482"/>
      <c r="AK28" s="482"/>
      <c r="AL28" s="482"/>
      <c r="AM28" s="482"/>
      <c r="AN28" s="482"/>
      <c r="AO28" s="482"/>
      <c r="AP28" s="482"/>
      <c r="AQ28" s="482"/>
      <c r="AR28" s="482"/>
      <c r="AS28" s="482"/>
      <c r="AT28" s="482"/>
      <c r="AU28" s="482"/>
      <c r="AV28" s="482"/>
      <c r="AW28" s="484"/>
      <c r="AX28" s="485">
        <f t="shared" si="1"/>
        <v>5815000</v>
      </c>
      <c r="AY28" s="485">
        <f t="shared" si="2"/>
        <v>5815000</v>
      </c>
      <c r="AZ28" s="485">
        <f t="shared" si="3"/>
        <v>5815000</v>
      </c>
      <c r="BA28" s="485">
        <f t="shared" si="4"/>
        <v>0</v>
      </c>
      <c r="BC28" s="581"/>
    </row>
    <row r="29" spans="1:55" ht="14.4" customHeight="1" x14ac:dyDescent="0.25">
      <c r="A29" s="106" t="s">
        <v>454</v>
      </c>
      <c r="B29" s="510" t="s">
        <v>320</v>
      </c>
      <c r="C29" s="511" t="s">
        <v>318</v>
      </c>
      <c r="D29" s="511" t="s">
        <v>107</v>
      </c>
      <c r="E29" s="555" t="s">
        <v>27</v>
      </c>
      <c r="F29" s="512">
        <v>0</v>
      </c>
      <c r="G29" s="511"/>
      <c r="H29" s="511" t="s">
        <v>327</v>
      </c>
      <c r="I29" s="512" t="s">
        <v>386</v>
      </c>
      <c r="J29" s="512">
        <v>0</v>
      </c>
      <c r="K29" s="512">
        <v>0</v>
      </c>
      <c r="L29" s="512"/>
      <c r="M29" s="511"/>
      <c r="N29" s="511"/>
      <c r="O29" s="511"/>
      <c r="P29" s="514">
        <v>6108067.4916959293</v>
      </c>
      <c r="Q29" s="530">
        <v>0</v>
      </c>
      <c r="R29" s="531">
        <v>2014288.6969725729</v>
      </c>
      <c r="S29" s="531">
        <v>4093778.7947233561</v>
      </c>
      <c r="T29" s="531">
        <v>0</v>
      </c>
      <c r="U29" s="531">
        <v>0</v>
      </c>
      <c r="V29" s="531">
        <v>0</v>
      </c>
      <c r="W29" s="531">
        <v>0</v>
      </c>
      <c r="X29" s="531">
        <v>0</v>
      </c>
      <c r="Y29" s="532">
        <v>0</v>
      </c>
      <c r="Z29" s="528">
        <v>0</v>
      </c>
      <c r="AA29" s="520">
        <v>0</v>
      </c>
      <c r="AB29" s="520">
        <v>0</v>
      </c>
      <c r="AC29" s="520">
        <v>1710258.8976748602</v>
      </c>
      <c r="AD29" s="520">
        <v>2748630.3712631683</v>
      </c>
      <c r="AE29" s="520">
        <v>366484.04950175574</v>
      </c>
      <c r="AF29" s="520">
        <v>1282694.1732561449</v>
      </c>
      <c r="AG29" s="520">
        <v>0</v>
      </c>
      <c r="AH29" s="520">
        <v>0</v>
      </c>
      <c r="AI29" s="520">
        <v>0</v>
      </c>
      <c r="AJ29" s="520">
        <v>0</v>
      </c>
      <c r="AK29" s="520">
        <v>0</v>
      </c>
      <c r="AL29" s="520">
        <v>0</v>
      </c>
      <c r="AM29" s="520">
        <v>0</v>
      </c>
      <c r="AN29" s="520">
        <v>0</v>
      </c>
      <c r="AO29" s="520">
        <v>0</v>
      </c>
      <c r="AP29" s="520">
        <v>0</v>
      </c>
      <c r="AQ29" s="520">
        <v>0</v>
      </c>
      <c r="AR29" s="520">
        <v>0</v>
      </c>
      <c r="AS29" s="520">
        <v>0</v>
      </c>
      <c r="AT29" s="520">
        <v>0</v>
      </c>
      <c r="AU29" s="520">
        <v>0</v>
      </c>
      <c r="AV29" s="520">
        <v>0</v>
      </c>
      <c r="AW29" s="529">
        <v>0</v>
      </c>
      <c r="AX29" s="485">
        <f t="shared" si="1"/>
        <v>6108067.4916959293</v>
      </c>
      <c r="AY29" s="485">
        <f t="shared" si="2"/>
        <v>6108067.4916959284</v>
      </c>
      <c r="AZ29" s="485">
        <f t="shared" si="3"/>
        <v>6108067.4916959293</v>
      </c>
      <c r="BA29" s="485">
        <f t="shared" si="4"/>
        <v>0</v>
      </c>
      <c r="BC29" s="581"/>
    </row>
    <row r="30" spans="1:55" ht="14.4" customHeight="1" x14ac:dyDescent="0.25">
      <c r="A30" s="106"/>
      <c r="B30" s="406" t="s">
        <v>284</v>
      </c>
      <c r="C30" s="351" t="s">
        <v>357</v>
      </c>
      <c r="D30" s="351" t="s">
        <v>109</v>
      </c>
      <c r="E30" s="556" t="s">
        <v>31</v>
      </c>
      <c r="F30" s="353">
        <v>18</v>
      </c>
      <c r="G30" s="351"/>
      <c r="H30" s="351" t="s">
        <v>19</v>
      </c>
      <c r="I30" s="548">
        <v>1</v>
      </c>
      <c r="J30" s="548">
        <v>1</v>
      </c>
      <c r="K30" s="548">
        <v>0</v>
      </c>
      <c r="L30" s="353"/>
      <c r="M30" s="351"/>
      <c r="N30" s="351"/>
      <c r="O30" s="351"/>
      <c r="P30" s="408">
        <v>770000</v>
      </c>
      <c r="Q30" s="494"/>
      <c r="R30" s="472">
        <v>0</v>
      </c>
      <c r="S30" s="472">
        <v>323400</v>
      </c>
      <c r="T30" s="472">
        <v>100100</v>
      </c>
      <c r="U30" s="472">
        <v>223300</v>
      </c>
      <c r="V30" s="472">
        <v>100100</v>
      </c>
      <c r="W30" s="472">
        <v>23100</v>
      </c>
      <c r="X30" s="472">
        <v>0</v>
      </c>
      <c r="Y30" s="472"/>
      <c r="Z30" s="483"/>
      <c r="AA30" s="482"/>
      <c r="AB30" s="482"/>
      <c r="AC30" s="482"/>
      <c r="AD30" s="482"/>
      <c r="AE30" s="482"/>
      <c r="AF30" s="482"/>
      <c r="AG30" s="482"/>
      <c r="AH30" s="482">
        <v>770000</v>
      </c>
      <c r="AI30" s="482"/>
      <c r="AJ30" s="482"/>
      <c r="AK30" s="482"/>
      <c r="AL30" s="482"/>
      <c r="AM30" s="482"/>
      <c r="AN30" s="482"/>
      <c r="AO30" s="482"/>
      <c r="AP30" s="482"/>
      <c r="AQ30" s="482"/>
      <c r="AR30" s="482"/>
      <c r="AS30" s="482"/>
      <c r="AT30" s="482"/>
      <c r="AU30" s="482"/>
      <c r="AV30" s="482"/>
      <c r="AW30" s="484"/>
      <c r="AX30" s="485">
        <f t="shared" si="1"/>
        <v>770000</v>
      </c>
      <c r="AY30" s="485">
        <f t="shared" si="2"/>
        <v>770000</v>
      </c>
      <c r="AZ30" s="485">
        <f t="shared" si="3"/>
        <v>770000</v>
      </c>
      <c r="BA30" s="485">
        <f t="shared" si="4"/>
        <v>0</v>
      </c>
      <c r="BC30" s="581"/>
    </row>
    <row r="31" spans="1:55" ht="14.4" customHeight="1" x14ac:dyDescent="0.25">
      <c r="A31" s="106"/>
      <c r="B31" s="406" t="s">
        <v>285</v>
      </c>
      <c r="C31" s="351" t="s">
        <v>358</v>
      </c>
      <c r="D31" s="351" t="s">
        <v>109</v>
      </c>
      <c r="E31" s="556" t="s">
        <v>31</v>
      </c>
      <c r="F31" s="353">
        <v>18</v>
      </c>
      <c r="G31" s="351"/>
      <c r="H31" s="351" t="s">
        <v>19</v>
      </c>
      <c r="I31" s="548">
        <v>1</v>
      </c>
      <c r="J31" s="548">
        <v>1</v>
      </c>
      <c r="K31" s="548">
        <v>0</v>
      </c>
      <c r="L31" s="353"/>
      <c r="M31" s="351"/>
      <c r="N31" s="351"/>
      <c r="O31" s="351"/>
      <c r="P31" s="408">
        <v>3601000</v>
      </c>
      <c r="Q31" s="494"/>
      <c r="R31" s="472">
        <v>0</v>
      </c>
      <c r="S31" s="472">
        <v>580000</v>
      </c>
      <c r="T31" s="472">
        <v>385250</v>
      </c>
      <c r="U31" s="472">
        <v>1215250</v>
      </c>
      <c r="V31" s="472">
        <v>835250</v>
      </c>
      <c r="W31" s="472">
        <v>585250</v>
      </c>
      <c r="X31" s="472">
        <v>0</v>
      </c>
      <c r="Y31" s="495"/>
      <c r="Z31" s="483"/>
      <c r="AA31" s="482"/>
      <c r="AB31" s="482"/>
      <c r="AC31" s="482"/>
      <c r="AD31" s="482"/>
      <c r="AE31" s="482"/>
      <c r="AF31" s="482"/>
      <c r="AG31" s="482"/>
      <c r="AH31" s="482">
        <v>3601000</v>
      </c>
      <c r="AI31" s="482"/>
      <c r="AJ31" s="482"/>
      <c r="AK31" s="482"/>
      <c r="AL31" s="482"/>
      <c r="AM31" s="482"/>
      <c r="AN31" s="482"/>
      <c r="AO31" s="482"/>
      <c r="AP31" s="482"/>
      <c r="AQ31" s="482"/>
      <c r="AR31" s="482"/>
      <c r="AS31" s="482"/>
      <c r="AT31" s="482"/>
      <c r="AU31" s="482"/>
      <c r="AV31" s="482"/>
      <c r="AW31" s="484"/>
      <c r="AX31" s="485">
        <f t="shared" si="1"/>
        <v>3601000</v>
      </c>
      <c r="AY31" s="485">
        <f t="shared" si="2"/>
        <v>3601000</v>
      </c>
      <c r="AZ31" s="485">
        <f t="shared" si="3"/>
        <v>3601000</v>
      </c>
      <c r="BA31" s="485">
        <f t="shared" si="4"/>
        <v>0</v>
      </c>
      <c r="BC31" s="581"/>
    </row>
    <row r="32" spans="1:55" ht="14.4" customHeight="1" x14ac:dyDescent="0.25">
      <c r="A32" s="106"/>
      <c r="B32" s="406" t="s">
        <v>417</v>
      </c>
      <c r="C32" s="351" t="s">
        <v>314</v>
      </c>
      <c r="D32" s="351" t="s">
        <v>111</v>
      </c>
      <c r="E32" s="556" t="s">
        <v>29</v>
      </c>
      <c r="F32" s="353">
        <v>2</v>
      </c>
      <c r="G32" s="351"/>
      <c r="H32" s="351" t="s">
        <v>19</v>
      </c>
      <c r="I32" s="353">
        <v>1</v>
      </c>
      <c r="J32" s="353">
        <v>0</v>
      </c>
      <c r="K32" s="353">
        <v>1</v>
      </c>
      <c r="L32" s="353"/>
      <c r="M32" s="351"/>
      <c r="N32" s="351"/>
      <c r="O32" s="351"/>
      <c r="P32" s="535">
        <v>12518788</v>
      </c>
      <c r="Q32" s="494"/>
      <c r="R32" s="472">
        <v>0</v>
      </c>
      <c r="S32" s="472">
        <v>341282</v>
      </c>
      <c r="T32" s="472">
        <v>3873222</v>
      </c>
      <c r="U32" s="472">
        <v>8304284</v>
      </c>
      <c r="V32" s="472">
        <v>0</v>
      </c>
      <c r="W32" s="472">
        <v>0</v>
      </c>
      <c r="X32" s="472">
        <v>0</v>
      </c>
      <c r="Y32" s="495"/>
      <c r="Z32" s="483">
        <v>2366093</v>
      </c>
      <c r="AA32" s="482">
        <v>192589</v>
      </c>
      <c r="AB32" s="482">
        <v>192589</v>
      </c>
      <c r="AC32" s="482">
        <v>2698855</v>
      </c>
      <c r="AD32" s="482">
        <v>4337445</v>
      </c>
      <c r="AE32" s="482">
        <v>578326</v>
      </c>
      <c r="AF32" s="482">
        <v>2024141</v>
      </c>
      <c r="AG32" s="482"/>
      <c r="AH32" s="482"/>
      <c r="AI32" s="482"/>
      <c r="AJ32" s="482"/>
      <c r="AK32" s="482"/>
      <c r="AL32" s="482"/>
      <c r="AM32" s="482"/>
      <c r="AN32" s="482"/>
      <c r="AO32" s="482"/>
      <c r="AP32" s="482">
        <v>128750</v>
      </c>
      <c r="AQ32" s="482"/>
      <c r="AR32" s="482"/>
      <c r="AS32" s="482"/>
      <c r="AT32" s="482"/>
      <c r="AU32" s="482"/>
      <c r="AV32" s="482"/>
      <c r="AW32" s="484"/>
      <c r="AX32" s="485">
        <f t="shared" si="1"/>
        <v>12518788</v>
      </c>
      <c r="AY32" s="485">
        <f t="shared" si="2"/>
        <v>12518788</v>
      </c>
      <c r="AZ32" s="485">
        <f t="shared" si="3"/>
        <v>12518788</v>
      </c>
      <c r="BA32" s="485">
        <f t="shared" si="4"/>
        <v>0</v>
      </c>
      <c r="BC32" s="581"/>
    </row>
    <row r="33" spans="1:55" ht="14.4" customHeight="1" x14ac:dyDescent="0.25">
      <c r="A33" s="106"/>
      <c r="B33" s="406" t="s">
        <v>418</v>
      </c>
      <c r="C33" s="351" t="s">
        <v>345</v>
      </c>
      <c r="D33" s="351" t="s">
        <v>114</v>
      </c>
      <c r="E33" s="556" t="s">
        <v>29</v>
      </c>
      <c r="F33" s="353">
        <v>9</v>
      </c>
      <c r="G33" s="351"/>
      <c r="H33" s="351" t="s">
        <v>19</v>
      </c>
      <c r="I33" s="548">
        <v>1</v>
      </c>
      <c r="J33" s="548">
        <v>0</v>
      </c>
      <c r="K33" s="548">
        <v>0</v>
      </c>
      <c r="L33" s="353"/>
      <c r="M33" s="351"/>
      <c r="N33" s="351"/>
      <c r="O33" s="351"/>
      <c r="P33" s="408">
        <v>4268528</v>
      </c>
      <c r="Q33" s="494"/>
      <c r="R33" s="472">
        <v>0</v>
      </c>
      <c r="S33" s="472">
        <v>575103</v>
      </c>
      <c r="T33" s="472">
        <v>2563021</v>
      </c>
      <c r="U33" s="472">
        <v>1130403</v>
      </c>
      <c r="V33" s="472">
        <v>0</v>
      </c>
      <c r="W33" s="472">
        <v>0</v>
      </c>
      <c r="X33" s="472">
        <v>0</v>
      </c>
      <c r="Y33" s="495"/>
      <c r="Z33" s="483"/>
      <c r="AA33" s="482"/>
      <c r="AB33" s="482"/>
      <c r="AC33" s="482">
        <v>1195188</v>
      </c>
      <c r="AD33" s="482">
        <v>1920838</v>
      </c>
      <c r="AE33" s="482">
        <v>256112</v>
      </c>
      <c r="AF33" s="482">
        <v>896391</v>
      </c>
      <c r="AG33" s="482"/>
      <c r="AH33" s="482"/>
      <c r="AI33" s="482"/>
      <c r="AJ33" s="482"/>
      <c r="AK33" s="482"/>
      <c r="AL33" s="482"/>
      <c r="AM33" s="482"/>
      <c r="AN33" s="482"/>
      <c r="AO33" s="482"/>
      <c r="AP33" s="482"/>
      <c r="AQ33" s="482"/>
      <c r="AR33" s="482"/>
      <c r="AS33" s="482"/>
      <c r="AT33" s="482"/>
      <c r="AU33" s="482"/>
      <c r="AV33" s="482"/>
      <c r="AW33" s="484"/>
      <c r="AX33" s="485">
        <f t="shared" si="1"/>
        <v>4268527</v>
      </c>
      <c r="AY33" s="485">
        <f t="shared" si="2"/>
        <v>4268529</v>
      </c>
      <c r="AZ33" s="485">
        <f t="shared" si="3"/>
        <v>4268528</v>
      </c>
      <c r="BA33" s="485">
        <f t="shared" si="4"/>
        <v>2</v>
      </c>
      <c r="BC33" s="581"/>
    </row>
    <row r="34" spans="1:55" ht="14.4" customHeight="1" x14ac:dyDescent="0.25">
      <c r="A34" s="106" t="s">
        <v>454</v>
      </c>
      <c r="B34" s="510" t="s">
        <v>411</v>
      </c>
      <c r="C34" s="511" t="s">
        <v>412</v>
      </c>
      <c r="D34" s="511" t="s">
        <v>107</v>
      </c>
      <c r="E34" s="555" t="s">
        <v>27</v>
      </c>
      <c r="F34" s="512">
        <v>0</v>
      </c>
      <c r="G34" s="511"/>
      <c r="H34" s="511" t="s">
        <v>327</v>
      </c>
      <c r="I34" s="512" t="s">
        <v>328</v>
      </c>
      <c r="J34" s="512">
        <v>0</v>
      </c>
      <c r="K34" s="512">
        <v>0</v>
      </c>
      <c r="L34" s="512"/>
      <c r="M34" s="511"/>
      <c r="N34" s="511"/>
      <c r="O34" s="511"/>
      <c r="P34" s="514">
        <v>130538.10382461803</v>
      </c>
      <c r="Q34" s="530">
        <v>0</v>
      </c>
      <c r="R34" s="531">
        <v>0</v>
      </c>
      <c r="S34" s="531">
        <v>130538.10382461803</v>
      </c>
      <c r="T34" s="531">
        <v>0</v>
      </c>
      <c r="U34" s="531">
        <v>0</v>
      </c>
      <c r="V34" s="531">
        <v>0</v>
      </c>
      <c r="W34" s="531">
        <v>0</v>
      </c>
      <c r="X34" s="531">
        <v>0</v>
      </c>
      <c r="Y34" s="532">
        <v>0</v>
      </c>
      <c r="Z34" s="528">
        <v>112262.7692891715</v>
      </c>
      <c r="AA34" s="520">
        <v>9137.6672677232636</v>
      </c>
      <c r="AB34" s="520">
        <v>9137.6672677232636</v>
      </c>
      <c r="AC34" s="520">
        <v>0</v>
      </c>
      <c r="AD34" s="520">
        <v>0</v>
      </c>
      <c r="AE34" s="520">
        <v>0</v>
      </c>
      <c r="AF34" s="520">
        <v>0</v>
      </c>
      <c r="AG34" s="520">
        <v>0</v>
      </c>
      <c r="AH34" s="520">
        <v>0</v>
      </c>
      <c r="AI34" s="549">
        <v>0</v>
      </c>
      <c r="AJ34" s="520">
        <v>0</v>
      </c>
      <c r="AK34" s="520">
        <v>0</v>
      </c>
      <c r="AL34" s="520">
        <v>0</v>
      </c>
      <c r="AM34" s="520">
        <v>0</v>
      </c>
      <c r="AN34" s="520">
        <v>0</v>
      </c>
      <c r="AO34" s="520">
        <v>0</v>
      </c>
      <c r="AP34" s="520">
        <v>0</v>
      </c>
      <c r="AQ34" s="520">
        <v>0</v>
      </c>
      <c r="AR34" s="520">
        <v>0</v>
      </c>
      <c r="AS34" s="520">
        <v>0</v>
      </c>
      <c r="AT34" s="520">
        <v>0</v>
      </c>
      <c r="AU34" s="520">
        <v>0</v>
      </c>
      <c r="AV34" s="520">
        <v>0</v>
      </c>
      <c r="AW34" s="529">
        <v>0</v>
      </c>
      <c r="AX34" s="485">
        <f t="shared" si="1"/>
        <v>130538.10382461803</v>
      </c>
      <c r="AY34" s="485">
        <f t="shared" si="2"/>
        <v>130538.10382461804</v>
      </c>
      <c r="AZ34" s="485">
        <f t="shared" si="3"/>
        <v>130538.10382461803</v>
      </c>
      <c r="BA34" s="485">
        <f t="shared" si="4"/>
        <v>0</v>
      </c>
      <c r="BC34" s="581"/>
    </row>
    <row r="35" spans="1:55" ht="14.4" customHeight="1" x14ac:dyDescent="0.25">
      <c r="A35" s="106"/>
      <c r="B35" s="501" t="s">
        <v>391</v>
      </c>
      <c r="C35" s="351" t="s">
        <v>299</v>
      </c>
      <c r="D35" s="351" t="s">
        <v>270</v>
      </c>
      <c r="E35" s="556" t="s">
        <v>31</v>
      </c>
      <c r="F35" s="353">
        <v>18</v>
      </c>
      <c r="G35" s="351"/>
      <c r="H35" s="351" t="s">
        <v>19</v>
      </c>
      <c r="I35" s="548">
        <v>1</v>
      </c>
      <c r="J35" s="548">
        <v>1</v>
      </c>
      <c r="K35" s="548">
        <v>0</v>
      </c>
      <c r="L35" s="353"/>
      <c r="M35" s="351"/>
      <c r="N35" s="351"/>
      <c r="O35" s="351"/>
      <c r="P35" s="408">
        <v>400000</v>
      </c>
      <c r="Q35" s="58"/>
      <c r="R35" s="59">
        <v>0</v>
      </c>
      <c r="S35" s="59">
        <v>80000</v>
      </c>
      <c r="T35" s="59">
        <v>80000</v>
      </c>
      <c r="U35" s="59">
        <v>80000</v>
      </c>
      <c r="V35" s="59">
        <v>80000</v>
      </c>
      <c r="W35" s="59">
        <v>80000</v>
      </c>
      <c r="X35" s="59">
        <v>0</v>
      </c>
      <c r="Y35" s="61"/>
      <c r="Z35" s="483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2">
        <v>400000</v>
      </c>
      <c r="AL35" s="482"/>
      <c r="AM35" s="482"/>
      <c r="AN35" s="482"/>
      <c r="AO35" s="482"/>
      <c r="AP35" s="482"/>
      <c r="AQ35" s="482"/>
      <c r="AR35" s="482"/>
      <c r="AS35" s="482"/>
      <c r="AT35" s="482"/>
      <c r="AU35" s="482"/>
      <c r="AV35" s="482"/>
      <c r="AW35" s="484"/>
      <c r="AX35" s="485">
        <f t="shared" si="1"/>
        <v>400000</v>
      </c>
      <c r="AY35" s="485">
        <f t="shared" si="2"/>
        <v>400000</v>
      </c>
      <c r="AZ35" s="485">
        <f t="shared" si="3"/>
        <v>400000</v>
      </c>
      <c r="BA35" s="485">
        <f t="shared" si="4"/>
        <v>0</v>
      </c>
      <c r="BC35" s="581"/>
    </row>
    <row r="36" spans="1:55" ht="15" x14ac:dyDescent="0.25">
      <c r="A36" s="106" t="s">
        <v>454</v>
      </c>
      <c r="B36" s="580" t="s">
        <v>470</v>
      </c>
      <c r="C36" s="511" t="s">
        <v>471</v>
      </c>
      <c r="D36" s="511" t="s">
        <v>168</v>
      </c>
      <c r="E36" s="555" t="s">
        <v>27</v>
      </c>
      <c r="F36" s="512">
        <v>0</v>
      </c>
      <c r="G36" s="511"/>
      <c r="H36" s="511" t="s">
        <v>327</v>
      </c>
      <c r="I36" s="512" t="s">
        <v>386</v>
      </c>
      <c r="J36" s="512">
        <v>0</v>
      </c>
      <c r="K36" s="512">
        <v>0</v>
      </c>
      <c r="L36" s="512"/>
      <c r="M36" s="511"/>
      <c r="N36" s="511"/>
      <c r="O36" s="511"/>
      <c r="P36" s="514">
        <v>400046.88241434947</v>
      </c>
      <c r="Q36" s="525"/>
      <c r="R36" s="526">
        <v>157217.42431432096</v>
      </c>
      <c r="S36" s="526">
        <v>242829.45810002848</v>
      </c>
      <c r="T36" s="526"/>
      <c r="U36" s="526"/>
      <c r="V36" s="526"/>
      <c r="W36" s="526"/>
      <c r="X36" s="526"/>
      <c r="Y36" s="527"/>
      <c r="Z36" s="528">
        <v>0</v>
      </c>
      <c r="AA36" s="520">
        <v>0</v>
      </c>
      <c r="AB36" s="520">
        <v>0</v>
      </c>
      <c r="AC36" s="520">
        <v>0</v>
      </c>
      <c r="AD36" s="520">
        <v>0</v>
      </c>
      <c r="AE36" s="520">
        <v>0</v>
      </c>
      <c r="AF36" s="520">
        <v>0</v>
      </c>
      <c r="AG36" s="520">
        <v>0</v>
      </c>
      <c r="AH36" s="520">
        <v>0</v>
      </c>
      <c r="AI36" s="520">
        <v>0</v>
      </c>
      <c r="AJ36" s="520">
        <v>40004.688241434946</v>
      </c>
      <c r="AK36" s="520">
        <v>200023.44120717474</v>
      </c>
      <c r="AL36" s="520">
        <v>160018.75296573978</v>
      </c>
      <c r="AM36" s="520"/>
      <c r="AN36" s="520"/>
      <c r="AO36" s="520"/>
      <c r="AP36" s="520"/>
      <c r="AQ36" s="520"/>
      <c r="AR36" s="520"/>
      <c r="AS36" s="520"/>
      <c r="AT36" s="520"/>
      <c r="AU36" s="520"/>
      <c r="AV36" s="520"/>
      <c r="AW36" s="529"/>
      <c r="AX36" s="485">
        <f t="shared" ref="AX36:AX67" si="5">SUM(Q36:Y36)</f>
        <v>400046.88241434947</v>
      </c>
      <c r="AY36" s="485">
        <f t="shared" ref="AY36:AY67" si="6">SUM(Z36:AW36)</f>
        <v>400046.88241434947</v>
      </c>
      <c r="AZ36" s="485">
        <f t="shared" ref="AZ36:AZ67" si="7">P36</f>
        <v>400046.88241434947</v>
      </c>
      <c r="BA36" s="485">
        <f t="shared" ref="BA36:BA67" si="8">MAX(AX36:AZ36)-MIN(AX36:AZ36)</f>
        <v>0</v>
      </c>
      <c r="BC36" s="581"/>
    </row>
    <row r="37" spans="1:55" ht="14.4" customHeight="1" x14ac:dyDescent="0.3">
      <c r="A37" s="106"/>
      <c r="B37" s="501" t="s">
        <v>271</v>
      </c>
      <c r="C37" s="351" t="s">
        <v>346</v>
      </c>
      <c r="D37" s="351" t="s">
        <v>270</v>
      </c>
      <c r="E37" s="556" t="s">
        <v>31</v>
      </c>
      <c r="F37" s="353">
        <v>18</v>
      </c>
      <c r="G37" s="351"/>
      <c r="H37" s="351" t="s">
        <v>19</v>
      </c>
      <c r="I37" s="548">
        <v>1</v>
      </c>
      <c r="J37" s="548">
        <v>0</v>
      </c>
      <c r="K37" s="548">
        <v>0</v>
      </c>
      <c r="L37" s="353"/>
      <c r="M37" s="351"/>
      <c r="N37" s="351"/>
      <c r="O37" s="351"/>
      <c r="P37" s="408">
        <v>346150</v>
      </c>
      <c r="Q37" s="58"/>
      <c r="R37" s="59">
        <v>0</v>
      </c>
      <c r="S37" s="59">
        <v>159850</v>
      </c>
      <c r="T37" s="59">
        <v>46000</v>
      </c>
      <c r="U37" s="59">
        <v>51750</v>
      </c>
      <c r="V37" s="59">
        <v>56350</v>
      </c>
      <c r="W37" s="59">
        <v>32200</v>
      </c>
      <c r="X37" s="59">
        <v>0</v>
      </c>
      <c r="Y37" s="61"/>
      <c r="Z37" s="483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82">
        <v>346150</v>
      </c>
      <c r="AL37" s="482"/>
      <c r="AM37" s="482"/>
      <c r="AN37" s="482"/>
      <c r="AO37" s="482"/>
      <c r="AP37" s="482"/>
      <c r="AQ37" s="482"/>
      <c r="AR37" s="482"/>
      <c r="AS37" s="482"/>
      <c r="AT37" s="482"/>
      <c r="AU37" s="482"/>
      <c r="AV37" s="482"/>
      <c r="AW37" s="484"/>
      <c r="AX37" s="485">
        <f t="shared" si="5"/>
        <v>346150</v>
      </c>
      <c r="AY37" s="485">
        <f t="shared" si="6"/>
        <v>346150</v>
      </c>
      <c r="AZ37" s="485">
        <f t="shared" si="7"/>
        <v>346150</v>
      </c>
      <c r="BA37" s="485">
        <f t="shared" si="8"/>
        <v>0</v>
      </c>
      <c r="BC37" s="581"/>
    </row>
    <row r="38" spans="1:55" ht="14.4" customHeight="1" x14ac:dyDescent="0.3">
      <c r="A38" s="106"/>
      <c r="B38" s="406" t="s">
        <v>272</v>
      </c>
      <c r="C38" s="351" t="s">
        <v>347</v>
      </c>
      <c r="D38" s="351" t="s">
        <v>270</v>
      </c>
      <c r="E38" s="556" t="s">
        <v>28</v>
      </c>
      <c r="F38" s="353">
        <v>18</v>
      </c>
      <c r="G38" s="351"/>
      <c r="H38" s="351" t="s">
        <v>19</v>
      </c>
      <c r="I38" s="353">
        <v>1</v>
      </c>
      <c r="J38" s="353">
        <v>0</v>
      </c>
      <c r="K38" s="353">
        <v>0</v>
      </c>
      <c r="L38" s="353"/>
      <c r="M38" s="351"/>
      <c r="N38" s="351"/>
      <c r="O38" s="351"/>
      <c r="P38" s="535">
        <v>700000</v>
      </c>
      <c r="Q38" s="58"/>
      <c r="R38" s="59">
        <v>0</v>
      </c>
      <c r="S38" s="59">
        <v>105000</v>
      </c>
      <c r="T38" s="59">
        <v>595000</v>
      </c>
      <c r="U38" s="59"/>
      <c r="V38" s="59">
        <v>0</v>
      </c>
      <c r="W38" s="59">
        <v>0</v>
      </c>
      <c r="X38" s="59">
        <v>0</v>
      </c>
      <c r="Y38" s="61"/>
      <c r="Z38" s="483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>
        <v>700000</v>
      </c>
      <c r="AK38" s="482"/>
      <c r="AL38" s="482"/>
      <c r="AM38" s="482"/>
      <c r="AN38" s="482"/>
      <c r="AO38" s="482"/>
      <c r="AP38" s="482"/>
      <c r="AQ38" s="482"/>
      <c r="AR38" s="482"/>
      <c r="AS38" s="482"/>
      <c r="AT38" s="482"/>
      <c r="AU38" s="482"/>
      <c r="AV38" s="482"/>
      <c r="AW38" s="484"/>
      <c r="AX38" s="485">
        <f t="shared" si="5"/>
        <v>700000</v>
      </c>
      <c r="AY38" s="485">
        <f t="shared" si="6"/>
        <v>700000</v>
      </c>
      <c r="AZ38" s="485">
        <f t="shared" si="7"/>
        <v>700000</v>
      </c>
      <c r="BA38" s="485">
        <f t="shared" si="8"/>
        <v>0</v>
      </c>
      <c r="BC38" s="581"/>
    </row>
    <row r="39" spans="1:55" ht="14.4" customHeight="1" x14ac:dyDescent="0.3">
      <c r="A39" s="106"/>
      <c r="B39" s="406" t="s">
        <v>296</v>
      </c>
      <c r="C39" s="351" t="s">
        <v>373</v>
      </c>
      <c r="D39" s="351" t="s">
        <v>107</v>
      </c>
      <c r="E39" s="556" t="s">
        <v>27</v>
      </c>
      <c r="F39" s="353">
        <v>9</v>
      </c>
      <c r="G39" s="351"/>
      <c r="H39" s="351" t="s">
        <v>19</v>
      </c>
      <c r="I39" s="548">
        <v>1</v>
      </c>
      <c r="J39" s="548">
        <v>0</v>
      </c>
      <c r="K39" s="548">
        <v>0</v>
      </c>
      <c r="L39" s="353"/>
      <c r="M39" s="351"/>
      <c r="N39" s="351"/>
      <c r="O39" s="351"/>
      <c r="P39" s="408">
        <v>1452459.9999999998</v>
      </c>
      <c r="Q39" s="494"/>
      <c r="R39" s="472">
        <v>21898</v>
      </c>
      <c r="S39" s="472">
        <v>1430562</v>
      </c>
      <c r="T39" s="472">
        <v>0</v>
      </c>
      <c r="U39" s="472">
        <v>0</v>
      </c>
      <c r="V39" s="472"/>
      <c r="W39" s="472"/>
      <c r="X39" s="472">
        <v>0</v>
      </c>
      <c r="Y39" s="495"/>
      <c r="Z39" s="483"/>
      <c r="AA39" s="482"/>
      <c r="AB39" s="482"/>
      <c r="AC39" s="482">
        <v>408768</v>
      </c>
      <c r="AD39" s="482">
        <v>649523</v>
      </c>
      <c r="AE39" s="482">
        <v>87593</v>
      </c>
      <c r="AF39" s="482">
        <v>306576</v>
      </c>
      <c r="AG39" s="482"/>
      <c r="AH39" s="482"/>
      <c r="AI39" s="482"/>
      <c r="AJ39" s="482"/>
      <c r="AK39" s="482"/>
      <c r="AL39" s="482"/>
      <c r="AM39" s="482"/>
      <c r="AN39" s="482"/>
      <c r="AO39" s="482"/>
      <c r="AP39" s="482"/>
      <c r="AQ39" s="482"/>
      <c r="AR39" s="482"/>
      <c r="AS39" s="482"/>
      <c r="AT39" s="482"/>
      <c r="AU39" s="482"/>
      <c r="AV39" s="482"/>
      <c r="AW39" s="484"/>
      <c r="AX39" s="485">
        <f t="shared" si="5"/>
        <v>1452460</v>
      </c>
      <c r="AY39" s="485">
        <f t="shared" si="6"/>
        <v>1452460</v>
      </c>
      <c r="AZ39" s="485">
        <f t="shared" si="7"/>
        <v>1452459.9999999998</v>
      </c>
      <c r="BA39" s="485">
        <f t="shared" si="8"/>
        <v>0</v>
      </c>
      <c r="BC39" s="581"/>
    </row>
    <row r="40" spans="1:55" ht="14.4" customHeight="1" x14ac:dyDescent="0.3">
      <c r="A40" s="106" t="s">
        <v>454</v>
      </c>
      <c r="B40" s="510" t="s">
        <v>323</v>
      </c>
      <c r="C40" s="511" t="s">
        <v>383</v>
      </c>
      <c r="D40" s="511" t="s">
        <v>107</v>
      </c>
      <c r="E40" s="555" t="s">
        <v>27</v>
      </c>
      <c r="F40" s="512">
        <v>0</v>
      </c>
      <c r="G40" s="511"/>
      <c r="H40" s="511" t="s">
        <v>327</v>
      </c>
      <c r="I40" s="512" t="s">
        <v>328</v>
      </c>
      <c r="J40" s="512">
        <v>0</v>
      </c>
      <c r="K40" s="512">
        <v>0</v>
      </c>
      <c r="L40" s="512"/>
      <c r="M40" s="511"/>
      <c r="N40" s="511"/>
      <c r="O40" s="511"/>
      <c r="P40" s="514">
        <v>14292.493119483725</v>
      </c>
      <c r="Q40" s="530">
        <v>0</v>
      </c>
      <c r="R40" s="531">
        <v>0</v>
      </c>
      <c r="S40" s="531">
        <v>14292.493119483725</v>
      </c>
      <c r="T40" s="531">
        <v>0</v>
      </c>
      <c r="U40" s="531">
        <v>0</v>
      </c>
      <c r="V40" s="531">
        <v>0</v>
      </c>
      <c r="W40" s="531">
        <v>0</v>
      </c>
      <c r="X40" s="531">
        <v>0</v>
      </c>
      <c r="Y40" s="532">
        <v>0</v>
      </c>
      <c r="Z40" s="528">
        <v>0</v>
      </c>
      <c r="AA40" s="520">
        <v>0</v>
      </c>
      <c r="AB40" s="520">
        <v>0</v>
      </c>
      <c r="AC40" s="520">
        <v>1858.0241055328843</v>
      </c>
      <c r="AD40" s="520">
        <v>12148.619151561166</v>
      </c>
      <c r="AE40" s="520">
        <v>0</v>
      </c>
      <c r="AF40" s="520">
        <v>285.84986238967451</v>
      </c>
      <c r="AG40" s="520">
        <v>0</v>
      </c>
      <c r="AH40" s="520">
        <v>0</v>
      </c>
      <c r="AI40" s="520">
        <v>0</v>
      </c>
      <c r="AJ40" s="520">
        <v>0</v>
      </c>
      <c r="AK40" s="520">
        <v>0</v>
      </c>
      <c r="AL40" s="520">
        <v>0</v>
      </c>
      <c r="AM40" s="520">
        <v>0</v>
      </c>
      <c r="AN40" s="520">
        <v>0</v>
      </c>
      <c r="AO40" s="520">
        <v>0</v>
      </c>
      <c r="AP40" s="520">
        <v>0</v>
      </c>
      <c r="AQ40" s="520">
        <v>0</v>
      </c>
      <c r="AR40" s="520">
        <v>0</v>
      </c>
      <c r="AS40" s="520">
        <v>0</v>
      </c>
      <c r="AT40" s="520">
        <v>0</v>
      </c>
      <c r="AU40" s="520">
        <v>0</v>
      </c>
      <c r="AV40" s="520">
        <v>0</v>
      </c>
      <c r="AW40" s="529">
        <v>0</v>
      </c>
      <c r="AX40" s="485">
        <f t="shared" si="5"/>
        <v>14292.493119483725</v>
      </c>
      <c r="AY40" s="485">
        <f t="shared" si="6"/>
        <v>14292.493119483725</v>
      </c>
      <c r="AZ40" s="485">
        <f t="shared" si="7"/>
        <v>14292.493119483725</v>
      </c>
      <c r="BA40" s="485">
        <f t="shared" si="8"/>
        <v>0</v>
      </c>
      <c r="BC40" s="581"/>
    </row>
    <row r="41" spans="1:55" ht="14.4" customHeight="1" x14ac:dyDescent="0.3">
      <c r="A41" s="106"/>
      <c r="B41" s="406" t="s">
        <v>297</v>
      </c>
      <c r="C41" s="351" t="s">
        <v>374</v>
      </c>
      <c r="D41" s="351" t="s">
        <v>107</v>
      </c>
      <c r="E41" s="556" t="s">
        <v>28</v>
      </c>
      <c r="F41" s="353">
        <v>9</v>
      </c>
      <c r="G41" s="351"/>
      <c r="H41" s="351" t="s">
        <v>19</v>
      </c>
      <c r="I41" s="548">
        <v>1</v>
      </c>
      <c r="J41" s="548">
        <v>0</v>
      </c>
      <c r="K41" s="548">
        <v>0</v>
      </c>
      <c r="L41" s="353"/>
      <c r="M41" s="351"/>
      <c r="N41" s="351"/>
      <c r="O41" s="351"/>
      <c r="P41" s="408">
        <v>983803</v>
      </c>
      <c r="Q41" s="494"/>
      <c r="R41" s="472">
        <v>132549</v>
      </c>
      <c r="S41" s="472">
        <v>590721</v>
      </c>
      <c r="T41" s="472">
        <v>260533</v>
      </c>
      <c r="U41" s="472"/>
      <c r="V41" s="472"/>
      <c r="W41" s="472"/>
      <c r="X41" s="472">
        <v>0</v>
      </c>
      <c r="Y41" s="495"/>
      <c r="Z41" s="483"/>
      <c r="AA41" s="482"/>
      <c r="AB41" s="482"/>
      <c r="AC41" s="482">
        <v>275465</v>
      </c>
      <c r="AD41" s="482">
        <v>442712</v>
      </c>
      <c r="AE41" s="482">
        <v>59028</v>
      </c>
      <c r="AF41" s="482">
        <v>206599</v>
      </c>
      <c r="AG41" s="482"/>
      <c r="AH41" s="482"/>
      <c r="AI41" s="482"/>
      <c r="AJ41" s="482"/>
      <c r="AK41" s="482"/>
      <c r="AL41" s="482"/>
      <c r="AM41" s="482"/>
      <c r="AN41" s="482"/>
      <c r="AO41" s="482"/>
      <c r="AP41" s="482"/>
      <c r="AQ41" s="482"/>
      <c r="AR41" s="482"/>
      <c r="AS41" s="482"/>
      <c r="AT41" s="482"/>
      <c r="AU41" s="482"/>
      <c r="AV41" s="482"/>
      <c r="AW41" s="484"/>
      <c r="AX41" s="485">
        <f t="shared" si="5"/>
        <v>983803</v>
      </c>
      <c r="AY41" s="485">
        <f t="shared" si="6"/>
        <v>983804</v>
      </c>
      <c r="AZ41" s="485">
        <f t="shared" si="7"/>
        <v>983803</v>
      </c>
      <c r="BA41" s="485">
        <f t="shared" si="8"/>
        <v>1</v>
      </c>
      <c r="BC41" s="581"/>
    </row>
    <row r="42" spans="1:55" ht="14.4" customHeight="1" x14ac:dyDescent="0.3">
      <c r="A42" s="106"/>
      <c r="B42" s="406" t="s">
        <v>390</v>
      </c>
      <c r="C42" s="351" t="s">
        <v>378</v>
      </c>
      <c r="D42" s="351" t="s">
        <v>107</v>
      </c>
      <c r="E42" s="556" t="s">
        <v>29</v>
      </c>
      <c r="F42" s="353">
        <v>9</v>
      </c>
      <c r="G42" s="351"/>
      <c r="H42" s="351" t="s">
        <v>19</v>
      </c>
      <c r="I42" s="548">
        <v>1</v>
      </c>
      <c r="J42" s="548">
        <v>1</v>
      </c>
      <c r="K42" s="548">
        <v>0</v>
      </c>
      <c r="L42" s="353"/>
      <c r="M42" s="351"/>
      <c r="N42" s="351"/>
      <c r="O42" s="351"/>
      <c r="P42" s="408">
        <v>3256900</v>
      </c>
      <c r="Q42" s="494"/>
      <c r="R42" s="472"/>
      <c r="S42" s="472">
        <v>438806</v>
      </c>
      <c r="T42" s="472">
        <v>1955593</v>
      </c>
      <c r="U42" s="472">
        <v>862501</v>
      </c>
      <c r="V42" s="472">
        <v>0</v>
      </c>
      <c r="W42" s="472">
        <v>0</v>
      </c>
      <c r="X42" s="472">
        <v>0</v>
      </c>
      <c r="Y42" s="495"/>
      <c r="Z42" s="483"/>
      <c r="AA42" s="482"/>
      <c r="AB42" s="482"/>
      <c r="AC42" s="482">
        <v>911932</v>
      </c>
      <c r="AD42" s="482">
        <v>1465605</v>
      </c>
      <c r="AE42" s="482">
        <v>195414</v>
      </c>
      <c r="AF42" s="482">
        <v>683949</v>
      </c>
      <c r="AG42" s="482">
        <v>0</v>
      </c>
      <c r="AH42" s="482">
        <v>0</v>
      </c>
      <c r="AI42" s="482">
        <v>0</v>
      </c>
      <c r="AJ42" s="482">
        <v>0</v>
      </c>
      <c r="AK42" s="482">
        <v>0</v>
      </c>
      <c r="AL42" s="482">
        <v>0</v>
      </c>
      <c r="AM42" s="482">
        <v>0</v>
      </c>
      <c r="AN42" s="482">
        <v>0</v>
      </c>
      <c r="AO42" s="482">
        <v>0</v>
      </c>
      <c r="AP42" s="482">
        <v>0</v>
      </c>
      <c r="AQ42" s="482">
        <v>0</v>
      </c>
      <c r="AR42" s="482">
        <v>0</v>
      </c>
      <c r="AS42" s="482">
        <v>0</v>
      </c>
      <c r="AT42" s="482">
        <v>0</v>
      </c>
      <c r="AU42" s="482">
        <v>0</v>
      </c>
      <c r="AV42" s="482">
        <v>0</v>
      </c>
      <c r="AW42" s="484">
        <v>0</v>
      </c>
      <c r="AX42" s="485">
        <f t="shared" si="5"/>
        <v>3256900</v>
      </c>
      <c r="AY42" s="485">
        <f t="shared" si="6"/>
        <v>3256900</v>
      </c>
      <c r="AZ42" s="485">
        <f t="shared" si="7"/>
        <v>3256900</v>
      </c>
      <c r="BA42" s="485">
        <f t="shared" si="8"/>
        <v>0</v>
      </c>
      <c r="BC42" s="581"/>
    </row>
    <row r="43" spans="1:55" x14ac:dyDescent="0.3">
      <c r="A43" s="106"/>
      <c r="B43" s="406" t="s">
        <v>419</v>
      </c>
      <c r="C43" s="351" t="s">
        <v>348</v>
      </c>
      <c r="D43" s="351" t="s">
        <v>114</v>
      </c>
      <c r="E43" s="556" t="s">
        <v>29</v>
      </c>
      <c r="F43" s="353">
        <v>11</v>
      </c>
      <c r="G43" s="351"/>
      <c r="H43" s="351" t="s">
        <v>19</v>
      </c>
      <c r="I43" s="548">
        <v>1</v>
      </c>
      <c r="J43" s="548">
        <v>0</v>
      </c>
      <c r="K43" s="548">
        <v>0</v>
      </c>
      <c r="L43" s="353"/>
      <c r="M43" s="351"/>
      <c r="N43" s="351"/>
      <c r="O43" s="351"/>
      <c r="P43" s="408">
        <v>5505488</v>
      </c>
      <c r="Q43" s="494"/>
      <c r="R43" s="472"/>
      <c r="S43" s="472">
        <v>631674</v>
      </c>
      <c r="T43" s="472">
        <v>4768049</v>
      </c>
      <c r="U43" s="472">
        <v>105765</v>
      </c>
      <c r="V43" s="472">
        <v>0</v>
      </c>
      <c r="W43" s="472">
        <v>0</v>
      </c>
      <c r="X43" s="472">
        <v>0</v>
      </c>
      <c r="Y43" s="495"/>
      <c r="Z43" s="483"/>
      <c r="AA43" s="482"/>
      <c r="AB43" s="482"/>
      <c r="AC43" s="482">
        <v>947537</v>
      </c>
      <c r="AD43" s="482">
        <v>4061470</v>
      </c>
      <c r="AE43" s="482">
        <v>92729</v>
      </c>
      <c r="AF43" s="482">
        <v>403753</v>
      </c>
      <c r="AG43" s="482"/>
      <c r="AH43" s="482"/>
      <c r="AI43" s="482"/>
      <c r="AJ43" s="482"/>
      <c r="AK43" s="482"/>
      <c r="AL43" s="482"/>
      <c r="AM43" s="482"/>
      <c r="AN43" s="482"/>
      <c r="AO43" s="482"/>
      <c r="AP43" s="482"/>
      <c r="AQ43" s="482"/>
      <c r="AR43" s="482"/>
      <c r="AS43" s="482"/>
      <c r="AT43" s="482"/>
      <c r="AU43" s="482"/>
      <c r="AV43" s="482"/>
      <c r="AW43" s="484"/>
      <c r="AX43" s="485">
        <f t="shared" si="5"/>
        <v>5505488</v>
      </c>
      <c r="AY43" s="485">
        <f t="shared" si="6"/>
        <v>5505489</v>
      </c>
      <c r="AZ43" s="485">
        <f t="shared" si="7"/>
        <v>5505488</v>
      </c>
      <c r="BA43" s="485">
        <f t="shared" si="8"/>
        <v>1</v>
      </c>
      <c r="BC43" s="581"/>
    </row>
    <row r="44" spans="1:55" ht="14.4" customHeight="1" x14ac:dyDescent="0.3">
      <c r="A44" s="106"/>
      <c r="B44" s="406" t="s">
        <v>273</v>
      </c>
      <c r="C44" s="351" t="s">
        <v>349</v>
      </c>
      <c r="D44" s="351" t="s">
        <v>107</v>
      </c>
      <c r="E44" s="556" t="s">
        <v>29</v>
      </c>
      <c r="F44" s="353">
        <v>13</v>
      </c>
      <c r="G44" s="351"/>
      <c r="H44" s="351" t="s">
        <v>19</v>
      </c>
      <c r="I44" s="353">
        <v>1</v>
      </c>
      <c r="J44" s="353">
        <v>1</v>
      </c>
      <c r="K44" s="353">
        <v>0</v>
      </c>
      <c r="L44" s="353"/>
      <c r="M44" s="351"/>
      <c r="N44" s="351"/>
      <c r="O44" s="351"/>
      <c r="P44" s="535">
        <v>3299153</v>
      </c>
      <c r="Q44" s="494"/>
      <c r="R44" s="472">
        <v>0</v>
      </c>
      <c r="S44" s="472">
        <v>428890</v>
      </c>
      <c r="T44" s="472">
        <v>2837271</v>
      </c>
      <c r="U44" s="472">
        <v>32992</v>
      </c>
      <c r="V44" s="472">
        <v>0</v>
      </c>
      <c r="W44" s="472">
        <v>0</v>
      </c>
      <c r="X44" s="472">
        <v>0</v>
      </c>
      <c r="Y44" s="495"/>
      <c r="Z44" s="483"/>
      <c r="AA44" s="482"/>
      <c r="AB44" s="482"/>
      <c r="AC44" s="482"/>
      <c r="AD44" s="482"/>
      <c r="AE44" s="482"/>
      <c r="AF44" s="482">
        <v>3299153</v>
      </c>
      <c r="AG44" s="482"/>
      <c r="AH44" s="482"/>
      <c r="AI44" s="482"/>
      <c r="AJ44" s="482"/>
      <c r="AK44" s="482"/>
      <c r="AL44" s="482"/>
      <c r="AM44" s="482"/>
      <c r="AN44" s="482"/>
      <c r="AO44" s="482"/>
      <c r="AP44" s="482"/>
      <c r="AQ44" s="482"/>
      <c r="AR44" s="482"/>
      <c r="AS44" s="482"/>
      <c r="AT44" s="482"/>
      <c r="AU44" s="482"/>
      <c r="AV44" s="482"/>
      <c r="AW44" s="484"/>
      <c r="AX44" s="485">
        <f t="shared" si="5"/>
        <v>3299153</v>
      </c>
      <c r="AY44" s="485">
        <f t="shared" si="6"/>
        <v>3299153</v>
      </c>
      <c r="AZ44" s="485">
        <f t="shared" si="7"/>
        <v>3299153</v>
      </c>
      <c r="BA44" s="485">
        <f t="shared" si="8"/>
        <v>0</v>
      </c>
      <c r="BC44" s="581"/>
    </row>
    <row r="45" spans="1:55" x14ac:dyDescent="0.3">
      <c r="A45" s="106"/>
      <c r="B45" s="406" t="s">
        <v>274</v>
      </c>
      <c r="C45" s="351" t="s">
        <v>385</v>
      </c>
      <c r="D45" s="351" t="s">
        <v>109</v>
      </c>
      <c r="E45" s="556" t="s">
        <v>31</v>
      </c>
      <c r="F45" s="353">
        <v>18</v>
      </c>
      <c r="G45" s="351"/>
      <c r="H45" s="351" t="s">
        <v>19</v>
      </c>
      <c r="I45" s="353">
        <v>1</v>
      </c>
      <c r="J45" s="353">
        <v>1</v>
      </c>
      <c r="K45" s="353">
        <v>0</v>
      </c>
      <c r="L45" s="353"/>
      <c r="M45" s="351"/>
      <c r="N45" s="351"/>
      <c r="O45" s="351"/>
      <c r="P45" s="535">
        <v>1500000</v>
      </c>
      <c r="Q45" s="58"/>
      <c r="R45" s="59">
        <v>0</v>
      </c>
      <c r="S45" s="59">
        <v>300000</v>
      </c>
      <c r="T45" s="59">
        <v>300000</v>
      </c>
      <c r="U45" s="59">
        <v>300000</v>
      </c>
      <c r="V45" s="59">
        <v>300000</v>
      </c>
      <c r="W45" s="59">
        <v>300000</v>
      </c>
      <c r="X45" s="59">
        <v>0</v>
      </c>
      <c r="Y45" s="61"/>
      <c r="Z45" s="483"/>
      <c r="AA45" s="482"/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>
        <v>1500000</v>
      </c>
      <c r="AM45" s="482"/>
      <c r="AN45" s="482"/>
      <c r="AO45" s="482"/>
      <c r="AP45" s="482"/>
      <c r="AQ45" s="482"/>
      <c r="AR45" s="482"/>
      <c r="AS45" s="482"/>
      <c r="AT45" s="482"/>
      <c r="AU45" s="482"/>
      <c r="AV45" s="482"/>
      <c r="AW45" s="484"/>
      <c r="AX45" s="485">
        <f t="shared" si="5"/>
        <v>1500000</v>
      </c>
      <c r="AY45" s="485">
        <f t="shared" si="6"/>
        <v>1500000</v>
      </c>
      <c r="AZ45" s="485">
        <f t="shared" si="7"/>
        <v>1500000</v>
      </c>
      <c r="BA45" s="485">
        <f t="shared" si="8"/>
        <v>0</v>
      </c>
      <c r="BC45" s="581"/>
    </row>
    <row r="46" spans="1:55" ht="14.4" customHeight="1" x14ac:dyDescent="0.3">
      <c r="A46" s="106"/>
      <c r="B46" s="406" t="s">
        <v>420</v>
      </c>
      <c r="C46" s="351" t="s">
        <v>479</v>
      </c>
      <c r="D46" s="351" t="s">
        <v>107</v>
      </c>
      <c r="E46" s="556" t="s">
        <v>316</v>
      </c>
      <c r="F46" s="353">
        <v>10</v>
      </c>
      <c r="G46" s="351"/>
      <c r="H46" s="351" t="s">
        <v>19</v>
      </c>
      <c r="I46" s="353">
        <v>0</v>
      </c>
      <c r="J46" s="353">
        <v>0</v>
      </c>
      <c r="K46" s="353">
        <v>0</v>
      </c>
      <c r="L46" s="353"/>
      <c r="M46" s="351"/>
      <c r="N46" s="351"/>
      <c r="O46" s="351"/>
      <c r="P46" s="535">
        <v>8241904</v>
      </c>
      <c r="Q46" s="494"/>
      <c r="R46" s="472">
        <v>0</v>
      </c>
      <c r="S46" s="472">
        <v>0</v>
      </c>
      <c r="T46" s="472">
        <v>0</v>
      </c>
      <c r="U46" s="472">
        <v>0</v>
      </c>
      <c r="V46" s="472">
        <v>0</v>
      </c>
      <c r="W46" s="472">
        <v>2514411</v>
      </c>
      <c r="X46" s="472">
        <v>5727494</v>
      </c>
      <c r="Y46" s="495"/>
      <c r="Z46" s="483">
        <v>3499881</v>
      </c>
      <c r="AA46" s="482">
        <v>3810981</v>
      </c>
      <c r="AB46" s="482">
        <v>466651</v>
      </c>
      <c r="AC46" s="482">
        <v>40738</v>
      </c>
      <c r="AD46" s="482">
        <v>65471</v>
      </c>
      <c r="AE46" s="482">
        <v>8730</v>
      </c>
      <c r="AF46" s="482">
        <v>30553</v>
      </c>
      <c r="AG46" s="482"/>
      <c r="AH46" s="482"/>
      <c r="AI46" s="482"/>
      <c r="AJ46" s="482"/>
      <c r="AK46" s="482"/>
      <c r="AL46" s="482"/>
      <c r="AM46" s="482"/>
      <c r="AN46" s="482"/>
      <c r="AO46" s="482"/>
      <c r="AP46" s="482">
        <v>318900</v>
      </c>
      <c r="AQ46" s="482"/>
      <c r="AR46" s="482"/>
      <c r="AS46" s="482"/>
      <c r="AT46" s="482"/>
      <c r="AU46" s="482"/>
      <c r="AV46" s="482"/>
      <c r="AW46" s="484"/>
      <c r="AX46" s="485">
        <f t="shared" si="5"/>
        <v>8241905</v>
      </c>
      <c r="AY46" s="485">
        <f t="shared" si="6"/>
        <v>8241905</v>
      </c>
      <c r="AZ46" s="485">
        <f t="shared" si="7"/>
        <v>8241904</v>
      </c>
      <c r="BA46" s="485">
        <f t="shared" si="8"/>
        <v>1</v>
      </c>
      <c r="BC46" s="581"/>
    </row>
    <row r="47" spans="1:55" ht="14.4" customHeight="1" x14ac:dyDescent="0.3">
      <c r="A47" s="106"/>
      <c r="B47" s="406" t="s">
        <v>439</v>
      </c>
      <c r="C47" s="351" t="s">
        <v>424</v>
      </c>
      <c r="D47" s="351" t="s">
        <v>114</v>
      </c>
      <c r="E47" s="556" t="s">
        <v>30</v>
      </c>
      <c r="F47" s="353">
        <v>11</v>
      </c>
      <c r="G47" s="351"/>
      <c r="H47" s="351" t="s">
        <v>19</v>
      </c>
      <c r="I47" s="548">
        <v>1</v>
      </c>
      <c r="J47" s="548">
        <v>0</v>
      </c>
      <c r="K47" s="548">
        <v>0</v>
      </c>
      <c r="L47" s="353"/>
      <c r="M47" s="351"/>
      <c r="N47" s="351"/>
      <c r="O47" s="351"/>
      <c r="P47" s="408">
        <v>3271970</v>
      </c>
      <c r="Q47" s="472"/>
      <c r="R47" s="472">
        <v>0</v>
      </c>
      <c r="S47" s="472"/>
      <c r="T47" s="472">
        <v>196585</v>
      </c>
      <c r="U47" s="472">
        <v>2110612</v>
      </c>
      <c r="V47" s="472">
        <v>964774</v>
      </c>
      <c r="W47" s="472"/>
      <c r="X47" s="472">
        <v>0</v>
      </c>
      <c r="Y47" s="495"/>
      <c r="Z47" s="483"/>
      <c r="AA47" s="482"/>
      <c r="AB47" s="482"/>
      <c r="AC47" s="482">
        <v>610152</v>
      </c>
      <c r="AD47" s="482">
        <v>2288387</v>
      </c>
      <c r="AE47" s="482">
        <v>73918</v>
      </c>
      <c r="AF47" s="482">
        <v>299514</v>
      </c>
      <c r="AG47" s="482"/>
      <c r="AH47" s="482"/>
      <c r="AI47" s="482"/>
      <c r="AJ47" s="482"/>
      <c r="AK47" s="482"/>
      <c r="AL47" s="482"/>
      <c r="AM47" s="482"/>
      <c r="AN47" s="482"/>
      <c r="AO47" s="482"/>
      <c r="AP47" s="482"/>
      <c r="AQ47" s="482"/>
      <c r="AR47" s="482"/>
      <c r="AS47" s="482"/>
      <c r="AT47" s="482"/>
      <c r="AU47" s="482"/>
      <c r="AV47" s="482"/>
      <c r="AW47" s="484"/>
      <c r="AX47" s="485">
        <f t="shared" si="5"/>
        <v>3271971</v>
      </c>
      <c r="AY47" s="485">
        <f t="shared" si="6"/>
        <v>3271971</v>
      </c>
      <c r="AZ47" s="485">
        <f t="shared" si="7"/>
        <v>3271970</v>
      </c>
      <c r="BA47" s="485">
        <f t="shared" si="8"/>
        <v>1</v>
      </c>
      <c r="BC47" s="581"/>
    </row>
    <row r="48" spans="1:55" ht="14.4" customHeight="1" x14ac:dyDescent="0.3">
      <c r="A48" s="106"/>
      <c r="B48" s="406" t="s">
        <v>275</v>
      </c>
      <c r="C48" s="351" t="s">
        <v>213</v>
      </c>
      <c r="D48" s="351" t="s">
        <v>187</v>
      </c>
      <c r="E48" s="556" t="s">
        <v>31</v>
      </c>
      <c r="F48" s="353">
        <v>15</v>
      </c>
      <c r="G48" s="351"/>
      <c r="H48" s="351" t="s">
        <v>19</v>
      </c>
      <c r="I48" s="548">
        <v>1</v>
      </c>
      <c r="J48" s="548">
        <v>1</v>
      </c>
      <c r="K48" s="548">
        <v>1</v>
      </c>
      <c r="L48" s="353"/>
      <c r="M48" s="351"/>
      <c r="N48" s="351"/>
      <c r="O48" s="351"/>
      <c r="P48" s="408">
        <v>1835411</v>
      </c>
      <c r="Q48" s="494"/>
      <c r="R48" s="472">
        <v>0</v>
      </c>
      <c r="S48" s="472">
        <v>367082</v>
      </c>
      <c r="T48" s="472">
        <v>367082</v>
      </c>
      <c r="U48" s="472">
        <v>367082</v>
      </c>
      <c r="V48" s="472">
        <v>367082</v>
      </c>
      <c r="W48" s="472">
        <v>367082</v>
      </c>
      <c r="X48" s="472">
        <v>0</v>
      </c>
      <c r="Y48" s="495"/>
      <c r="Z48" s="483"/>
      <c r="AA48" s="482"/>
      <c r="AB48" s="482"/>
      <c r="AC48" s="482"/>
      <c r="AD48" s="482"/>
      <c r="AE48" s="482"/>
      <c r="AF48" s="482"/>
      <c r="AG48" s="482"/>
      <c r="AH48" s="482"/>
      <c r="AI48" s="482"/>
      <c r="AJ48" s="482"/>
      <c r="AK48" s="482"/>
      <c r="AL48" s="482"/>
      <c r="AM48" s="482"/>
      <c r="AN48" s="482"/>
      <c r="AO48" s="482"/>
      <c r="AP48" s="482">
        <v>1835411</v>
      </c>
      <c r="AQ48" s="482"/>
      <c r="AR48" s="482"/>
      <c r="AS48" s="482"/>
      <c r="AT48" s="482"/>
      <c r="AU48" s="482"/>
      <c r="AV48" s="482"/>
      <c r="AW48" s="484"/>
      <c r="AX48" s="485">
        <f t="shared" si="5"/>
        <v>1835410</v>
      </c>
      <c r="AY48" s="485">
        <f t="shared" si="6"/>
        <v>1835411</v>
      </c>
      <c r="AZ48" s="485">
        <f t="shared" si="7"/>
        <v>1835411</v>
      </c>
      <c r="BA48" s="485">
        <f t="shared" si="8"/>
        <v>1</v>
      </c>
      <c r="BC48" s="581"/>
    </row>
    <row r="49" spans="1:55" x14ac:dyDescent="0.3">
      <c r="A49" s="106"/>
      <c r="B49" s="406" t="s">
        <v>444</v>
      </c>
      <c r="C49" s="351" t="s">
        <v>400</v>
      </c>
      <c r="D49" s="351" t="s">
        <v>188</v>
      </c>
      <c r="E49" s="556" t="s">
        <v>29</v>
      </c>
      <c r="F49" s="353">
        <v>11</v>
      </c>
      <c r="G49" s="351"/>
      <c r="H49" s="351" t="s">
        <v>19</v>
      </c>
      <c r="I49" s="548">
        <v>1</v>
      </c>
      <c r="J49" s="548">
        <v>0</v>
      </c>
      <c r="K49" s="548">
        <v>0</v>
      </c>
      <c r="L49" s="353"/>
      <c r="M49" s="351"/>
      <c r="N49" s="351"/>
      <c r="O49" s="351"/>
      <c r="P49" s="408">
        <v>1453792</v>
      </c>
      <c r="Q49" s="494"/>
      <c r="R49" s="472"/>
      <c r="S49" s="472">
        <v>180690</v>
      </c>
      <c r="T49" s="472">
        <v>1247489</v>
      </c>
      <c r="U49" s="472">
        <v>25614</v>
      </c>
      <c r="V49" s="472"/>
      <c r="W49" s="472"/>
      <c r="X49" s="472"/>
      <c r="Y49" s="495"/>
      <c r="Z49" s="483"/>
      <c r="AA49" s="482"/>
      <c r="AB49" s="482"/>
      <c r="AC49" s="482">
        <v>227062</v>
      </c>
      <c r="AD49" s="482">
        <v>1134206</v>
      </c>
      <c r="AE49" s="482">
        <v>15228</v>
      </c>
      <c r="AF49" s="482">
        <v>77296</v>
      </c>
      <c r="AG49" s="482"/>
      <c r="AH49" s="482"/>
      <c r="AI49" s="482"/>
      <c r="AJ49" s="482"/>
      <c r="AK49" s="482"/>
      <c r="AL49" s="482"/>
      <c r="AM49" s="482"/>
      <c r="AN49" s="482"/>
      <c r="AO49" s="482"/>
      <c r="AP49" s="482"/>
      <c r="AQ49" s="482"/>
      <c r="AR49" s="482"/>
      <c r="AS49" s="482"/>
      <c r="AT49" s="482"/>
      <c r="AU49" s="482"/>
      <c r="AV49" s="482"/>
      <c r="AW49" s="484"/>
      <c r="AX49" s="485">
        <f t="shared" si="5"/>
        <v>1453793</v>
      </c>
      <c r="AY49" s="485">
        <f t="shared" si="6"/>
        <v>1453792</v>
      </c>
      <c r="AZ49" s="485">
        <f t="shared" si="7"/>
        <v>1453792</v>
      </c>
      <c r="BA49" s="485">
        <f t="shared" si="8"/>
        <v>1</v>
      </c>
      <c r="BC49" s="581"/>
    </row>
    <row r="50" spans="1:55" x14ac:dyDescent="0.3">
      <c r="A50" s="106"/>
      <c r="B50" s="406" t="s">
        <v>445</v>
      </c>
      <c r="C50" s="351" t="s">
        <v>397</v>
      </c>
      <c r="D50" s="351" t="s">
        <v>188</v>
      </c>
      <c r="E50" s="556" t="s">
        <v>29</v>
      </c>
      <c r="F50" s="353">
        <v>11</v>
      </c>
      <c r="G50" s="351"/>
      <c r="H50" s="351" t="s">
        <v>19</v>
      </c>
      <c r="I50" s="548">
        <v>1</v>
      </c>
      <c r="J50" s="548">
        <v>0</v>
      </c>
      <c r="K50" s="548">
        <v>0</v>
      </c>
      <c r="L50" s="353"/>
      <c r="M50" s="351"/>
      <c r="N50" s="351"/>
      <c r="O50" s="351"/>
      <c r="P50" s="408">
        <v>2000000</v>
      </c>
      <c r="Q50" s="494"/>
      <c r="R50" s="472"/>
      <c r="S50" s="472">
        <v>280000</v>
      </c>
      <c r="T50" s="472">
        <v>1690000</v>
      </c>
      <c r="U50" s="472">
        <v>30000</v>
      </c>
      <c r="V50" s="472"/>
      <c r="W50" s="472"/>
      <c r="X50" s="472"/>
      <c r="Y50" s="495"/>
      <c r="Z50" s="483"/>
      <c r="AA50" s="482"/>
      <c r="AB50" s="482"/>
      <c r="AC50" s="482">
        <v>260000</v>
      </c>
      <c r="AD50" s="482">
        <v>1700000</v>
      </c>
      <c r="AE50" s="482"/>
      <c r="AF50" s="482">
        <v>40000</v>
      </c>
      <c r="AG50" s="482"/>
      <c r="AH50" s="482"/>
      <c r="AI50" s="482"/>
      <c r="AJ50" s="482"/>
      <c r="AK50" s="482"/>
      <c r="AL50" s="482"/>
      <c r="AM50" s="482"/>
      <c r="AN50" s="482"/>
      <c r="AO50" s="482"/>
      <c r="AP50" s="482"/>
      <c r="AQ50" s="482"/>
      <c r="AR50" s="482"/>
      <c r="AS50" s="482"/>
      <c r="AT50" s="482"/>
      <c r="AU50" s="482"/>
      <c r="AV50" s="482"/>
      <c r="AW50" s="484"/>
      <c r="AX50" s="485">
        <f t="shared" si="5"/>
        <v>2000000</v>
      </c>
      <c r="AY50" s="485">
        <f t="shared" si="6"/>
        <v>2000000</v>
      </c>
      <c r="AZ50" s="485">
        <f t="shared" si="7"/>
        <v>2000000</v>
      </c>
      <c r="BA50" s="485">
        <f t="shared" si="8"/>
        <v>0</v>
      </c>
      <c r="BC50" s="581"/>
    </row>
    <row r="51" spans="1:55" x14ac:dyDescent="0.3">
      <c r="A51" s="106"/>
      <c r="B51" s="406" t="s">
        <v>446</v>
      </c>
      <c r="C51" s="351" t="s">
        <v>399</v>
      </c>
      <c r="D51" s="351" t="s">
        <v>188</v>
      </c>
      <c r="E51" s="556" t="s">
        <v>28</v>
      </c>
      <c r="F51" s="353">
        <v>8</v>
      </c>
      <c r="G51" s="351"/>
      <c r="H51" s="351" t="s">
        <v>19</v>
      </c>
      <c r="I51" s="548">
        <v>1</v>
      </c>
      <c r="J51" s="548">
        <v>0</v>
      </c>
      <c r="K51" s="548">
        <v>0</v>
      </c>
      <c r="L51" s="353"/>
      <c r="M51" s="351"/>
      <c r="N51" s="351"/>
      <c r="O51" s="351"/>
      <c r="P51" s="408">
        <v>650000</v>
      </c>
      <c r="Q51" s="494"/>
      <c r="R51" s="472"/>
      <c r="S51" s="472">
        <v>226000</v>
      </c>
      <c r="T51" s="472">
        <v>424000</v>
      </c>
      <c r="U51" s="472"/>
      <c r="V51" s="472"/>
      <c r="W51" s="472"/>
      <c r="X51" s="472"/>
      <c r="Y51" s="495"/>
      <c r="Z51" s="483"/>
      <c r="AA51" s="482"/>
      <c r="AB51" s="482"/>
      <c r="AC51" s="482">
        <v>182000</v>
      </c>
      <c r="AD51" s="482">
        <v>292500</v>
      </c>
      <c r="AE51" s="482">
        <v>39000</v>
      </c>
      <c r="AF51" s="482">
        <v>136500</v>
      </c>
      <c r="AG51" s="482"/>
      <c r="AH51" s="482"/>
      <c r="AI51" s="482"/>
      <c r="AJ51" s="482"/>
      <c r="AK51" s="482"/>
      <c r="AL51" s="482"/>
      <c r="AM51" s="482"/>
      <c r="AN51" s="482"/>
      <c r="AO51" s="482"/>
      <c r="AP51" s="482"/>
      <c r="AQ51" s="482"/>
      <c r="AR51" s="482"/>
      <c r="AS51" s="482"/>
      <c r="AT51" s="482"/>
      <c r="AU51" s="482"/>
      <c r="AV51" s="482"/>
      <c r="AW51" s="484"/>
      <c r="AX51" s="485">
        <f t="shared" si="5"/>
        <v>650000</v>
      </c>
      <c r="AY51" s="485">
        <f t="shared" si="6"/>
        <v>650000</v>
      </c>
      <c r="AZ51" s="485">
        <f t="shared" si="7"/>
        <v>650000</v>
      </c>
      <c r="BA51" s="485">
        <f t="shared" si="8"/>
        <v>0</v>
      </c>
      <c r="BC51" s="581"/>
    </row>
    <row r="52" spans="1:55" x14ac:dyDescent="0.3">
      <c r="A52" s="106"/>
      <c r="B52" s="406" t="s">
        <v>276</v>
      </c>
      <c r="C52" s="351" t="s">
        <v>401</v>
      </c>
      <c r="D52" s="351" t="s">
        <v>188</v>
      </c>
      <c r="E52" s="556" t="s">
        <v>29</v>
      </c>
      <c r="F52" s="353">
        <v>11</v>
      </c>
      <c r="G52" s="351"/>
      <c r="H52" s="351" t="s">
        <v>19</v>
      </c>
      <c r="I52" s="548">
        <v>1</v>
      </c>
      <c r="J52" s="548">
        <v>0</v>
      </c>
      <c r="K52" s="548">
        <v>0</v>
      </c>
      <c r="L52" s="353"/>
      <c r="M52" s="351"/>
      <c r="N52" s="351"/>
      <c r="O52" s="351"/>
      <c r="P52" s="408">
        <v>2250000</v>
      </c>
      <c r="Q52" s="494"/>
      <c r="R52" s="472"/>
      <c r="S52" s="472">
        <v>315000</v>
      </c>
      <c r="T52" s="472">
        <v>1822500</v>
      </c>
      <c r="U52" s="472">
        <v>112500</v>
      </c>
      <c r="V52" s="472">
        <v>0</v>
      </c>
      <c r="W52" s="472">
        <v>0</v>
      </c>
      <c r="X52" s="472">
        <v>0</v>
      </c>
      <c r="Y52" s="495"/>
      <c r="Z52" s="483"/>
      <c r="AA52" s="482"/>
      <c r="AB52" s="482"/>
      <c r="AC52" s="482">
        <v>315000</v>
      </c>
      <c r="AD52" s="482">
        <v>1890000</v>
      </c>
      <c r="AE52" s="482"/>
      <c r="AF52" s="482">
        <v>45000</v>
      </c>
      <c r="AG52" s="482">
        <v>0</v>
      </c>
      <c r="AH52" s="482">
        <v>0</v>
      </c>
      <c r="AI52" s="482">
        <v>0</v>
      </c>
      <c r="AJ52" s="482">
        <v>0</v>
      </c>
      <c r="AK52" s="482">
        <v>0</v>
      </c>
      <c r="AL52" s="482">
        <v>0</v>
      </c>
      <c r="AM52" s="482">
        <v>0</v>
      </c>
      <c r="AN52" s="482">
        <v>0</v>
      </c>
      <c r="AO52" s="482">
        <v>0</v>
      </c>
      <c r="AP52" s="482">
        <v>0</v>
      </c>
      <c r="AQ52" s="482">
        <v>0</v>
      </c>
      <c r="AR52" s="482">
        <v>0</v>
      </c>
      <c r="AS52" s="482">
        <v>0</v>
      </c>
      <c r="AT52" s="482">
        <v>0</v>
      </c>
      <c r="AU52" s="482">
        <v>0</v>
      </c>
      <c r="AV52" s="482">
        <v>0</v>
      </c>
      <c r="AW52" s="484">
        <v>0</v>
      </c>
      <c r="AX52" s="485">
        <f t="shared" si="5"/>
        <v>2250000</v>
      </c>
      <c r="AY52" s="485">
        <f t="shared" si="6"/>
        <v>2250000</v>
      </c>
      <c r="AZ52" s="485">
        <f t="shared" si="7"/>
        <v>2250000</v>
      </c>
      <c r="BA52" s="485">
        <f t="shared" si="8"/>
        <v>0</v>
      </c>
      <c r="BC52" s="581"/>
    </row>
    <row r="53" spans="1:55" x14ac:dyDescent="0.3">
      <c r="A53" s="106"/>
      <c r="B53" s="406" t="s">
        <v>447</v>
      </c>
      <c r="C53" s="351" t="s">
        <v>398</v>
      </c>
      <c r="D53" s="351" t="s">
        <v>188</v>
      </c>
      <c r="E53" s="556" t="s">
        <v>29</v>
      </c>
      <c r="F53" s="353" t="s">
        <v>203</v>
      </c>
      <c r="G53" s="351"/>
      <c r="H53" s="351" t="s">
        <v>19</v>
      </c>
      <c r="I53" s="548">
        <v>1</v>
      </c>
      <c r="J53" s="548">
        <v>0</v>
      </c>
      <c r="K53" s="548">
        <v>0</v>
      </c>
      <c r="L53" s="353"/>
      <c r="M53" s="351"/>
      <c r="N53" s="351"/>
      <c r="O53" s="351"/>
      <c r="P53" s="408">
        <v>6400000</v>
      </c>
      <c r="Q53" s="494"/>
      <c r="R53" s="472"/>
      <c r="S53" s="472">
        <v>256600</v>
      </c>
      <c r="T53" s="472">
        <v>2471683</v>
      </c>
      <c r="U53" s="472">
        <v>3671717</v>
      </c>
      <c r="V53" s="472"/>
      <c r="W53" s="472"/>
      <c r="X53" s="472"/>
      <c r="Y53" s="495"/>
      <c r="Z53" s="483"/>
      <c r="AA53" s="482"/>
      <c r="AB53" s="482"/>
      <c r="AC53" s="482">
        <v>1270000</v>
      </c>
      <c r="AD53" s="482">
        <v>4424000</v>
      </c>
      <c r="AE53" s="482">
        <v>68000</v>
      </c>
      <c r="AF53" s="482">
        <v>638000</v>
      </c>
      <c r="AG53" s="482"/>
      <c r="AH53" s="482"/>
      <c r="AI53" s="482"/>
      <c r="AJ53" s="482"/>
      <c r="AK53" s="482"/>
      <c r="AL53" s="482"/>
      <c r="AM53" s="482"/>
      <c r="AN53" s="482"/>
      <c r="AO53" s="482"/>
      <c r="AP53" s="482"/>
      <c r="AQ53" s="482"/>
      <c r="AR53" s="482"/>
      <c r="AS53" s="482"/>
      <c r="AT53" s="482"/>
      <c r="AU53" s="482"/>
      <c r="AV53" s="482"/>
      <c r="AW53" s="484"/>
      <c r="AX53" s="485">
        <f t="shared" si="5"/>
        <v>6400000</v>
      </c>
      <c r="AY53" s="485">
        <f t="shared" si="6"/>
        <v>6400000</v>
      </c>
      <c r="AZ53" s="485">
        <f t="shared" si="7"/>
        <v>6400000</v>
      </c>
      <c r="BA53" s="485">
        <f t="shared" si="8"/>
        <v>0</v>
      </c>
      <c r="BC53" s="581"/>
    </row>
    <row r="54" spans="1:55" x14ac:dyDescent="0.3">
      <c r="A54" s="106"/>
      <c r="B54" s="406" t="s">
        <v>472</v>
      </c>
      <c r="C54" s="351" t="s">
        <v>336</v>
      </c>
      <c r="D54" s="351" t="s">
        <v>107</v>
      </c>
      <c r="E54" s="556" t="s">
        <v>30</v>
      </c>
      <c r="F54" s="353">
        <v>8</v>
      </c>
      <c r="G54" s="351"/>
      <c r="H54" s="351" t="s">
        <v>19</v>
      </c>
      <c r="I54" s="353">
        <v>1</v>
      </c>
      <c r="J54" s="353">
        <v>1</v>
      </c>
      <c r="K54" s="353">
        <v>0</v>
      </c>
      <c r="L54" s="353"/>
      <c r="M54" s="351"/>
      <c r="N54" s="351"/>
      <c r="O54" s="351"/>
      <c r="P54" s="408">
        <v>2091600</v>
      </c>
      <c r="Q54" s="494"/>
      <c r="R54" s="472">
        <v>0</v>
      </c>
      <c r="S54" s="472">
        <v>0</v>
      </c>
      <c r="T54" s="472"/>
      <c r="U54" s="472">
        <v>172348</v>
      </c>
      <c r="V54" s="472">
        <v>808711</v>
      </c>
      <c r="W54" s="472">
        <v>1110541</v>
      </c>
      <c r="X54" s="472">
        <v>0</v>
      </c>
      <c r="Y54" s="495"/>
      <c r="Z54" s="483"/>
      <c r="AA54" s="482"/>
      <c r="AB54" s="482"/>
      <c r="AC54" s="482">
        <v>358176</v>
      </c>
      <c r="AD54" s="482">
        <v>575640</v>
      </c>
      <c r="AE54" s="482">
        <v>76752</v>
      </c>
      <c r="AF54" s="482">
        <v>1081032</v>
      </c>
      <c r="AG54" s="482"/>
      <c r="AH54" s="482"/>
      <c r="AI54" s="482"/>
      <c r="AJ54" s="482"/>
      <c r="AK54" s="482"/>
      <c r="AL54" s="482"/>
      <c r="AM54" s="482"/>
      <c r="AN54" s="482"/>
      <c r="AO54" s="482"/>
      <c r="AP54" s="482"/>
      <c r="AQ54" s="482"/>
      <c r="AR54" s="482"/>
      <c r="AS54" s="482"/>
      <c r="AT54" s="482"/>
      <c r="AU54" s="482"/>
      <c r="AV54" s="482"/>
      <c r="AW54" s="484"/>
      <c r="AX54" s="485">
        <f t="shared" si="5"/>
        <v>2091600</v>
      </c>
      <c r="AY54" s="485">
        <f t="shared" si="6"/>
        <v>2091600</v>
      </c>
      <c r="AZ54" s="485">
        <f t="shared" si="7"/>
        <v>2091600</v>
      </c>
      <c r="BA54" s="485">
        <f t="shared" si="8"/>
        <v>0</v>
      </c>
      <c r="BC54" s="581"/>
    </row>
    <row r="55" spans="1:55" x14ac:dyDescent="0.3">
      <c r="A55" s="106" t="s">
        <v>454</v>
      </c>
      <c r="B55" s="510" t="s">
        <v>441</v>
      </c>
      <c r="C55" s="511" t="s">
        <v>473</v>
      </c>
      <c r="D55" s="511" t="s">
        <v>107</v>
      </c>
      <c r="E55" s="555" t="s">
        <v>27</v>
      </c>
      <c r="F55" s="512">
        <v>0</v>
      </c>
      <c r="G55" s="511"/>
      <c r="H55" s="511" t="s">
        <v>327</v>
      </c>
      <c r="I55" s="512" t="s">
        <v>386</v>
      </c>
      <c r="J55" s="512">
        <v>0</v>
      </c>
      <c r="K55" s="512">
        <v>0</v>
      </c>
      <c r="L55" s="512"/>
      <c r="M55" s="511"/>
      <c r="N55" s="511"/>
      <c r="O55" s="511"/>
      <c r="P55" s="514">
        <v>323963.17737496441</v>
      </c>
      <c r="Q55" s="530"/>
      <c r="R55" s="531">
        <v>0</v>
      </c>
      <c r="S55" s="531">
        <v>323963.17737496441</v>
      </c>
      <c r="T55" s="531"/>
      <c r="U55" s="531"/>
      <c r="V55" s="531"/>
      <c r="W55" s="531"/>
      <c r="X55" s="531"/>
      <c r="Y55" s="532"/>
      <c r="Z55" s="528">
        <v>0</v>
      </c>
      <c r="AA55" s="520">
        <v>0</v>
      </c>
      <c r="AB55" s="520">
        <v>0</v>
      </c>
      <c r="AC55" s="520">
        <v>90709.689664990059</v>
      </c>
      <c r="AD55" s="520">
        <v>145783.429818734</v>
      </c>
      <c r="AE55" s="520">
        <v>19437.790642497865</v>
      </c>
      <c r="AF55" s="520">
        <v>68032.26724874253</v>
      </c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  <c r="AT55" s="520"/>
      <c r="AU55" s="520"/>
      <c r="AV55" s="520"/>
      <c r="AW55" s="529"/>
      <c r="AX55" s="485">
        <f t="shared" si="5"/>
        <v>323963.17737496441</v>
      </c>
      <c r="AY55" s="485">
        <f t="shared" si="6"/>
        <v>323963.17737496446</v>
      </c>
      <c r="AZ55" s="485">
        <f t="shared" si="7"/>
        <v>323963.17737496441</v>
      </c>
      <c r="BA55" s="485">
        <f t="shared" si="8"/>
        <v>0</v>
      </c>
      <c r="BC55" s="581"/>
    </row>
    <row r="56" spans="1:55" x14ac:dyDescent="0.3">
      <c r="A56" s="106"/>
      <c r="B56" s="406" t="s">
        <v>443</v>
      </c>
      <c r="C56" s="351" t="s">
        <v>372</v>
      </c>
      <c r="D56" s="351" t="s">
        <v>109</v>
      </c>
      <c r="E56" s="556" t="s">
        <v>31</v>
      </c>
      <c r="F56" s="353">
        <v>8</v>
      </c>
      <c r="G56" s="351"/>
      <c r="H56" s="351" t="s">
        <v>19</v>
      </c>
      <c r="I56" s="353">
        <v>1</v>
      </c>
      <c r="J56" s="353">
        <v>1</v>
      </c>
      <c r="K56" s="353">
        <v>0</v>
      </c>
      <c r="L56" s="353"/>
      <c r="M56" s="351"/>
      <c r="N56" s="351"/>
      <c r="O56" s="351"/>
      <c r="P56" s="535">
        <v>1480000</v>
      </c>
      <c r="Q56" s="494"/>
      <c r="R56" s="472">
        <v>0</v>
      </c>
      <c r="S56" s="472">
        <v>296000</v>
      </c>
      <c r="T56" s="472">
        <v>296000</v>
      </c>
      <c r="U56" s="472">
        <v>296000</v>
      </c>
      <c r="V56" s="472">
        <v>296000</v>
      </c>
      <c r="W56" s="472">
        <v>296000</v>
      </c>
      <c r="X56" s="472">
        <v>0</v>
      </c>
      <c r="Y56" s="495"/>
      <c r="Z56" s="483"/>
      <c r="AA56" s="482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82">
        <v>1480000</v>
      </c>
      <c r="AM56" s="482"/>
      <c r="AN56" s="482"/>
      <c r="AO56" s="482"/>
      <c r="AP56" s="482"/>
      <c r="AQ56" s="482"/>
      <c r="AR56" s="482"/>
      <c r="AS56" s="482"/>
      <c r="AT56" s="482"/>
      <c r="AU56" s="482"/>
      <c r="AV56" s="482"/>
      <c r="AW56" s="484"/>
      <c r="AX56" s="485">
        <f t="shared" si="5"/>
        <v>1480000</v>
      </c>
      <c r="AY56" s="485">
        <f t="shared" si="6"/>
        <v>1480000</v>
      </c>
      <c r="AZ56" s="485">
        <f t="shared" si="7"/>
        <v>1480000</v>
      </c>
      <c r="BA56" s="485">
        <f t="shared" si="8"/>
        <v>0</v>
      </c>
      <c r="BC56" s="581"/>
    </row>
    <row r="57" spans="1:55" x14ac:dyDescent="0.3">
      <c r="A57" s="106"/>
      <c r="B57" s="406" t="s">
        <v>442</v>
      </c>
      <c r="C57" s="351" t="s">
        <v>341</v>
      </c>
      <c r="D57" s="351" t="s">
        <v>107</v>
      </c>
      <c r="E57" s="556" t="s">
        <v>31</v>
      </c>
      <c r="F57" s="353">
        <v>9</v>
      </c>
      <c r="G57" s="351"/>
      <c r="H57" s="351" t="s">
        <v>19</v>
      </c>
      <c r="I57" s="548">
        <v>1</v>
      </c>
      <c r="J57" s="548">
        <v>1</v>
      </c>
      <c r="K57" s="548">
        <v>0</v>
      </c>
      <c r="L57" s="353"/>
      <c r="M57" s="351"/>
      <c r="N57" s="351"/>
      <c r="O57" s="351"/>
      <c r="P57" s="408">
        <v>3310121</v>
      </c>
      <c r="Q57" s="494"/>
      <c r="R57" s="472">
        <v>0</v>
      </c>
      <c r="S57" s="472">
        <v>0</v>
      </c>
      <c r="T57" s="472"/>
      <c r="U57" s="472">
        <v>445976</v>
      </c>
      <c r="V57" s="472">
        <v>1987549</v>
      </c>
      <c r="W57" s="472">
        <v>876595</v>
      </c>
      <c r="X57" s="472">
        <v>0</v>
      </c>
      <c r="Y57" s="495"/>
      <c r="Z57" s="483"/>
      <c r="AA57" s="482"/>
      <c r="AB57" s="482"/>
      <c r="AC57" s="482">
        <v>926834</v>
      </c>
      <c r="AD57" s="482">
        <v>1489554</v>
      </c>
      <c r="AE57" s="482">
        <v>198607</v>
      </c>
      <c r="AF57" s="482">
        <v>695125</v>
      </c>
      <c r="AG57" s="482"/>
      <c r="AH57" s="482"/>
      <c r="AI57" s="482"/>
      <c r="AJ57" s="482"/>
      <c r="AK57" s="482"/>
      <c r="AL57" s="482"/>
      <c r="AM57" s="482"/>
      <c r="AN57" s="482"/>
      <c r="AO57" s="482"/>
      <c r="AP57" s="482"/>
      <c r="AQ57" s="482"/>
      <c r="AR57" s="482"/>
      <c r="AS57" s="482"/>
      <c r="AT57" s="482"/>
      <c r="AU57" s="482"/>
      <c r="AV57" s="482"/>
      <c r="AW57" s="484"/>
      <c r="AX57" s="485">
        <f t="shared" si="5"/>
        <v>3310120</v>
      </c>
      <c r="AY57" s="485">
        <f t="shared" si="6"/>
        <v>3310120</v>
      </c>
      <c r="AZ57" s="485">
        <f t="shared" si="7"/>
        <v>3310121</v>
      </c>
      <c r="BA57" s="485">
        <f t="shared" si="8"/>
        <v>1</v>
      </c>
      <c r="BC57" s="581"/>
    </row>
    <row r="58" spans="1:55" x14ac:dyDescent="0.3">
      <c r="A58" s="106"/>
      <c r="B58" s="406" t="s">
        <v>277</v>
      </c>
      <c r="C58" s="351" t="s">
        <v>350</v>
      </c>
      <c r="D58" s="351" t="s">
        <v>107</v>
      </c>
      <c r="E58" s="556" t="s">
        <v>30</v>
      </c>
      <c r="F58" s="353">
        <v>9</v>
      </c>
      <c r="G58" s="351"/>
      <c r="H58" s="351" t="s">
        <v>19</v>
      </c>
      <c r="I58" s="548">
        <v>1</v>
      </c>
      <c r="J58" s="548">
        <v>1</v>
      </c>
      <c r="K58" s="548">
        <v>0</v>
      </c>
      <c r="L58" s="353"/>
      <c r="M58" s="351"/>
      <c r="N58" s="351"/>
      <c r="O58" s="351"/>
      <c r="P58" s="408">
        <v>7713662</v>
      </c>
      <c r="Q58" s="494"/>
      <c r="R58" s="472">
        <v>0</v>
      </c>
      <c r="S58" s="472">
        <v>0</v>
      </c>
      <c r="T58" s="472">
        <v>1039270</v>
      </c>
      <c r="U58" s="472">
        <v>4631639</v>
      </c>
      <c r="V58" s="472">
        <v>2042753</v>
      </c>
      <c r="W58" s="472"/>
      <c r="X58" s="472">
        <v>0</v>
      </c>
      <c r="Y58" s="495"/>
      <c r="Z58" s="483"/>
      <c r="AA58" s="482"/>
      <c r="AB58" s="482"/>
      <c r="AC58" s="482">
        <v>2159825</v>
      </c>
      <c r="AD58" s="482">
        <v>3471148</v>
      </c>
      <c r="AE58" s="482">
        <v>462820</v>
      </c>
      <c r="AF58" s="482">
        <v>1619869</v>
      </c>
      <c r="AG58" s="482"/>
      <c r="AH58" s="482"/>
      <c r="AI58" s="482"/>
      <c r="AJ58" s="482"/>
      <c r="AK58" s="482"/>
      <c r="AL58" s="482"/>
      <c r="AM58" s="482"/>
      <c r="AN58" s="482"/>
      <c r="AO58" s="482"/>
      <c r="AP58" s="482"/>
      <c r="AQ58" s="482"/>
      <c r="AR58" s="482"/>
      <c r="AS58" s="482"/>
      <c r="AT58" s="482"/>
      <c r="AU58" s="482"/>
      <c r="AV58" s="482"/>
      <c r="AW58" s="484"/>
      <c r="AX58" s="485">
        <f t="shared" si="5"/>
        <v>7713662</v>
      </c>
      <c r="AY58" s="485">
        <f t="shared" si="6"/>
        <v>7713662</v>
      </c>
      <c r="AZ58" s="485">
        <f t="shared" si="7"/>
        <v>7713662</v>
      </c>
      <c r="BA58" s="485">
        <f t="shared" si="8"/>
        <v>0</v>
      </c>
      <c r="BC58" s="581"/>
    </row>
    <row r="59" spans="1:55" x14ac:dyDescent="0.3">
      <c r="A59" s="106"/>
      <c r="B59" s="406" t="s">
        <v>266</v>
      </c>
      <c r="C59" s="351" t="s">
        <v>342</v>
      </c>
      <c r="D59" s="351" t="s">
        <v>107</v>
      </c>
      <c r="E59" s="556" t="s">
        <v>484</v>
      </c>
      <c r="F59" s="353">
        <v>13</v>
      </c>
      <c r="G59" s="351"/>
      <c r="H59" s="351" t="s">
        <v>19</v>
      </c>
      <c r="I59" s="548">
        <v>1</v>
      </c>
      <c r="J59" s="548">
        <v>1</v>
      </c>
      <c r="K59" s="548">
        <v>0</v>
      </c>
      <c r="L59" s="353"/>
      <c r="M59" s="351"/>
      <c r="N59" s="351"/>
      <c r="O59" s="351"/>
      <c r="P59" s="408">
        <v>3810341</v>
      </c>
      <c r="Q59" s="494"/>
      <c r="R59" s="472">
        <v>0</v>
      </c>
      <c r="S59" s="472">
        <v>0</v>
      </c>
      <c r="T59" s="472"/>
      <c r="U59" s="472"/>
      <c r="V59" s="472">
        <v>495344</v>
      </c>
      <c r="W59" s="472">
        <v>3276893</v>
      </c>
      <c r="X59" s="472">
        <v>38103</v>
      </c>
      <c r="Y59" s="495"/>
      <c r="Z59" s="483"/>
      <c r="AA59" s="482"/>
      <c r="AB59" s="482"/>
      <c r="AC59" s="482"/>
      <c r="AD59" s="482"/>
      <c r="AE59" s="482"/>
      <c r="AF59" s="482">
        <v>3810341</v>
      </c>
      <c r="AG59" s="482"/>
      <c r="AH59" s="482"/>
      <c r="AI59" s="482"/>
      <c r="AJ59" s="482"/>
      <c r="AK59" s="482"/>
      <c r="AL59" s="482"/>
      <c r="AM59" s="482"/>
      <c r="AN59" s="482"/>
      <c r="AO59" s="482"/>
      <c r="AP59" s="482"/>
      <c r="AQ59" s="482"/>
      <c r="AR59" s="482"/>
      <c r="AS59" s="482"/>
      <c r="AT59" s="482"/>
      <c r="AU59" s="482"/>
      <c r="AV59" s="482"/>
      <c r="AW59" s="484"/>
      <c r="AX59" s="485">
        <f t="shared" si="5"/>
        <v>3810340</v>
      </c>
      <c r="AY59" s="485">
        <f t="shared" si="6"/>
        <v>3810341</v>
      </c>
      <c r="AZ59" s="485">
        <f t="shared" si="7"/>
        <v>3810341</v>
      </c>
      <c r="BA59" s="485">
        <f t="shared" si="8"/>
        <v>1</v>
      </c>
      <c r="BC59" s="581"/>
    </row>
    <row r="60" spans="1:55" x14ac:dyDescent="0.3">
      <c r="A60" s="106"/>
      <c r="B60" s="406" t="s">
        <v>449</v>
      </c>
      <c r="C60" s="351" t="s">
        <v>351</v>
      </c>
      <c r="D60" s="351" t="s">
        <v>187</v>
      </c>
      <c r="E60" s="556" t="s">
        <v>31</v>
      </c>
      <c r="F60" s="353">
        <v>9</v>
      </c>
      <c r="G60" s="351"/>
      <c r="H60" s="351" t="s">
        <v>19</v>
      </c>
      <c r="I60" s="548">
        <v>1</v>
      </c>
      <c r="J60" s="548">
        <v>1</v>
      </c>
      <c r="K60" s="548">
        <v>0</v>
      </c>
      <c r="L60" s="353"/>
      <c r="M60" s="351"/>
      <c r="N60" s="351"/>
      <c r="O60" s="351"/>
      <c r="P60" s="408">
        <v>4168084</v>
      </c>
      <c r="Q60" s="494"/>
      <c r="R60" s="472">
        <v>0</v>
      </c>
      <c r="S60" s="472">
        <v>833617</v>
      </c>
      <c r="T60" s="472">
        <v>833617</v>
      </c>
      <c r="U60" s="472">
        <v>833617</v>
      </c>
      <c r="V60" s="472">
        <v>833617</v>
      </c>
      <c r="W60" s="472">
        <v>833617</v>
      </c>
      <c r="X60" s="472">
        <v>0</v>
      </c>
      <c r="Y60" s="495"/>
      <c r="Z60" s="483"/>
      <c r="AA60" s="482"/>
      <c r="AB60" s="482"/>
      <c r="AC60" s="482"/>
      <c r="AD60" s="482"/>
      <c r="AE60" s="482">
        <v>4168084</v>
      </c>
      <c r="AF60" s="482"/>
      <c r="AG60" s="482"/>
      <c r="AH60" s="482"/>
      <c r="AI60" s="482"/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4"/>
      <c r="AX60" s="485">
        <f t="shared" si="5"/>
        <v>4168085</v>
      </c>
      <c r="AY60" s="485">
        <f t="shared" si="6"/>
        <v>4168084</v>
      </c>
      <c r="AZ60" s="485">
        <f t="shared" si="7"/>
        <v>4168084</v>
      </c>
      <c r="BA60" s="485">
        <f t="shared" si="8"/>
        <v>1</v>
      </c>
      <c r="BC60" s="581"/>
    </row>
    <row r="61" spans="1:55" x14ac:dyDescent="0.3">
      <c r="A61" s="106"/>
      <c r="B61" s="406" t="s">
        <v>448</v>
      </c>
      <c r="C61" s="351" t="s">
        <v>403</v>
      </c>
      <c r="D61" s="351" t="s">
        <v>107</v>
      </c>
      <c r="E61" s="556" t="s">
        <v>29</v>
      </c>
      <c r="F61" s="353">
        <v>9</v>
      </c>
      <c r="G61" s="351"/>
      <c r="H61" s="351" t="s">
        <v>19</v>
      </c>
      <c r="I61" s="548">
        <v>1</v>
      </c>
      <c r="J61" s="548">
        <v>1</v>
      </c>
      <c r="K61" s="548">
        <v>0</v>
      </c>
      <c r="L61" s="353"/>
      <c r="M61" s="351"/>
      <c r="N61" s="351"/>
      <c r="O61" s="351"/>
      <c r="P61" s="408">
        <v>3557483</v>
      </c>
      <c r="Q61" s="494"/>
      <c r="R61" s="472"/>
      <c r="S61" s="472">
        <v>479303</v>
      </c>
      <c r="T61" s="472">
        <v>2136077</v>
      </c>
      <c r="U61" s="472">
        <v>942102</v>
      </c>
      <c r="V61" s="472"/>
      <c r="W61" s="472"/>
      <c r="X61" s="472"/>
      <c r="Y61" s="495"/>
      <c r="Z61" s="483"/>
      <c r="AA61" s="482"/>
      <c r="AB61" s="482"/>
      <c r="AC61" s="482">
        <v>996095</v>
      </c>
      <c r="AD61" s="482">
        <v>1600867</v>
      </c>
      <c r="AE61" s="482">
        <v>213449</v>
      </c>
      <c r="AF61" s="482">
        <v>747071</v>
      </c>
      <c r="AG61" s="482"/>
      <c r="AH61" s="482"/>
      <c r="AI61" s="482"/>
      <c r="AJ61" s="482"/>
      <c r="AK61" s="482"/>
      <c r="AL61" s="482"/>
      <c r="AM61" s="482"/>
      <c r="AN61" s="482"/>
      <c r="AO61" s="482"/>
      <c r="AP61" s="482"/>
      <c r="AQ61" s="482"/>
      <c r="AR61" s="482"/>
      <c r="AS61" s="482"/>
      <c r="AT61" s="482"/>
      <c r="AU61" s="482"/>
      <c r="AV61" s="482"/>
      <c r="AW61" s="484"/>
      <c r="AX61" s="485">
        <f t="shared" si="5"/>
        <v>3557482</v>
      </c>
      <c r="AY61" s="485">
        <f t="shared" si="6"/>
        <v>3557482</v>
      </c>
      <c r="AZ61" s="485">
        <f t="shared" si="7"/>
        <v>3557483</v>
      </c>
      <c r="BA61" s="485">
        <f t="shared" si="8"/>
        <v>1</v>
      </c>
      <c r="BC61" s="581"/>
    </row>
    <row r="62" spans="1:55" x14ac:dyDescent="0.3">
      <c r="A62" s="106"/>
      <c r="B62" s="406" t="s">
        <v>394</v>
      </c>
      <c r="C62" s="351" t="s">
        <v>381</v>
      </c>
      <c r="D62" s="351" t="s">
        <v>107</v>
      </c>
      <c r="E62" s="556" t="s">
        <v>31</v>
      </c>
      <c r="F62" s="353">
        <v>9</v>
      </c>
      <c r="G62" s="351"/>
      <c r="H62" s="351" t="s">
        <v>19</v>
      </c>
      <c r="I62" s="548">
        <v>1</v>
      </c>
      <c r="J62" s="548">
        <v>0</v>
      </c>
      <c r="K62" s="548">
        <v>0</v>
      </c>
      <c r="L62" s="353"/>
      <c r="M62" s="351"/>
      <c r="N62" s="351"/>
      <c r="O62" s="351"/>
      <c r="P62" s="408">
        <v>2507260</v>
      </c>
      <c r="Q62" s="494"/>
      <c r="R62" s="472">
        <v>0</v>
      </c>
      <c r="S62" s="472">
        <v>0</v>
      </c>
      <c r="T62" s="472">
        <v>0</v>
      </c>
      <c r="U62" s="472">
        <v>337806</v>
      </c>
      <c r="V62" s="472">
        <v>1505475</v>
      </c>
      <c r="W62" s="472">
        <v>663979</v>
      </c>
      <c r="X62" s="472">
        <v>0</v>
      </c>
      <c r="Y62" s="495"/>
      <c r="Z62" s="483"/>
      <c r="AA62" s="482"/>
      <c r="AB62" s="482"/>
      <c r="AC62" s="482">
        <v>702033</v>
      </c>
      <c r="AD62" s="482">
        <v>1128267</v>
      </c>
      <c r="AE62" s="482">
        <v>150436</v>
      </c>
      <c r="AF62" s="482">
        <v>526525</v>
      </c>
      <c r="AG62" s="482"/>
      <c r="AH62" s="482"/>
      <c r="AI62" s="482"/>
      <c r="AJ62" s="482"/>
      <c r="AK62" s="482"/>
      <c r="AL62" s="482"/>
      <c r="AM62" s="482"/>
      <c r="AN62" s="482"/>
      <c r="AO62" s="482"/>
      <c r="AP62" s="482"/>
      <c r="AQ62" s="482"/>
      <c r="AR62" s="482"/>
      <c r="AS62" s="482"/>
      <c r="AT62" s="482"/>
      <c r="AU62" s="482"/>
      <c r="AV62" s="482"/>
      <c r="AW62" s="484"/>
      <c r="AX62" s="485">
        <f t="shared" si="5"/>
        <v>2507260</v>
      </c>
      <c r="AY62" s="485">
        <f t="shared" si="6"/>
        <v>2507261</v>
      </c>
      <c r="AZ62" s="485">
        <f t="shared" si="7"/>
        <v>2507260</v>
      </c>
      <c r="BA62" s="485">
        <f t="shared" si="8"/>
        <v>1</v>
      </c>
      <c r="BC62" s="581"/>
    </row>
    <row r="63" spans="1:55" x14ac:dyDescent="0.3">
      <c r="A63" s="106"/>
      <c r="B63" s="406" t="s">
        <v>278</v>
      </c>
      <c r="C63" s="351" t="s">
        <v>404</v>
      </c>
      <c r="D63" s="351" t="s">
        <v>107</v>
      </c>
      <c r="E63" s="556" t="s">
        <v>29</v>
      </c>
      <c r="F63" s="353">
        <v>11</v>
      </c>
      <c r="G63" s="351"/>
      <c r="H63" s="351" t="s">
        <v>19</v>
      </c>
      <c r="I63" s="548">
        <v>1</v>
      </c>
      <c r="J63" s="548">
        <v>1</v>
      </c>
      <c r="K63" s="548">
        <v>0</v>
      </c>
      <c r="L63" s="353"/>
      <c r="M63" s="351"/>
      <c r="N63" s="351"/>
      <c r="O63" s="351"/>
      <c r="P63" s="408">
        <v>1278908.0000000002</v>
      </c>
      <c r="Q63" s="494"/>
      <c r="R63" s="472">
        <v>0</v>
      </c>
      <c r="S63" s="472">
        <v>179047</v>
      </c>
      <c r="T63" s="472">
        <v>1080677</v>
      </c>
      <c r="U63" s="472">
        <v>19184</v>
      </c>
      <c r="V63" s="472">
        <v>0</v>
      </c>
      <c r="W63" s="472">
        <v>0</v>
      </c>
      <c r="X63" s="472">
        <v>0</v>
      </c>
      <c r="Y63" s="495"/>
      <c r="Z63" s="483"/>
      <c r="AA63" s="482"/>
      <c r="AB63" s="482"/>
      <c r="AC63" s="482">
        <v>166258</v>
      </c>
      <c r="AD63" s="482">
        <v>1087071</v>
      </c>
      <c r="AE63" s="482"/>
      <c r="AF63" s="482">
        <v>25578</v>
      </c>
      <c r="AG63" s="482"/>
      <c r="AH63" s="482"/>
      <c r="AI63" s="482"/>
      <c r="AJ63" s="482"/>
      <c r="AK63" s="482"/>
      <c r="AL63" s="482"/>
      <c r="AM63" s="482"/>
      <c r="AN63" s="482"/>
      <c r="AO63" s="482"/>
      <c r="AP63" s="482"/>
      <c r="AQ63" s="482"/>
      <c r="AR63" s="482"/>
      <c r="AS63" s="482"/>
      <c r="AT63" s="482"/>
      <c r="AU63" s="482"/>
      <c r="AV63" s="482"/>
      <c r="AW63" s="484"/>
      <c r="AX63" s="485">
        <f t="shared" si="5"/>
        <v>1278908</v>
      </c>
      <c r="AY63" s="485">
        <f t="shared" si="6"/>
        <v>1278907</v>
      </c>
      <c r="AZ63" s="485">
        <f t="shared" si="7"/>
        <v>1278908.0000000002</v>
      </c>
      <c r="BA63" s="485">
        <f t="shared" si="8"/>
        <v>1.0000000002328306</v>
      </c>
      <c r="BC63" s="581"/>
    </row>
    <row r="64" spans="1:55" x14ac:dyDescent="0.3">
      <c r="A64" s="106"/>
      <c r="B64" s="406" t="s">
        <v>298</v>
      </c>
      <c r="C64" s="351" t="s">
        <v>375</v>
      </c>
      <c r="D64" s="351" t="s">
        <v>107</v>
      </c>
      <c r="E64" s="556" t="s">
        <v>28</v>
      </c>
      <c r="F64" s="353">
        <v>8</v>
      </c>
      <c r="G64" s="351"/>
      <c r="H64" s="351" t="s">
        <v>19</v>
      </c>
      <c r="I64" s="548">
        <v>1</v>
      </c>
      <c r="J64" s="548">
        <v>1</v>
      </c>
      <c r="K64" s="548">
        <v>0</v>
      </c>
      <c r="L64" s="353"/>
      <c r="M64" s="351"/>
      <c r="N64" s="351"/>
      <c r="O64" s="351"/>
      <c r="P64" s="408">
        <v>3418758</v>
      </c>
      <c r="Q64" s="494"/>
      <c r="R64" s="472">
        <v>0</v>
      </c>
      <c r="S64" s="472">
        <v>1186309</v>
      </c>
      <c r="T64" s="472">
        <v>2232449</v>
      </c>
      <c r="U64" s="472">
        <v>0</v>
      </c>
      <c r="V64" s="472"/>
      <c r="W64" s="472"/>
      <c r="X64" s="472">
        <v>0</v>
      </c>
      <c r="Y64" s="495"/>
      <c r="Z64" s="483"/>
      <c r="AA64" s="482"/>
      <c r="AB64" s="482"/>
      <c r="AC64" s="482">
        <v>957252</v>
      </c>
      <c r="AD64" s="482">
        <v>1538441</v>
      </c>
      <c r="AE64" s="482">
        <v>205125</v>
      </c>
      <c r="AF64" s="482">
        <v>717939</v>
      </c>
      <c r="AG64" s="482"/>
      <c r="AH64" s="482"/>
      <c r="AI64" s="482"/>
      <c r="AJ64" s="482"/>
      <c r="AK64" s="482"/>
      <c r="AL64" s="482"/>
      <c r="AM64" s="482"/>
      <c r="AN64" s="482"/>
      <c r="AO64" s="482"/>
      <c r="AP64" s="482"/>
      <c r="AQ64" s="482"/>
      <c r="AR64" s="482"/>
      <c r="AS64" s="482"/>
      <c r="AT64" s="482"/>
      <c r="AU64" s="482"/>
      <c r="AV64" s="482"/>
      <c r="AW64" s="484"/>
      <c r="AX64" s="485">
        <f t="shared" si="5"/>
        <v>3418758</v>
      </c>
      <c r="AY64" s="485">
        <f t="shared" si="6"/>
        <v>3418757</v>
      </c>
      <c r="AZ64" s="485">
        <f t="shared" si="7"/>
        <v>3418758</v>
      </c>
      <c r="BA64" s="485">
        <f t="shared" si="8"/>
        <v>1</v>
      </c>
      <c r="BC64" s="581"/>
    </row>
    <row r="65" spans="1:55" x14ac:dyDescent="0.3">
      <c r="A65" s="106" t="s">
        <v>454</v>
      </c>
      <c r="B65" s="510" t="s">
        <v>468</v>
      </c>
      <c r="C65" s="511" t="s">
        <v>469</v>
      </c>
      <c r="D65" s="511" t="s">
        <v>107</v>
      </c>
      <c r="E65" s="555" t="s">
        <v>27</v>
      </c>
      <c r="F65" s="512">
        <v>0</v>
      </c>
      <c r="G65" s="511"/>
      <c r="H65" s="511" t="s">
        <v>327</v>
      </c>
      <c r="I65" s="512" t="s">
        <v>386</v>
      </c>
      <c r="J65" s="512">
        <v>0</v>
      </c>
      <c r="K65" s="512">
        <v>0</v>
      </c>
      <c r="L65" s="512"/>
      <c r="M65" s="511"/>
      <c r="N65" s="511"/>
      <c r="O65" s="511"/>
      <c r="P65" s="514">
        <v>2453544.6521780393</v>
      </c>
      <c r="Q65" s="530"/>
      <c r="R65" s="531">
        <v>0</v>
      </c>
      <c r="S65" s="531">
        <v>2453544.6521780393</v>
      </c>
      <c r="T65" s="531"/>
      <c r="U65" s="531"/>
      <c r="V65" s="531"/>
      <c r="W65" s="531"/>
      <c r="X65" s="531"/>
      <c r="Y65" s="532"/>
      <c r="Z65" s="528">
        <v>0</v>
      </c>
      <c r="AA65" s="520">
        <v>0</v>
      </c>
      <c r="AB65" s="520">
        <v>0</v>
      </c>
      <c r="AC65" s="520">
        <v>686992.50260985119</v>
      </c>
      <c r="AD65" s="520">
        <v>1104095.0934801179</v>
      </c>
      <c r="AE65" s="520">
        <v>147212.67913068237</v>
      </c>
      <c r="AF65" s="520">
        <v>515244.3769573883</v>
      </c>
      <c r="AG65" s="520"/>
      <c r="AH65" s="520"/>
      <c r="AI65" s="520"/>
      <c r="AJ65" s="520"/>
      <c r="AK65" s="520"/>
      <c r="AL65" s="520"/>
      <c r="AM65" s="520"/>
      <c r="AN65" s="520"/>
      <c r="AO65" s="520"/>
      <c r="AP65" s="520"/>
      <c r="AQ65" s="520"/>
      <c r="AR65" s="520"/>
      <c r="AS65" s="520"/>
      <c r="AT65" s="520"/>
      <c r="AU65" s="520"/>
      <c r="AV65" s="520"/>
      <c r="AW65" s="529"/>
      <c r="AX65" s="485">
        <f t="shared" si="5"/>
        <v>2453544.6521780393</v>
      </c>
      <c r="AY65" s="485">
        <f t="shared" si="6"/>
        <v>2453544.6521780393</v>
      </c>
      <c r="AZ65" s="485">
        <f t="shared" si="7"/>
        <v>2453544.6521780393</v>
      </c>
      <c r="BA65" s="485">
        <f t="shared" si="8"/>
        <v>0</v>
      </c>
      <c r="BC65" s="581"/>
    </row>
    <row r="66" spans="1:55" x14ac:dyDescent="0.3">
      <c r="A66" s="106"/>
      <c r="B66" s="406" t="s">
        <v>279</v>
      </c>
      <c r="C66" s="351" t="s">
        <v>352</v>
      </c>
      <c r="D66" s="351" t="s">
        <v>107</v>
      </c>
      <c r="E66" s="556" t="s">
        <v>31</v>
      </c>
      <c r="F66" s="353">
        <v>13</v>
      </c>
      <c r="G66" s="351"/>
      <c r="H66" s="351" t="s">
        <v>19</v>
      </c>
      <c r="I66" s="548">
        <v>1</v>
      </c>
      <c r="J66" s="548">
        <v>1</v>
      </c>
      <c r="K66" s="548">
        <v>0</v>
      </c>
      <c r="L66" s="353"/>
      <c r="M66" s="351"/>
      <c r="N66" s="351"/>
      <c r="O66" s="351"/>
      <c r="P66" s="408">
        <v>3751290</v>
      </c>
      <c r="Q66" s="494"/>
      <c r="R66" s="472">
        <v>0</v>
      </c>
      <c r="S66" s="472">
        <v>817279</v>
      </c>
      <c r="T66" s="472">
        <v>636193</v>
      </c>
      <c r="U66" s="472">
        <v>1058875</v>
      </c>
      <c r="V66" s="472">
        <v>813314</v>
      </c>
      <c r="W66" s="472">
        <v>425629</v>
      </c>
      <c r="X66" s="472">
        <v>0</v>
      </c>
      <c r="Y66" s="495"/>
      <c r="Z66" s="483"/>
      <c r="AA66" s="482"/>
      <c r="AB66" s="482"/>
      <c r="AC66" s="482"/>
      <c r="AD66" s="482"/>
      <c r="AE66" s="482"/>
      <c r="AF66" s="482"/>
      <c r="AG66" s="482"/>
      <c r="AH66" s="482"/>
      <c r="AI66" s="482"/>
      <c r="AJ66" s="482"/>
      <c r="AK66" s="482"/>
      <c r="AL66" s="482"/>
      <c r="AM66" s="482"/>
      <c r="AN66" s="482">
        <v>3751290</v>
      </c>
      <c r="AO66" s="482"/>
      <c r="AP66" s="482"/>
      <c r="AQ66" s="482"/>
      <c r="AR66" s="482"/>
      <c r="AS66" s="482"/>
      <c r="AT66" s="482"/>
      <c r="AU66" s="482"/>
      <c r="AV66" s="482"/>
      <c r="AW66" s="484"/>
      <c r="AX66" s="485">
        <f t="shared" si="5"/>
        <v>3751290</v>
      </c>
      <c r="AY66" s="485">
        <f t="shared" si="6"/>
        <v>3751290</v>
      </c>
      <c r="AZ66" s="485">
        <f t="shared" si="7"/>
        <v>3751290</v>
      </c>
      <c r="BA66" s="485">
        <f t="shared" si="8"/>
        <v>0</v>
      </c>
      <c r="BC66" s="581"/>
    </row>
    <row r="67" spans="1:55" x14ac:dyDescent="0.3">
      <c r="A67" s="106"/>
      <c r="B67" s="406" t="s">
        <v>280</v>
      </c>
      <c r="C67" s="351" t="s">
        <v>353</v>
      </c>
      <c r="D67" s="351" t="s">
        <v>107</v>
      </c>
      <c r="E67" s="556" t="s">
        <v>31</v>
      </c>
      <c r="F67" s="353">
        <v>13</v>
      </c>
      <c r="G67" s="351"/>
      <c r="H67" s="351" t="s">
        <v>19</v>
      </c>
      <c r="I67" s="548">
        <v>1</v>
      </c>
      <c r="J67" s="548">
        <v>1</v>
      </c>
      <c r="K67" s="548">
        <v>0</v>
      </c>
      <c r="L67" s="353"/>
      <c r="M67" s="351"/>
      <c r="N67" s="351"/>
      <c r="O67" s="351"/>
      <c r="P67" s="408">
        <v>3510853.0000000005</v>
      </c>
      <c r="Q67" s="494"/>
      <c r="R67" s="472">
        <v>0</v>
      </c>
      <c r="S67" s="472">
        <v>1672483</v>
      </c>
      <c r="T67" s="472">
        <v>473609</v>
      </c>
      <c r="U67" s="472">
        <v>249532</v>
      </c>
      <c r="V67" s="472">
        <v>340492</v>
      </c>
      <c r="W67" s="472">
        <v>774740</v>
      </c>
      <c r="X67" s="472"/>
      <c r="Y67" s="495"/>
      <c r="Z67" s="483"/>
      <c r="AA67" s="482"/>
      <c r="AB67" s="482"/>
      <c r="AC67" s="482"/>
      <c r="AD67" s="482"/>
      <c r="AE67" s="482"/>
      <c r="AF67" s="482"/>
      <c r="AG67" s="482"/>
      <c r="AH67" s="482"/>
      <c r="AI67" s="482"/>
      <c r="AJ67" s="482"/>
      <c r="AK67" s="482"/>
      <c r="AL67" s="482"/>
      <c r="AM67" s="482">
        <v>0</v>
      </c>
      <c r="AN67" s="482">
        <v>169141</v>
      </c>
      <c r="AO67" s="482">
        <v>3341715</v>
      </c>
      <c r="AP67" s="482"/>
      <c r="AQ67" s="482"/>
      <c r="AR67" s="482"/>
      <c r="AS67" s="482"/>
      <c r="AT67" s="482"/>
      <c r="AU67" s="482"/>
      <c r="AV67" s="482"/>
      <c r="AW67" s="484"/>
      <c r="AX67" s="485">
        <f t="shared" si="5"/>
        <v>3510856</v>
      </c>
      <c r="AY67" s="485">
        <f t="shared" si="6"/>
        <v>3510856</v>
      </c>
      <c r="AZ67" s="485">
        <f t="shared" si="7"/>
        <v>3510853.0000000005</v>
      </c>
      <c r="BA67" s="485">
        <f t="shared" si="8"/>
        <v>2.9999999995343387</v>
      </c>
      <c r="BC67" s="581"/>
    </row>
    <row r="68" spans="1:55" x14ac:dyDescent="0.3">
      <c r="A68" s="106"/>
      <c r="B68" s="406" t="s">
        <v>281</v>
      </c>
      <c r="C68" s="351" t="s">
        <v>354</v>
      </c>
      <c r="D68" s="351" t="s">
        <v>107</v>
      </c>
      <c r="E68" s="556" t="s">
        <v>31</v>
      </c>
      <c r="F68" s="353">
        <v>13</v>
      </c>
      <c r="G68" s="351"/>
      <c r="H68" s="351" t="s">
        <v>19</v>
      </c>
      <c r="I68" s="548">
        <v>1</v>
      </c>
      <c r="J68" s="548">
        <v>1</v>
      </c>
      <c r="K68" s="548">
        <v>0</v>
      </c>
      <c r="L68" s="353"/>
      <c r="M68" s="351"/>
      <c r="N68" s="351"/>
      <c r="O68" s="351"/>
      <c r="P68" s="408">
        <v>5930144</v>
      </c>
      <c r="Q68" s="494"/>
      <c r="R68" s="472">
        <v>0</v>
      </c>
      <c r="S68" s="472">
        <v>0</v>
      </c>
      <c r="T68" s="472">
        <v>98514</v>
      </c>
      <c r="U68" s="472">
        <v>2088202</v>
      </c>
      <c r="V68" s="472">
        <v>2982304</v>
      </c>
      <c r="W68" s="472">
        <v>761124</v>
      </c>
      <c r="X68" s="472">
        <v>0</v>
      </c>
      <c r="Y68" s="495"/>
      <c r="Z68" s="483"/>
      <c r="AA68" s="482"/>
      <c r="AB68" s="482"/>
      <c r="AC68" s="482"/>
      <c r="AD68" s="482"/>
      <c r="AE68" s="482"/>
      <c r="AF68" s="482"/>
      <c r="AG68" s="482"/>
      <c r="AH68" s="482"/>
      <c r="AI68" s="482"/>
      <c r="AJ68" s="482"/>
      <c r="AK68" s="482"/>
      <c r="AL68" s="482"/>
      <c r="AM68" s="482">
        <v>0</v>
      </c>
      <c r="AN68" s="482">
        <v>5930144</v>
      </c>
      <c r="AO68" s="482">
        <v>0</v>
      </c>
      <c r="AP68" s="482"/>
      <c r="AQ68" s="482"/>
      <c r="AR68" s="482"/>
      <c r="AS68" s="482"/>
      <c r="AT68" s="482"/>
      <c r="AU68" s="482"/>
      <c r="AV68" s="482"/>
      <c r="AW68" s="484"/>
      <c r="AX68" s="485">
        <f t="shared" ref="AX68:AX94" si="9">SUM(Q68:Y68)</f>
        <v>5930144</v>
      </c>
      <c r="AY68" s="485">
        <f t="shared" ref="AY68:AY94" si="10">SUM(Z68:AW68)</f>
        <v>5930144</v>
      </c>
      <c r="AZ68" s="485">
        <f t="shared" ref="AZ68:AZ94" si="11">P68</f>
        <v>5930144</v>
      </c>
      <c r="BA68" s="485">
        <f t="shared" ref="BA68:BA94" si="12">MAX(AX68:AZ68)-MIN(AX68:AZ68)</f>
        <v>0</v>
      </c>
      <c r="BC68" s="581"/>
    </row>
    <row r="69" spans="1:55" x14ac:dyDescent="0.3">
      <c r="A69" s="106"/>
      <c r="B69" s="406" t="s">
        <v>286</v>
      </c>
      <c r="C69" s="351" t="s">
        <v>359</v>
      </c>
      <c r="D69" s="351" t="s">
        <v>109</v>
      </c>
      <c r="E69" s="556" t="s">
        <v>31</v>
      </c>
      <c r="F69" s="353">
        <v>18</v>
      </c>
      <c r="G69" s="351"/>
      <c r="H69" s="351" t="s">
        <v>19</v>
      </c>
      <c r="I69" s="548">
        <v>1</v>
      </c>
      <c r="J69" s="548">
        <v>1</v>
      </c>
      <c r="K69" s="548">
        <v>0</v>
      </c>
      <c r="L69" s="353"/>
      <c r="M69" s="351"/>
      <c r="N69" s="351"/>
      <c r="O69" s="351"/>
      <c r="P69" s="408">
        <v>1200000</v>
      </c>
      <c r="Q69" s="494"/>
      <c r="R69" s="472">
        <v>0</v>
      </c>
      <c r="S69" s="472">
        <v>0</v>
      </c>
      <c r="T69" s="472">
        <v>600000</v>
      </c>
      <c r="U69" s="472">
        <v>0</v>
      </c>
      <c r="V69" s="472">
        <v>0</v>
      </c>
      <c r="W69" s="472">
        <v>600000</v>
      </c>
      <c r="X69" s="472">
        <v>0</v>
      </c>
      <c r="Y69" s="495"/>
      <c r="Z69" s="483"/>
      <c r="AA69" s="482"/>
      <c r="AB69" s="482"/>
      <c r="AC69" s="482"/>
      <c r="AD69" s="482"/>
      <c r="AE69" s="482"/>
      <c r="AF69" s="482"/>
      <c r="AG69" s="482"/>
      <c r="AH69" s="482"/>
      <c r="AI69" s="482">
        <v>1200000</v>
      </c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2"/>
      <c r="AW69" s="484"/>
      <c r="AX69" s="485">
        <f t="shared" si="9"/>
        <v>1200000</v>
      </c>
      <c r="AY69" s="485">
        <f t="shared" si="10"/>
        <v>1200000</v>
      </c>
      <c r="AZ69" s="485">
        <f t="shared" si="11"/>
        <v>1200000</v>
      </c>
      <c r="BA69" s="485">
        <f t="shared" si="12"/>
        <v>0</v>
      </c>
      <c r="BC69" s="581"/>
    </row>
    <row r="70" spans="1:55" x14ac:dyDescent="0.3">
      <c r="A70" s="106"/>
      <c r="B70" s="406" t="s">
        <v>282</v>
      </c>
      <c r="C70" s="351" t="s">
        <v>355</v>
      </c>
      <c r="D70" s="351" t="s">
        <v>107</v>
      </c>
      <c r="E70" s="556" t="s">
        <v>31</v>
      </c>
      <c r="F70" s="353">
        <v>13</v>
      </c>
      <c r="G70" s="351"/>
      <c r="H70" s="351" t="s">
        <v>19</v>
      </c>
      <c r="I70" s="548">
        <v>1</v>
      </c>
      <c r="J70" s="548">
        <v>1</v>
      </c>
      <c r="K70" s="548">
        <v>0</v>
      </c>
      <c r="L70" s="353"/>
      <c r="M70" s="351"/>
      <c r="N70" s="351"/>
      <c r="O70" s="351"/>
      <c r="P70" s="408">
        <v>1730623</v>
      </c>
      <c r="Q70" s="494"/>
      <c r="R70" s="472">
        <v>0</v>
      </c>
      <c r="S70" s="472">
        <v>450637</v>
      </c>
      <c r="T70" s="472">
        <v>128826</v>
      </c>
      <c r="U70" s="472">
        <v>681877</v>
      </c>
      <c r="V70" s="472">
        <v>281049</v>
      </c>
      <c r="W70" s="472">
        <v>188233</v>
      </c>
      <c r="X70" s="472">
        <v>0</v>
      </c>
      <c r="Y70" s="495"/>
      <c r="Z70" s="483"/>
      <c r="AA70" s="482"/>
      <c r="AB70" s="482"/>
      <c r="AC70" s="482"/>
      <c r="AD70" s="482"/>
      <c r="AE70" s="482"/>
      <c r="AF70" s="482"/>
      <c r="AG70" s="482"/>
      <c r="AH70" s="482"/>
      <c r="AI70" s="482"/>
      <c r="AJ70" s="482"/>
      <c r="AK70" s="482"/>
      <c r="AL70" s="482"/>
      <c r="AM70" s="482">
        <v>404920</v>
      </c>
      <c r="AN70" s="482">
        <v>1325703</v>
      </c>
      <c r="AO70" s="482">
        <v>0</v>
      </c>
      <c r="AP70" s="482"/>
      <c r="AQ70" s="482"/>
      <c r="AR70" s="482"/>
      <c r="AS70" s="482"/>
      <c r="AT70" s="482"/>
      <c r="AU70" s="482"/>
      <c r="AV70" s="482"/>
      <c r="AW70" s="484"/>
      <c r="AX70" s="485">
        <f t="shared" si="9"/>
        <v>1730622</v>
      </c>
      <c r="AY70" s="485">
        <f t="shared" si="10"/>
        <v>1730623</v>
      </c>
      <c r="AZ70" s="485">
        <f t="shared" si="11"/>
        <v>1730623</v>
      </c>
      <c r="BA70" s="485">
        <f t="shared" si="12"/>
        <v>1</v>
      </c>
      <c r="BC70" s="581"/>
    </row>
    <row r="71" spans="1:55" x14ac:dyDescent="0.3">
      <c r="A71" s="106"/>
      <c r="B71" s="406" t="s">
        <v>283</v>
      </c>
      <c r="C71" s="351" t="s">
        <v>356</v>
      </c>
      <c r="D71" s="351" t="s">
        <v>107</v>
      </c>
      <c r="E71" s="556" t="s">
        <v>30</v>
      </c>
      <c r="F71" s="353">
        <v>13</v>
      </c>
      <c r="G71" s="351"/>
      <c r="H71" s="351" t="s">
        <v>19</v>
      </c>
      <c r="I71" s="548">
        <v>1</v>
      </c>
      <c r="J71" s="548">
        <v>1</v>
      </c>
      <c r="K71" s="548">
        <v>0</v>
      </c>
      <c r="L71" s="353"/>
      <c r="M71" s="351"/>
      <c r="N71" s="351"/>
      <c r="O71" s="351"/>
      <c r="P71" s="408">
        <v>1527760</v>
      </c>
      <c r="Q71" s="494"/>
      <c r="R71" s="472">
        <v>0</v>
      </c>
      <c r="S71" s="472">
        <v>0</v>
      </c>
      <c r="T71" s="472">
        <v>414116</v>
      </c>
      <c r="U71" s="472">
        <v>399629</v>
      </c>
      <c r="V71" s="472">
        <v>714015</v>
      </c>
      <c r="W71" s="472"/>
      <c r="X71" s="472">
        <v>0</v>
      </c>
      <c r="Y71" s="495"/>
      <c r="Z71" s="483"/>
      <c r="AA71" s="482"/>
      <c r="AB71" s="482"/>
      <c r="AC71" s="482"/>
      <c r="AD71" s="482"/>
      <c r="AE71" s="482"/>
      <c r="AF71" s="482"/>
      <c r="AG71" s="482"/>
      <c r="AH71" s="482"/>
      <c r="AI71" s="482"/>
      <c r="AJ71" s="482"/>
      <c r="AK71" s="482"/>
      <c r="AL71" s="482"/>
      <c r="AM71" s="482">
        <v>0</v>
      </c>
      <c r="AN71" s="482">
        <v>598365</v>
      </c>
      <c r="AO71" s="482">
        <v>929395</v>
      </c>
      <c r="AP71" s="482"/>
      <c r="AQ71" s="482"/>
      <c r="AR71" s="482"/>
      <c r="AS71" s="482"/>
      <c r="AT71" s="482"/>
      <c r="AU71" s="482"/>
      <c r="AV71" s="482"/>
      <c r="AW71" s="484"/>
      <c r="AX71" s="485">
        <f t="shared" si="9"/>
        <v>1527760</v>
      </c>
      <c r="AY71" s="485">
        <f t="shared" si="10"/>
        <v>1527760</v>
      </c>
      <c r="AZ71" s="485">
        <f t="shared" si="11"/>
        <v>1527760</v>
      </c>
      <c r="BA71" s="485">
        <f t="shared" si="12"/>
        <v>0</v>
      </c>
      <c r="BC71" s="581"/>
    </row>
    <row r="72" spans="1:55" x14ac:dyDescent="0.3">
      <c r="A72" s="106"/>
      <c r="B72" s="406" t="s">
        <v>388</v>
      </c>
      <c r="C72" s="351" t="s">
        <v>376</v>
      </c>
      <c r="D72" s="351" t="s">
        <v>188</v>
      </c>
      <c r="E72" s="556" t="s">
        <v>31</v>
      </c>
      <c r="F72" s="353">
        <v>9</v>
      </c>
      <c r="G72" s="351"/>
      <c r="H72" s="351" t="s">
        <v>19</v>
      </c>
      <c r="I72" s="548">
        <v>1</v>
      </c>
      <c r="J72" s="548">
        <v>1</v>
      </c>
      <c r="K72" s="548">
        <v>0</v>
      </c>
      <c r="L72" s="353"/>
      <c r="M72" s="351"/>
      <c r="N72" s="351"/>
      <c r="O72" s="351"/>
      <c r="P72" s="408">
        <v>811100</v>
      </c>
      <c r="Q72" s="494"/>
      <c r="R72" s="472">
        <v>0</v>
      </c>
      <c r="S72" s="472">
        <v>162220</v>
      </c>
      <c r="T72" s="472">
        <v>162220</v>
      </c>
      <c r="U72" s="472">
        <v>162220</v>
      </c>
      <c r="V72" s="472">
        <v>162220</v>
      </c>
      <c r="W72" s="472">
        <v>162220</v>
      </c>
      <c r="X72" s="472">
        <v>0</v>
      </c>
      <c r="Y72" s="495"/>
      <c r="Z72" s="483"/>
      <c r="AA72" s="482"/>
      <c r="AB72" s="482"/>
      <c r="AC72" s="482"/>
      <c r="AD72" s="482"/>
      <c r="AE72" s="482"/>
      <c r="AF72" s="482"/>
      <c r="AG72" s="482"/>
      <c r="AH72" s="482"/>
      <c r="AI72" s="482"/>
      <c r="AJ72" s="482"/>
      <c r="AK72" s="482"/>
      <c r="AL72" s="482"/>
      <c r="AM72" s="482"/>
      <c r="AN72" s="482"/>
      <c r="AO72" s="482">
        <v>811100</v>
      </c>
      <c r="AP72" s="482"/>
      <c r="AQ72" s="482"/>
      <c r="AR72" s="482"/>
      <c r="AS72" s="482"/>
      <c r="AT72" s="482"/>
      <c r="AU72" s="482"/>
      <c r="AV72" s="482"/>
      <c r="AW72" s="484"/>
      <c r="AX72" s="485">
        <f t="shared" si="9"/>
        <v>811100</v>
      </c>
      <c r="AY72" s="485">
        <f t="shared" si="10"/>
        <v>811100</v>
      </c>
      <c r="AZ72" s="485">
        <f t="shared" si="11"/>
        <v>811100</v>
      </c>
      <c r="BA72" s="485">
        <f t="shared" si="12"/>
        <v>0</v>
      </c>
      <c r="BC72" s="581"/>
    </row>
    <row r="73" spans="1:55" x14ac:dyDescent="0.3">
      <c r="A73" s="106"/>
      <c r="B73" s="406" t="s">
        <v>287</v>
      </c>
      <c r="C73" s="351" t="s">
        <v>360</v>
      </c>
      <c r="D73" s="351" t="s">
        <v>107</v>
      </c>
      <c r="E73" s="556" t="s">
        <v>30</v>
      </c>
      <c r="F73" s="353">
        <v>13</v>
      </c>
      <c r="G73" s="351"/>
      <c r="H73" s="351" t="s">
        <v>19</v>
      </c>
      <c r="I73" s="548">
        <v>1</v>
      </c>
      <c r="J73" s="548">
        <v>1</v>
      </c>
      <c r="K73" s="548">
        <v>0</v>
      </c>
      <c r="L73" s="353"/>
      <c r="M73" s="351"/>
      <c r="N73" s="351"/>
      <c r="O73" s="351"/>
      <c r="P73" s="408">
        <v>5867956</v>
      </c>
      <c r="Q73" s="494"/>
      <c r="R73" s="472">
        <v>0</v>
      </c>
      <c r="S73" s="472">
        <v>0</v>
      </c>
      <c r="T73" s="472">
        <v>762834</v>
      </c>
      <c r="U73" s="472">
        <v>5046442</v>
      </c>
      <c r="V73" s="472">
        <v>58680</v>
      </c>
      <c r="W73" s="472"/>
      <c r="X73" s="472">
        <v>0</v>
      </c>
      <c r="Y73" s="495"/>
      <c r="Z73" s="483"/>
      <c r="AA73" s="482"/>
      <c r="AB73" s="482"/>
      <c r="AC73" s="482"/>
      <c r="AD73" s="482"/>
      <c r="AE73" s="482"/>
      <c r="AF73" s="482">
        <v>5867956</v>
      </c>
      <c r="AG73" s="482"/>
      <c r="AH73" s="482"/>
      <c r="AI73" s="482"/>
      <c r="AJ73" s="482"/>
      <c r="AK73" s="482"/>
      <c r="AL73" s="482"/>
      <c r="AM73" s="482"/>
      <c r="AN73" s="482"/>
      <c r="AO73" s="482"/>
      <c r="AP73" s="482"/>
      <c r="AQ73" s="482"/>
      <c r="AR73" s="482"/>
      <c r="AS73" s="482"/>
      <c r="AT73" s="482"/>
      <c r="AU73" s="482"/>
      <c r="AV73" s="482"/>
      <c r="AW73" s="484"/>
      <c r="AX73" s="485">
        <f t="shared" si="9"/>
        <v>5867956</v>
      </c>
      <c r="AY73" s="485">
        <f t="shared" si="10"/>
        <v>5867956</v>
      </c>
      <c r="AZ73" s="485">
        <f t="shared" si="11"/>
        <v>5867956</v>
      </c>
      <c r="BA73" s="485">
        <f t="shared" si="12"/>
        <v>0</v>
      </c>
      <c r="BC73" s="581"/>
    </row>
    <row r="74" spans="1:55" x14ac:dyDescent="0.3">
      <c r="A74" s="106"/>
      <c r="B74" s="406" t="s">
        <v>435</v>
      </c>
      <c r="C74" s="351" t="s">
        <v>362</v>
      </c>
      <c r="D74" s="351" t="s">
        <v>187</v>
      </c>
      <c r="E74" s="556" t="s">
        <v>31</v>
      </c>
      <c r="F74" s="353">
        <v>6</v>
      </c>
      <c r="G74" s="351"/>
      <c r="H74" s="351" t="s">
        <v>19</v>
      </c>
      <c r="I74" s="548">
        <v>1</v>
      </c>
      <c r="J74" s="548">
        <v>1</v>
      </c>
      <c r="K74" s="548">
        <v>0</v>
      </c>
      <c r="L74" s="353"/>
      <c r="M74" s="351"/>
      <c r="N74" s="351"/>
      <c r="O74" s="351"/>
      <c r="P74" s="408">
        <v>3709771</v>
      </c>
      <c r="Q74" s="494"/>
      <c r="R74" s="472">
        <v>0</v>
      </c>
      <c r="S74" s="472">
        <v>741954</v>
      </c>
      <c r="T74" s="472">
        <v>741954</v>
      </c>
      <c r="U74" s="472">
        <v>741954</v>
      </c>
      <c r="V74" s="472">
        <v>741954</v>
      </c>
      <c r="W74" s="472">
        <v>741954</v>
      </c>
      <c r="X74" s="472">
        <v>0</v>
      </c>
      <c r="Y74" s="495"/>
      <c r="Z74" s="483">
        <v>3709771</v>
      </c>
      <c r="AA74" s="482"/>
      <c r="AB74" s="482"/>
      <c r="AC74" s="482"/>
      <c r="AD74" s="482"/>
      <c r="AE74" s="482"/>
      <c r="AF74" s="482"/>
      <c r="AG74" s="482"/>
      <c r="AH74" s="482"/>
      <c r="AI74" s="482"/>
      <c r="AJ74" s="482"/>
      <c r="AK74" s="482"/>
      <c r="AL74" s="482"/>
      <c r="AM74" s="482"/>
      <c r="AN74" s="482"/>
      <c r="AO74" s="482"/>
      <c r="AP74" s="482"/>
      <c r="AQ74" s="482"/>
      <c r="AR74" s="482"/>
      <c r="AS74" s="482"/>
      <c r="AT74" s="482"/>
      <c r="AU74" s="482"/>
      <c r="AV74" s="482"/>
      <c r="AW74" s="484"/>
      <c r="AX74" s="485">
        <f t="shared" si="9"/>
        <v>3709770</v>
      </c>
      <c r="AY74" s="485">
        <f t="shared" si="10"/>
        <v>3709771</v>
      </c>
      <c r="AZ74" s="485">
        <f t="shared" si="11"/>
        <v>3709771</v>
      </c>
      <c r="BA74" s="485">
        <f t="shared" si="12"/>
        <v>1</v>
      </c>
      <c r="BC74" s="581"/>
    </row>
    <row r="75" spans="1:55" x14ac:dyDescent="0.3">
      <c r="A75" s="106"/>
      <c r="B75" s="406" t="s">
        <v>294</v>
      </c>
      <c r="C75" s="351" t="s">
        <v>368</v>
      </c>
      <c r="D75" s="351" t="s">
        <v>187</v>
      </c>
      <c r="E75" s="556" t="s">
        <v>31</v>
      </c>
      <c r="F75" s="353">
        <v>6</v>
      </c>
      <c r="G75" s="351"/>
      <c r="H75" s="351" t="s">
        <v>19</v>
      </c>
      <c r="I75" s="548">
        <v>1</v>
      </c>
      <c r="J75" s="548">
        <v>1</v>
      </c>
      <c r="K75" s="548">
        <v>0</v>
      </c>
      <c r="L75" s="353"/>
      <c r="M75" s="351"/>
      <c r="N75" s="351"/>
      <c r="O75" s="351"/>
      <c r="P75" s="408">
        <v>610500.00000000012</v>
      </c>
      <c r="Q75" s="494"/>
      <c r="R75" s="472">
        <v>0</v>
      </c>
      <c r="S75" s="472">
        <v>61050.000000000007</v>
      </c>
      <c r="T75" s="472">
        <v>137362.50000000003</v>
      </c>
      <c r="U75" s="472">
        <v>137362.50000000003</v>
      </c>
      <c r="V75" s="472">
        <v>137362.50000000003</v>
      </c>
      <c r="W75" s="472">
        <v>137362.50000000003</v>
      </c>
      <c r="X75" s="472">
        <v>0</v>
      </c>
      <c r="Y75" s="495"/>
      <c r="Z75" s="483"/>
      <c r="AA75" s="482"/>
      <c r="AB75" s="486">
        <v>610500</v>
      </c>
      <c r="AC75" s="482"/>
      <c r="AD75" s="482"/>
      <c r="AE75" s="482"/>
      <c r="AF75" s="482"/>
      <c r="AG75" s="482"/>
      <c r="AH75" s="482"/>
      <c r="AI75" s="482"/>
      <c r="AJ75" s="482"/>
      <c r="AK75" s="482"/>
      <c r="AL75" s="482"/>
      <c r="AM75" s="482"/>
      <c r="AN75" s="482"/>
      <c r="AO75" s="482"/>
      <c r="AP75" s="482"/>
      <c r="AQ75" s="482"/>
      <c r="AR75" s="482"/>
      <c r="AS75" s="482"/>
      <c r="AT75" s="482"/>
      <c r="AU75" s="482"/>
      <c r="AV75" s="482"/>
      <c r="AW75" s="484"/>
      <c r="AX75" s="485">
        <f t="shared" si="9"/>
        <v>610500.00000000012</v>
      </c>
      <c r="AY75" s="485">
        <f t="shared" si="10"/>
        <v>610500</v>
      </c>
      <c r="AZ75" s="485">
        <f t="shared" si="11"/>
        <v>610500.00000000012</v>
      </c>
      <c r="BA75" s="485">
        <f t="shared" si="12"/>
        <v>0</v>
      </c>
      <c r="BC75" s="581"/>
    </row>
    <row r="76" spans="1:55" x14ac:dyDescent="0.3">
      <c r="A76" s="106"/>
      <c r="B76" s="406" t="s">
        <v>289</v>
      </c>
      <c r="C76" s="351" t="s">
        <v>363</v>
      </c>
      <c r="D76" s="351" t="s">
        <v>107</v>
      </c>
      <c r="E76" s="556" t="s">
        <v>31</v>
      </c>
      <c r="F76" s="353">
        <v>15</v>
      </c>
      <c r="G76" s="351"/>
      <c r="H76" s="351" t="s">
        <v>19</v>
      </c>
      <c r="I76" s="548">
        <v>1</v>
      </c>
      <c r="J76" s="548">
        <v>1</v>
      </c>
      <c r="K76" s="548">
        <v>0</v>
      </c>
      <c r="L76" s="353"/>
      <c r="M76" s="351"/>
      <c r="N76" s="351"/>
      <c r="O76" s="351"/>
      <c r="P76" s="408">
        <v>3939945</v>
      </c>
      <c r="Q76" s="494"/>
      <c r="R76" s="472">
        <v>0</v>
      </c>
      <c r="S76" s="472">
        <v>393994.5</v>
      </c>
      <c r="T76" s="472">
        <v>886487.625</v>
      </c>
      <c r="U76" s="472">
        <v>886487.625</v>
      </c>
      <c r="V76" s="472">
        <v>886487.625</v>
      </c>
      <c r="W76" s="472">
        <v>886487.625</v>
      </c>
      <c r="X76" s="472">
        <v>0</v>
      </c>
      <c r="Y76" s="495"/>
      <c r="Z76" s="483">
        <v>1772975</v>
      </c>
      <c r="AA76" s="482">
        <v>1930573</v>
      </c>
      <c r="AB76" s="482">
        <v>236397</v>
      </c>
      <c r="AC76" s="482"/>
      <c r="AD76" s="482"/>
      <c r="AE76" s="482"/>
      <c r="AF76" s="482"/>
      <c r="AG76" s="482"/>
      <c r="AH76" s="482"/>
      <c r="AI76" s="482"/>
      <c r="AJ76" s="482"/>
      <c r="AK76" s="482"/>
      <c r="AL76" s="482"/>
      <c r="AM76" s="482"/>
      <c r="AN76" s="482"/>
      <c r="AO76" s="482"/>
      <c r="AP76" s="482"/>
      <c r="AQ76" s="482"/>
      <c r="AR76" s="482"/>
      <c r="AS76" s="482"/>
      <c r="AT76" s="482"/>
      <c r="AU76" s="482"/>
      <c r="AV76" s="482"/>
      <c r="AW76" s="484"/>
      <c r="AX76" s="485">
        <f t="shared" si="9"/>
        <v>3939945</v>
      </c>
      <c r="AY76" s="485">
        <f t="shared" si="10"/>
        <v>3939945</v>
      </c>
      <c r="AZ76" s="485">
        <f t="shared" si="11"/>
        <v>3939945</v>
      </c>
      <c r="BA76" s="485">
        <f t="shared" si="12"/>
        <v>0</v>
      </c>
      <c r="BC76" s="581"/>
    </row>
    <row r="77" spans="1:55" x14ac:dyDescent="0.3">
      <c r="A77" s="106"/>
      <c r="B77" s="406" t="s">
        <v>437</v>
      </c>
      <c r="C77" s="351" t="s">
        <v>423</v>
      </c>
      <c r="D77" s="351" t="s">
        <v>107</v>
      </c>
      <c r="E77" s="556" t="s">
        <v>31</v>
      </c>
      <c r="F77" s="353">
        <v>6</v>
      </c>
      <c r="G77" s="351"/>
      <c r="H77" s="351" t="s">
        <v>19</v>
      </c>
      <c r="I77" s="548">
        <v>1</v>
      </c>
      <c r="J77" s="548">
        <v>1</v>
      </c>
      <c r="K77" s="548">
        <v>0</v>
      </c>
      <c r="L77" s="353"/>
      <c r="M77" s="351"/>
      <c r="N77" s="351"/>
      <c r="O77" s="351"/>
      <c r="P77" s="408">
        <v>4298316</v>
      </c>
      <c r="Q77" s="494"/>
      <c r="R77" s="472">
        <v>0</v>
      </c>
      <c r="S77" s="472">
        <v>429831.6</v>
      </c>
      <c r="T77" s="472">
        <v>967121.1</v>
      </c>
      <c r="U77" s="472">
        <v>967121.1</v>
      </c>
      <c r="V77" s="472">
        <v>967121.1</v>
      </c>
      <c r="W77" s="472">
        <v>967121.1</v>
      </c>
      <c r="X77" s="472">
        <v>0</v>
      </c>
      <c r="Y77" s="495"/>
      <c r="Z77" s="483">
        <v>1934242</v>
      </c>
      <c r="AA77" s="482">
        <v>2106175</v>
      </c>
      <c r="AB77" s="482">
        <v>257899</v>
      </c>
      <c r="AC77" s="482"/>
      <c r="AD77" s="482"/>
      <c r="AE77" s="482"/>
      <c r="AF77" s="482"/>
      <c r="AG77" s="482"/>
      <c r="AH77" s="482"/>
      <c r="AI77" s="482"/>
      <c r="AJ77" s="482"/>
      <c r="AK77" s="482"/>
      <c r="AL77" s="482"/>
      <c r="AM77" s="482"/>
      <c r="AN77" s="482"/>
      <c r="AO77" s="482"/>
      <c r="AP77" s="482"/>
      <c r="AQ77" s="482"/>
      <c r="AR77" s="482"/>
      <c r="AS77" s="482"/>
      <c r="AT77" s="482"/>
      <c r="AU77" s="482"/>
      <c r="AV77" s="482"/>
      <c r="AW77" s="484"/>
      <c r="AX77" s="485">
        <f t="shared" si="9"/>
        <v>4298316</v>
      </c>
      <c r="AY77" s="485">
        <f t="shared" si="10"/>
        <v>4298316</v>
      </c>
      <c r="AZ77" s="485">
        <f t="shared" si="11"/>
        <v>4298316</v>
      </c>
      <c r="BA77" s="485">
        <f t="shared" si="12"/>
        <v>0</v>
      </c>
      <c r="BC77" s="581"/>
    </row>
    <row r="78" spans="1:55" x14ac:dyDescent="0.3">
      <c r="A78" s="106"/>
      <c r="B78" s="406" t="s">
        <v>290</v>
      </c>
      <c r="C78" s="351" t="s">
        <v>364</v>
      </c>
      <c r="D78" s="351" t="s">
        <v>187</v>
      </c>
      <c r="E78" s="556" t="s">
        <v>31</v>
      </c>
      <c r="F78" s="353">
        <v>6</v>
      </c>
      <c r="G78" s="351"/>
      <c r="H78" s="351" t="s">
        <v>19</v>
      </c>
      <c r="I78" s="548">
        <v>1</v>
      </c>
      <c r="J78" s="548">
        <v>1</v>
      </c>
      <c r="K78" s="548">
        <v>0</v>
      </c>
      <c r="L78" s="353"/>
      <c r="M78" s="351"/>
      <c r="N78" s="351"/>
      <c r="O78" s="351"/>
      <c r="P78" s="408">
        <v>851249.99999999988</v>
      </c>
      <c r="Q78" s="494"/>
      <c r="R78" s="472">
        <v>0</v>
      </c>
      <c r="S78" s="472">
        <v>85125</v>
      </c>
      <c r="T78" s="472">
        <v>191531.25</v>
      </c>
      <c r="U78" s="472">
        <v>191531.25</v>
      </c>
      <c r="V78" s="472">
        <v>191531.25</v>
      </c>
      <c r="W78" s="472">
        <v>191531.25</v>
      </c>
      <c r="X78" s="472">
        <v>0</v>
      </c>
      <c r="Y78" s="495"/>
      <c r="Z78" s="483"/>
      <c r="AA78" s="482"/>
      <c r="AB78" s="482">
        <v>851250</v>
      </c>
      <c r="AC78" s="482"/>
      <c r="AD78" s="482"/>
      <c r="AE78" s="482"/>
      <c r="AF78" s="482"/>
      <c r="AG78" s="482"/>
      <c r="AH78" s="482"/>
      <c r="AI78" s="482"/>
      <c r="AJ78" s="482"/>
      <c r="AK78" s="482"/>
      <c r="AL78" s="482"/>
      <c r="AM78" s="482"/>
      <c r="AN78" s="482"/>
      <c r="AO78" s="482"/>
      <c r="AP78" s="482"/>
      <c r="AQ78" s="482"/>
      <c r="AR78" s="482"/>
      <c r="AS78" s="482"/>
      <c r="AT78" s="482"/>
      <c r="AU78" s="482"/>
      <c r="AV78" s="482"/>
      <c r="AW78" s="484"/>
      <c r="AX78" s="485">
        <f t="shared" si="9"/>
        <v>851250</v>
      </c>
      <c r="AY78" s="485">
        <f t="shared" si="10"/>
        <v>851250</v>
      </c>
      <c r="AZ78" s="485">
        <f t="shared" si="11"/>
        <v>851249.99999999988</v>
      </c>
      <c r="BA78" s="485">
        <f t="shared" si="12"/>
        <v>0</v>
      </c>
      <c r="BC78" s="581"/>
    </row>
    <row r="79" spans="1:55" x14ac:dyDescent="0.3">
      <c r="A79" s="106"/>
      <c r="B79" s="406" t="s">
        <v>438</v>
      </c>
      <c r="C79" s="351" t="s">
        <v>365</v>
      </c>
      <c r="D79" s="351" t="s">
        <v>107</v>
      </c>
      <c r="E79" s="556" t="s">
        <v>31</v>
      </c>
      <c r="F79" s="353">
        <v>6</v>
      </c>
      <c r="G79" s="351"/>
      <c r="H79" s="351" t="s">
        <v>19</v>
      </c>
      <c r="I79" s="548">
        <v>1</v>
      </c>
      <c r="J79" s="548">
        <v>1</v>
      </c>
      <c r="K79" s="548">
        <v>0</v>
      </c>
      <c r="L79" s="353"/>
      <c r="M79" s="351"/>
      <c r="N79" s="351"/>
      <c r="O79" s="351"/>
      <c r="P79" s="408">
        <v>4405120</v>
      </c>
      <c r="Q79" s="494"/>
      <c r="R79" s="472">
        <v>0</v>
      </c>
      <c r="S79" s="472">
        <v>440512</v>
      </c>
      <c r="T79" s="472">
        <v>991152</v>
      </c>
      <c r="U79" s="472">
        <v>991152</v>
      </c>
      <c r="V79" s="472">
        <v>991152</v>
      </c>
      <c r="W79" s="472">
        <v>991152</v>
      </c>
      <c r="X79" s="472">
        <v>0</v>
      </c>
      <c r="Y79" s="495"/>
      <c r="Z79" s="483">
        <v>4405120</v>
      </c>
      <c r="AA79" s="482"/>
      <c r="AB79" s="482"/>
      <c r="AC79" s="482"/>
      <c r="AD79" s="482"/>
      <c r="AE79" s="482"/>
      <c r="AF79" s="482"/>
      <c r="AG79" s="482"/>
      <c r="AH79" s="482"/>
      <c r="AI79" s="482"/>
      <c r="AJ79" s="482"/>
      <c r="AK79" s="482"/>
      <c r="AL79" s="482"/>
      <c r="AM79" s="482"/>
      <c r="AN79" s="482"/>
      <c r="AO79" s="482"/>
      <c r="AP79" s="482"/>
      <c r="AQ79" s="482"/>
      <c r="AR79" s="482"/>
      <c r="AS79" s="482"/>
      <c r="AT79" s="482"/>
      <c r="AU79" s="482"/>
      <c r="AV79" s="482"/>
      <c r="AW79" s="484"/>
      <c r="AX79" s="485">
        <f t="shared" si="9"/>
        <v>4405120</v>
      </c>
      <c r="AY79" s="485">
        <f t="shared" si="10"/>
        <v>4405120</v>
      </c>
      <c r="AZ79" s="485">
        <f t="shared" si="11"/>
        <v>4405120</v>
      </c>
      <c r="BA79" s="485">
        <f t="shared" si="12"/>
        <v>0</v>
      </c>
      <c r="BC79" s="581"/>
    </row>
    <row r="80" spans="1:55" x14ac:dyDescent="0.3">
      <c r="A80" s="106"/>
      <c r="B80" s="406" t="s">
        <v>434</v>
      </c>
      <c r="C80" s="351" t="s">
        <v>366</v>
      </c>
      <c r="D80" s="351" t="s">
        <v>107</v>
      </c>
      <c r="E80" s="556" t="s">
        <v>31</v>
      </c>
      <c r="F80" s="353">
        <v>6</v>
      </c>
      <c r="G80" s="351"/>
      <c r="H80" s="351" t="s">
        <v>19</v>
      </c>
      <c r="I80" s="548">
        <v>1</v>
      </c>
      <c r="J80" s="548">
        <v>1</v>
      </c>
      <c r="K80" s="548">
        <v>0</v>
      </c>
      <c r="L80" s="353"/>
      <c r="M80" s="351"/>
      <c r="N80" s="351"/>
      <c r="O80" s="351"/>
      <c r="P80" s="408">
        <v>11681000</v>
      </c>
      <c r="Q80" s="494"/>
      <c r="R80" s="472">
        <v>0</v>
      </c>
      <c r="S80" s="472">
        <v>1168100</v>
      </c>
      <c r="T80" s="472">
        <v>2628225</v>
      </c>
      <c r="U80" s="472">
        <v>2628225</v>
      </c>
      <c r="V80" s="472">
        <v>2628225</v>
      </c>
      <c r="W80" s="472">
        <v>2628225</v>
      </c>
      <c r="X80" s="472">
        <v>0</v>
      </c>
      <c r="Y80" s="495"/>
      <c r="Z80" s="483">
        <v>5256450</v>
      </c>
      <c r="AA80" s="482">
        <v>5723690</v>
      </c>
      <c r="AB80" s="482">
        <v>700860</v>
      </c>
      <c r="AC80" s="482"/>
      <c r="AD80" s="482"/>
      <c r="AE80" s="482"/>
      <c r="AF80" s="482"/>
      <c r="AG80" s="482"/>
      <c r="AH80" s="482"/>
      <c r="AI80" s="482"/>
      <c r="AJ80" s="482"/>
      <c r="AK80" s="482"/>
      <c r="AL80" s="482"/>
      <c r="AM80" s="482"/>
      <c r="AN80" s="482"/>
      <c r="AO80" s="482"/>
      <c r="AP80" s="482"/>
      <c r="AQ80" s="482"/>
      <c r="AR80" s="482"/>
      <c r="AS80" s="482"/>
      <c r="AT80" s="482"/>
      <c r="AU80" s="482"/>
      <c r="AV80" s="482"/>
      <c r="AW80" s="484"/>
      <c r="AX80" s="485">
        <f t="shared" si="9"/>
        <v>11681000</v>
      </c>
      <c r="AY80" s="485">
        <f t="shared" si="10"/>
        <v>11681000</v>
      </c>
      <c r="AZ80" s="485">
        <f t="shared" si="11"/>
        <v>11681000</v>
      </c>
      <c r="BA80" s="485">
        <f t="shared" si="12"/>
        <v>0</v>
      </c>
      <c r="BC80" s="581"/>
    </row>
    <row r="81" spans="1:55" x14ac:dyDescent="0.3">
      <c r="A81" s="106"/>
      <c r="B81" s="406" t="s">
        <v>292</v>
      </c>
      <c r="C81" s="351" t="s">
        <v>422</v>
      </c>
      <c r="D81" s="351" t="s">
        <v>107</v>
      </c>
      <c r="E81" s="556" t="s">
        <v>28</v>
      </c>
      <c r="F81" s="353">
        <v>6</v>
      </c>
      <c r="G81" s="351"/>
      <c r="H81" s="351" t="s">
        <v>19</v>
      </c>
      <c r="I81" s="548">
        <v>1</v>
      </c>
      <c r="J81" s="548">
        <v>1</v>
      </c>
      <c r="K81" s="548">
        <v>0</v>
      </c>
      <c r="L81" s="353"/>
      <c r="M81" s="351"/>
      <c r="N81" s="351"/>
      <c r="O81" s="351"/>
      <c r="P81" s="408">
        <v>5272700</v>
      </c>
      <c r="Q81" s="494"/>
      <c r="R81" s="472">
        <v>0</v>
      </c>
      <c r="S81" s="472">
        <v>2533764</v>
      </c>
      <c r="T81" s="472">
        <v>2738936</v>
      </c>
      <c r="U81" s="472">
        <v>0</v>
      </c>
      <c r="V81" s="472">
        <v>0</v>
      </c>
      <c r="W81" s="472">
        <v>0</v>
      </c>
      <c r="X81" s="472">
        <v>0</v>
      </c>
      <c r="Y81" s="495"/>
      <c r="Z81" s="483">
        <v>2372715</v>
      </c>
      <c r="AA81" s="482">
        <v>2583623</v>
      </c>
      <c r="AB81" s="482">
        <v>316362</v>
      </c>
      <c r="AC81" s="482"/>
      <c r="AD81" s="482"/>
      <c r="AE81" s="482"/>
      <c r="AF81" s="482"/>
      <c r="AG81" s="482"/>
      <c r="AH81" s="482"/>
      <c r="AI81" s="482"/>
      <c r="AJ81" s="482"/>
      <c r="AK81" s="482"/>
      <c r="AL81" s="482"/>
      <c r="AM81" s="482"/>
      <c r="AN81" s="482"/>
      <c r="AO81" s="482"/>
      <c r="AP81" s="482"/>
      <c r="AQ81" s="482"/>
      <c r="AR81" s="482"/>
      <c r="AS81" s="482"/>
      <c r="AT81" s="482"/>
      <c r="AU81" s="482"/>
      <c r="AV81" s="482"/>
      <c r="AW81" s="484"/>
      <c r="AX81" s="485">
        <f t="shared" si="9"/>
        <v>5272700</v>
      </c>
      <c r="AY81" s="485">
        <f t="shared" si="10"/>
        <v>5272700</v>
      </c>
      <c r="AZ81" s="485">
        <f t="shared" si="11"/>
        <v>5272700</v>
      </c>
      <c r="BA81" s="485">
        <f t="shared" si="12"/>
        <v>0</v>
      </c>
      <c r="BC81" s="581"/>
    </row>
    <row r="82" spans="1:55" x14ac:dyDescent="0.3">
      <c r="A82" s="106"/>
      <c r="B82" s="406" t="s">
        <v>293</v>
      </c>
      <c r="C82" s="351" t="s">
        <v>367</v>
      </c>
      <c r="D82" s="351" t="s">
        <v>109</v>
      </c>
      <c r="E82" s="556" t="s">
        <v>27</v>
      </c>
      <c r="F82" s="353">
        <v>15</v>
      </c>
      <c r="G82" s="351"/>
      <c r="H82" s="351" t="s">
        <v>19</v>
      </c>
      <c r="I82" s="548">
        <v>1</v>
      </c>
      <c r="J82" s="548">
        <v>1</v>
      </c>
      <c r="K82" s="548">
        <v>0</v>
      </c>
      <c r="L82" s="353"/>
      <c r="M82" s="351"/>
      <c r="N82" s="351"/>
      <c r="O82" s="351"/>
      <c r="P82" s="408">
        <v>1556600</v>
      </c>
      <c r="Q82" s="494"/>
      <c r="R82" s="472">
        <v>36041</v>
      </c>
      <c r="S82" s="472">
        <v>1520559</v>
      </c>
      <c r="T82" s="472"/>
      <c r="U82" s="472">
        <v>0</v>
      </c>
      <c r="V82" s="472">
        <v>0</v>
      </c>
      <c r="W82" s="472">
        <v>0</v>
      </c>
      <c r="X82" s="472">
        <v>0</v>
      </c>
      <c r="Y82" s="495"/>
      <c r="Z82" s="483">
        <v>33750</v>
      </c>
      <c r="AA82" s="482">
        <v>36750</v>
      </c>
      <c r="AB82" s="482">
        <v>4500</v>
      </c>
      <c r="AC82" s="482"/>
      <c r="AD82" s="482"/>
      <c r="AE82" s="482"/>
      <c r="AF82" s="482"/>
      <c r="AG82" s="482"/>
      <c r="AH82" s="482"/>
      <c r="AI82" s="482"/>
      <c r="AJ82" s="482"/>
      <c r="AK82" s="482"/>
      <c r="AL82" s="482"/>
      <c r="AM82" s="482"/>
      <c r="AN82" s="482"/>
      <c r="AO82" s="482"/>
      <c r="AP82" s="482">
        <v>1481600</v>
      </c>
      <c r="AQ82" s="482"/>
      <c r="AR82" s="482"/>
      <c r="AS82" s="482"/>
      <c r="AT82" s="482"/>
      <c r="AU82" s="482"/>
      <c r="AV82" s="482"/>
      <c r="AW82" s="484"/>
      <c r="AX82" s="485">
        <f t="shared" si="9"/>
        <v>1556600</v>
      </c>
      <c r="AY82" s="485">
        <f t="shared" si="10"/>
        <v>1556600</v>
      </c>
      <c r="AZ82" s="485">
        <f t="shared" si="11"/>
        <v>1556600</v>
      </c>
      <c r="BA82" s="485">
        <f t="shared" si="12"/>
        <v>0</v>
      </c>
      <c r="BC82" s="581"/>
    </row>
    <row r="83" spans="1:55" x14ac:dyDescent="0.3">
      <c r="A83" s="106"/>
      <c r="B83" s="406" t="s">
        <v>288</v>
      </c>
      <c r="C83" s="351" t="s">
        <v>361</v>
      </c>
      <c r="D83" s="351" t="s">
        <v>107</v>
      </c>
      <c r="E83" s="556" t="s">
        <v>31</v>
      </c>
      <c r="F83" s="353">
        <v>13</v>
      </c>
      <c r="G83" s="351"/>
      <c r="H83" s="351" t="s">
        <v>19</v>
      </c>
      <c r="I83" s="548">
        <v>1</v>
      </c>
      <c r="J83" s="548">
        <v>1</v>
      </c>
      <c r="K83" s="548">
        <v>0</v>
      </c>
      <c r="L83" s="353"/>
      <c r="M83" s="351"/>
      <c r="N83" s="351"/>
      <c r="O83" s="351"/>
      <c r="P83" s="408">
        <v>3946436</v>
      </c>
      <c r="Q83" s="494"/>
      <c r="R83" s="472">
        <v>0</v>
      </c>
      <c r="S83" s="472">
        <v>0</v>
      </c>
      <c r="T83" s="472">
        <v>0</v>
      </c>
      <c r="U83" s="472">
        <v>492059</v>
      </c>
      <c r="V83" s="472">
        <v>3412791</v>
      </c>
      <c r="W83" s="472">
        <v>41586</v>
      </c>
      <c r="X83" s="472">
        <v>0</v>
      </c>
      <c r="Y83" s="495"/>
      <c r="Z83" s="483"/>
      <c r="AA83" s="482"/>
      <c r="AB83" s="482"/>
      <c r="AC83" s="482">
        <v>59409</v>
      </c>
      <c r="AD83" s="482">
        <v>95479</v>
      </c>
      <c r="AE83" s="482">
        <v>12731</v>
      </c>
      <c r="AF83" s="482">
        <v>3778817</v>
      </c>
      <c r="AG83" s="482"/>
      <c r="AH83" s="482"/>
      <c r="AI83" s="482"/>
      <c r="AJ83" s="482"/>
      <c r="AK83" s="482"/>
      <c r="AL83" s="482"/>
      <c r="AM83" s="482"/>
      <c r="AN83" s="482"/>
      <c r="AO83" s="482"/>
      <c r="AP83" s="482"/>
      <c r="AQ83" s="482"/>
      <c r="AR83" s="482"/>
      <c r="AS83" s="482"/>
      <c r="AT83" s="482"/>
      <c r="AU83" s="482"/>
      <c r="AV83" s="482"/>
      <c r="AW83" s="484"/>
      <c r="AX83" s="485">
        <f t="shared" si="9"/>
        <v>3946436</v>
      </c>
      <c r="AY83" s="485">
        <f t="shared" si="10"/>
        <v>3946436</v>
      </c>
      <c r="AZ83" s="485">
        <f t="shared" si="11"/>
        <v>3946436</v>
      </c>
      <c r="BA83" s="485">
        <f t="shared" si="12"/>
        <v>0</v>
      </c>
      <c r="BC83" s="581"/>
    </row>
    <row r="84" spans="1:55" x14ac:dyDescent="0.3">
      <c r="A84" s="106"/>
      <c r="B84" s="406" t="s">
        <v>433</v>
      </c>
      <c r="C84" s="351" t="s">
        <v>369</v>
      </c>
      <c r="D84" s="351" t="s">
        <v>187</v>
      </c>
      <c r="E84" s="556" t="s">
        <v>31</v>
      </c>
      <c r="F84" s="353">
        <v>6</v>
      </c>
      <c r="G84" s="351"/>
      <c r="H84" s="351" t="s">
        <v>19</v>
      </c>
      <c r="I84" s="548">
        <v>1</v>
      </c>
      <c r="J84" s="548">
        <v>1</v>
      </c>
      <c r="K84" s="548">
        <v>0</v>
      </c>
      <c r="L84" s="353"/>
      <c r="M84" s="351"/>
      <c r="N84" s="351"/>
      <c r="O84" s="351"/>
      <c r="P84" s="408">
        <v>1612000</v>
      </c>
      <c r="Q84" s="494"/>
      <c r="R84" s="472">
        <v>0</v>
      </c>
      <c r="S84" s="472">
        <v>161200</v>
      </c>
      <c r="T84" s="472">
        <v>362700</v>
      </c>
      <c r="U84" s="472">
        <v>362700</v>
      </c>
      <c r="V84" s="472">
        <v>362700</v>
      </c>
      <c r="W84" s="472">
        <v>362700</v>
      </c>
      <c r="X84" s="472">
        <v>0</v>
      </c>
      <c r="Y84" s="495"/>
      <c r="Z84" s="483">
        <v>725400</v>
      </c>
      <c r="AA84" s="482">
        <v>789880</v>
      </c>
      <c r="AB84" s="482">
        <v>96720</v>
      </c>
      <c r="AC84" s="482"/>
      <c r="AD84" s="482"/>
      <c r="AE84" s="482"/>
      <c r="AF84" s="482"/>
      <c r="AG84" s="482"/>
      <c r="AH84" s="482"/>
      <c r="AI84" s="482"/>
      <c r="AJ84" s="482"/>
      <c r="AK84" s="482"/>
      <c r="AL84" s="482"/>
      <c r="AM84" s="482"/>
      <c r="AN84" s="482"/>
      <c r="AO84" s="482"/>
      <c r="AP84" s="482"/>
      <c r="AQ84" s="482"/>
      <c r="AR84" s="482"/>
      <c r="AS84" s="482"/>
      <c r="AT84" s="482"/>
      <c r="AU84" s="482"/>
      <c r="AV84" s="482"/>
      <c r="AW84" s="484"/>
      <c r="AX84" s="485">
        <f t="shared" si="9"/>
        <v>1612000</v>
      </c>
      <c r="AY84" s="485">
        <f t="shared" si="10"/>
        <v>1612000</v>
      </c>
      <c r="AZ84" s="485">
        <f t="shared" si="11"/>
        <v>1612000</v>
      </c>
      <c r="BA84" s="485">
        <f t="shared" si="12"/>
        <v>0</v>
      </c>
      <c r="BC84" s="581"/>
    </row>
    <row r="85" spans="1:55" x14ac:dyDescent="0.3">
      <c r="A85" s="106"/>
      <c r="B85" s="406" t="s">
        <v>295</v>
      </c>
      <c r="C85" s="351" t="s">
        <v>395</v>
      </c>
      <c r="D85" s="351" t="s">
        <v>107</v>
      </c>
      <c r="E85" s="556" t="s">
        <v>31</v>
      </c>
      <c r="F85" s="353">
        <v>6</v>
      </c>
      <c r="G85" s="351"/>
      <c r="H85" s="351" t="s">
        <v>19</v>
      </c>
      <c r="I85" s="548">
        <v>1</v>
      </c>
      <c r="J85" s="548">
        <v>1</v>
      </c>
      <c r="K85" s="548">
        <v>0</v>
      </c>
      <c r="L85" s="353"/>
      <c r="M85" s="351"/>
      <c r="N85" s="351"/>
      <c r="O85" s="351"/>
      <c r="P85" s="408">
        <v>2249701</v>
      </c>
      <c r="Q85" s="494"/>
      <c r="R85" s="472">
        <v>0</v>
      </c>
      <c r="S85" s="472">
        <v>224970.1</v>
      </c>
      <c r="T85" s="472">
        <v>506182.72499999998</v>
      </c>
      <c r="U85" s="472">
        <v>506182.72499999998</v>
      </c>
      <c r="V85" s="472">
        <v>506182.72499999998</v>
      </c>
      <c r="W85" s="472">
        <v>506182.72499999998</v>
      </c>
      <c r="X85" s="472">
        <v>0</v>
      </c>
      <c r="Y85" s="495"/>
      <c r="Z85" s="483">
        <v>1012365</v>
      </c>
      <c r="AA85" s="482">
        <v>1102353</v>
      </c>
      <c r="AB85" s="482">
        <v>134982</v>
      </c>
      <c r="AC85" s="482"/>
      <c r="AD85" s="482"/>
      <c r="AE85" s="482"/>
      <c r="AF85" s="482"/>
      <c r="AG85" s="482"/>
      <c r="AH85" s="482"/>
      <c r="AI85" s="482"/>
      <c r="AJ85" s="482"/>
      <c r="AK85" s="482"/>
      <c r="AL85" s="482"/>
      <c r="AM85" s="482"/>
      <c r="AN85" s="482"/>
      <c r="AO85" s="482"/>
      <c r="AP85" s="482"/>
      <c r="AQ85" s="482"/>
      <c r="AR85" s="482"/>
      <c r="AS85" s="482"/>
      <c r="AT85" s="482"/>
      <c r="AU85" s="482"/>
      <c r="AV85" s="482"/>
      <c r="AW85" s="484"/>
      <c r="AX85" s="485">
        <f t="shared" si="9"/>
        <v>2249701</v>
      </c>
      <c r="AY85" s="485">
        <f t="shared" si="10"/>
        <v>2249700</v>
      </c>
      <c r="AZ85" s="485">
        <f t="shared" si="11"/>
        <v>2249701</v>
      </c>
      <c r="BA85" s="485">
        <f t="shared" si="12"/>
        <v>1</v>
      </c>
      <c r="BC85" s="581"/>
    </row>
    <row r="86" spans="1:55" x14ac:dyDescent="0.3">
      <c r="A86" s="106"/>
      <c r="B86" s="406" t="s">
        <v>436</v>
      </c>
      <c r="C86" s="351" t="s">
        <v>370</v>
      </c>
      <c r="D86" s="351" t="s">
        <v>107</v>
      </c>
      <c r="E86" s="556" t="s">
        <v>31</v>
      </c>
      <c r="F86" s="353">
        <v>6</v>
      </c>
      <c r="G86" s="351"/>
      <c r="H86" s="351" t="s">
        <v>19</v>
      </c>
      <c r="I86" s="548">
        <v>1</v>
      </c>
      <c r="J86" s="548">
        <v>1</v>
      </c>
      <c r="K86" s="548">
        <v>0</v>
      </c>
      <c r="L86" s="353"/>
      <c r="M86" s="351"/>
      <c r="N86" s="351"/>
      <c r="O86" s="351"/>
      <c r="P86" s="408">
        <v>2006703</v>
      </c>
      <c r="Q86" s="494"/>
      <c r="R86" s="472">
        <v>0</v>
      </c>
      <c r="S86" s="472">
        <v>200670.3</v>
      </c>
      <c r="T86" s="472">
        <v>451508.17499999999</v>
      </c>
      <c r="U86" s="472">
        <v>451508.17499999999</v>
      </c>
      <c r="V86" s="472">
        <v>451508.17499999999</v>
      </c>
      <c r="W86" s="472">
        <v>451508.17499999999</v>
      </c>
      <c r="X86" s="472">
        <v>0</v>
      </c>
      <c r="Y86" s="495"/>
      <c r="Z86" s="483">
        <v>903016</v>
      </c>
      <c r="AA86" s="482">
        <v>983284</v>
      </c>
      <c r="AB86" s="482">
        <v>120402</v>
      </c>
      <c r="AC86" s="482"/>
      <c r="AD86" s="482"/>
      <c r="AE86" s="482"/>
      <c r="AF86" s="482"/>
      <c r="AG86" s="482"/>
      <c r="AH86" s="482"/>
      <c r="AI86" s="482"/>
      <c r="AJ86" s="482"/>
      <c r="AK86" s="482"/>
      <c r="AL86" s="482"/>
      <c r="AM86" s="482"/>
      <c r="AN86" s="482"/>
      <c r="AO86" s="482"/>
      <c r="AP86" s="482"/>
      <c r="AQ86" s="482"/>
      <c r="AR86" s="482"/>
      <c r="AS86" s="482"/>
      <c r="AT86" s="482"/>
      <c r="AU86" s="482"/>
      <c r="AV86" s="482"/>
      <c r="AW86" s="484"/>
      <c r="AX86" s="485">
        <f t="shared" si="9"/>
        <v>2006703</v>
      </c>
      <c r="AY86" s="485">
        <f t="shared" si="10"/>
        <v>2006702</v>
      </c>
      <c r="AZ86" s="485">
        <f t="shared" si="11"/>
        <v>2006703</v>
      </c>
      <c r="BA86" s="485">
        <f t="shared" si="12"/>
        <v>1</v>
      </c>
      <c r="BC86" s="581"/>
    </row>
    <row r="87" spans="1:55" x14ac:dyDescent="0.3">
      <c r="A87" s="106"/>
      <c r="B87" s="406" t="s">
        <v>440</v>
      </c>
      <c r="C87" s="351" t="s">
        <v>371</v>
      </c>
      <c r="D87" s="351" t="s">
        <v>107</v>
      </c>
      <c r="E87" s="556" t="s">
        <v>30</v>
      </c>
      <c r="F87" s="353">
        <v>6</v>
      </c>
      <c r="G87" s="351"/>
      <c r="H87" s="351" t="s">
        <v>19</v>
      </c>
      <c r="I87" s="548">
        <v>1</v>
      </c>
      <c r="J87" s="548">
        <v>1</v>
      </c>
      <c r="K87" s="548">
        <v>0</v>
      </c>
      <c r="L87" s="353"/>
      <c r="M87" s="351"/>
      <c r="N87" s="351"/>
      <c r="O87" s="351"/>
      <c r="P87" s="408">
        <v>2195450</v>
      </c>
      <c r="Q87" s="494"/>
      <c r="R87" s="472">
        <v>0</v>
      </c>
      <c r="S87" s="472"/>
      <c r="T87" s="472"/>
      <c r="U87" s="472">
        <v>1055010</v>
      </c>
      <c r="V87" s="472">
        <v>1140440</v>
      </c>
      <c r="W87" s="472">
        <v>0</v>
      </c>
      <c r="X87" s="472">
        <v>0</v>
      </c>
      <c r="Y87" s="495"/>
      <c r="Z87" s="483">
        <v>987953</v>
      </c>
      <c r="AA87" s="482">
        <v>1075771</v>
      </c>
      <c r="AB87" s="482">
        <v>131727</v>
      </c>
      <c r="AC87" s="482"/>
      <c r="AD87" s="482"/>
      <c r="AE87" s="482"/>
      <c r="AF87" s="482"/>
      <c r="AG87" s="482"/>
      <c r="AH87" s="482"/>
      <c r="AI87" s="482"/>
      <c r="AJ87" s="482"/>
      <c r="AK87" s="482"/>
      <c r="AL87" s="482"/>
      <c r="AM87" s="482"/>
      <c r="AN87" s="482"/>
      <c r="AO87" s="482"/>
      <c r="AP87" s="482"/>
      <c r="AQ87" s="482"/>
      <c r="AR87" s="482"/>
      <c r="AS87" s="482"/>
      <c r="AT87" s="482"/>
      <c r="AU87" s="482"/>
      <c r="AV87" s="482"/>
      <c r="AW87" s="484"/>
      <c r="AX87" s="485">
        <f t="shared" si="9"/>
        <v>2195450</v>
      </c>
      <c r="AY87" s="485">
        <f t="shared" si="10"/>
        <v>2195451</v>
      </c>
      <c r="AZ87" s="485">
        <f t="shared" si="11"/>
        <v>2195450</v>
      </c>
      <c r="BA87" s="485">
        <f t="shared" si="12"/>
        <v>1</v>
      </c>
      <c r="BC87" s="581"/>
    </row>
    <row r="88" spans="1:55" x14ac:dyDescent="0.3">
      <c r="A88" s="106"/>
      <c r="B88" s="406" t="s">
        <v>392</v>
      </c>
      <c r="C88" s="351" t="s">
        <v>379</v>
      </c>
      <c r="D88" s="351" t="s">
        <v>270</v>
      </c>
      <c r="E88" s="556" t="s">
        <v>29</v>
      </c>
      <c r="F88" s="353">
        <v>18</v>
      </c>
      <c r="G88" s="351"/>
      <c r="H88" s="351" t="s">
        <v>19</v>
      </c>
      <c r="I88" s="548">
        <v>1</v>
      </c>
      <c r="J88" s="548">
        <v>0</v>
      </c>
      <c r="K88" s="548">
        <v>0</v>
      </c>
      <c r="L88" s="353"/>
      <c r="M88" s="351"/>
      <c r="N88" s="351"/>
      <c r="O88" s="351"/>
      <c r="P88" s="408">
        <v>440000</v>
      </c>
      <c r="Q88" s="494"/>
      <c r="R88" s="472">
        <v>0</v>
      </c>
      <c r="S88" s="472"/>
      <c r="T88" s="472">
        <v>132000</v>
      </c>
      <c r="U88" s="472">
        <v>308000</v>
      </c>
      <c r="V88" s="472"/>
      <c r="W88" s="472">
        <v>0</v>
      </c>
      <c r="X88" s="472">
        <v>0</v>
      </c>
      <c r="Y88" s="495"/>
      <c r="Z88" s="483"/>
      <c r="AA88" s="482"/>
      <c r="AB88" s="482"/>
      <c r="AC88" s="482"/>
      <c r="AD88" s="482"/>
      <c r="AE88" s="482"/>
      <c r="AF88" s="482"/>
      <c r="AG88" s="482"/>
      <c r="AH88" s="482"/>
      <c r="AI88" s="482"/>
      <c r="AJ88" s="482">
        <v>440000</v>
      </c>
      <c r="AK88" s="482"/>
      <c r="AL88" s="482"/>
      <c r="AM88" s="482"/>
      <c r="AN88" s="482"/>
      <c r="AO88" s="482"/>
      <c r="AP88" s="482"/>
      <c r="AQ88" s="482"/>
      <c r="AR88" s="482"/>
      <c r="AS88" s="482"/>
      <c r="AT88" s="482"/>
      <c r="AU88" s="482"/>
      <c r="AV88" s="482"/>
      <c r="AW88" s="484"/>
      <c r="AX88" s="485">
        <f t="shared" si="9"/>
        <v>440000</v>
      </c>
      <c r="AY88" s="485">
        <f t="shared" si="10"/>
        <v>440000</v>
      </c>
      <c r="AZ88" s="485">
        <f t="shared" si="11"/>
        <v>440000</v>
      </c>
      <c r="BA88" s="485">
        <f t="shared" si="12"/>
        <v>0</v>
      </c>
      <c r="BC88" s="581"/>
    </row>
    <row r="89" spans="1:55" x14ac:dyDescent="0.3">
      <c r="A89" s="106" t="s">
        <v>454</v>
      </c>
      <c r="B89" s="510" t="s">
        <v>319</v>
      </c>
      <c r="C89" s="511" t="s">
        <v>317</v>
      </c>
      <c r="D89" s="511" t="s">
        <v>107</v>
      </c>
      <c r="E89" s="555" t="s">
        <v>27</v>
      </c>
      <c r="F89" s="512">
        <v>0</v>
      </c>
      <c r="G89" s="511"/>
      <c r="H89" s="511" t="s">
        <v>327</v>
      </c>
      <c r="I89" s="512" t="s">
        <v>328</v>
      </c>
      <c r="J89" s="512">
        <v>0</v>
      </c>
      <c r="K89" s="512">
        <v>0</v>
      </c>
      <c r="L89" s="512"/>
      <c r="M89" s="511"/>
      <c r="N89" s="511"/>
      <c r="O89" s="511"/>
      <c r="P89" s="514">
        <v>3900482.3536110851</v>
      </c>
      <c r="Q89" s="530">
        <v>0</v>
      </c>
      <c r="R89" s="531">
        <v>0</v>
      </c>
      <c r="S89" s="531">
        <v>3900482.3536110851</v>
      </c>
      <c r="T89" s="531">
        <v>0</v>
      </c>
      <c r="U89" s="531">
        <v>0</v>
      </c>
      <c r="V89" s="531">
        <v>0</v>
      </c>
      <c r="W89" s="531">
        <v>0</v>
      </c>
      <c r="X89" s="531">
        <v>0</v>
      </c>
      <c r="Y89" s="532">
        <v>0</v>
      </c>
      <c r="Z89" s="528">
        <v>0</v>
      </c>
      <c r="AA89" s="520">
        <v>0</v>
      </c>
      <c r="AB89" s="520">
        <v>0</v>
      </c>
      <c r="AC89" s="520">
        <v>1092135.0590111041</v>
      </c>
      <c r="AD89" s="520">
        <v>1755217.0591249883</v>
      </c>
      <c r="AE89" s="520">
        <v>234028.94121666509</v>
      </c>
      <c r="AF89" s="520">
        <v>819101.29425832781</v>
      </c>
      <c r="AG89" s="520">
        <v>0</v>
      </c>
      <c r="AH89" s="520">
        <v>0</v>
      </c>
      <c r="AI89" s="520">
        <v>0</v>
      </c>
      <c r="AJ89" s="520">
        <v>0</v>
      </c>
      <c r="AK89" s="520">
        <v>0</v>
      </c>
      <c r="AL89" s="520">
        <v>0</v>
      </c>
      <c r="AM89" s="520">
        <v>0</v>
      </c>
      <c r="AN89" s="520">
        <v>0</v>
      </c>
      <c r="AO89" s="520">
        <v>0</v>
      </c>
      <c r="AP89" s="520">
        <v>0</v>
      </c>
      <c r="AQ89" s="520">
        <v>0</v>
      </c>
      <c r="AR89" s="520">
        <v>0</v>
      </c>
      <c r="AS89" s="520">
        <v>0</v>
      </c>
      <c r="AT89" s="520">
        <v>0</v>
      </c>
      <c r="AU89" s="520">
        <v>0</v>
      </c>
      <c r="AV89" s="520">
        <v>0</v>
      </c>
      <c r="AW89" s="529">
        <v>0</v>
      </c>
      <c r="AX89" s="485">
        <f t="shared" si="9"/>
        <v>3900482.3536110851</v>
      </c>
      <c r="AY89" s="485">
        <f t="shared" si="10"/>
        <v>3900482.3536110851</v>
      </c>
      <c r="AZ89" s="485">
        <f t="shared" si="11"/>
        <v>3900482.3536110851</v>
      </c>
      <c r="BA89" s="485">
        <f t="shared" si="12"/>
        <v>0</v>
      </c>
      <c r="BC89" s="581"/>
    </row>
    <row r="90" spans="1:55" x14ac:dyDescent="0.3">
      <c r="A90" s="106"/>
      <c r="B90" s="406" t="s">
        <v>413</v>
      </c>
      <c r="C90" s="351" t="s">
        <v>315</v>
      </c>
      <c r="D90" s="351" t="s">
        <v>111</v>
      </c>
      <c r="E90" s="556" t="s">
        <v>31</v>
      </c>
      <c r="F90" s="353">
        <v>4</v>
      </c>
      <c r="G90" s="351"/>
      <c r="H90" s="351" t="s">
        <v>19</v>
      </c>
      <c r="I90" s="353">
        <v>1</v>
      </c>
      <c r="J90" s="353">
        <v>0</v>
      </c>
      <c r="K90" s="353">
        <v>1</v>
      </c>
      <c r="L90" s="353"/>
      <c r="M90" s="351"/>
      <c r="N90" s="351"/>
      <c r="O90" s="351"/>
      <c r="P90" s="535">
        <v>18184284</v>
      </c>
      <c r="Q90" s="494"/>
      <c r="R90" s="472">
        <v>0</v>
      </c>
      <c r="S90" s="472">
        <v>0</v>
      </c>
      <c r="T90" s="472">
        <v>0</v>
      </c>
      <c r="U90" s="472">
        <v>553043</v>
      </c>
      <c r="V90" s="472">
        <v>7950466</v>
      </c>
      <c r="W90" s="472">
        <v>9680775</v>
      </c>
      <c r="X90" s="472">
        <v>0</v>
      </c>
      <c r="Y90" s="495"/>
      <c r="Z90" s="483">
        <v>6554374</v>
      </c>
      <c r="AA90" s="482">
        <v>3669392</v>
      </c>
      <c r="AB90" s="482">
        <v>695156</v>
      </c>
      <c r="AC90" s="482">
        <v>1974270</v>
      </c>
      <c r="AD90" s="482">
        <v>3172934</v>
      </c>
      <c r="AE90" s="482">
        <v>423058</v>
      </c>
      <c r="AF90" s="482">
        <v>1695099</v>
      </c>
      <c r="AG90" s="482"/>
      <c r="AH90" s="482"/>
      <c r="AI90" s="482"/>
      <c r="AJ90" s="482"/>
      <c r="AK90" s="482"/>
      <c r="AL90" s="482"/>
      <c r="AM90" s="482"/>
      <c r="AN90" s="482"/>
      <c r="AO90" s="482"/>
      <c r="AP90" s="482">
        <v>0</v>
      </c>
      <c r="AQ90" s="482"/>
      <c r="AR90" s="482"/>
      <c r="AS90" s="482"/>
      <c r="AT90" s="482"/>
      <c r="AU90" s="482"/>
      <c r="AV90" s="482"/>
      <c r="AW90" s="484"/>
      <c r="AX90" s="485">
        <f t="shared" si="9"/>
        <v>18184284</v>
      </c>
      <c r="AY90" s="485">
        <f t="shared" si="10"/>
        <v>18184283</v>
      </c>
      <c r="AZ90" s="485">
        <f t="shared" si="11"/>
        <v>18184284</v>
      </c>
      <c r="BA90" s="485">
        <f t="shared" si="12"/>
        <v>1</v>
      </c>
      <c r="BC90" s="581"/>
    </row>
    <row r="91" spans="1:55" x14ac:dyDescent="0.3">
      <c r="A91" s="106"/>
      <c r="B91" s="406" t="s">
        <v>414</v>
      </c>
      <c r="C91" s="351" t="s">
        <v>476</v>
      </c>
      <c r="D91" s="351" t="s">
        <v>114</v>
      </c>
      <c r="E91" s="556" t="s">
        <v>27</v>
      </c>
      <c r="F91" s="353">
        <v>9</v>
      </c>
      <c r="G91" s="351"/>
      <c r="H91" s="351" t="s">
        <v>19</v>
      </c>
      <c r="I91" s="353">
        <v>1</v>
      </c>
      <c r="J91" s="353">
        <v>0</v>
      </c>
      <c r="K91" s="353">
        <v>0</v>
      </c>
      <c r="L91" s="353"/>
      <c r="M91" s="351"/>
      <c r="N91" s="351"/>
      <c r="O91" s="351"/>
      <c r="P91" s="535">
        <v>1016861</v>
      </c>
      <c r="Q91" s="494"/>
      <c r="R91" s="472"/>
      <c r="S91" s="472">
        <f>178968+837894</f>
        <v>1016862</v>
      </c>
      <c r="T91" s="472">
        <v>0</v>
      </c>
      <c r="U91" s="472">
        <v>0</v>
      </c>
      <c r="V91" s="472">
        <v>0</v>
      </c>
      <c r="W91" s="472">
        <v>0</v>
      </c>
      <c r="X91" s="472"/>
      <c r="Y91" s="495"/>
      <c r="Z91" s="483"/>
      <c r="AA91" s="482"/>
      <c r="AB91" s="482"/>
      <c r="AC91" s="482">
        <v>284721</v>
      </c>
      <c r="AD91" s="482">
        <v>457588</v>
      </c>
      <c r="AE91" s="482">
        <v>61012</v>
      </c>
      <c r="AF91" s="482">
        <v>213541</v>
      </c>
      <c r="AG91" s="482"/>
      <c r="AH91" s="482"/>
      <c r="AI91" s="482"/>
      <c r="AJ91" s="482"/>
      <c r="AK91" s="482"/>
      <c r="AL91" s="482"/>
      <c r="AM91" s="482"/>
      <c r="AN91" s="482"/>
      <c r="AO91" s="482"/>
      <c r="AP91" s="482"/>
      <c r="AQ91" s="482"/>
      <c r="AR91" s="482"/>
      <c r="AS91" s="482"/>
      <c r="AT91" s="482"/>
      <c r="AU91" s="482"/>
      <c r="AV91" s="482"/>
      <c r="AW91" s="484"/>
      <c r="AX91" s="485">
        <f t="shared" si="9"/>
        <v>1016862</v>
      </c>
      <c r="AY91" s="485">
        <f t="shared" si="10"/>
        <v>1016862</v>
      </c>
      <c r="AZ91" s="485">
        <f t="shared" si="11"/>
        <v>1016861</v>
      </c>
      <c r="BA91" s="485">
        <f t="shared" si="12"/>
        <v>1</v>
      </c>
      <c r="BC91" s="581"/>
    </row>
    <row r="92" spans="1:55" x14ac:dyDescent="0.3">
      <c r="A92" s="106" t="s">
        <v>454</v>
      </c>
      <c r="B92" s="563" t="s">
        <v>455</v>
      </c>
      <c r="C92" s="564" t="s">
        <v>456</v>
      </c>
      <c r="D92" s="564" t="s">
        <v>156</v>
      </c>
      <c r="E92" s="565" t="s">
        <v>457</v>
      </c>
      <c r="F92" s="566">
        <v>0</v>
      </c>
      <c r="G92" s="564"/>
      <c r="H92" s="564"/>
      <c r="I92" s="566"/>
      <c r="J92" s="566"/>
      <c r="K92" s="566">
        <v>1</v>
      </c>
      <c r="L92" s="566"/>
      <c r="M92" s="564"/>
      <c r="N92" s="564"/>
      <c r="O92" s="564"/>
      <c r="P92" s="560">
        <v>482246.13123609993</v>
      </c>
      <c r="Q92" s="567"/>
      <c r="R92" s="561">
        <v>482246.13123609993</v>
      </c>
      <c r="S92" s="561"/>
      <c r="T92" s="561"/>
      <c r="U92" s="561"/>
      <c r="V92" s="561"/>
      <c r="W92" s="561"/>
      <c r="X92" s="561"/>
      <c r="Y92" s="568"/>
      <c r="Z92" s="569"/>
      <c r="AA92" s="570"/>
      <c r="AB92" s="570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570"/>
      <c r="AN92" s="570"/>
      <c r="AO92" s="570"/>
      <c r="AP92" s="570">
        <v>482246.13123609993</v>
      </c>
      <c r="AQ92" s="570"/>
      <c r="AR92" s="570"/>
      <c r="AS92" s="570"/>
      <c r="AT92" s="570"/>
      <c r="AU92" s="570"/>
      <c r="AV92" s="570"/>
      <c r="AW92" s="571"/>
      <c r="AX92" s="485">
        <f t="shared" si="9"/>
        <v>482246.13123609993</v>
      </c>
      <c r="AY92" s="485">
        <f t="shared" si="10"/>
        <v>482246.13123609993</v>
      </c>
      <c r="AZ92" s="485">
        <f t="shared" si="11"/>
        <v>482246.13123609993</v>
      </c>
      <c r="BA92" s="485">
        <f t="shared" si="12"/>
        <v>0</v>
      </c>
      <c r="BC92" s="581"/>
    </row>
    <row r="93" spans="1:55" x14ac:dyDescent="0.3">
      <c r="B93" s="406"/>
      <c r="C93" s="351"/>
      <c r="D93" s="351"/>
      <c r="E93" s="556"/>
      <c r="F93" s="353"/>
      <c r="G93" s="351"/>
      <c r="H93" s="351"/>
      <c r="I93" s="352"/>
      <c r="J93" s="352"/>
      <c r="K93" s="352"/>
      <c r="L93" s="353"/>
      <c r="M93" s="351"/>
      <c r="N93" s="351"/>
      <c r="O93" s="351"/>
      <c r="P93" s="408"/>
      <c r="Q93" s="494"/>
      <c r="R93" s="472"/>
      <c r="S93" s="472"/>
      <c r="T93" s="472"/>
      <c r="U93" s="472"/>
      <c r="V93" s="472"/>
      <c r="W93" s="472"/>
      <c r="X93" s="472"/>
      <c r="Y93" s="495"/>
      <c r="Z93" s="483"/>
      <c r="AA93" s="482"/>
      <c r="AB93" s="482"/>
      <c r="AC93" s="482"/>
      <c r="AD93" s="482"/>
      <c r="AE93" s="482"/>
      <c r="AF93" s="482"/>
      <c r="AG93" s="482"/>
      <c r="AH93" s="482"/>
      <c r="AI93" s="482"/>
      <c r="AJ93" s="482"/>
      <c r="AK93" s="482"/>
      <c r="AL93" s="482"/>
      <c r="AM93" s="482"/>
      <c r="AN93" s="482"/>
      <c r="AO93" s="482"/>
      <c r="AP93" s="482"/>
      <c r="AQ93" s="482"/>
      <c r="AR93" s="482"/>
      <c r="AS93" s="482"/>
      <c r="AT93" s="482"/>
      <c r="AU93" s="482"/>
      <c r="AV93" s="482"/>
      <c r="AW93" s="484"/>
      <c r="AX93" s="485">
        <f t="shared" si="9"/>
        <v>0</v>
      </c>
      <c r="AY93" s="485">
        <f t="shared" si="10"/>
        <v>0</v>
      </c>
      <c r="AZ93" s="485">
        <f t="shared" si="11"/>
        <v>0</v>
      </c>
      <c r="BA93" s="485">
        <f t="shared" si="12"/>
        <v>0</v>
      </c>
      <c r="BC93" s="581"/>
    </row>
    <row r="94" spans="1:55" x14ac:dyDescent="0.3">
      <c r="B94" s="406"/>
      <c r="C94" s="351"/>
      <c r="D94" s="351"/>
      <c r="E94" s="556"/>
      <c r="F94" s="353"/>
      <c r="G94" s="351"/>
      <c r="H94" s="351"/>
      <c r="I94" s="352"/>
      <c r="J94" s="352"/>
      <c r="K94" s="352"/>
      <c r="L94" s="353"/>
      <c r="M94" s="351"/>
      <c r="N94" s="351"/>
      <c r="O94" s="351"/>
      <c r="P94" s="408"/>
      <c r="Q94" s="494"/>
      <c r="R94" s="472"/>
      <c r="S94" s="472"/>
      <c r="T94" s="472"/>
      <c r="U94" s="472"/>
      <c r="V94" s="472"/>
      <c r="W94" s="472"/>
      <c r="X94" s="472"/>
      <c r="Y94" s="495"/>
      <c r="Z94" s="483"/>
      <c r="AA94" s="482"/>
      <c r="AB94" s="482"/>
      <c r="AC94" s="482"/>
      <c r="AD94" s="482"/>
      <c r="AE94" s="482"/>
      <c r="AF94" s="482"/>
      <c r="AG94" s="482"/>
      <c r="AH94" s="482"/>
      <c r="AI94" s="482"/>
      <c r="AJ94" s="482"/>
      <c r="AK94" s="482"/>
      <c r="AL94" s="482"/>
      <c r="AM94" s="482"/>
      <c r="AN94" s="482"/>
      <c r="AO94" s="482"/>
      <c r="AP94" s="482"/>
      <c r="AQ94" s="482"/>
      <c r="AR94" s="482"/>
      <c r="AS94" s="482"/>
      <c r="AT94" s="482"/>
      <c r="AU94" s="482"/>
      <c r="AV94" s="482"/>
      <c r="AW94" s="484"/>
      <c r="AX94" s="485">
        <f t="shared" si="9"/>
        <v>0</v>
      </c>
      <c r="AY94" s="485">
        <f t="shared" si="10"/>
        <v>0</v>
      </c>
      <c r="AZ94" s="485">
        <f t="shared" si="11"/>
        <v>0</v>
      </c>
      <c r="BA94" s="485">
        <f t="shared" si="12"/>
        <v>0</v>
      </c>
    </row>
    <row r="95" spans="1:55" x14ac:dyDescent="0.3">
      <c r="B95" s="406"/>
      <c r="C95" s="351"/>
      <c r="D95" s="351"/>
      <c r="E95" s="556"/>
      <c r="F95" s="353"/>
      <c r="G95" s="351"/>
      <c r="H95" s="351"/>
      <c r="I95" s="352"/>
      <c r="J95" s="352"/>
      <c r="K95" s="352"/>
      <c r="L95" s="353"/>
      <c r="M95" s="351"/>
      <c r="N95" s="351"/>
      <c r="O95" s="351"/>
      <c r="P95" s="408"/>
      <c r="Q95" s="494"/>
      <c r="R95" s="472"/>
      <c r="S95" s="472"/>
      <c r="T95" s="472"/>
      <c r="U95" s="472"/>
      <c r="V95" s="472"/>
      <c r="W95" s="472"/>
      <c r="X95" s="472"/>
      <c r="Y95" s="495"/>
      <c r="Z95" s="482"/>
      <c r="AA95" s="482"/>
      <c r="AB95" s="482"/>
      <c r="AC95" s="482"/>
      <c r="AD95" s="482"/>
      <c r="AE95" s="482"/>
      <c r="AF95" s="482"/>
      <c r="AG95" s="482"/>
      <c r="AH95" s="482"/>
      <c r="AI95" s="482"/>
      <c r="AJ95" s="482"/>
      <c r="AK95" s="482"/>
      <c r="AL95" s="482"/>
      <c r="AM95" s="482"/>
      <c r="AN95" s="482"/>
      <c r="AO95" s="482"/>
      <c r="AP95" s="482"/>
      <c r="AQ95" s="482"/>
      <c r="AR95" s="482"/>
      <c r="AS95" s="482"/>
      <c r="AT95" s="482"/>
      <c r="AU95" s="482"/>
      <c r="AV95" s="482"/>
      <c r="AW95" s="484"/>
      <c r="AX95" s="485"/>
      <c r="AY95" s="485"/>
      <c r="AZ95" s="485"/>
      <c r="BA95" s="485"/>
    </row>
    <row r="96" spans="1:55" x14ac:dyDescent="0.3">
      <c r="B96" s="406"/>
      <c r="C96" s="351"/>
      <c r="D96" s="351"/>
      <c r="E96" s="556"/>
      <c r="F96" s="353"/>
      <c r="G96" s="351"/>
      <c r="H96" s="351"/>
      <c r="I96" s="352"/>
      <c r="J96" s="352"/>
      <c r="K96" s="352"/>
      <c r="L96" s="353"/>
      <c r="M96" s="351"/>
      <c r="N96" s="351"/>
      <c r="O96" s="351"/>
      <c r="P96" s="408"/>
      <c r="Q96" s="494"/>
      <c r="R96" s="472"/>
      <c r="S96" s="472"/>
      <c r="T96" s="472"/>
      <c r="U96" s="472"/>
      <c r="V96" s="472"/>
      <c r="W96" s="472"/>
      <c r="X96" s="472"/>
      <c r="Y96" s="495"/>
      <c r="Z96" s="483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482"/>
      <c r="AL96" s="482"/>
      <c r="AM96" s="482"/>
      <c r="AN96" s="482"/>
      <c r="AO96" s="482"/>
      <c r="AP96" s="482"/>
      <c r="AQ96" s="482"/>
      <c r="AR96" s="482"/>
      <c r="AS96" s="482"/>
      <c r="AT96" s="482"/>
      <c r="AU96" s="482"/>
      <c r="AV96" s="482"/>
      <c r="AW96" s="484"/>
      <c r="AX96" s="485">
        <f>SUM(Q96:Y96)</f>
        <v>0</v>
      </c>
      <c r="AY96" s="485">
        <f>SUM(Z96:AW96)</f>
        <v>0</v>
      </c>
      <c r="AZ96" s="485">
        <f>P96</f>
        <v>0</v>
      </c>
      <c r="BA96" s="485">
        <f>MAX(AX96:AZ96)-MIN(AX96:AZ96)</f>
        <v>0</v>
      </c>
    </row>
    <row r="97" spans="1:53" x14ac:dyDescent="0.3">
      <c r="B97" s="406"/>
      <c r="C97" s="351"/>
      <c r="D97" s="351"/>
      <c r="E97" s="556"/>
      <c r="F97" s="353"/>
      <c r="G97" s="351"/>
      <c r="H97" s="351"/>
      <c r="I97" s="352"/>
      <c r="J97" s="352"/>
      <c r="K97" s="352"/>
      <c r="L97" s="353"/>
      <c r="M97" s="351"/>
      <c r="N97" s="499"/>
      <c r="O97" s="351"/>
      <c r="P97" s="408"/>
      <c r="Q97" s="58"/>
      <c r="R97" s="59"/>
      <c r="S97" s="59"/>
      <c r="T97" s="59"/>
      <c r="U97" s="59"/>
      <c r="V97" s="59"/>
      <c r="W97" s="59"/>
      <c r="X97" s="59"/>
      <c r="Y97" s="61"/>
      <c r="Z97" s="483"/>
      <c r="AA97" s="482"/>
      <c r="AB97" s="482"/>
      <c r="AC97" s="482"/>
      <c r="AD97" s="482"/>
      <c r="AE97" s="482"/>
      <c r="AF97" s="482"/>
      <c r="AG97" s="482"/>
      <c r="AH97" s="482"/>
      <c r="AI97" s="482"/>
      <c r="AJ97" s="482"/>
      <c r="AK97" s="482"/>
      <c r="AL97" s="482"/>
      <c r="AM97" s="482"/>
      <c r="AN97" s="482"/>
      <c r="AO97" s="482"/>
      <c r="AP97" s="482"/>
      <c r="AQ97" s="482"/>
      <c r="AR97" s="482"/>
      <c r="AS97" s="482"/>
      <c r="AT97" s="482"/>
      <c r="AU97" s="482"/>
      <c r="AV97" s="482"/>
      <c r="AW97" s="484"/>
      <c r="AX97" s="485">
        <f>SUM(Q97:Y97)</f>
        <v>0</v>
      </c>
      <c r="AY97" s="485">
        <f>SUM(Z97:AW97)</f>
        <v>0</v>
      </c>
      <c r="AZ97" s="485">
        <f>P97</f>
        <v>0</v>
      </c>
      <c r="BA97" s="485">
        <f>MAX(AX97:AZ97)-MIN(AX97:AZ97)</f>
        <v>0</v>
      </c>
    </row>
    <row r="98" spans="1:53" x14ac:dyDescent="0.3">
      <c r="B98" s="406"/>
      <c r="C98" s="351"/>
      <c r="D98" s="351"/>
      <c r="E98" s="556"/>
      <c r="F98" s="353"/>
      <c r="G98" s="351"/>
      <c r="H98" s="351"/>
      <c r="I98" s="352"/>
      <c r="J98" s="352"/>
      <c r="K98" s="352"/>
      <c r="L98" s="353"/>
      <c r="M98" s="351"/>
      <c r="N98" s="498"/>
      <c r="O98" s="351"/>
      <c r="P98" s="408"/>
      <c r="Q98" s="58"/>
      <c r="R98" s="59"/>
      <c r="S98" s="59"/>
      <c r="T98" s="59"/>
      <c r="U98" s="59"/>
      <c r="V98" s="59"/>
      <c r="W98" s="59"/>
      <c r="X98" s="59"/>
      <c r="Y98" s="61"/>
      <c r="Z98" s="482"/>
      <c r="AA98" s="482"/>
      <c r="AB98" s="482"/>
      <c r="AC98" s="482"/>
      <c r="AD98" s="482"/>
      <c r="AE98" s="482"/>
      <c r="AF98" s="482"/>
      <c r="AG98" s="482"/>
      <c r="AH98" s="482"/>
      <c r="AI98" s="482"/>
      <c r="AJ98" s="482"/>
      <c r="AK98" s="482"/>
      <c r="AL98" s="482"/>
      <c r="AM98" s="482"/>
      <c r="AN98" s="482"/>
      <c r="AO98" s="482"/>
      <c r="AP98" s="482"/>
      <c r="AQ98" s="482"/>
      <c r="AR98" s="482"/>
      <c r="AS98" s="482"/>
      <c r="AT98" s="482"/>
      <c r="AU98" s="482"/>
      <c r="AV98" s="482"/>
      <c r="AW98" s="484"/>
      <c r="AX98" s="485"/>
      <c r="AY98" s="485"/>
      <c r="AZ98" s="485"/>
      <c r="BA98" s="485"/>
    </row>
    <row r="99" spans="1:53" x14ac:dyDescent="0.3">
      <c r="B99" s="406"/>
      <c r="C99" s="351"/>
      <c r="D99" s="351"/>
      <c r="E99" s="556"/>
      <c r="F99" s="353"/>
      <c r="G99" s="351"/>
      <c r="H99" s="351"/>
      <c r="I99" s="352"/>
      <c r="J99" s="352"/>
      <c r="K99" s="352"/>
      <c r="L99" s="353"/>
      <c r="M99" s="351"/>
      <c r="N99" s="351"/>
      <c r="O99" s="351"/>
      <c r="P99" s="408"/>
      <c r="Q99" s="58"/>
      <c r="R99" s="59"/>
      <c r="S99" s="59"/>
      <c r="T99" s="59"/>
      <c r="U99" s="59"/>
      <c r="V99" s="59"/>
      <c r="W99" s="59"/>
      <c r="X99" s="59"/>
      <c r="Y99" s="61"/>
      <c r="Z99" s="483"/>
      <c r="AA99" s="482"/>
      <c r="AB99" s="482"/>
      <c r="AC99" s="482"/>
      <c r="AD99" s="482"/>
      <c r="AE99" s="482"/>
      <c r="AF99" s="482"/>
      <c r="AG99" s="482"/>
      <c r="AH99" s="482"/>
      <c r="AI99" s="482"/>
      <c r="AJ99" s="482"/>
      <c r="AK99" s="482"/>
      <c r="AL99" s="482"/>
      <c r="AM99" s="482"/>
      <c r="AN99" s="482"/>
      <c r="AO99" s="482"/>
      <c r="AP99" s="482"/>
      <c r="AQ99" s="482"/>
      <c r="AR99" s="482"/>
      <c r="AS99" s="482"/>
      <c r="AT99" s="482"/>
      <c r="AU99" s="482"/>
      <c r="AV99" s="482"/>
      <c r="AW99" s="484"/>
      <c r="AX99" s="485">
        <f>SUM(Q99:Y99)</f>
        <v>0</v>
      </c>
      <c r="AY99" s="485">
        <f>SUM(Z99:AW99)</f>
        <v>0</v>
      </c>
      <c r="AZ99" s="485">
        <f>P99</f>
        <v>0</v>
      </c>
      <c r="BA99" s="485">
        <f>MAX(AX99:AZ99)-MIN(AX99:AZ99)</f>
        <v>0</v>
      </c>
    </row>
    <row r="100" spans="1:53" x14ac:dyDescent="0.3">
      <c r="B100" s="406"/>
      <c r="C100" s="351"/>
      <c r="D100" s="351"/>
      <c r="E100" s="556"/>
      <c r="F100" s="353"/>
      <c r="G100" s="351"/>
      <c r="H100" s="351"/>
      <c r="I100" s="352"/>
      <c r="J100" s="352"/>
      <c r="K100" s="352"/>
      <c r="L100" s="353"/>
      <c r="M100" s="351"/>
      <c r="N100" s="351"/>
      <c r="O100" s="351"/>
      <c r="P100" s="408"/>
      <c r="Q100" s="58"/>
      <c r="R100" s="59"/>
      <c r="S100" s="59"/>
      <c r="T100" s="59"/>
      <c r="U100" s="59"/>
      <c r="V100" s="59"/>
      <c r="W100" s="59"/>
      <c r="X100" s="59"/>
      <c r="Y100" s="61"/>
      <c r="Z100" s="483"/>
      <c r="AA100" s="482"/>
      <c r="AB100" s="482"/>
      <c r="AC100" s="482"/>
      <c r="AD100" s="482"/>
      <c r="AE100" s="482"/>
      <c r="AF100" s="482"/>
      <c r="AG100" s="482"/>
      <c r="AH100" s="482"/>
      <c r="AI100" s="482"/>
      <c r="AJ100" s="482"/>
      <c r="AK100" s="482"/>
      <c r="AL100" s="482"/>
      <c r="AM100" s="482"/>
      <c r="AN100" s="482"/>
      <c r="AO100" s="482"/>
      <c r="AP100" s="482"/>
      <c r="AQ100" s="482"/>
      <c r="AR100" s="482"/>
      <c r="AS100" s="482"/>
      <c r="AT100" s="482"/>
      <c r="AU100" s="482"/>
      <c r="AV100" s="482"/>
      <c r="AW100" s="484"/>
      <c r="AX100" s="485"/>
      <c r="AY100" s="485"/>
      <c r="AZ100" s="485"/>
      <c r="BA100" s="485"/>
    </row>
    <row r="104" spans="1:53" ht="25.8" x14ac:dyDescent="0.5">
      <c r="A104" s="553" t="s">
        <v>452</v>
      </c>
    </row>
    <row r="105" spans="1:53" x14ac:dyDescent="0.3">
      <c r="C105" s="533" t="s">
        <v>421</v>
      </c>
      <c r="D105" s="534">
        <f>Parameters!AB39</f>
        <v>4.9501992031872444E-2</v>
      </c>
      <c r="AX105" s="485">
        <f>SUM(Q105:Y105)</f>
        <v>0</v>
      </c>
      <c r="AY105" s="485">
        <f>SUM(Z105:AW105)</f>
        <v>0</v>
      </c>
      <c r="AZ105" s="485">
        <f>P105</f>
        <v>0</v>
      </c>
      <c r="BA105" s="485">
        <f>MAX(AX105:AZ105)-MIN(AX105:AZ105)</f>
        <v>0</v>
      </c>
    </row>
    <row r="106" spans="1:53" x14ac:dyDescent="0.3">
      <c r="AX106" s="485">
        <f>SUM(Q106:Y106)</f>
        <v>0</v>
      </c>
      <c r="AY106" s="485">
        <f>SUM(Z106:AW106)</f>
        <v>0</v>
      </c>
      <c r="AZ106" s="485">
        <f>P106</f>
        <v>0</v>
      </c>
      <c r="BA106" s="485">
        <f>MAX(AX106:AZ106)-MIN(AX106:AZ106)</f>
        <v>0</v>
      </c>
    </row>
    <row r="107" spans="1:53" ht="15" thickBot="1" x14ac:dyDescent="0.35">
      <c r="B107" s="543" t="s">
        <v>451</v>
      </c>
      <c r="AX107" s="485">
        <f>SUM(Q107:Y107)</f>
        <v>0</v>
      </c>
      <c r="AY107" s="485">
        <f>SUM(Z107:AW107)</f>
        <v>0</v>
      </c>
      <c r="AZ107" s="485">
        <f>P107</f>
        <v>0</v>
      </c>
      <c r="BA107" s="485">
        <f>MAX(AX107:AZ107)-MIN(AX107:AZ107)</f>
        <v>0</v>
      </c>
    </row>
    <row r="108" spans="1:53" ht="14.4" customHeight="1" x14ac:dyDescent="0.3">
      <c r="A108" s="106"/>
      <c r="B108" s="406" t="s">
        <v>409</v>
      </c>
      <c r="C108" s="351" t="s">
        <v>410</v>
      </c>
      <c r="D108" s="351" t="s">
        <v>107</v>
      </c>
      <c r="E108" s="351" t="s">
        <v>27</v>
      </c>
      <c r="F108" s="353">
        <v>9</v>
      </c>
      <c r="G108" s="351"/>
      <c r="H108" s="351" t="s">
        <v>327</v>
      </c>
      <c r="I108" s="353" t="s">
        <v>328</v>
      </c>
      <c r="J108" s="554">
        <v>0</v>
      </c>
      <c r="K108" s="554">
        <v>0</v>
      </c>
      <c r="L108" s="353"/>
      <c r="P108" s="535">
        <f>R108+S108</f>
        <v>282736</v>
      </c>
      <c r="Q108" s="54"/>
      <c r="R108" s="55"/>
      <c r="S108" s="55">
        <v>282736</v>
      </c>
      <c r="T108" s="55"/>
      <c r="U108" s="55"/>
      <c r="V108" s="55"/>
      <c r="W108" s="55"/>
      <c r="X108" s="55"/>
      <c r="Y108" s="57"/>
      <c r="Z108" s="550">
        <v>0</v>
      </c>
      <c r="AA108" s="551">
        <v>0</v>
      </c>
      <c r="AB108" s="551">
        <v>0</v>
      </c>
      <c r="AC108" s="551">
        <f>0.28*$P108</f>
        <v>79166.080000000002</v>
      </c>
      <c r="AD108" s="551">
        <f>0.45*$P108</f>
        <v>127231.2</v>
      </c>
      <c r="AE108" s="551">
        <f>0.06*$P108</f>
        <v>16964.16</v>
      </c>
      <c r="AF108" s="482">
        <f>0.21*$P108</f>
        <v>59374.559999999998</v>
      </c>
      <c r="AG108" s="551">
        <v>0</v>
      </c>
      <c r="AH108" s="551">
        <v>0</v>
      </c>
      <c r="AI108" s="551">
        <v>0</v>
      </c>
      <c r="AJ108" s="551">
        <v>0</v>
      </c>
      <c r="AK108" s="551">
        <v>0</v>
      </c>
      <c r="AL108" s="551">
        <v>0</v>
      </c>
      <c r="AM108" s="551"/>
      <c r="AN108" s="551"/>
      <c r="AO108" s="551"/>
      <c r="AP108" s="551"/>
      <c r="AQ108" s="551"/>
      <c r="AR108" s="551"/>
      <c r="AS108" s="551"/>
      <c r="AT108" s="551"/>
      <c r="AU108" s="551"/>
      <c r="AV108" s="551"/>
      <c r="AW108" s="552"/>
      <c r="AX108" s="557">
        <f>SUM(Q108:Y108)</f>
        <v>282736</v>
      </c>
      <c r="AY108" s="557">
        <f>SUM(Z108:AW108)</f>
        <v>282736</v>
      </c>
      <c r="AZ108" s="557">
        <f>P108</f>
        <v>282736</v>
      </c>
      <c r="BA108" s="557">
        <f>MAX(AX108:AZ108)-MIN(AX108:AZ108)</f>
        <v>0</v>
      </c>
    </row>
    <row r="109" spans="1:53" ht="14.4" customHeight="1" x14ac:dyDescent="0.3">
      <c r="A109" s="106"/>
      <c r="B109" s="406" t="s">
        <v>326</v>
      </c>
      <c r="C109" s="351" t="s">
        <v>321</v>
      </c>
      <c r="D109" s="351" t="s">
        <v>107</v>
      </c>
      <c r="E109" s="351" t="s">
        <v>27</v>
      </c>
      <c r="F109" s="353">
        <v>9</v>
      </c>
      <c r="G109" s="351"/>
      <c r="H109" s="351" t="s">
        <v>327</v>
      </c>
      <c r="I109" s="554" t="s">
        <v>328</v>
      </c>
      <c r="J109" s="554">
        <v>0</v>
      </c>
      <c r="K109" s="554">
        <v>0</v>
      </c>
      <c r="L109" s="353"/>
      <c r="P109" s="535">
        <f t="shared" ref="P109:P119" si="13">R109+S109</f>
        <v>29000</v>
      </c>
      <c r="Q109" s="58"/>
      <c r="R109" s="59">
        <v>0</v>
      </c>
      <c r="S109" s="59">
        <v>29000</v>
      </c>
      <c r="T109" s="59"/>
      <c r="U109" s="59"/>
      <c r="V109" s="59"/>
      <c r="W109" s="59"/>
      <c r="X109" s="59"/>
      <c r="Y109" s="61"/>
      <c r="Z109" s="483">
        <v>0</v>
      </c>
      <c r="AA109" s="482">
        <v>0</v>
      </c>
      <c r="AB109" s="482">
        <v>0</v>
      </c>
      <c r="AC109" s="482">
        <f>0.28*$P109</f>
        <v>8120.0000000000009</v>
      </c>
      <c r="AD109" s="482">
        <f>0.45*$P109</f>
        <v>13050</v>
      </c>
      <c r="AE109" s="482">
        <f>0.06*$P109</f>
        <v>1740</v>
      </c>
      <c r="AF109" s="482">
        <f>0.21*$P109</f>
        <v>6090</v>
      </c>
      <c r="AG109" s="482">
        <v>0</v>
      </c>
      <c r="AH109" s="482">
        <v>0</v>
      </c>
      <c r="AI109" s="482">
        <v>0</v>
      </c>
      <c r="AJ109" s="482">
        <v>0</v>
      </c>
      <c r="AK109" s="482">
        <v>0</v>
      </c>
      <c r="AL109" s="482">
        <v>0</v>
      </c>
      <c r="AM109" s="482"/>
      <c r="AN109" s="482"/>
      <c r="AO109" s="482"/>
      <c r="AP109" s="482"/>
      <c r="AQ109" s="482"/>
      <c r="AR109" s="482"/>
      <c r="AS109" s="482"/>
      <c r="AT109" s="482"/>
      <c r="AU109" s="482"/>
      <c r="AV109" s="482"/>
      <c r="AW109" s="484"/>
      <c r="AX109" s="557">
        <f t="shared" ref="AX109:AX110" si="14">SUM(Q109:Y109)</f>
        <v>29000</v>
      </c>
      <c r="AY109" s="557">
        <f t="shared" ref="AY109:AY110" si="15">SUM(Z109:AW109)</f>
        <v>29000</v>
      </c>
      <c r="AZ109" s="557">
        <f t="shared" ref="AZ109:AZ110" si="16">P109</f>
        <v>29000</v>
      </c>
      <c r="BA109" s="557">
        <f t="shared" ref="BA109:BA119" si="17">MAX(AX109:AZ109)-MIN(AX109:AZ109)</f>
        <v>0</v>
      </c>
    </row>
    <row r="110" spans="1:53" ht="14.4" customHeight="1" x14ac:dyDescent="0.3">
      <c r="A110" s="106"/>
      <c r="B110" s="406" t="s">
        <v>325</v>
      </c>
      <c r="C110" s="351" t="s">
        <v>322</v>
      </c>
      <c r="D110" s="351" t="s">
        <v>107</v>
      </c>
      <c r="E110" s="351" t="s">
        <v>27</v>
      </c>
      <c r="F110" s="353">
        <v>9</v>
      </c>
      <c r="G110" s="351"/>
      <c r="H110" s="351" t="s">
        <v>327</v>
      </c>
      <c r="I110" s="554" t="s">
        <v>328</v>
      </c>
      <c r="J110" s="554">
        <v>0</v>
      </c>
      <c r="K110" s="554">
        <v>0</v>
      </c>
      <c r="L110" s="353"/>
      <c r="P110" s="535">
        <f t="shared" si="13"/>
        <v>1010598</v>
      </c>
      <c r="Q110" s="58"/>
      <c r="R110" s="59">
        <v>0</v>
      </c>
      <c r="S110" s="59">
        <v>1010598</v>
      </c>
      <c r="T110" s="59"/>
      <c r="U110" s="59"/>
      <c r="V110" s="59"/>
      <c r="W110" s="59"/>
      <c r="X110" s="59"/>
      <c r="Y110" s="61"/>
      <c r="Z110" s="483">
        <v>0</v>
      </c>
      <c r="AA110" s="482">
        <v>0</v>
      </c>
      <c r="AB110" s="482">
        <v>0</v>
      </c>
      <c r="AC110" s="482">
        <f>0.28*$P110</f>
        <v>282967.44</v>
      </c>
      <c r="AD110" s="482">
        <f>0.45*$P110</f>
        <v>454769.10000000003</v>
      </c>
      <c r="AE110" s="482">
        <f>0.06*$P110</f>
        <v>60635.88</v>
      </c>
      <c r="AF110" s="482">
        <f>0.21*$P110</f>
        <v>212225.58</v>
      </c>
      <c r="AG110" s="482">
        <v>0</v>
      </c>
      <c r="AH110" s="482">
        <v>0</v>
      </c>
      <c r="AI110" s="482">
        <v>0</v>
      </c>
      <c r="AJ110" s="482">
        <v>0</v>
      </c>
      <c r="AK110" s="482">
        <v>0</v>
      </c>
      <c r="AL110" s="482">
        <v>0</v>
      </c>
      <c r="AM110" s="482"/>
      <c r="AN110" s="482"/>
      <c r="AO110" s="482"/>
      <c r="AP110" s="482"/>
      <c r="AQ110" s="482"/>
      <c r="AR110" s="482"/>
      <c r="AS110" s="482"/>
      <c r="AT110" s="482"/>
      <c r="AU110" s="482"/>
      <c r="AV110" s="482"/>
      <c r="AW110" s="484"/>
      <c r="AX110" s="557">
        <f t="shared" si="14"/>
        <v>1010598</v>
      </c>
      <c r="AY110" s="557">
        <f t="shared" si="15"/>
        <v>1010598</v>
      </c>
      <c r="AZ110" s="557">
        <f t="shared" si="16"/>
        <v>1010598</v>
      </c>
      <c r="BA110" s="557">
        <f t="shared" si="17"/>
        <v>0</v>
      </c>
    </row>
    <row r="111" spans="1:53" ht="14.4" customHeight="1" x14ac:dyDescent="0.3">
      <c r="A111" s="106"/>
      <c r="B111" s="406" t="s">
        <v>330</v>
      </c>
      <c r="C111" s="351" t="s">
        <v>384</v>
      </c>
      <c r="D111" s="351" t="s">
        <v>107</v>
      </c>
      <c r="E111" s="351" t="s">
        <v>27</v>
      </c>
      <c r="F111" s="353">
        <v>9</v>
      </c>
      <c r="G111" s="351"/>
      <c r="H111" s="351" t="s">
        <v>327</v>
      </c>
      <c r="I111" s="554" t="s">
        <v>386</v>
      </c>
      <c r="J111" s="554">
        <v>0</v>
      </c>
      <c r="K111" s="554">
        <v>0</v>
      </c>
      <c r="L111" s="353"/>
      <c r="P111" s="535">
        <f t="shared" si="13"/>
        <v>9844306</v>
      </c>
      <c r="Q111" s="494"/>
      <c r="R111" s="472">
        <f>4100009-450000</f>
        <v>3650009</v>
      </c>
      <c r="S111" s="472">
        <v>6194297</v>
      </c>
      <c r="T111" s="472"/>
      <c r="U111" s="472"/>
      <c r="V111" s="472"/>
      <c r="W111" s="472"/>
      <c r="X111" s="472"/>
      <c r="Y111" s="495"/>
      <c r="Z111" s="483">
        <v>0</v>
      </c>
      <c r="AA111" s="482">
        <v>0</v>
      </c>
      <c r="AB111" s="482">
        <v>0</v>
      </c>
      <c r="AC111" s="482">
        <f>0.28*$P111</f>
        <v>2756405.68</v>
      </c>
      <c r="AD111" s="482">
        <f>0.45*$P111</f>
        <v>4429937.7</v>
      </c>
      <c r="AE111" s="482">
        <f>0.06*$P111</f>
        <v>590658.36</v>
      </c>
      <c r="AF111" s="482">
        <f>0.21*$P111</f>
        <v>2067304.26</v>
      </c>
      <c r="AG111" s="482">
        <v>0</v>
      </c>
      <c r="AH111" s="482">
        <v>0</v>
      </c>
      <c r="AI111" s="482">
        <v>0</v>
      </c>
      <c r="AJ111" s="482">
        <v>0</v>
      </c>
      <c r="AK111" s="482">
        <v>0</v>
      </c>
      <c r="AL111" s="482">
        <v>0</v>
      </c>
      <c r="AM111" s="482"/>
      <c r="AN111" s="482"/>
      <c r="AO111" s="482"/>
      <c r="AP111" s="482"/>
      <c r="AQ111" s="482"/>
      <c r="AR111" s="482"/>
      <c r="AS111" s="482"/>
      <c r="AT111" s="482"/>
      <c r="AU111" s="482"/>
      <c r="AV111" s="482"/>
      <c r="AW111" s="484"/>
      <c r="AX111" s="557">
        <f t="shared" ref="AX111:AX119" si="18">SUM(Q111:Y111)</f>
        <v>9844306</v>
      </c>
      <c r="AY111" s="557">
        <f t="shared" ref="AY111:AY119" si="19">SUM(Z111:AW111)</f>
        <v>9844306.0000000019</v>
      </c>
      <c r="AZ111" s="557">
        <f t="shared" ref="AZ111:AZ119" si="20">P111</f>
        <v>9844306</v>
      </c>
      <c r="BA111" s="557">
        <f t="shared" si="17"/>
        <v>0</v>
      </c>
    </row>
    <row r="112" spans="1:53" ht="14.4" customHeight="1" x14ac:dyDescent="0.3">
      <c r="A112" s="106"/>
      <c r="B112" s="406" t="s">
        <v>474</v>
      </c>
      <c r="C112" s="351" t="s">
        <v>475</v>
      </c>
      <c r="D112" s="351" t="s">
        <v>109</v>
      </c>
      <c r="E112" s="351" t="s">
        <v>27</v>
      </c>
      <c r="F112" s="353">
        <v>18</v>
      </c>
      <c r="G112" s="351"/>
      <c r="H112" s="351" t="s">
        <v>327</v>
      </c>
      <c r="I112" s="554" t="s">
        <v>386</v>
      </c>
      <c r="J112" s="554">
        <v>0</v>
      </c>
      <c r="K112" s="554">
        <v>0</v>
      </c>
      <c r="L112" s="353"/>
      <c r="P112" s="535">
        <f t="shared" si="13"/>
        <v>530000</v>
      </c>
      <c r="Q112" s="494"/>
      <c r="R112" s="472">
        <v>0</v>
      </c>
      <c r="S112" s="472">
        <v>530000</v>
      </c>
      <c r="T112" s="472"/>
      <c r="U112" s="472"/>
      <c r="V112" s="472"/>
      <c r="W112" s="472"/>
      <c r="X112" s="472"/>
      <c r="Y112" s="495"/>
      <c r="Z112" s="483">
        <v>0</v>
      </c>
      <c r="AA112" s="482">
        <v>0</v>
      </c>
      <c r="AB112" s="482">
        <v>0</v>
      </c>
      <c r="AC112" s="482">
        <v>0</v>
      </c>
      <c r="AD112" s="482">
        <v>0</v>
      </c>
      <c r="AE112" s="482">
        <v>0</v>
      </c>
      <c r="AF112" s="482">
        <v>0</v>
      </c>
      <c r="AG112" s="482">
        <v>0</v>
      </c>
      <c r="AH112" s="482">
        <v>0</v>
      </c>
      <c r="AI112" s="482">
        <v>0</v>
      </c>
      <c r="AJ112" s="482">
        <f>0.1*$P112</f>
        <v>53000</v>
      </c>
      <c r="AK112" s="482">
        <f>0.5*$P112</f>
        <v>265000</v>
      </c>
      <c r="AL112" s="482">
        <f>0.4*$P112</f>
        <v>212000</v>
      </c>
      <c r="AM112" s="482"/>
      <c r="AN112" s="482"/>
      <c r="AO112" s="482"/>
      <c r="AP112" s="482"/>
      <c r="AQ112" s="482"/>
      <c r="AR112" s="482"/>
      <c r="AS112" s="482"/>
      <c r="AT112" s="482"/>
      <c r="AU112" s="482"/>
      <c r="AV112" s="482"/>
      <c r="AW112" s="484"/>
      <c r="AX112" s="557">
        <f t="shared" si="18"/>
        <v>530000</v>
      </c>
      <c r="AY112" s="557">
        <f t="shared" si="19"/>
        <v>530000</v>
      </c>
      <c r="AZ112" s="557">
        <f t="shared" si="20"/>
        <v>530000</v>
      </c>
      <c r="BA112" s="557">
        <f t="shared" si="17"/>
        <v>0</v>
      </c>
    </row>
    <row r="113" spans="1:53" ht="14.4" customHeight="1" x14ac:dyDescent="0.3">
      <c r="A113" s="106"/>
      <c r="B113" s="406" t="s">
        <v>320</v>
      </c>
      <c r="C113" s="351" t="s">
        <v>318</v>
      </c>
      <c r="D113" s="351" t="s">
        <v>107</v>
      </c>
      <c r="E113" s="351" t="s">
        <v>27</v>
      </c>
      <c r="F113" s="353">
        <v>9</v>
      </c>
      <c r="G113" s="351"/>
      <c r="H113" s="351" t="s">
        <v>327</v>
      </c>
      <c r="I113" s="554" t="s">
        <v>386</v>
      </c>
      <c r="J113" s="554">
        <v>0</v>
      </c>
      <c r="K113" s="554">
        <v>0</v>
      </c>
      <c r="L113" s="353"/>
      <c r="P113" s="535">
        <f t="shared" si="13"/>
        <v>6410429</v>
      </c>
      <c r="Q113" s="494"/>
      <c r="R113" s="472">
        <v>2114000</v>
      </c>
      <c r="S113" s="472">
        <v>4296429</v>
      </c>
      <c r="T113" s="472"/>
      <c r="U113" s="472"/>
      <c r="V113" s="472"/>
      <c r="W113" s="472"/>
      <c r="X113" s="472"/>
      <c r="Y113" s="495"/>
      <c r="Z113" s="483">
        <v>0</v>
      </c>
      <c r="AA113" s="482">
        <v>0</v>
      </c>
      <c r="AB113" s="482">
        <v>0</v>
      </c>
      <c r="AC113" s="482">
        <f>0.28*$P113</f>
        <v>1794920.12</v>
      </c>
      <c r="AD113" s="482">
        <f>0.45*$P113</f>
        <v>2884693.0500000003</v>
      </c>
      <c r="AE113" s="482">
        <f>0.06*$P113</f>
        <v>384625.74</v>
      </c>
      <c r="AF113" s="482">
        <f>0.21*$P113</f>
        <v>1346190.0899999999</v>
      </c>
      <c r="AG113" s="482">
        <v>0</v>
      </c>
      <c r="AH113" s="482">
        <v>0</v>
      </c>
      <c r="AI113" s="482">
        <v>0</v>
      </c>
      <c r="AJ113" s="482">
        <v>0</v>
      </c>
      <c r="AK113" s="482">
        <v>0</v>
      </c>
      <c r="AL113" s="482">
        <v>0</v>
      </c>
      <c r="AM113" s="482"/>
      <c r="AN113" s="482"/>
      <c r="AO113" s="482"/>
      <c r="AP113" s="482"/>
      <c r="AQ113" s="482"/>
      <c r="AR113" s="482"/>
      <c r="AS113" s="482"/>
      <c r="AT113" s="482"/>
      <c r="AU113" s="482"/>
      <c r="AV113" s="482"/>
      <c r="AW113" s="484"/>
      <c r="AX113" s="557">
        <f t="shared" si="18"/>
        <v>6410429</v>
      </c>
      <c r="AY113" s="557">
        <f t="shared" si="19"/>
        <v>6410429</v>
      </c>
      <c r="AZ113" s="557">
        <f t="shared" si="20"/>
        <v>6410429</v>
      </c>
      <c r="BA113" s="557">
        <f t="shared" si="17"/>
        <v>0</v>
      </c>
    </row>
    <row r="114" spans="1:53" ht="14.4" customHeight="1" x14ac:dyDescent="0.3">
      <c r="A114" s="106"/>
      <c r="B114" s="406" t="s">
        <v>411</v>
      </c>
      <c r="C114" s="351" t="s">
        <v>412</v>
      </c>
      <c r="D114" s="351" t="s">
        <v>107</v>
      </c>
      <c r="E114" s="351" t="s">
        <v>27</v>
      </c>
      <c r="F114" s="353">
        <v>3</v>
      </c>
      <c r="G114" s="351"/>
      <c r="H114" s="351" t="s">
        <v>327</v>
      </c>
      <c r="I114" s="353" t="s">
        <v>328</v>
      </c>
      <c r="J114" s="554">
        <v>0</v>
      </c>
      <c r="K114" s="554">
        <v>0</v>
      </c>
      <c r="L114" s="353"/>
      <c r="P114" s="535">
        <f t="shared" si="13"/>
        <v>137000</v>
      </c>
      <c r="Q114" s="58"/>
      <c r="R114" s="59">
        <v>0</v>
      </c>
      <c r="S114" s="59">
        <v>137000</v>
      </c>
      <c r="T114" s="59"/>
      <c r="U114" s="59"/>
      <c r="V114" s="59"/>
      <c r="W114" s="59"/>
      <c r="X114" s="59"/>
      <c r="Y114" s="61"/>
      <c r="Z114" s="483">
        <f>0.86*$P114</f>
        <v>117820</v>
      </c>
      <c r="AA114" s="482">
        <f>0.07*$P114</f>
        <v>9590.0000000000018</v>
      </c>
      <c r="AB114" s="482">
        <f>0.07*$P114</f>
        <v>9590.0000000000018</v>
      </c>
      <c r="AC114" s="482">
        <v>0</v>
      </c>
      <c r="AD114" s="482">
        <v>0</v>
      </c>
      <c r="AE114" s="482">
        <v>0</v>
      </c>
      <c r="AF114" s="482">
        <v>0</v>
      </c>
      <c r="AG114" s="482">
        <v>0</v>
      </c>
      <c r="AH114" s="482">
        <v>0</v>
      </c>
      <c r="AI114" s="482">
        <v>0</v>
      </c>
      <c r="AJ114" s="482">
        <v>0</v>
      </c>
      <c r="AK114" s="482">
        <v>0</v>
      </c>
      <c r="AL114" s="482">
        <v>0</v>
      </c>
      <c r="AM114" s="482"/>
      <c r="AN114" s="482"/>
      <c r="AO114" s="482"/>
      <c r="AP114" s="482"/>
      <c r="AQ114" s="482"/>
      <c r="AR114" s="482"/>
      <c r="AS114" s="482"/>
      <c r="AT114" s="482"/>
      <c r="AU114" s="482"/>
      <c r="AV114" s="482"/>
      <c r="AW114" s="484"/>
      <c r="AX114" s="557">
        <f t="shared" si="18"/>
        <v>137000</v>
      </c>
      <c r="AY114" s="557">
        <f t="shared" si="19"/>
        <v>137000</v>
      </c>
      <c r="AZ114" s="557">
        <f t="shared" si="20"/>
        <v>137000</v>
      </c>
      <c r="BA114" s="557">
        <f t="shared" si="17"/>
        <v>0</v>
      </c>
    </row>
    <row r="115" spans="1:53" ht="14.4" customHeight="1" x14ac:dyDescent="0.3">
      <c r="A115" s="106"/>
      <c r="B115" s="406" t="s">
        <v>470</v>
      </c>
      <c r="C115" s="351" t="s">
        <v>471</v>
      </c>
      <c r="D115" s="351" t="s">
        <v>168</v>
      </c>
      <c r="E115" s="351" t="s">
        <v>27</v>
      </c>
      <c r="F115" s="353">
        <v>18</v>
      </c>
      <c r="G115" s="351"/>
      <c r="H115" s="351" t="s">
        <v>327</v>
      </c>
      <c r="I115" s="353" t="s">
        <v>386</v>
      </c>
      <c r="J115" s="554">
        <v>0</v>
      </c>
      <c r="K115" s="554">
        <v>0</v>
      </c>
      <c r="L115" s="353"/>
      <c r="P115" s="535">
        <f t="shared" si="13"/>
        <v>419850</v>
      </c>
      <c r="Q115" s="58"/>
      <c r="R115" s="59">
        <v>165000</v>
      </c>
      <c r="S115" s="59">
        <v>254850</v>
      </c>
      <c r="T115" s="59"/>
      <c r="U115" s="59"/>
      <c r="V115" s="59"/>
      <c r="W115" s="59"/>
      <c r="X115" s="59"/>
      <c r="Y115" s="61"/>
      <c r="Z115" s="483">
        <v>0</v>
      </c>
      <c r="AA115" s="482">
        <v>0</v>
      </c>
      <c r="AB115" s="482">
        <v>0</v>
      </c>
      <c r="AC115" s="482">
        <v>0</v>
      </c>
      <c r="AD115" s="482">
        <v>0</v>
      </c>
      <c r="AE115" s="482">
        <v>0</v>
      </c>
      <c r="AF115" s="482">
        <v>0</v>
      </c>
      <c r="AG115" s="482">
        <v>0</v>
      </c>
      <c r="AH115" s="482">
        <v>0</v>
      </c>
      <c r="AI115" s="482">
        <v>0</v>
      </c>
      <c r="AJ115" s="482">
        <f>0.1*$P115</f>
        <v>41985</v>
      </c>
      <c r="AK115" s="482">
        <f>0.5*$P115</f>
        <v>209925</v>
      </c>
      <c r="AL115" s="482">
        <f>0.4*$P115</f>
        <v>167940</v>
      </c>
      <c r="AM115" s="482"/>
      <c r="AN115" s="482"/>
      <c r="AO115" s="482"/>
      <c r="AP115" s="482"/>
      <c r="AQ115" s="482"/>
      <c r="AR115" s="482"/>
      <c r="AS115" s="482"/>
      <c r="AT115" s="482"/>
      <c r="AU115" s="482"/>
      <c r="AV115" s="482"/>
      <c r="AW115" s="484"/>
      <c r="AX115" s="557">
        <f t="shared" si="18"/>
        <v>419850</v>
      </c>
      <c r="AY115" s="557">
        <f t="shared" si="19"/>
        <v>419850</v>
      </c>
      <c r="AZ115" s="557">
        <f t="shared" si="20"/>
        <v>419850</v>
      </c>
      <c r="BA115" s="557">
        <f t="shared" si="17"/>
        <v>0</v>
      </c>
    </row>
    <row r="116" spans="1:53" ht="14.4" customHeight="1" x14ac:dyDescent="0.3">
      <c r="A116" s="106"/>
      <c r="B116" s="406" t="s">
        <v>441</v>
      </c>
      <c r="C116" s="351" t="s">
        <v>473</v>
      </c>
      <c r="D116" s="351" t="s">
        <v>107</v>
      </c>
      <c r="E116" s="351" t="s">
        <v>27</v>
      </c>
      <c r="F116" s="353">
        <v>8</v>
      </c>
      <c r="G116" s="351"/>
      <c r="H116" s="351" t="s">
        <v>327</v>
      </c>
      <c r="I116" s="353" t="s">
        <v>386</v>
      </c>
      <c r="J116" s="554">
        <v>0</v>
      </c>
      <c r="K116" s="554">
        <v>0</v>
      </c>
      <c r="L116" s="353"/>
      <c r="P116" s="535">
        <f t="shared" si="13"/>
        <v>340000</v>
      </c>
      <c r="Q116" s="58"/>
      <c r="R116" s="59">
        <v>0</v>
      </c>
      <c r="S116" s="59">
        <v>340000</v>
      </c>
      <c r="T116" s="59"/>
      <c r="U116" s="59"/>
      <c r="V116" s="59"/>
      <c r="W116" s="59"/>
      <c r="X116" s="59"/>
      <c r="Y116" s="61"/>
      <c r="Z116" s="483">
        <v>0</v>
      </c>
      <c r="AA116" s="482">
        <v>0</v>
      </c>
      <c r="AB116" s="482">
        <v>0</v>
      </c>
      <c r="AC116" s="482">
        <f>0.28*$P116</f>
        <v>95200.000000000015</v>
      </c>
      <c r="AD116" s="482">
        <f>0.45*$P116</f>
        <v>153000</v>
      </c>
      <c r="AE116" s="482">
        <f>0.06*$P116</f>
        <v>20400</v>
      </c>
      <c r="AF116" s="482">
        <f>0.21*$P116</f>
        <v>71400</v>
      </c>
      <c r="AG116" s="482">
        <v>0</v>
      </c>
      <c r="AH116" s="482">
        <v>0</v>
      </c>
      <c r="AI116" s="482">
        <v>0</v>
      </c>
      <c r="AJ116" s="482">
        <v>0</v>
      </c>
      <c r="AK116" s="482">
        <v>0</v>
      </c>
      <c r="AL116" s="482">
        <v>0</v>
      </c>
      <c r="AM116" s="482"/>
      <c r="AN116" s="482"/>
      <c r="AO116" s="482"/>
      <c r="AP116" s="482"/>
      <c r="AQ116" s="482"/>
      <c r="AR116" s="482"/>
      <c r="AS116" s="482"/>
      <c r="AT116" s="482"/>
      <c r="AU116" s="482"/>
      <c r="AV116" s="482"/>
      <c r="AW116" s="484"/>
      <c r="AX116" s="557">
        <f t="shared" si="18"/>
        <v>340000</v>
      </c>
      <c r="AY116" s="557">
        <f t="shared" si="19"/>
        <v>340000</v>
      </c>
      <c r="AZ116" s="557">
        <f t="shared" si="20"/>
        <v>340000</v>
      </c>
      <c r="BA116" s="557">
        <f t="shared" si="17"/>
        <v>0</v>
      </c>
    </row>
    <row r="117" spans="1:53" ht="14.4" customHeight="1" x14ac:dyDescent="0.3">
      <c r="A117" s="106"/>
      <c r="B117" s="406" t="s">
        <v>468</v>
      </c>
      <c r="C117" s="351" t="s">
        <v>469</v>
      </c>
      <c r="D117" s="351" t="s">
        <v>107</v>
      </c>
      <c r="E117" s="351" t="s">
        <v>27</v>
      </c>
      <c r="F117" s="353">
        <v>9</v>
      </c>
      <c r="G117" s="351"/>
      <c r="H117" s="351" t="s">
        <v>327</v>
      </c>
      <c r="I117" s="353" t="s">
        <v>386</v>
      </c>
      <c r="J117" s="554">
        <v>0</v>
      </c>
      <c r="K117" s="554">
        <v>0</v>
      </c>
      <c r="L117" s="353"/>
      <c r="P117" s="535">
        <f t="shared" si="13"/>
        <v>2575000</v>
      </c>
      <c r="Q117" s="58"/>
      <c r="R117" s="59">
        <v>0</v>
      </c>
      <c r="S117" s="59">
        <v>2575000</v>
      </c>
      <c r="T117" s="59"/>
      <c r="U117" s="59"/>
      <c r="V117" s="59"/>
      <c r="W117" s="59"/>
      <c r="X117" s="59"/>
      <c r="Y117" s="61"/>
      <c r="Z117" s="483">
        <v>0</v>
      </c>
      <c r="AA117" s="482">
        <v>0</v>
      </c>
      <c r="AB117" s="482">
        <v>0</v>
      </c>
      <c r="AC117" s="482">
        <f>0.28*$P117</f>
        <v>721000.00000000012</v>
      </c>
      <c r="AD117" s="482">
        <f>0.45*$P117</f>
        <v>1158750</v>
      </c>
      <c r="AE117" s="482">
        <f>0.06*$P117</f>
        <v>154500</v>
      </c>
      <c r="AF117" s="482">
        <f>0.21*$P117</f>
        <v>540750</v>
      </c>
      <c r="AG117" s="482">
        <v>0</v>
      </c>
      <c r="AH117" s="482">
        <v>0</v>
      </c>
      <c r="AI117" s="482">
        <v>0</v>
      </c>
      <c r="AJ117" s="482">
        <v>0</v>
      </c>
      <c r="AK117" s="482">
        <v>0</v>
      </c>
      <c r="AL117" s="482">
        <v>0</v>
      </c>
      <c r="AM117" s="482"/>
      <c r="AN117" s="482"/>
      <c r="AO117" s="482"/>
      <c r="AP117" s="482"/>
      <c r="AQ117" s="482"/>
      <c r="AR117" s="482"/>
      <c r="AS117" s="482"/>
      <c r="AT117" s="482"/>
      <c r="AU117" s="482"/>
      <c r="AV117" s="482"/>
      <c r="AW117" s="484"/>
      <c r="AX117" s="557">
        <f t="shared" si="18"/>
        <v>2575000</v>
      </c>
      <c r="AY117" s="557">
        <f t="shared" si="19"/>
        <v>2575000</v>
      </c>
      <c r="AZ117" s="557">
        <f t="shared" si="20"/>
        <v>2575000</v>
      </c>
      <c r="BA117" s="557">
        <f t="shared" si="17"/>
        <v>0</v>
      </c>
    </row>
    <row r="118" spans="1:53" ht="14.4" customHeight="1" x14ac:dyDescent="0.3">
      <c r="A118" s="106"/>
      <c r="B118" s="406" t="s">
        <v>323</v>
      </c>
      <c r="C118" s="351" t="s">
        <v>383</v>
      </c>
      <c r="D118" s="351" t="s">
        <v>107</v>
      </c>
      <c r="E118" s="351" t="s">
        <v>27</v>
      </c>
      <c r="F118" s="353">
        <v>11</v>
      </c>
      <c r="G118" s="351"/>
      <c r="H118" s="351" t="s">
        <v>327</v>
      </c>
      <c r="I118" s="554" t="s">
        <v>328</v>
      </c>
      <c r="J118" s="554">
        <v>0</v>
      </c>
      <c r="K118" s="554">
        <v>0</v>
      </c>
      <c r="L118" s="353"/>
      <c r="P118" s="535">
        <f t="shared" si="13"/>
        <v>15000</v>
      </c>
      <c r="Q118" s="494"/>
      <c r="R118" s="472">
        <v>0</v>
      </c>
      <c r="S118" s="472">
        <v>15000</v>
      </c>
      <c r="T118" s="472"/>
      <c r="U118" s="472"/>
      <c r="V118" s="472"/>
      <c r="W118" s="472"/>
      <c r="X118" s="472"/>
      <c r="Y118" s="495"/>
      <c r="Z118" s="483">
        <v>0</v>
      </c>
      <c r="AA118" s="482">
        <v>0</v>
      </c>
      <c r="AB118" s="482">
        <v>0</v>
      </c>
      <c r="AC118" s="482">
        <f>0.13*$P118</f>
        <v>1950</v>
      </c>
      <c r="AD118" s="482">
        <f>0.85*$P118</f>
        <v>12750</v>
      </c>
      <c r="AE118" s="482"/>
      <c r="AF118" s="482">
        <f>0.02*$P118</f>
        <v>300</v>
      </c>
      <c r="AG118" s="482">
        <v>0</v>
      </c>
      <c r="AH118" s="482">
        <v>0</v>
      </c>
      <c r="AI118" s="482">
        <v>0</v>
      </c>
      <c r="AJ118" s="482">
        <v>0</v>
      </c>
      <c r="AK118" s="482">
        <v>0</v>
      </c>
      <c r="AL118" s="482">
        <v>0</v>
      </c>
      <c r="AM118" s="482"/>
      <c r="AN118" s="482"/>
      <c r="AO118" s="482"/>
      <c r="AP118" s="482"/>
      <c r="AQ118" s="482"/>
      <c r="AR118" s="482"/>
      <c r="AS118" s="482"/>
      <c r="AT118" s="482"/>
      <c r="AU118" s="482"/>
      <c r="AV118" s="482"/>
      <c r="AW118" s="484"/>
      <c r="AX118" s="557">
        <f t="shared" si="18"/>
        <v>15000</v>
      </c>
      <c r="AY118" s="557">
        <f t="shared" si="19"/>
        <v>15000</v>
      </c>
      <c r="AZ118" s="557">
        <f t="shared" si="20"/>
        <v>15000</v>
      </c>
      <c r="BA118" s="557">
        <f t="shared" si="17"/>
        <v>0</v>
      </c>
    </row>
    <row r="119" spans="1:53" x14ac:dyDescent="0.3">
      <c r="A119" s="106"/>
      <c r="B119" s="406" t="s">
        <v>319</v>
      </c>
      <c r="C119" s="351" t="s">
        <v>317</v>
      </c>
      <c r="D119" s="351" t="s">
        <v>107</v>
      </c>
      <c r="E119" s="351" t="s">
        <v>27</v>
      </c>
      <c r="F119" s="353">
        <v>9</v>
      </c>
      <c r="G119" s="351"/>
      <c r="H119" s="351" t="s">
        <v>327</v>
      </c>
      <c r="I119" s="554" t="s">
        <v>328</v>
      </c>
      <c r="J119" s="554">
        <v>0</v>
      </c>
      <c r="K119" s="554">
        <v>0</v>
      </c>
      <c r="L119" s="353"/>
      <c r="P119" s="535">
        <f t="shared" si="13"/>
        <v>4093564</v>
      </c>
      <c r="Q119" s="494"/>
      <c r="R119" s="472">
        <v>0</v>
      </c>
      <c r="S119" s="472">
        <v>4093564</v>
      </c>
      <c r="T119" s="472"/>
      <c r="U119" s="472"/>
      <c r="V119" s="472"/>
      <c r="W119" s="472"/>
      <c r="X119" s="472"/>
      <c r="Y119" s="495"/>
      <c r="Z119" s="483">
        <v>0</v>
      </c>
      <c r="AA119" s="482">
        <v>0</v>
      </c>
      <c r="AB119" s="482">
        <v>0</v>
      </c>
      <c r="AC119" s="482">
        <f>0.28*$P119</f>
        <v>1146197.9200000002</v>
      </c>
      <c r="AD119" s="482">
        <f>0.45*$P119</f>
        <v>1842103.8</v>
      </c>
      <c r="AE119" s="482">
        <f>0.06*$P119</f>
        <v>245613.84</v>
      </c>
      <c r="AF119" s="482">
        <f>0.21*$P119</f>
        <v>859648.44</v>
      </c>
      <c r="AG119" s="482">
        <v>0</v>
      </c>
      <c r="AH119" s="482">
        <v>0</v>
      </c>
      <c r="AI119" s="482">
        <v>0</v>
      </c>
      <c r="AJ119" s="482">
        <v>0</v>
      </c>
      <c r="AK119" s="482">
        <v>0</v>
      </c>
      <c r="AL119" s="482">
        <v>0</v>
      </c>
      <c r="AM119" s="482"/>
      <c r="AN119" s="482"/>
      <c r="AO119" s="482"/>
      <c r="AP119" s="482"/>
      <c r="AQ119" s="482"/>
      <c r="AR119" s="482"/>
      <c r="AS119" s="482"/>
      <c r="AT119" s="482"/>
      <c r="AU119" s="482"/>
      <c r="AV119" s="482"/>
      <c r="AW119" s="484"/>
      <c r="AX119" s="557">
        <f t="shared" si="18"/>
        <v>4093564</v>
      </c>
      <c r="AY119" s="557">
        <f t="shared" si="19"/>
        <v>4093564</v>
      </c>
      <c r="AZ119" s="557">
        <f t="shared" si="20"/>
        <v>4093564</v>
      </c>
      <c r="BA119" s="557">
        <f t="shared" si="17"/>
        <v>0</v>
      </c>
    </row>
    <row r="120" spans="1:53" x14ac:dyDescent="0.3">
      <c r="A120" s="106"/>
      <c r="B120" s="351"/>
      <c r="C120" s="351"/>
      <c r="D120" s="351"/>
      <c r="E120" s="351"/>
      <c r="F120" s="353"/>
      <c r="G120" s="351"/>
      <c r="H120" s="351"/>
      <c r="I120" s="554"/>
      <c r="J120" s="554"/>
      <c r="K120" s="554"/>
      <c r="L120" s="353"/>
      <c r="M120" s="351"/>
      <c r="N120" s="351"/>
      <c r="O120" s="351"/>
      <c r="P120" s="535"/>
      <c r="Q120" s="472"/>
      <c r="R120" s="472"/>
      <c r="S120" s="472"/>
      <c r="T120" s="472"/>
      <c r="U120" s="472"/>
      <c r="V120" s="472"/>
      <c r="W120" s="472"/>
      <c r="X120" s="472"/>
      <c r="Y120" s="472"/>
      <c r="Z120" s="482"/>
      <c r="AA120" s="482"/>
      <c r="AB120" s="482"/>
      <c r="AC120" s="482"/>
      <c r="AD120" s="482"/>
      <c r="AE120" s="482"/>
      <c r="AF120" s="482"/>
      <c r="AG120" s="482"/>
      <c r="AH120" s="482"/>
      <c r="AI120" s="482"/>
      <c r="AJ120" s="482"/>
      <c r="AK120" s="482"/>
      <c r="AL120" s="482"/>
      <c r="AM120" s="482"/>
      <c r="AN120" s="482"/>
      <c r="AO120" s="482"/>
      <c r="AP120" s="482"/>
      <c r="AQ120" s="482"/>
      <c r="AR120" s="482"/>
      <c r="AS120" s="482"/>
      <c r="AT120" s="482"/>
      <c r="AU120" s="482"/>
      <c r="AV120" s="482"/>
      <c r="AW120" s="482"/>
      <c r="AX120" s="482"/>
      <c r="AY120" s="482"/>
      <c r="AZ120" s="482"/>
      <c r="BA120" s="482"/>
    </row>
    <row r="123" spans="1:53" x14ac:dyDescent="0.3">
      <c r="B123" s="542" t="s">
        <v>453</v>
      </c>
    </row>
    <row r="124" spans="1:53" x14ac:dyDescent="0.3">
      <c r="B124" s="523" t="str">
        <f t="shared" ref="B124:E130" si="21">B108</f>
        <v>ND0826</v>
      </c>
      <c r="C124" s="523" t="str">
        <f t="shared" si="21"/>
        <v>Avoca Substation 110 kV Redevelopment</v>
      </c>
      <c r="D124" s="523" t="str">
        <f t="shared" si="21"/>
        <v>Asset Renewal</v>
      </c>
      <c r="E124" s="523" t="str">
        <f t="shared" si="21"/>
        <v>2014/15</v>
      </c>
      <c r="F124" s="544">
        <v>0</v>
      </c>
      <c r="G124" s="523"/>
      <c r="H124" s="523" t="str">
        <f t="shared" ref="H124:K130" si="22">H108</f>
        <v>Committed</v>
      </c>
      <c r="I124" s="544" t="str">
        <f t="shared" si="22"/>
        <v>3b</v>
      </c>
      <c r="J124" s="544">
        <f t="shared" si="22"/>
        <v>0</v>
      </c>
      <c r="K124" s="544">
        <f t="shared" si="22"/>
        <v>0</v>
      </c>
      <c r="L124" s="544"/>
      <c r="M124" s="523"/>
      <c r="N124" s="523"/>
      <c r="O124" s="523"/>
      <c r="P124" s="514">
        <f t="shared" ref="P124:AW124" si="23">P108/(1+$D$105)</f>
        <v>269400.15564202337</v>
      </c>
      <c r="Q124" s="530">
        <f t="shared" si="23"/>
        <v>0</v>
      </c>
      <c r="R124" s="531">
        <f t="shared" si="23"/>
        <v>0</v>
      </c>
      <c r="S124" s="531">
        <f t="shared" si="23"/>
        <v>269400.15564202337</v>
      </c>
      <c r="T124" s="531">
        <f t="shared" si="23"/>
        <v>0</v>
      </c>
      <c r="U124" s="531">
        <f t="shared" si="23"/>
        <v>0</v>
      </c>
      <c r="V124" s="531">
        <f t="shared" si="23"/>
        <v>0</v>
      </c>
      <c r="W124" s="531">
        <f t="shared" si="23"/>
        <v>0</v>
      </c>
      <c r="X124" s="531">
        <f t="shared" si="23"/>
        <v>0</v>
      </c>
      <c r="Y124" s="532">
        <f t="shared" si="23"/>
        <v>0</v>
      </c>
      <c r="Z124" s="528">
        <f t="shared" si="23"/>
        <v>0</v>
      </c>
      <c r="AA124" s="520">
        <f t="shared" si="23"/>
        <v>0</v>
      </c>
      <c r="AB124" s="520">
        <f t="shared" si="23"/>
        <v>0</v>
      </c>
      <c r="AC124" s="520">
        <f t="shared" si="23"/>
        <v>75432.043579766541</v>
      </c>
      <c r="AD124" s="520">
        <f t="shared" si="23"/>
        <v>121230.0700389105</v>
      </c>
      <c r="AE124" s="520">
        <f t="shared" si="23"/>
        <v>16164.009338521402</v>
      </c>
      <c r="AF124" s="520">
        <f t="shared" si="23"/>
        <v>56574.032684824902</v>
      </c>
      <c r="AG124" s="520">
        <f t="shared" si="23"/>
        <v>0</v>
      </c>
      <c r="AH124" s="520">
        <f t="shared" si="23"/>
        <v>0</v>
      </c>
      <c r="AI124" s="520">
        <f t="shared" si="23"/>
        <v>0</v>
      </c>
      <c r="AJ124" s="520">
        <f t="shared" si="23"/>
        <v>0</v>
      </c>
      <c r="AK124" s="520">
        <f t="shared" si="23"/>
        <v>0</v>
      </c>
      <c r="AL124" s="520">
        <f t="shared" si="23"/>
        <v>0</v>
      </c>
      <c r="AM124" s="520">
        <f t="shared" si="23"/>
        <v>0</v>
      </c>
      <c r="AN124" s="520">
        <f t="shared" si="23"/>
        <v>0</v>
      </c>
      <c r="AO124" s="520">
        <f t="shared" si="23"/>
        <v>0</v>
      </c>
      <c r="AP124" s="520">
        <f t="shared" si="23"/>
        <v>0</v>
      </c>
      <c r="AQ124" s="520">
        <f t="shared" si="23"/>
        <v>0</v>
      </c>
      <c r="AR124" s="520">
        <f t="shared" si="23"/>
        <v>0</v>
      </c>
      <c r="AS124" s="520">
        <f t="shared" si="23"/>
        <v>0</v>
      </c>
      <c r="AT124" s="520">
        <f t="shared" si="23"/>
        <v>0</v>
      </c>
      <c r="AU124" s="520">
        <f t="shared" si="23"/>
        <v>0</v>
      </c>
      <c r="AV124" s="520">
        <f t="shared" si="23"/>
        <v>0</v>
      </c>
      <c r="AW124" s="529">
        <f t="shared" si="23"/>
        <v>0</v>
      </c>
      <c r="AX124" s="522">
        <f t="shared" ref="AX124" si="24">SUM(Q124:Y124)</f>
        <v>269400.15564202337</v>
      </c>
      <c r="AY124" s="522">
        <f t="shared" ref="AY124" si="25">SUM(Z124:AW124)</f>
        <v>269400.15564202337</v>
      </c>
      <c r="AZ124" s="522">
        <f t="shared" ref="AZ124" si="26">P124</f>
        <v>269400.15564202337</v>
      </c>
      <c r="BA124" s="522">
        <f t="shared" ref="BA124" si="27">MAX(AX124:AZ124)-MIN(AX124:AZ124)</f>
        <v>0</v>
      </c>
    </row>
    <row r="125" spans="1:53" x14ac:dyDescent="0.3">
      <c r="B125" s="523" t="str">
        <f t="shared" si="21"/>
        <v>ND0908</v>
      </c>
      <c r="C125" s="523" t="str">
        <f t="shared" si="21"/>
        <v>Burnie Substation 110 kV redevelopment</v>
      </c>
      <c r="D125" s="523" t="str">
        <f t="shared" si="21"/>
        <v>Asset Renewal</v>
      </c>
      <c r="E125" s="523" t="str">
        <f t="shared" si="21"/>
        <v>2014/15</v>
      </c>
      <c r="F125" s="544">
        <v>0</v>
      </c>
      <c r="G125" s="523"/>
      <c r="H125" s="523" t="str">
        <f t="shared" si="22"/>
        <v>Committed</v>
      </c>
      <c r="I125" s="544" t="str">
        <f t="shared" si="22"/>
        <v>3b</v>
      </c>
      <c r="J125" s="544">
        <f t="shared" si="22"/>
        <v>0</v>
      </c>
      <c r="K125" s="544">
        <f t="shared" si="22"/>
        <v>0</v>
      </c>
      <c r="L125" s="544"/>
      <c r="M125" s="523"/>
      <c r="N125" s="523"/>
      <c r="O125" s="523"/>
      <c r="P125" s="514">
        <f t="shared" ref="P125:Q127" si="28">P109/(1+$D$105)</f>
        <v>27632.153364335201</v>
      </c>
      <c r="Q125" s="530">
        <f t="shared" si="28"/>
        <v>0</v>
      </c>
      <c r="R125" s="531">
        <f t="shared" ref="R125:S125" si="29">R109/(1+$D$105)</f>
        <v>0</v>
      </c>
      <c r="S125" s="531">
        <f t="shared" si="29"/>
        <v>27632.153364335201</v>
      </c>
      <c r="T125" s="531">
        <f t="shared" ref="T125:Y127" si="30">T109/(1+$D$105)</f>
        <v>0</v>
      </c>
      <c r="U125" s="531">
        <f t="shared" si="30"/>
        <v>0</v>
      </c>
      <c r="V125" s="531">
        <f t="shared" si="30"/>
        <v>0</v>
      </c>
      <c r="W125" s="531">
        <f t="shared" si="30"/>
        <v>0</v>
      </c>
      <c r="X125" s="531">
        <f t="shared" si="30"/>
        <v>0</v>
      </c>
      <c r="Y125" s="532">
        <f t="shared" si="30"/>
        <v>0</v>
      </c>
      <c r="Z125" s="528">
        <f t="shared" ref="Z125:AW125" si="31">Z109/(1+$D$105)</f>
        <v>0</v>
      </c>
      <c r="AA125" s="520">
        <f t="shared" si="31"/>
        <v>0</v>
      </c>
      <c r="AB125" s="520">
        <f t="shared" si="31"/>
        <v>0</v>
      </c>
      <c r="AC125" s="520">
        <f t="shared" si="31"/>
        <v>7737.0029420138571</v>
      </c>
      <c r="AD125" s="520">
        <f t="shared" si="31"/>
        <v>12434.46901395084</v>
      </c>
      <c r="AE125" s="520">
        <f t="shared" si="31"/>
        <v>1657.929201860112</v>
      </c>
      <c r="AF125" s="520">
        <f t="shared" si="31"/>
        <v>5802.7522065103922</v>
      </c>
      <c r="AG125" s="520">
        <f t="shared" si="31"/>
        <v>0</v>
      </c>
      <c r="AH125" s="520">
        <f t="shared" si="31"/>
        <v>0</v>
      </c>
      <c r="AI125" s="520">
        <f t="shared" si="31"/>
        <v>0</v>
      </c>
      <c r="AJ125" s="520">
        <f t="shared" si="31"/>
        <v>0</v>
      </c>
      <c r="AK125" s="520">
        <f t="shared" si="31"/>
        <v>0</v>
      </c>
      <c r="AL125" s="520">
        <f t="shared" si="31"/>
        <v>0</v>
      </c>
      <c r="AM125" s="520">
        <f t="shared" si="31"/>
        <v>0</v>
      </c>
      <c r="AN125" s="520">
        <f t="shared" si="31"/>
        <v>0</v>
      </c>
      <c r="AO125" s="520">
        <f t="shared" si="31"/>
        <v>0</v>
      </c>
      <c r="AP125" s="520">
        <f t="shared" si="31"/>
        <v>0</v>
      </c>
      <c r="AQ125" s="520">
        <f t="shared" si="31"/>
        <v>0</v>
      </c>
      <c r="AR125" s="520">
        <f t="shared" si="31"/>
        <v>0</v>
      </c>
      <c r="AS125" s="520">
        <f t="shared" si="31"/>
        <v>0</v>
      </c>
      <c r="AT125" s="520">
        <f t="shared" si="31"/>
        <v>0</v>
      </c>
      <c r="AU125" s="520">
        <f t="shared" si="31"/>
        <v>0</v>
      </c>
      <c r="AV125" s="520">
        <f t="shared" si="31"/>
        <v>0</v>
      </c>
      <c r="AW125" s="529">
        <f t="shared" si="31"/>
        <v>0</v>
      </c>
      <c r="AX125" s="522">
        <f t="shared" ref="AX125:AX135" si="32">SUM(Q125:Y125)</f>
        <v>27632.153364335201</v>
      </c>
      <c r="AY125" s="522">
        <f t="shared" ref="AY125:AY135" si="33">SUM(Z125:AW125)</f>
        <v>27632.153364335201</v>
      </c>
      <c r="AZ125" s="522">
        <f t="shared" ref="AZ125:AZ135" si="34">P125</f>
        <v>27632.153364335201</v>
      </c>
      <c r="BA125" s="522">
        <f t="shared" ref="BA125" si="35">MAX(AX125:AZ125)-MIN(AX125:AZ125)</f>
        <v>0</v>
      </c>
    </row>
    <row r="126" spans="1:53" x14ac:dyDescent="0.3">
      <c r="B126" s="523" t="str">
        <f t="shared" si="21"/>
        <v>ND0733</v>
      </c>
      <c r="C126" s="523" t="str">
        <f t="shared" si="21"/>
        <v>Creek Road Substation 110 kV redevelopment</v>
      </c>
      <c r="D126" s="523" t="str">
        <f t="shared" si="21"/>
        <v>Asset Renewal</v>
      </c>
      <c r="E126" s="523" t="str">
        <f t="shared" si="21"/>
        <v>2014/15</v>
      </c>
      <c r="F126" s="544">
        <v>0</v>
      </c>
      <c r="G126" s="523"/>
      <c r="H126" s="523" t="str">
        <f t="shared" si="22"/>
        <v>Committed</v>
      </c>
      <c r="I126" s="544" t="str">
        <f t="shared" si="22"/>
        <v>3b</v>
      </c>
      <c r="J126" s="544">
        <f t="shared" si="22"/>
        <v>0</v>
      </c>
      <c r="K126" s="544">
        <f t="shared" si="22"/>
        <v>0</v>
      </c>
      <c r="L126" s="544"/>
      <c r="M126" s="523"/>
      <c r="N126" s="523"/>
      <c r="O126" s="523"/>
      <c r="P126" s="514">
        <f t="shared" si="28"/>
        <v>962930.99743760086</v>
      </c>
      <c r="Q126" s="530">
        <f t="shared" si="28"/>
        <v>0</v>
      </c>
      <c r="R126" s="531">
        <f t="shared" ref="R126:S126" si="36">R110/(1+$D$105)</f>
        <v>0</v>
      </c>
      <c r="S126" s="531">
        <f t="shared" si="36"/>
        <v>962930.99743760086</v>
      </c>
      <c r="T126" s="531">
        <f t="shared" si="30"/>
        <v>0</v>
      </c>
      <c r="U126" s="531">
        <f t="shared" si="30"/>
        <v>0</v>
      </c>
      <c r="V126" s="531">
        <f t="shared" si="30"/>
        <v>0</v>
      </c>
      <c r="W126" s="531">
        <f t="shared" si="30"/>
        <v>0</v>
      </c>
      <c r="X126" s="531">
        <f t="shared" si="30"/>
        <v>0</v>
      </c>
      <c r="Y126" s="532">
        <f t="shared" si="30"/>
        <v>0</v>
      </c>
      <c r="Z126" s="528">
        <f t="shared" ref="Z126:AW126" si="37">Z110/(1+$D$105)</f>
        <v>0</v>
      </c>
      <c r="AA126" s="520">
        <f t="shared" si="37"/>
        <v>0</v>
      </c>
      <c r="AB126" s="520">
        <f t="shared" si="37"/>
        <v>0</v>
      </c>
      <c r="AC126" s="520">
        <f t="shared" si="37"/>
        <v>269620.67928252823</v>
      </c>
      <c r="AD126" s="520">
        <f t="shared" si="37"/>
        <v>433318.94884692045</v>
      </c>
      <c r="AE126" s="520">
        <f t="shared" si="37"/>
        <v>57775.859846256055</v>
      </c>
      <c r="AF126" s="520">
        <f t="shared" si="37"/>
        <v>202215.50946189617</v>
      </c>
      <c r="AG126" s="520">
        <f t="shared" si="37"/>
        <v>0</v>
      </c>
      <c r="AH126" s="520">
        <f t="shared" si="37"/>
        <v>0</v>
      </c>
      <c r="AI126" s="520">
        <f t="shared" si="37"/>
        <v>0</v>
      </c>
      <c r="AJ126" s="520">
        <f t="shared" si="37"/>
        <v>0</v>
      </c>
      <c r="AK126" s="520">
        <f t="shared" si="37"/>
        <v>0</v>
      </c>
      <c r="AL126" s="520">
        <f t="shared" si="37"/>
        <v>0</v>
      </c>
      <c r="AM126" s="520">
        <f t="shared" si="37"/>
        <v>0</v>
      </c>
      <c r="AN126" s="520">
        <f t="shared" si="37"/>
        <v>0</v>
      </c>
      <c r="AO126" s="520">
        <f t="shared" si="37"/>
        <v>0</v>
      </c>
      <c r="AP126" s="520">
        <f t="shared" si="37"/>
        <v>0</v>
      </c>
      <c r="AQ126" s="520">
        <f t="shared" si="37"/>
        <v>0</v>
      </c>
      <c r="AR126" s="520">
        <f t="shared" si="37"/>
        <v>0</v>
      </c>
      <c r="AS126" s="520">
        <f t="shared" si="37"/>
        <v>0</v>
      </c>
      <c r="AT126" s="520">
        <f t="shared" si="37"/>
        <v>0</v>
      </c>
      <c r="AU126" s="520">
        <f t="shared" si="37"/>
        <v>0</v>
      </c>
      <c r="AV126" s="520">
        <f t="shared" si="37"/>
        <v>0</v>
      </c>
      <c r="AW126" s="529">
        <f t="shared" si="37"/>
        <v>0</v>
      </c>
      <c r="AX126" s="522">
        <f t="shared" si="32"/>
        <v>962930.99743760086</v>
      </c>
      <c r="AY126" s="522">
        <f t="shared" si="33"/>
        <v>962930.99743760098</v>
      </c>
      <c r="AZ126" s="522">
        <f t="shared" si="34"/>
        <v>962930.99743760086</v>
      </c>
      <c r="BA126" s="522">
        <f t="shared" ref="BA126:BA135" si="38">MAX(AX126:AZ126)-MIN(AX126:AZ126)</f>
        <v>0</v>
      </c>
    </row>
    <row r="127" spans="1:53" x14ac:dyDescent="0.3">
      <c r="B127" s="523" t="str">
        <f t="shared" si="21"/>
        <v>ND0937</v>
      </c>
      <c r="C127" s="523" t="str">
        <f t="shared" si="21"/>
        <v>George Town Substation 110 kV redevelopment</v>
      </c>
      <c r="D127" s="523" t="str">
        <f t="shared" si="21"/>
        <v>Asset Renewal</v>
      </c>
      <c r="E127" s="523" t="str">
        <f t="shared" si="21"/>
        <v>2014/15</v>
      </c>
      <c r="F127" s="544">
        <v>0</v>
      </c>
      <c r="G127" s="523"/>
      <c r="H127" s="523" t="str">
        <f t="shared" si="22"/>
        <v>Committed</v>
      </c>
      <c r="I127" s="544" t="str">
        <f t="shared" si="22"/>
        <v>3a</v>
      </c>
      <c r="J127" s="544">
        <f t="shared" si="22"/>
        <v>0</v>
      </c>
      <c r="K127" s="544">
        <f t="shared" si="22"/>
        <v>0</v>
      </c>
      <c r="L127" s="544"/>
      <c r="M127" s="523"/>
      <c r="N127" s="523"/>
      <c r="O127" s="523"/>
      <c r="P127" s="514">
        <f t="shared" si="28"/>
        <v>9379978.3847394902</v>
      </c>
      <c r="Q127" s="530">
        <f t="shared" si="28"/>
        <v>0</v>
      </c>
      <c r="R127" s="531">
        <f t="shared" ref="R127:S127" si="39">R111/(1+$D$105)</f>
        <v>3477848.5679035783</v>
      </c>
      <c r="S127" s="531">
        <f t="shared" si="39"/>
        <v>5902129.8168359119</v>
      </c>
      <c r="T127" s="531">
        <f t="shared" si="30"/>
        <v>0</v>
      </c>
      <c r="U127" s="531">
        <f t="shared" si="30"/>
        <v>0</v>
      </c>
      <c r="V127" s="531">
        <f t="shared" si="30"/>
        <v>0</v>
      </c>
      <c r="W127" s="531">
        <f t="shared" si="30"/>
        <v>0</v>
      </c>
      <c r="X127" s="531">
        <f t="shared" si="30"/>
        <v>0</v>
      </c>
      <c r="Y127" s="532">
        <f t="shared" si="30"/>
        <v>0</v>
      </c>
      <c r="Z127" s="528">
        <f t="shared" ref="Z127:AW127" si="40">Z111/(1+$D$105)</f>
        <v>0</v>
      </c>
      <c r="AA127" s="520">
        <f t="shared" si="40"/>
        <v>0</v>
      </c>
      <c r="AB127" s="520">
        <f t="shared" si="40"/>
        <v>0</v>
      </c>
      <c r="AC127" s="520">
        <f t="shared" si="40"/>
        <v>2626393.9477270572</v>
      </c>
      <c r="AD127" s="520">
        <f t="shared" si="40"/>
        <v>4220990.2731327703</v>
      </c>
      <c r="AE127" s="520">
        <f t="shared" si="40"/>
        <v>562798.70308436942</v>
      </c>
      <c r="AF127" s="520">
        <f t="shared" si="40"/>
        <v>1969795.4607952929</v>
      </c>
      <c r="AG127" s="520">
        <f t="shared" si="40"/>
        <v>0</v>
      </c>
      <c r="AH127" s="520">
        <f t="shared" si="40"/>
        <v>0</v>
      </c>
      <c r="AI127" s="520">
        <f t="shared" si="40"/>
        <v>0</v>
      </c>
      <c r="AJ127" s="520">
        <f t="shared" si="40"/>
        <v>0</v>
      </c>
      <c r="AK127" s="520">
        <f t="shared" si="40"/>
        <v>0</v>
      </c>
      <c r="AL127" s="520">
        <f t="shared" si="40"/>
        <v>0</v>
      </c>
      <c r="AM127" s="520">
        <f t="shared" si="40"/>
        <v>0</v>
      </c>
      <c r="AN127" s="520">
        <f t="shared" si="40"/>
        <v>0</v>
      </c>
      <c r="AO127" s="520">
        <f t="shared" si="40"/>
        <v>0</v>
      </c>
      <c r="AP127" s="520">
        <f t="shared" si="40"/>
        <v>0</v>
      </c>
      <c r="AQ127" s="520">
        <f t="shared" si="40"/>
        <v>0</v>
      </c>
      <c r="AR127" s="520">
        <f t="shared" si="40"/>
        <v>0</v>
      </c>
      <c r="AS127" s="520">
        <f t="shared" si="40"/>
        <v>0</v>
      </c>
      <c r="AT127" s="520">
        <f t="shared" si="40"/>
        <v>0</v>
      </c>
      <c r="AU127" s="520">
        <f t="shared" si="40"/>
        <v>0</v>
      </c>
      <c r="AV127" s="520">
        <f t="shared" si="40"/>
        <v>0</v>
      </c>
      <c r="AW127" s="529">
        <f t="shared" si="40"/>
        <v>0</v>
      </c>
      <c r="AX127" s="522">
        <f t="shared" si="32"/>
        <v>9379978.3847394902</v>
      </c>
      <c r="AY127" s="522">
        <f t="shared" si="33"/>
        <v>9379978.3847394902</v>
      </c>
      <c r="AZ127" s="522">
        <f t="shared" si="34"/>
        <v>9379978.3847394902</v>
      </c>
      <c r="BA127" s="522">
        <f t="shared" si="38"/>
        <v>0</v>
      </c>
    </row>
    <row r="128" spans="1:53" x14ac:dyDescent="0.3">
      <c r="B128" s="523" t="str">
        <f t="shared" si="21"/>
        <v>ND1062</v>
      </c>
      <c r="C128" s="523" t="str">
        <f t="shared" si="21"/>
        <v>Insourcing Drawing Management</v>
      </c>
      <c r="D128" s="523" t="str">
        <f t="shared" si="21"/>
        <v>Operational Support Systems</v>
      </c>
      <c r="E128" s="523" t="str">
        <f t="shared" si="21"/>
        <v>2014/15</v>
      </c>
      <c r="F128" s="544">
        <v>0</v>
      </c>
      <c r="G128" s="523"/>
      <c r="H128" s="523" t="str">
        <f t="shared" si="22"/>
        <v>Committed</v>
      </c>
      <c r="I128" s="544" t="str">
        <f t="shared" si="22"/>
        <v>3a</v>
      </c>
      <c r="J128" s="544">
        <f t="shared" si="22"/>
        <v>0</v>
      </c>
      <c r="K128" s="544">
        <f t="shared" si="22"/>
        <v>0</v>
      </c>
      <c r="L128" s="544"/>
      <c r="M128" s="523"/>
      <c r="N128" s="523"/>
      <c r="O128" s="523"/>
      <c r="P128" s="514">
        <f>P112/(1+$D$105)</f>
        <v>505001.42355509161</v>
      </c>
      <c r="Q128" s="530"/>
      <c r="R128" s="531">
        <f t="shared" ref="R128:S128" si="41">R112/(1+$D$105)</f>
        <v>0</v>
      </c>
      <c r="S128" s="531">
        <f t="shared" si="41"/>
        <v>505001.42355509161</v>
      </c>
      <c r="T128" s="531"/>
      <c r="U128" s="531"/>
      <c r="V128" s="531"/>
      <c r="W128" s="531"/>
      <c r="X128" s="531"/>
      <c r="Y128" s="532"/>
      <c r="Z128" s="528">
        <f t="shared" ref="Z128:AW128" si="42">Z112/(1+$D$105)</f>
        <v>0</v>
      </c>
      <c r="AA128" s="520">
        <f t="shared" si="42"/>
        <v>0</v>
      </c>
      <c r="AB128" s="520">
        <f t="shared" si="42"/>
        <v>0</v>
      </c>
      <c r="AC128" s="520">
        <f t="shared" si="42"/>
        <v>0</v>
      </c>
      <c r="AD128" s="520">
        <f t="shared" si="42"/>
        <v>0</v>
      </c>
      <c r="AE128" s="520">
        <f t="shared" si="42"/>
        <v>0</v>
      </c>
      <c r="AF128" s="520">
        <f t="shared" si="42"/>
        <v>0</v>
      </c>
      <c r="AG128" s="520">
        <f t="shared" si="42"/>
        <v>0</v>
      </c>
      <c r="AH128" s="520">
        <f t="shared" si="42"/>
        <v>0</v>
      </c>
      <c r="AI128" s="520">
        <f t="shared" si="42"/>
        <v>0</v>
      </c>
      <c r="AJ128" s="520">
        <f t="shared" si="42"/>
        <v>50500.142355509161</v>
      </c>
      <c r="AK128" s="520">
        <f t="shared" si="42"/>
        <v>252500.7117775458</v>
      </c>
      <c r="AL128" s="520">
        <f t="shared" si="42"/>
        <v>202000.56942203664</v>
      </c>
      <c r="AM128" s="520">
        <f t="shared" si="42"/>
        <v>0</v>
      </c>
      <c r="AN128" s="520">
        <f t="shared" si="42"/>
        <v>0</v>
      </c>
      <c r="AO128" s="520">
        <f t="shared" si="42"/>
        <v>0</v>
      </c>
      <c r="AP128" s="520">
        <f t="shared" si="42"/>
        <v>0</v>
      </c>
      <c r="AQ128" s="520">
        <f t="shared" si="42"/>
        <v>0</v>
      </c>
      <c r="AR128" s="520">
        <f t="shared" si="42"/>
        <v>0</v>
      </c>
      <c r="AS128" s="520">
        <f t="shared" si="42"/>
        <v>0</v>
      </c>
      <c r="AT128" s="520">
        <f t="shared" si="42"/>
        <v>0</v>
      </c>
      <c r="AU128" s="520">
        <f t="shared" si="42"/>
        <v>0</v>
      </c>
      <c r="AV128" s="520">
        <f t="shared" si="42"/>
        <v>0</v>
      </c>
      <c r="AW128" s="529">
        <f t="shared" si="42"/>
        <v>0</v>
      </c>
      <c r="AX128" s="522">
        <f t="shared" si="32"/>
        <v>505001.42355509161</v>
      </c>
      <c r="AY128" s="522">
        <f t="shared" si="33"/>
        <v>505001.42355509161</v>
      </c>
      <c r="AZ128" s="522">
        <f t="shared" si="34"/>
        <v>505001.42355509161</v>
      </c>
      <c r="BA128" s="522"/>
    </row>
    <row r="129" spans="1:53" x14ac:dyDescent="0.3">
      <c r="B129" s="523" t="str">
        <f t="shared" si="21"/>
        <v>ND0949</v>
      </c>
      <c r="C129" s="523" t="str">
        <f t="shared" si="21"/>
        <v>Meadowbank Substation 110 kV redevelopment</v>
      </c>
      <c r="D129" s="523" t="str">
        <f t="shared" si="21"/>
        <v>Asset Renewal</v>
      </c>
      <c r="E129" s="523" t="str">
        <f t="shared" si="21"/>
        <v>2014/15</v>
      </c>
      <c r="F129" s="544">
        <v>0</v>
      </c>
      <c r="G129" s="523"/>
      <c r="H129" s="523" t="str">
        <f t="shared" si="22"/>
        <v>Committed</v>
      </c>
      <c r="I129" s="544" t="str">
        <f t="shared" si="22"/>
        <v>3a</v>
      </c>
      <c r="J129" s="544">
        <f t="shared" si="22"/>
        <v>0</v>
      </c>
      <c r="K129" s="544">
        <f t="shared" si="22"/>
        <v>0</v>
      </c>
      <c r="L129" s="544"/>
      <c r="M129" s="523"/>
      <c r="N129" s="523"/>
      <c r="O129" s="523"/>
      <c r="P129" s="514">
        <f>P113/(1+$D$105)</f>
        <v>6108067.4916959293</v>
      </c>
      <c r="Q129" s="530">
        <f>Q113/(1+$D$105)</f>
        <v>0</v>
      </c>
      <c r="R129" s="531">
        <f t="shared" ref="R129:S129" si="43">R113/(1+$D$105)</f>
        <v>2014288.6969725729</v>
      </c>
      <c r="S129" s="531">
        <f t="shared" si="43"/>
        <v>4093778.7947233561</v>
      </c>
      <c r="T129" s="531">
        <f t="shared" ref="T129:Y130" si="44">T113/(1+$D$105)</f>
        <v>0</v>
      </c>
      <c r="U129" s="531">
        <f t="shared" si="44"/>
        <v>0</v>
      </c>
      <c r="V129" s="531">
        <f t="shared" si="44"/>
        <v>0</v>
      </c>
      <c r="W129" s="531">
        <f t="shared" si="44"/>
        <v>0</v>
      </c>
      <c r="X129" s="531">
        <f t="shared" si="44"/>
        <v>0</v>
      </c>
      <c r="Y129" s="532">
        <f t="shared" si="44"/>
        <v>0</v>
      </c>
      <c r="Z129" s="528">
        <f t="shared" ref="Z129:AW129" si="45">Z113/(1+$D$105)</f>
        <v>0</v>
      </c>
      <c r="AA129" s="520">
        <f t="shared" si="45"/>
        <v>0</v>
      </c>
      <c r="AB129" s="520">
        <f t="shared" si="45"/>
        <v>0</v>
      </c>
      <c r="AC129" s="520">
        <f t="shared" si="45"/>
        <v>1710258.8976748602</v>
      </c>
      <c r="AD129" s="520">
        <f t="shared" si="45"/>
        <v>2748630.3712631683</v>
      </c>
      <c r="AE129" s="520">
        <f t="shared" si="45"/>
        <v>366484.04950175574</v>
      </c>
      <c r="AF129" s="520">
        <f t="shared" si="45"/>
        <v>1282694.1732561449</v>
      </c>
      <c r="AG129" s="520">
        <f t="shared" si="45"/>
        <v>0</v>
      </c>
      <c r="AH129" s="520">
        <f t="shared" si="45"/>
        <v>0</v>
      </c>
      <c r="AI129" s="520">
        <f t="shared" si="45"/>
        <v>0</v>
      </c>
      <c r="AJ129" s="520">
        <f t="shared" si="45"/>
        <v>0</v>
      </c>
      <c r="AK129" s="520">
        <f t="shared" si="45"/>
        <v>0</v>
      </c>
      <c r="AL129" s="520">
        <f t="shared" si="45"/>
        <v>0</v>
      </c>
      <c r="AM129" s="520">
        <f t="shared" si="45"/>
        <v>0</v>
      </c>
      <c r="AN129" s="520">
        <f t="shared" si="45"/>
        <v>0</v>
      </c>
      <c r="AO129" s="520">
        <f t="shared" si="45"/>
        <v>0</v>
      </c>
      <c r="AP129" s="520">
        <f t="shared" si="45"/>
        <v>0</v>
      </c>
      <c r="AQ129" s="520">
        <f t="shared" si="45"/>
        <v>0</v>
      </c>
      <c r="AR129" s="520">
        <f t="shared" si="45"/>
        <v>0</v>
      </c>
      <c r="AS129" s="520">
        <f t="shared" si="45"/>
        <v>0</v>
      </c>
      <c r="AT129" s="520">
        <f t="shared" si="45"/>
        <v>0</v>
      </c>
      <c r="AU129" s="520">
        <f t="shared" si="45"/>
        <v>0</v>
      </c>
      <c r="AV129" s="520">
        <f t="shared" si="45"/>
        <v>0</v>
      </c>
      <c r="AW129" s="529">
        <f t="shared" si="45"/>
        <v>0</v>
      </c>
      <c r="AX129" s="522">
        <f t="shared" si="32"/>
        <v>6108067.4916959293</v>
      </c>
      <c r="AY129" s="522">
        <f t="shared" si="33"/>
        <v>6108067.4916959284</v>
      </c>
      <c r="AZ129" s="522">
        <f t="shared" si="34"/>
        <v>6108067.4916959293</v>
      </c>
      <c r="BA129" s="522">
        <f t="shared" si="38"/>
        <v>0</v>
      </c>
    </row>
    <row r="130" spans="1:53" x14ac:dyDescent="0.3">
      <c r="B130" s="523" t="str">
        <f t="shared" si="21"/>
        <v>ND1031</v>
      </c>
      <c r="C130" s="523" t="str">
        <f t="shared" si="21"/>
        <v>Northern OPGW Program</v>
      </c>
      <c r="D130" s="523" t="str">
        <f t="shared" si="21"/>
        <v>Asset Renewal</v>
      </c>
      <c r="E130" s="523" t="str">
        <f t="shared" si="21"/>
        <v>2014/15</v>
      </c>
      <c r="F130" s="544">
        <v>0</v>
      </c>
      <c r="G130" s="523"/>
      <c r="H130" s="523" t="str">
        <f t="shared" si="22"/>
        <v>Committed</v>
      </c>
      <c r="I130" s="544" t="str">
        <f t="shared" si="22"/>
        <v>3b</v>
      </c>
      <c r="J130" s="544">
        <f t="shared" si="22"/>
        <v>0</v>
      </c>
      <c r="K130" s="544">
        <f t="shared" si="22"/>
        <v>0</v>
      </c>
      <c r="L130" s="544"/>
      <c r="M130" s="523"/>
      <c r="N130" s="523"/>
      <c r="O130" s="523"/>
      <c r="P130" s="514">
        <f>P114/(1+$D$105)</f>
        <v>130538.10382461803</v>
      </c>
      <c r="Q130" s="530">
        <f>Q114/(1+$D$105)</f>
        <v>0</v>
      </c>
      <c r="R130" s="531">
        <f t="shared" ref="R130:S130" si="46">R114/(1+$D$105)</f>
        <v>0</v>
      </c>
      <c r="S130" s="531">
        <f t="shared" si="46"/>
        <v>130538.10382461803</v>
      </c>
      <c r="T130" s="531">
        <f t="shared" si="44"/>
        <v>0</v>
      </c>
      <c r="U130" s="531">
        <f t="shared" si="44"/>
        <v>0</v>
      </c>
      <c r="V130" s="531">
        <f t="shared" si="44"/>
        <v>0</v>
      </c>
      <c r="W130" s="531">
        <f t="shared" si="44"/>
        <v>0</v>
      </c>
      <c r="X130" s="531">
        <f t="shared" si="44"/>
        <v>0</v>
      </c>
      <c r="Y130" s="532">
        <f t="shared" si="44"/>
        <v>0</v>
      </c>
      <c r="Z130" s="528">
        <f t="shared" ref="Z130:AW130" si="47">Z114/(1+$D$105)</f>
        <v>112262.7692891715</v>
      </c>
      <c r="AA130" s="520">
        <f t="shared" si="47"/>
        <v>9137.6672677232636</v>
      </c>
      <c r="AB130" s="520">
        <f t="shared" si="47"/>
        <v>9137.6672677232636</v>
      </c>
      <c r="AC130" s="520">
        <f t="shared" si="47"/>
        <v>0</v>
      </c>
      <c r="AD130" s="520">
        <f t="shared" si="47"/>
        <v>0</v>
      </c>
      <c r="AE130" s="520">
        <f t="shared" si="47"/>
        <v>0</v>
      </c>
      <c r="AF130" s="520">
        <f t="shared" si="47"/>
        <v>0</v>
      </c>
      <c r="AG130" s="520">
        <f t="shared" si="47"/>
        <v>0</v>
      </c>
      <c r="AH130" s="520">
        <f t="shared" si="47"/>
        <v>0</v>
      </c>
      <c r="AI130" s="520">
        <f t="shared" si="47"/>
        <v>0</v>
      </c>
      <c r="AJ130" s="520">
        <f t="shared" si="47"/>
        <v>0</v>
      </c>
      <c r="AK130" s="520">
        <f t="shared" si="47"/>
        <v>0</v>
      </c>
      <c r="AL130" s="520">
        <f t="shared" si="47"/>
        <v>0</v>
      </c>
      <c r="AM130" s="520">
        <f t="shared" si="47"/>
        <v>0</v>
      </c>
      <c r="AN130" s="520">
        <f t="shared" si="47"/>
        <v>0</v>
      </c>
      <c r="AO130" s="520">
        <f t="shared" si="47"/>
        <v>0</v>
      </c>
      <c r="AP130" s="520">
        <f t="shared" si="47"/>
        <v>0</v>
      </c>
      <c r="AQ130" s="520">
        <f t="shared" si="47"/>
        <v>0</v>
      </c>
      <c r="AR130" s="520">
        <f t="shared" si="47"/>
        <v>0</v>
      </c>
      <c r="AS130" s="520">
        <f t="shared" si="47"/>
        <v>0</v>
      </c>
      <c r="AT130" s="520">
        <f t="shared" si="47"/>
        <v>0</v>
      </c>
      <c r="AU130" s="520">
        <f t="shared" si="47"/>
        <v>0</v>
      </c>
      <c r="AV130" s="520">
        <f t="shared" si="47"/>
        <v>0</v>
      </c>
      <c r="AW130" s="529">
        <f t="shared" si="47"/>
        <v>0</v>
      </c>
      <c r="AX130" s="522">
        <f t="shared" si="32"/>
        <v>130538.10382461803</v>
      </c>
      <c r="AY130" s="522">
        <f t="shared" si="33"/>
        <v>130538.10382461804</v>
      </c>
      <c r="AZ130" s="522">
        <f t="shared" si="34"/>
        <v>130538.10382461803</v>
      </c>
      <c r="BA130" s="522">
        <f t="shared" si="38"/>
        <v>0</v>
      </c>
    </row>
    <row r="131" spans="1:53" x14ac:dyDescent="0.3">
      <c r="B131" s="523" t="str">
        <f t="shared" ref="B131:E131" si="48">B115</f>
        <v>ND1348</v>
      </c>
      <c r="C131" s="523" t="str">
        <f t="shared" si="48"/>
        <v>Operations Building accommodation expansion</v>
      </c>
      <c r="D131" s="523" t="str">
        <f t="shared" si="48"/>
        <v>Business Support</v>
      </c>
      <c r="E131" s="523" t="str">
        <f t="shared" si="48"/>
        <v>2014/15</v>
      </c>
      <c r="F131" s="544">
        <v>0</v>
      </c>
      <c r="G131" s="523"/>
      <c r="H131" s="523" t="str">
        <f t="shared" ref="H131:K131" si="49">H115</f>
        <v>Committed</v>
      </c>
      <c r="I131" s="544" t="str">
        <f t="shared" si="49"/>
        <v>3a</v>
      </c>
      <c r="J131" s="544">
        <f t="shared" si="49"/>
        <v>0</v>
      </c>
      <c r="K131" s="544">
        <f t="shared" si="49"/>
        <v>0</v>
      </c>
      <c r="L131" s="544"/>
      <c r="M131" s="523"/>
      <c r="N131" s="523"/>
      <c r="O131" s="523"/>
      <c r="P131" s="514">
        <f t="shared" ref="P131:P133" si="50">P115/(1+$D$105)</f>
        <v>400046.88241434947</v>
      </c>
      <c r="Q131" s="530"/>
      <c r="R131" s="531">
        <f t="shared" ref="R131:S131" si="51">R115/(1+$D$105)</f>
        <v>157217.42431432096</v>
      </c>
      <c r="S131" s="531">
        <f t="shared" si="51"/>
        <v>242829.45810002848</v>
      </c>
      <c r="T131" s="531"/>
      <c r="U131" s="531"/>
      <c r="V131" s="531"/>
      <c r="W131" s="531"/>
      <c r="X131" s="531"/>
      <c r="Y131" s="532"/>
      <c r="Z131" s="528">
        <f t="shared" ref="Z131:AW131" si="52">Z115/(1+$D$105)</f>
        <v>0</v>
      </c>
      <c r="AA131" s="520">
        <f t="shared" si="52"/>
        <v>0</v>
      </c>
      <c r="AB131" s="520">
        <f t="shared" si="52"/>
        <v>0</v>
      </c>
      <c r="AC131" s="520">
        <f t="shared" si="52"/>
        <v>0</v>
      </c>
      <c r="AD131" s="520">
        <f t="shared" si="52"/>
        <v>0</v>
      </c>
      <c r="AE131" s="520">
        <f t="shared" si="52"/>
        <v>0</v>
      </c>
      <c r="AF131" s="520">
        <f t="shared" si="52"/>
        <v>0</v>
      </c>
      <c r="AG131" s="520">
        <f t="shared" si="52"/>
        <v>0</v>
      </c>
      <c r="AH131" s="520">
        <f t="shared" si="52"/>
        <v>0</v>
      </c>
      <c r="AI131" s="520">
        <f t="shared" si="52"/>
        <v>0</v>
      </c>
      <c r="AJ131" s="520">
        <f t="shared" si="52"/>
        <v>40004.688241434946</v>
      </c>
      <c r="AK131" s="520">
        <f t="shared" si="52"/>
        <v>200023.44120717474</v>
      </c>
      <c r="AL131" s="520">
        <f t="shared" si="52"/>
        <v>160018.75296573978</v>
      </c>
      <c r="AM131" s="520">
        <f t="shared" si="52"/>
        <v>0</v>
      </c>
      <c r="AN131" s="520">
        <f t="shared" si="52"/>
        <v>0</v>
      </c>
      <c r="AO131" s="520">
        <f t="shared" si="52"/>
        <v>0</v>
      </c>
      <c r="AP131" s="520">
        <f t="shared" si="52"/>
        <v>0</v>
      </c>
      <c r="AQ131" s="520">
        <f t="shared" si="52"/>
        <v>0</v>
      </c>
      <c r="AR131" s="520">
        <f t="shared" si="52"/>
        <v>0</v>
      </c>
      <c r="AS131" s="520">
        <f t="shared" si="52"/>
        <v>0</v>
      </c>
      <c r="AT131" s="520">
        <f t="shared" si="52"/>
        <v>0</v>
      </c>
      <c r="AU131" s="520">
        <f t="shared" si="52"/>
        <v>0</v>
      </c>
      <c r="AV131" s="520">
        <f t="shared" si="52"/>
        <v>0</v>
      </c>
      <c r="AW131" s="529">
        <f t="shared" si="52"/>
        <v>0</v>
      </c>
      <c r="AX131" s="522">
        <f t="shared" si="32"/>
        <v>400046.88241434947</v>
      </c>
      <c r="AY131" s="522">
        <f t="shared" si="33"/>
        <v>400046.88241434947</v>
      </c>
      <c r="AZ131" s="522">
        <f t="shared" si="34"/>
        <v>400046.88241434947</v>
      </c>
      <c r="BA131" s="522"/>
    </row>
    <row r="132" spans="1:53" x14ac:dyDescent="0.3">
      <c r="B132" s="523" t="str">
        <f t="shared" ref="B132:E132" si="53">B116</f>
        <v>ND0989</v>
      </c>
      <c r="C132" s="523" t="str">
        <f t="shared" si="53"/>
        <v>Substation AC supply replacement program</v>
      </c>
      <c r="D132" s="523" t="str">
        <f t="shared" si="53"/>
        <v>Asset Renewal</v>
      </c>
      <c r="E132" s="523" t="str">
        <f t="shared" si="53"/>
        <v>2014/15</v>
      </c>
      <c r="F132" s="544">
        <v>0</v>
      </c>
      <c r="G132" s="523"/>
      <c r="H132" s="523" t="str">
        <f t="shared" ref="H132:K132" si="54">H116</f>
        <v>Committed</v>
      </c>
      <c r="I132" s="544" t="str">
        <f t="shared" si="54"/>
        <v>3a</v>
      </c>
      <c r="J132" s="544">
        <f t="shared" si="54"/>
        <v>0</v>
      </c>
      <c r="K132" s="544">
        <f t="shared" si="54"/>
        <v>0</v>
      </c>
      <c r="L132" s="544"/>
      <c r="M132" s="523"/>
      <c r="N132" s="523"/>
      <c r="O132" s="523"/>
      <c r="P132" s="514">
        <f t="shared" si="50"/>
        <v>323963.17737496441</v>
      </c>
      <c r="Q132" s="530"/>
      <c r="R132" s="531">
        <f t="shared" ref="R132:S132" si="55">R116/(1+$D$105)</f>
        <v>0</v>
      </c>
      <c r="S132" s="531">
        <f t="shared" si="55"/>
        <v>323963.17737496441</v>
      </c>
      <c r="T132" s="531"/>
      <c r="U132" s="531"/>
      <c r="V132" s="531"/>
      <c r="W132" s="531"/>
      <c r="X132" s="531"/>
      <c r="Y132" s="532"/>
      <c r="Z132" s="528">
        <f t="shared" ref="Z132:AW132" si="56">Z116/(1+$D$105)</f>
        <v>0</v>
      </c>
      <c r="AA132" s="520">
        <f t="shared" si="56"/>
        <v>0</v>
      </c>
      <c r="AB132" s="520">
        <f t="shared" si="56"/>
        <v>0</v>
      </c>
      <c r="AC132" s="520">
        <f t="shared" si="56"/>
        <v>90709.689664990059</v>
      </c>
      <c r="AD132" s="520">
        <f t="shared" si="56"/>
        <v>145783.429818734</v>
      </c>
      <c r="AE132" s="520">
        <f t="shared" si="56"/>
        <v>19437.790642497865</v>
      </c>
      <c r="AF132" s="520">
        <f t="shared" si="56"/>
        <v>68032.26724874253</v>
      </c>
      <c r="AG132" s="520">
        <f t="shared" si="56"/>
        <v>0</v>
      </c>
      <c r="AH132" s="520">
        <f t="shared" si="56"/>
        <v>0</v>
      </c>
      <c r="AI132" s="520">
        <f t="shared" si="56"/>
        <v>0</v>
      </c>
      <c r="AJ132" s="520">
        <f t="shared" si="56"/>
        <v>0</v>
      </c>
      <c r="AK132" s="520">
        <f t="shared" si="56"/>
        <v>0</v>
      </c>
      <c r="AL132" s="520">
        <f t="shared" si="56"/>
        <v>0</v>
      </c>
      <c r="AM132" s="520">
        <f t="shared" si="56"/>
        <v>0</v>
      </c>
      <c r="AN132" s="520">
        <f t="shared" si="56"/>
        <v>0</v>
      </c>
      <c r="AO132" s="520">
        <f t="shared" si="56"/>
        <v>0</v>
      </c>
      <c r="AP132" s="520">
        <f t="shared" si="56"/>
        <v>0</v>
      </c>
      <c r="AQ132" s="520">
        <f t="shared" si="56"/>
        <v>0</v>
      </c>
      <c r="AR132" s="520">
        <f t="shared" si="56"/>
        <v>0</v>
      </c>
      <c r="AS132" s="520">
        <f t="shared" si="56"/>
        <v>0</v>
      </c>
      <c r="AT132" s="520">
        <f t="shared" si="56"/>
        <v>0</v>
      </c>
      <c r="AU132" s="520">
        <f t="shared" si="56"/>
        <v>0</v>
      </c>
      <c r="AV132" s="520">
        <f t="shared" si="56"/>
        <v>0</v>
      </c>
      <c r="AW132" s="529">
        <f t="shared" si="56"/>
        <v>0</v>
      </c>
      <c r="AX132" s="522">
        <f t="shared" si="32"/>
        <v>323963.17737496441</v>
      </c>
      <c r="AY132" s="522">
        <f t="shared" si="33"/>
        <v>323963.17737496446</v>
      </c>
      <c r="AZ132" s="522">
        <f t="shared" si="34"/>
        <v>323963.17737496441</v>
      </c>
      <c r="BA132" s="522"/>
    </row>
    <row r="133" spans="1:53" x14ac:dyDescent="0.3">
      <c r="B133" s="523" t="str">
        <f t="shared" ref="B133:E133" si="57">B117</f>
        <v>ND0990</v>
      </c>
      <c r="C133" s="523" t="str">
        <f t="shared" si="57"/>
        <v>Substation VESDA and fire suppression program</v>
      </c>
      <c r="D133" s="523" t="str">
        <f t="shared" si="57"/>
        <v>Asset Renewal</v>
      </c>
      <c r="E133" s="523" t="str">
        <f t="shared" si="57"/>
        <v>2014/15</v>
      </c>
      <c r="F133" s="544">
        <v>0</v>
      </c>
      <c r="G133" s="523"/>
      <c r="H133" s="523" t="str">
        <f t="shared" ref="H133:K133" si="58">H117</f>
        <v>Committed</v>
      </c>
      <c r="I133" s="544" t="str">
        <f t="shared" si="58"/>
        <v>3a</v>
      </c>
      <c r="J133" s="544">
        <f t="shared" si="58"/>
        <v>0</v>
      </c>
      <c r="K133" s="544">
        <f t="shared" si="58"/>
        <v>0</v>
      </c>
      <c r="L133" s="544"/>
      <c r="M133" s="523"/>
      <c r="N133" s="523"/>
      <c r="O133" s="523"/>
      <c r="P133" s="514">
        <f t="shared" si="50"/>
        <v>2453544.6521780393</v>
      </c>
      <c r="Q133" s="530"/>
      <c r="R133" s="531">
        <f t="shared" ref="R133:S133" si="59">R117/(1+$D$105)</f>
        <v>0</v>
      </c>
      <c r="S133" s="531">
        <f t="shared" si="59"/>
        <v>2453544.6521780393</v>
      </c>
      <c r="T133" s="531"/>
      <c r="U133" s="531"/>
      <c r="V133" s="531"/>
      <c r="W133" s="531"/>
      <c r="X133" s="531"/>
      <c r="Y133" s="532"/>
      <c r="Z133" s="528">
        <f t="shared" ref="Z133:AW133" si="60">Z117/(1+$D$105)</f>
        <v>0</v>
      </c>
      <c r="AA133" s="520">
        <f t="shared" si="60"/>
        <v>0</v>
      </c>
      <c r="AB133" s="520">
        <f t="shared" si="60"/>
        <v>0</v>
      </c>
      <c r="AC133" s="520">
        <f t="shared" si="60"/>
        <v>686992.50260985119</v>
      </c>
      <c r="AD133" s="520">
        <f t="shared" si="60"/>
        <v>1104095.0934801179</v>
      </c>
      <c r="AE133" s="520">
        <f t="shared" si="60"/>
        <v>147212.67913068237</v>
      </c>
      <c r="AF133" s="520">
        <f t="shared" si="60"/>
        <v>515244.3769573883</v>
      </c>
      <c r="AG133" s="520">
        <f t="shared" si="60"/>
        <v>0</v>
      </c>
      <c r="AH133" s="520">
        <f t="shared" si="60"/>
        <v>0</v>
      </c>
      <c r="AI133" s="520">
        <f t="shared" si="60"/>
        <v>0</v>
      </c>
      <c r="AJ133" s="520">
        <f t="shared" si="60"/>
        <v>0</v>
      </c>
      <c r="AK133" s="520">
        <f t="shared" si="60"/>
        <v>0</v>
      </c>
      <c r="AL133" s="520">
        <f t="shared" si="60"/>
        <v>0</v>
      </c>
      <c r="AM133" s="520">
        <f t="shared" si="60"/>
        <v>0</v>
      </c>
      <c r="AN133" s="520">
        <f t="shared" si="60"/>
        <v>0</v>
      </c>
      <c r="AO133" s="520">
        <f t="shared" si="60"/>
        <v>0</v>
      </c>
      <c r="AP133" s="520">
        <f t="shared" si="60"/>
        <v>0</v>
      </c>
      <c r="AQ133" s="520">
        <f t="shared" si="60"/>
        <v>0</v>
      </c>
      <c r="AR133" s="520">
        <f t="shared" si="60"/>
        <v>0</v>
      </c>
      <c r="AS133" s="520">
        <f t="shared" si="60"/>
        <v>0</v>
      </c>
      <c r="AT133" s="520">
        <f t="shared" si="60"/>
        <v>0</v>
      </c>
      <c r="AU133" s="520">
        <f t="shared" si="60"/>
        <v>0</v>
      </c>
      <c r="AV133" s="520">
        <f t="shared" si="60"/>
        <v>0</v>
      </c>
      <c r="AW133" s="529">
        <f t="shared" si="60"/>
        <v>0</v>
      </c>
      <c r="AX133" s="522">
        <f t="shared" si="32"/>
        <v>2453544.6521780393</v>
      </c>
      <c r="AY133" s="522">
        <f t="shared" si="33"/>
        <v>2453544.6521780393</v>
      </c>
      <c r="AZ133" s="522">
        <f t="shared" si="34"/>
        <v>2453544.6521780393</v>
      </c>
      <c r="BA133" s="522"/>
    </row>
    <row r="134" spans="1:53" x14ac:dyDescent="0.3">
      <c r="B134" s="523" t="str">
        <f t="shared" ref="B134:E135" si="61">B118</f>
        <v>ND0958</v>
      </c>
      <c r="C134" s="523" t="str">
        <f t="shared" si="61"/>
        <v>Queenstown Substation Transformer T1 replacement</v>
      </c>
      <c r="D134" s="523" t="str">
        <f t="shared" si="61"/>
        <v>Asset Renewal</v>
      </c>
      <c r="E134" s="523" t="str">
        <f t="shared" si="61"/>
        <v>2014/15</v>
      </c>
      <c r="F134" s="544">
        <v>0</v>
      </c>
      <c r="G134" s="523"/>
      <c r="H134" s="523" t="str">
        <f t="shared" ref="H134:K135" si="62">H118</f>
        <v>Committed</v>
      </c>
      <c r="I134" s="544" t="str">
        <f t="shared" si="62"/>
        <v>3b</v>
      </c>
      <c r="J134" s="544">
        <f t="shared" si="62"/>
        <v>0</v>
      </c>
      <c r="K134" s="544">
        <f t="shared" si="62"/>
        <v>0</v>
      </c>
      <c r="L134" s="544"/>
      <c r="M134" s="523"/>
      <c r="N134" s="523"/>
      <c r="O134" s="523"/>
      <c r="P134" s="514">
        <f>P118/(1+$D$105)</f>
        <v>14292.493119483725</v>
      </c>
      <c r="Q134" s="530">
        <f>Q118/(1+$D$105)</f>
        <v>0</v>
      </c>
      <c r="R134" s="531">
        <f t="shared" ref="R134:S134" si="63">R118/(1+$D$105)</f>
        <v>0</v>
      </c>
      <c r="S134" s="531">
        <f t="shared" si="63"/>
        <v>14292.493119483725</v>
      </c>
      <c r="T134" s="531">
        <f t="shared" ref="T134:Y135" si="64">T118/(1+$D$105)</f>
        <v>0</v>
      </c>
      <c r="U134" s="531">
        <f t="shared" si="64"/>
        <v>0</v>
      </c>
      <c r="V134" s="531">
        <f t="shared" si="64"/>
        <v>0</v>
      </c>
      <c r="W134" s="531">
        <f t="shared" si="64"/>
        <v>0</v>
      </c>
      <c r="X134" s="531">
        <f t="shared" si="64"/>
        <v>0</v>
      </c>
      <c r="Y134" s="532">
        <f t="shared" si="64"/>
        <v>0</v>
      </c>
      <c r="Z134" s="528">
        <f t="shared" ref="Z134:AW134" si="65">Z118/(1+$D$105)</f>
        <v>0</v>
      </c>
      <c r="AA134" s="520">
        <f t="shared" si="65"/>
        <v>0</v>
      </c>
      <c r="AB134" s="520">
        <f t="shared" si="65"/>
        <v>0</v>
      </c>
      <c r="AC134" s="520">
        <f t="shared" si="65"/>
        <v>1858.0241055328843</v>
      </c>
      <c r="AD134" s="520">
        <f t="shared" si="65"/>
        <v>12148.619151561166</v>
      </c>
      <c r="AE134" s="520">
        <f t="shared" si="65"/>
        <v>0</v>
      </c>
      <c r="AF134" s="520">
        <f t="shared" si="65"/>
        <v>285.84986238967451</v>
      </c>
      <c r="AG134" s="520">
        <f t="shared" si="65"/>
        <v>0</v>
      </c>
      <c r="AH134" s="520">
        <f t="shared" si="65"/>
        <v>0</v>
      </c>
      <c r="AI134" s="520">
        <f t="shared" si="65"/>
        <v>0</v>
      </c>
      <c r="AJ134" s="520">
        <f t="shared" si="65"/>
        <v>0</v>
      </c>
      <c r="AK134" s="520">
        <f t="shared" si="65"/>
        <v>0</v>
      </c>
      <c r="AL134" s="520">
        <f t="shared" si="65"/>
        <v>0</v>
      </c>
      <c r="AM134" s="520">
        <f t="shared" si="65"/>
        <v>0</v>
      </c>
      <c r="AN134" s="520">
        <f t="shared" si="65"/>
        <v>0</v>
      </c>
      <c r="AO134" s="520">
        <f t="shared" si="65"/>
        <v>0</v>
      </c>
      <c r="AP134" s="520">
        <f t="shared" si="65"/>
        <v>0</v>
      </c>
      <c r="AQ134" s="520">
        <f t="shared" si="65"/>
        <v>0</v>
      </c>
      <c r="AR134" s="520">
        <f t="shared" si="65"/>
        <v>0</v>
      </c>
      <c r="AS134" s="520">
        <f t="shared" si="65"/>
        <v>0</v>
      </c>
      <c r="AT134" s="520">
        <f t="shared" si="65"/>
        <v>0</v>
      </c>
      <c r="AU134" s="520">
        <f t="shared" si="65"/>
        <v>0</v>
      </c>
      <c r="AV134" s="520">
        <f t="shared" si="65"/>
        <v>0</v>
      </c>
      <c r="AW134" s="529">
        <f t="shared" si="65"/>
        <v>0</v>
      </c>
      <c r="AX134" s="522">
        <f t="shared" si="32"/>
        <v>14292.493119483725</v>
      </c>
      <c r="AY134" s="522">
        <f t="shared" si="33"/>
        <v>14292.493119483725</v>
      </c>
      <c r="AZ134" s="522">
        <f t="shared" si="34"/>
        <v>14292.493119483725</v>
      </c>
      <c r="BA134" s="522">
        <f t="shared" si="38"/>
        <v>0</v>
      </c>
    </row>
    <row r="135" spans="1:53" x14ac:dyDescent="0.3">
      <c r="B135" s="523" t="str">
        <f t="shared" si="61"/>
        <v>ND0709</v>
      </c>
      <c r="C135" s="523" t="str">
        <f t="shared" si="61"/>
        <v>Tungatinah Substation 110 kV redevelopment</v>
      </c>
      <c r="D135" s="523" t="str">
        <f t="shared" si="61"/>
        <v>Asset Renewal</v>
      </c>
      <c r="E135" s="523" t="str">
        <f t="shared" si="61"/>
        <v>2014/15</v>
      </c>
      <c r="F135" s="544">
        <v>0</v>
      </c>
      <c r="G135" s="523"/>
      <c r="H135" s="523" t="str">
        <f t="shared" si="62"/>
        <v>Committed</v>
      </c>
      <c r="I135" s="544" t="str">
        <f t="shared" si="62"/>
        <v>3b</v>
      </c>
      <c r="J135" s="544">
        <f t="shared" si="62"/>
        <v>0</v>
      </c>
      <c r="K135" s="544">
        <f t="shared" si="62"/>
        <v>0</v>
      </c>
      <c r="L135" s="544"/>
      <c r="M135" s="523"/>
      <c r="N135" s="523"/>
      <c r="O135" s="523"/>
      <c r="P135" s="514">
        <f>P119/(1+$D$105)</f>
        <v>3900482.3536110851</v>
      </c>
      <c r="Q135" s="530">
        <f>Q119/(1+$D$105)</f>
        <v>0</v>
      </c>
      <c r="R135" s="531">
        <f t="shared" ref="R135:S135" si="66">R119/(1+$D$105)</f>
        <v>0</v>
      </c>
      <c r="S135" s="531">
        <f t="shared" si="66"/>
        <v>3900482.3536110851</v>
      </c>
      <c r="T135" s="531">
        <f t="shared" si="64"/>
        <v>0</v>
      </c>
      <c r="U135" s="531">
        <f t="shared" si="64"/>
        <v>0</v>
      </c>
      <c r="V135" s="531">
        <f t="shared" si="64"/>
        <v>0</v>
      </c>
      <c r="W135" s="531">
        <f t="shared" si="64"/>
        <v>0</v>
      </c>
      <c r="X135" s="531">
        <f t="shared" si="64"/>
        <v>0</v>
      </c>
      <c r="Y135" s="532">
        <f t="shared" si="64"/>
        <v>0</v>
      </c>
      <c r="Z135" s="528">
        <f t="shared" ref="Z135:AW135" si="67">Z119/(1+$D$105)</f>
        <v>0</v>
      </c>
      <c r="AA135" s="520">
        <f t="shared" si="67"/>
        <v>0</v>
      </c>
      <c r="AB135" s="520">
        <f t="shared" si="67"/>
        <v>0</v>
      </c>
      <c r="AC135" s="520">
        <f t="shared" si="67"/>
        <v>1092135.0590111041</v>
      </c>
      <c r="AD135" s="520">
        <f t="shared" si="67"/>
        <v>1755217.0591249883</v>
      </c>
      <c r="AE135" s="520">
        <f t="shared" si="67"/>
        <v>234028.94121666509</v>
      </c>
      <c r="AF135" s="520">
        <f t="shared" si="67"/>
        <v>819101.29425832781</v>
      </c>
      <c r="AG135" s="520">
        <f t="shared" si="67"/>
        <v>0</v>
      </c>
      <c r="AH135" s="520">
        <f t="shared" si="67"/>
        <v>0</v>
      </c>
      <c r="AI135" s="520">
        <f t="shared" si="67"/>
        <v>0</v>
      </c>
      <c r="AJ135" s="520">
        <f t="shared" si="67"/>
        <v>0</v>
      </c>
      <c r="AK135" s="520">
        <f t="shared" si="67"/>
        <v>0</v>
      </c>
      <c r="AL135" s="520">
        <f t="shared" si="67"/>
        <v>0</v>
      </c>
      <c r="AM135" s="520">
        <f t="shared" si="67"/>
        <v>0</v>
      </c>
      <c r="AN135" s="520">
        <f t="shared" si="67"/>
        <v>0</v>
      </c>
      <c r="AO135" s="520">
        <f t="shared" si="67"/>
        <v>0</v>
      </c>
      <c r="AP135" s="520">
        <f t="shared" si="67"/>
        <v>0</v>
      </c>
      <c r="AQ135" s="520">
        <f t="shared" si="67"/>
        <v>0</v>
      </c>
      <c r="AR135" s="520">
        <f t="shared" si="67"/>
        <v>0</v>
      </c>
      <c r="AS135" s="520">
        <f t="shared" si="67"/>
        <v>0</v>
      </c>
      <c r="AT135" s="520">
        <f t="shared" si="67"/>
        <v>0</v>
      </c>
      <c r="AU135" s="520">
        <f t="shared" si="67"/>
        <v>0</v>
      </c>
      <c r="AV135" s="520">
        <f t="shared" si="67"/>
        <v>0</v>
      </c>
      <c r="AW135" s="529">
        <f t="shared" si="67"/>
        <v>0</v>
      </c>
      <c r="AX135" s="522">
        <f t="shared" si="32"/>
        <v>3900482.3536110851</v>
      </c>
      <c r="AY135" s="522">
        <f t="shared" si="33"/>
        <v>3900482.3536110851</v>
      </c>
      <c r="AZ135" s="522">
        <f t="shared" si="34"/>
        <v>3900482.3536110851</v>
      </c>
      <c r="BA135" s="522">
        <f t="shared" si="38"/>
        <v>0</v>
      </c>
    </row>
    <row r="136" spans="1:53" x14ac:dyDescent="0.3">
      <c r="A136" s="106"/>
      <c r="B136" s="106"/>
      <c r="C136" s="106"/>
      <c r="D136" s="106"/>
      <c r="E136" s="106"/>
      <c r="F136" s="545"/>
      <c r="G136" s="106"/>
      <c r="H136" s="106"/>
      <c r="I136" s="545"/>
      <c r="J136" s="106"/>
      <c r="K136" s="106"/>
      <c r="L136" s="545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557"/>
      <c r="AY136" s="557"/>
      <c r="AZ136" s="557"/>
      <c r="BA136" s="557"/>
    </row>
    <row r="137" spans="1:53" x14ac:dyDescent="0.3">
      <c r="A137" s="106"/>
      <c r="B137" s="106"/>
      <c r="C137" s="106"/>
      <c r="D137" s="106"/>
      <c r="E137" s="106"/>
      <c r="F137" s="545"/>
      <c r="G137" s="106"/>
      <c r="H137" s="106"/>
      <c r="I137" s="545"/>
      <c r="J137" s="106"/>
      <c r="K137" s="106"/>
      <c r="L137" s="545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557"/>
      <c r="AY137" s="557"/>
      <c r="AZ137" s="557"/>
      <c r="BA137" s="557"/>
    </row>
    <row r="138" spans="1:53" ht="25.8" x14ac:dyDescent="0.5">
      <c r="A138" s="553" t="s">
        <v>460</v>
      </c>
      <c r="B138" s="106"/>
      <c r="C138" s="106"/>
      <c r="D138" s="106"/>
      <c r="E138" s="106"/>
      <c r="F138" s="545"/>
      <c r="G138" s="106"/>
      <c r="H138" s="106"/>
      <c r="I138" s="545"/>
      <c r="J138" s="106"/>
      <c r="K138" s="106"/>
      <c r="L138" s="545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482"/>
      <c r="AY138" s="482"/>
      <c r="AZ138" s="482"/>
      <c r="BA138" s="482"/>
    </row>
    <row r="139" spans="1:53" ht="25.8" x14ac:dyDescent="0.5">
      <c r="A139" s="553"/>
      <c r="B139" s="106"/>
      <c r="C139" s="533" t="s">
        <v>459</v>
      </c>
      <c r="D139" s="534">
        <f>((1+Parameters!D39)*(1+Parameters!E39)^0.5)-1</f>
        <v>3.6624179272582102E-2</v>
      </c>
      <c r="E139" s="106"/>
      <c r="F139" s="545"/>
      <c r="G139" s="106"/>
      <c r="H139" s="106"/>
      <c r="I139" s="545"/>
      <c r="J139" s="106"/>
      <c r="K139" s="106"/>
      <c r="L139" s="545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6"/>
      <c r="AV139" s="106"/>
      <c r="AW139" s="106"/>
      <c r="AX139" s="482"/>
      <c r="AY139" s="482"/>
      <c r="AZ139" s="482"/>
      <c r="BA139" s="482"/>
    </row>
    <row r="140" spans="1:53" ht="25.8" x14ac:dyDescent="0.5">
      <c r="A140" s="553"/>
      <c r="B140" s="543" t="s">
        <v>458</v>
      </c>
      <c r="C140" s="106"/>
      <c r="D140" s="106"/>
      <c r="E140" s="106"/>
      <c r="F140" s="545"/>
      <c r="G140" s="106"/>
      <c r="H140" s="106"/>
      <c r="I140" s="545"/>
      <c r="J140" s="106"/>
      <c r="K140" s="106"/>
      <c r="L140" s="545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482"/>
      <c r="AY140" s="482"/>
      <c r="AZ140" s="482"/>
      <c r="BA140" s="482"/>
    </row>
    <row r="141" spans="1:53" x14ac:dyDescent="0.3">
      <c r="A141" s="106"/>
      <c r="B141" s="106" t="s">
        <v>455</v>
      </c>
      <c r="C141" s="106" t="s">
        <v>456</v>
      </c>
      <c r="D141" s="106" t="s">
        <v>156</v>
      </c>
      <c r="E141" s="106" t="s">
        <v>457</v>
      </c>
      <c r="F141" s="545">
        <v>15</v>
      </c>
      <c r="G141" s="106"/>
      <c r="H141" s="106"/>
      <c r="I141" s="545"/>
      <c r="J141" s="106"/>
      <c r="K141" s="106">
        <v>1</v>
      </c>
      <c r="L141" s="545"/>
      <c r="M141" s="106"/>
      <c r="N141" s="106"/>
      <c r="O141" s="106"/>
      <c r="P141" s="535">
        <v>499908</v>
      </c>
      <c r="Q141" s="106"/>
      <c r="R141" s="472">
        <v>499908</v>
      </c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472">
        <v>499908</v>
      </c>
      <c r="AQ141" s="106"/>
      <c r="AR141" s="106"/>
      <c r="AS141" s="106"/>
      <c r="AT141" s="106"/>
      <c r="AU141" s="106"/>
      <c r="AV141" s="106"/>
      <c r="AW141" s="106"/>
      <c r="AX141" s="557">
        <f t="shared" ref="AX141" si="68">SUM(Q141:Y141)</f>
        <v>499908</v>
      </c>
      <c r="AY141" s="557">
        <f t="shared" ref="AY141" si="69">SUM(Z141:AW141)</f>
        <v>499908</v>
      </c>
      <c r="AZ141" s="557">
        <f t="shared" ref="AZ141" si="70">P141</f>
        <v>499908</v>
      </c>
      <c r="BA141" s="557">
        <f t="shared" ref="BA141" si="71">MAX(AX141:AZ141)-MIN(AX141:AZ141)</f>
        <v>0</v>
      </c>
    </row>
    <row r="142" spans="1:53" x14ac:dyDescent="0.3">
      <c r="A142" s="106"/>
      <c r="B142" s="106"/>
      <c r="C142" s="106"/>
      <c r="D142" s="106"/>
      <c r="E142" s="106"/>
      <c r="F142" s="545"/>
      <c r="G142" s="106"/>
      <c r="H142" s="106"/>
      <c r="I142" s="545"/>
      <c r="J142" s="106"/>
      <c r="K142" s="106"/>
      <c r="L142" s="545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482"/>
      <c r="AY142" s="482"/>
      <c r="AZ142" s="482"/>
      <c r="BA142" s="482"/>
    </row>
    <row r="143" spans="1:53" x14ac:dyDescent="0.3">
      <c r="A143" s="106"/>
      <c r="B143" s="572" t="s">
        <v>461</v>
      </c>
      <c r="C143" s="106"/>
      <c r="D143" s="106"/>
      <c r="E143" s="106"/>
      <c r="F143" s="545"/>
      <c r="G143" s="106"/>
      <c r="H143" s="106"/>
      <c r="I143" s="545"/>
      <c r="J143" s="106"/>
      <c r="K143" s="106"/>
      <c r="L143" s="545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482"/>
      <c r="AY143" s="482"/>
      <c r="AZ143" s="482"/>
      <c r="BA143" s="482"/>
    </row>
    <row r="144" spans="1:53" x14ac:dyDescent="0.3">
      <c r="A144" s="106"/>
      <c r="B144" s="558" t="s">
        <v>455</v>
      </c>
      <c r="C144" s="558" t="s">
        <v>456</v>
      </c>
      <c r="D144" s="558" t="s">
        <v>156</v>
      </c>
      <c r="E144" s="558" t="s">
        <v>457</v>
      </c>
      <c r="F144" s="559">
        <v>0</v>
      </c>
      <c r="G144" s="558"/>
      <c r="H144" s="558"/>
      <c r="I144" s="559"/>
      <c r="J144" s="558"/>
      <c r="K144" s="558">
        <v>1</v>
      </c>
      <c r="L144" s="559"/>
      <c r="M144" s="558"/>
      <c r="N144" s="558"/>
      <c r="O144" s="558"/>
      <c r="P144" s="560">
        <f>P141/(1+$D$139)</f>
        <v>482246.13123609993</v>
      </c>
      <c r="Q144" s="560"/>
      <c r="R144" s="561">
        <f t="shared" ref="R144" si="72">R141/(1+$D$139)</f>
        <v>482246.13123609993</v>
      </c>
      <c r="S144" s="558"/>
      <c r="T144" s="558"/>
      <c r="U144" s="558"/>
      <c r="V144" s="558"/>
      <c r="W144" s="558"/>
      <c r="X144" s="558"/>
      <c r="Y144" s="558"/>
      <c r="Z144" s="558"/>
      <c r="AA144" s="558"/>
      <c r="AB144" s="558"/>
      <c r="AC144" s="558"/>
      <c r="AD144" s="558"/>
      <c r="AE144" s="558"/>
      <c r="AF144" s="558"/>
      <c r="AG144" s="558"/>
      <c r="AH144" s="558"/>
      <c r="AI144" s="558"/>
      <c r="AJ144" s="558"/>
      <c r="AK144" s="558"/>
      <c r="AL144" s="558"/>
      <c r="AM144" s="558"/>
      <c r="AN144" s="558"/>
      <c r="AO144" s="558"/>
      <c r="AP144" s="561">
        <f t="shared" ref="AP144" si="73">AP141/(1+$D$139)</f>
        <v>482246.13123609993</v>
      </c>
      <c r="AQ144" s="558"/>
      <c r="AR144" s="558"/>
      <c r="AS144" s="558"/>
      <c r="AT144" s="558"/>
      <c r="AU144" s="558"/>
      <c r="AV144" s="558"/>
      <c r="AW144" s="558"/>
      <c r="AX144" s="562">
        <f t="shared" ref="AX144" si="74">SUM(Q144:Y144)</f>
        <v>482246.13123609993</v>
      </c>
      <c r="AY144" s="562">
        <f t="shared" ref="AY144" si="75">SUM(Z144:AW144)</f>
        <v>482246.13123609993</v>
      </c>
      <c r="AZ144" s="562">
        <f t="shared" ref="AZ144" si="76">P144</f>
        <v>482246.13123609993</v>
      </c>
      <c r="BA144" s="562">
        <f t="shared" ref="BA144" si="77">MAX(AX144:AZ144)-MIN(AX144:AZ144)</f>
        <v>0</v>
      </c>
    </row>
    <row r="145" spans="1:53" x14ac:dyDescent="0.3">
      <c r="A145" s="106"/>
      <c r="B145" s="106"/>
      <c r="C145" s="106"/>
      <c r="D145" s="106"/>
      <c r="E145" s="106"/>
      <c r="F145" s="545"/>
      <c r="G145" s="106"/>
      <c r="H145" s="106"/>
      <c r="I145" s="545"/>
      <c r="J145" s="106"/>
      <c r="K145" s="106"/>
      <c r="L145" s="545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482"/>
      <c r="AY145" s="482"/>
      <c r="AZ145" s="482"/>
      <c r="BA145" s="482"/>
    </row>
    <row r="146" spans="1:53" x14ac:dyDescent="0.3">
      <c r="A146" s="106"/>
      <c r="B146" s="106"/>
      <c r="C146" s="106"/>
      <c r="D146" s="106"/>
      <c r="E146" s="106"/>
      <c r="F146" s="545"/>
      <c r="G146" s="106"/>
      <c r="H146" s="106"/>
      <c r="I146" s="545"/>
      <c r="J146" s="106"/>
      <c r="K146" s="106"/>
      <c r="L146" s="545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482"/>
      <c r="AY146" s="482"/>
      <c r="AZ146" s="482"/>
      <c r="BA146" s="482"/>
    </row>
  </sheetData>
  <protectedRanges>
    <protectedRange sqref="B108:P120 B4:P100" name="ProjectsEditable"/>
    <protectedRange sqref="Q108:Y120 Q4:Y100" name="BaseCostsEditable"/>
    <protectedRange sqref="Z97:AB99 AG97:AW99 Z100:AW100 Z108:AW120 Z4:AW6 Z7:AB8 AG7:AW8 Z19:AB19 Z24:AB24 AG24:AW24 Z20:AW23 Z9:AW18 AG19:AW19 Z25:AW38 Z39:AB39 AG39:AW39 Z51:AB52 AG51:AW52 Z40:AW50 Z64:AW65 Z62:AB63 AG62:AW63 Z66:AB66 AG66:AW66 Z53:AW61 Z67:AW96" name="ProjectsEditable_1"/>
    <protectedRange sqref="AC97:AF99 AC19:AF19 AC24:AF24 AC39:AF39 AC51:AF52 AC62:AF63 AC66:AF66" name="ProjectsEditable_3"/>
  </protectedRanges>
  <autoFilter ref="B3:BA100">
    <sortState ref="B4:BA100">
      <sortCondition ref="C3:C100"/>
    </sortState>
  </autoFilter>
  <sortState ref="A4:AW91">
    <sortCondition ref="C4:C91"/>
  </sortState>
  <conditionalFormatting sqref="BA105:BA107 BA23:BA100 BA124:BA140 BA142:BA143 BA145:BA146">
    <cfRule type="expression" dxfId="15" priority="23">
      <formula>BA23&gt;10</formula>
    </cfRule>
  </conditionalFormatting>
  <conditionalFormatting sqref="BA120">
    <cfRule type="expression" dxfId="14" priority="9">
      <formula>BA120&gt;10</formula>
    </cfRule>
  </conditionalFormatting>
  <conditionalFormatting sqref="BA108:BA119">
    <cfRule type="expression" dxfId="13" priority="20">
      <formula>BA108&gt;10</formula>
    </cfRule>
  </conditionalFormatting>
  <conditionalFormatting sqref="BA4:BA22">
    <cfRule type="expression" dxfId="12" priority="7">
      <formula>BA4&gt;10</formula>
    </cfRule>
  </conditionalFormatting>
  <conditionalFormatting sqref="BA141">
    <cfRule type="expression" dxfId="11" priority="2">
      <formula>BA141&gt;10</formula>
    </cfRule>
  </conditionalFormatting>
  <conditionalFormatting sqref="BA144">
    <cfRule type="expression" dxfId="10" priority="1">
      <formula>BA144&gt;10</formula>
    </cfRule>
  </conditionalFormatting>
  <dataValidations count="1">
    <dataValidation type="list" allowBlank="1" showInputMessage="1" showErrorMessage="1" sqref="D108:D120 D4:D100">
      <formula1>Categories</formula1>
    </dataValidation>
  </dataValidations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F37"/>
  <sheetViews>
    <sheetView topLeftCell="H4" workbookViewId="0">
      <selection activeCell="AC22" sqref="AB22:AC22"/>
    </sheetView>
  </sheetViews>
  <sheetFormatPr defaultColWidth="9.109375" defaultRowHeight="10.199999999999999" x14ac:dyDescent="0.2"/>
  <cols>
    <col min="1" max="1" width="3.5546875" style="42" customWidth="1"/>
    <col min="2" max="2" width="31.88671875" style="42" bestFit="1" customWidth="1"/>
    <col min="3" max="10" width="4.88671875" style="42" customWidth="1"/>
    <col min="11" max="11" width="6.6640625" style="42" customWidth="1"/>
    <col min="12" max="14" width="4.88671875" style="42" customWidth="1"/>
    <col min="15" max="15" width="4" style="42" customWidth="1"/>
    <col min="16" max="16" width="17.6640625" style="42" customWidth="1"/>
    <col min="17" max="17" width="6" style="42" bestFit="1" customWidth="1"/>
    <col min="18" max="18" width="6.44140625" style="42" bestFit="1" customWidth="1"/>
    <col min="19" max="19" width="5.5546875" style="42" bestFit="1" customWidth="1"/>
    <col min="20" max="20" width="6" style="42" bestFit="1" customWidth="1"/>
    <col min="21" max="23" width="5.5546875" style="42" bestFit="1" customWidth="1"/>
    <col min="24" max="24" width="6" style="42" bestFit="1" customWidth="1"/>
    <col min="25" max="25" width="6.44140625" style="42" bestFit="1" customWidth="1"/>
    <col min="26" max="32" width="9.88671875" style="42" customWidth="1"/>
    <col min="33" max="16384" width="9.109375" style="42"/>
  </cols>
  <sheetData>
    <row r="2" spans="2:32" ht="10.95" thickBot="1" x14ac:dyDescent="0.25">
      <c r="C2" s="41"/>
      <c r="P2" s="42" t="s">
        <v>73</v>
      </c>
    </row>
    <row r="3" spans="2:32" ht="37.200000000000003" customHeight="1" thickBot="1" x14ac:dyDescent="0.25">
      <c r="B3" s="582" t="s">
        <v>205</v>
      </c>
      <c r="C3" s="583"/>
      <c r="D3" s="583"/>
      <c r="E3" s="583"/>
      <c r="F3" s="583"/>
      <c r="G3" s="583"/>
      <c r="H3" s="584"/>
      <c r="P3" s="502" t="s">
        <v>396</v>
      </c>
      <c r="Q3" s="435" t="s">
        <v>248</v>
      </c>
      <c r="R3" s="436" t="s">
        <v>249</v>
      </c>
      <c r="S3" s="436" t="s">
        <v>250</v>
      </c>
      <c r="T3" s="436" t="s">
        <v>251</v>
      </c>
      <c r="U3" s="436" t="s">
        <v>252</v>
      </c>
      <c r="V3" s="436" t="s">
        <v>253</v>
      </c>
      <c r="W3" s="436" t="s">
        <v>254</v>
      </c>
      <c r="X3" s="436" t="s">
        <v>255</v>
      </c>
      <c r="Y3" s="437" t="s">
        <v>256</v>
      </c>
    </row>
    <row r="4" spans="2:32" ht="15" customHeight="1" x14ac:dyDescent="0.2">
      <c r="B4" s="585"/>
      <c r="C4" s="586"/>
      <c r="D4" s="586"/>
      <c r="E4" s="586"/>
      <c r="F4" s="586"/>
      <c r="G4" s="586"/>
      <c r="H4" s="587"/>
      <c r="P4" s="43" t="s">
        <v>4</v>
      </c>
      <c r="Q4" s="469">
        <v>8.8338397222655907E-3</v>
      </c>
      <c r="R4" s="470">
        <v>-1.5445821415727146E-3</v>
      </c>
      <c r="S4" s="470">
        <v>4.1751958245955789E-2</v>
      </c>
      <c r="T4" s="470">
        <v>5.8270620795483286E-2</v>
      </c>
      <c r="U4" s="470">
        <v>4.9503307791187723E-2</v>
      </c>
      <c r="V4" s="471">
        <v>4.1890387798669382E-2</v>
      </c>
      <c r="W4" s="470">
        <v>3.5936022222454955E-2</v>
      </c>
      <c r="X4" s="440"/>
      <c r="Y4" s="441"/>
      <c r="Z4" s="579"/>
      <c r="AA4" s="579"/>
      <c r="AB4" s="579"/>
      <c r="AC4" s="579"/>
      <c r="AD4" s="579"/>
      <c r="AE4" s="579"/>
    </row>
    <row r="5" spans="2:32" ht="15" customHeight="1" x14ac:dyDescent="0.2">
      <c r="B5" s="585"/>
      <c r="C5" s="586"/>
      <c r="D5" s="586"/>
      <c r="E5" s="586"/>
      <c r="F5" s="586"/>
      <c r="G5" s="586"/>
      <c r="H5" s="587"/>
      <c r="P5" s="44" t="s">
        <v>3</v>
      </c>
      <c r="Q5" s="466">
        <v>1.2486970642213269E-2</v>
      </c>
      <c r="R5" s="467">
        <v>-7.9101324752421931E-3</v>
      </c>
      <c r="S5" s="467">
        <v>-8.9427338390856148E-3</v>
      </c>
      <c r="T5" s="467">
        <v>1.1292809312332119E-2</v>
      </c>
      <c r="U5" s="467">
        <v>3.0320192193042939E-3</v>
      </c>
      <c r="V5" s="468">
        <v>-3.398189812399699E-3</v>
      </c>
      <c r="W5" s="467">
        <v>-7.4123014260328857E-3</v>
      </c>
      <c r="X5" s="442"/>
      <c r="Y5" s="443"/>
      <c r="Z5" s="579"/>
      <c r="AA5" s="579"/>
      <c r="AB5" s="579"/>
      <c r="AC5" s="579"/>
      <c r="AD5" s="579"/>
      <c r="AE5" s="579"/>
    </row>
    <row r="6" spans="2:32" ht="15" customHeight="1" x14ac:dyDescent="0.2">
      <c r="B6" s="585"/>
      <c r="C6" s="586"/>
      <c r="D6" s="586"/>
      <c r="E6" s="586"/>
      <c r="F6" s="586"/>
      <c r="G6" s="586"/>
      <c r="H6" s="587"/>
      <c r="P6" s="44" t="s">
        <v>53</v>
      </c>
      <c r="Q6" s="466">
        <v>9.8289575032150189E-2</v>
      </c>
      <c r="R6" s="467">
        <v>0.18809380244826701</v>
      </c>
      <c r="S6" s="467">
        <v>-5.3075936821277425E-3</v>
      </c>
      <c r="T6" s="467">
        <v>2.8314678515969804E-2</v>
      </c>
      <c r="U6" s="467">
        <v>2.5656413347989071E-2</v>
      </c>
      <c r="V6" s="468">
        <v>2.137155129297974E-2</v>
      </c>
      <c r="W6" s="467">
        <v>1.7513364834503609E-2</v>
      </c>
      <c r="X6" s="442"/>
      <c r="Y6" s="443"/>
      <c r="Z6" s="579"/>
      <c r="AA6" s="579"/>
      <c r="AB6" s="579"/>
      <c r="AC6" s="579"/>
      <c r="AD6" s="579"/>
      <c r="AE6" s="579"/>
    </row>
    <row r="7" spans="2:32" ht="15" customHeight="1" x14ac:dyDescent="0.2">
      <c r="B7" s="585"/>
      <c r="C7" s="586"/>
      <c r="D7" s="586"/>
      <c r="E7" s="586"/>
      <c r="F7" s="586"/>
      <c r="G7" s="586"/>
      <c r="H7" s="587"/>
      <c r="P7" s="44" t="s">
        <v>54</v>
      </c>
      <c r="Q7" s="466">
        <v>-9.5055027554025728E-2</v>
      </c>
      <c r="R7" s="467">
        <v>-6.3729489098840464E-4</v>
      </c>
      <c r="S7" s="467">
        <v>6.1189195849646882E-3</v>
      </c>
      <c r="T7" s="467">
        <v>3.1746212962046272E-2</v>
      </c>
      <c r="U7" s="467">
        <v>6.3339078925670478E-3</v>
      </c>
      <c r="V7" s="468">
        <v>2.8217973607540525E-3</v>
      </c>
      <c r="W7" s="467">
        <v>-1.226850273315705E-3</v>
      </c>
      <c r="X7" s="442"/>
      <c r="Y7" s="443"/>
    </row>
    <row r="8" spans="2:32" ht="15" customHeight="1" x14ac:dyDescent="0.2">
      <c r="B8" s="585"/>
      <c r="C8" s="586"/>
      <c r="D8" s="586"/>
      <c r="E8" s="586"/>
      <c r="F8" s="586"/>
      <c r="G8" s="586"/>
      <c r="H8" s="587"/>
      <c r="P8" s="44" t="s">
        <v>55</v>
      </c>
      <c r="Q8" s="466">
        <v>5.3635884444489523E-3</v>
      </c>
      <c r="R8" s="467">
        <v>1.0276480781559183E-2</v>
      </c>
      <c r="S8" s="467">
        <v>4.6322688804660839E-3</v>
      </c>
      <c r="T8" s="467">
        <v>1.0263764083409344E-2</v>
      </c>
      <c r="U8" s="467">
        <v>1.6479821941818074E-2</v>
      </c>
      <c r="V8" s="467">
        <v>1.724429384901871E-2</v>
      </c>
      <c r="W8" s="467">
        <v>1.7740438046844442E-2</v>
      </c>
      <c r="X8" s="442"/>
      <c r="Y8" s="443"/>
    </row>
    <row r="9" spans="2:32" ht="15" customHeight="1" thickBot="1" x14ac:dyDescent="0.25">
      <c r="B9" s="588"/>
      <c r="C9" s="589"/>
      <c r="D9" s="589"/>
      <c r="E9" s="589"/>
      <c r="F9" s="589"/>
      <c r="G9" s="589"/>
      <c r="H9" s="590"/>
      <c r="P9" s="44" t="s">
        <v>56</v>
      </c>
      <c r="Q9" s="466">
        <v>0</v>
      </c>
      <c r="R9" s="467">
        <v>0</v>
      </c>
      <c r="S9" s="467">
        <v>0</v>
      </c>
      <c r="T9" s="467">
        <v>0</v>
      </c>
      <c r="U9" s="467">
        <v>0</v>
      </c>
      <c r="V9" s="468">
        <v>0</v>
      </c>
      <c r="W9" s="467">
        <v>0</v>
      </c>
      <c r="X9" s="442"/>
      <c r="Y9" s="443"/>
    </row>
    <row r="10" spans="2:32" ht="15" customHeight="1" x14ac:dyDescent="0.2">
      <c r="C10" s="41"/>
      <c r="P10" s="44" t="s">
        <v>57</v>
      </c>
      <c r="Q10" s="466">
        <v>6.1026863794123143E-2</v>
      </c>
      <c r="R10" s="467">
        <v>4.7716771904973143E-3</v>
      </c>
      <c r="S10" s="467">
        <v>4.8431513558770956E-3</v>
      </c>
      <c r="T10" s="467">
        <v>7.475319782275669E-3</v>
      </c>
      <c r="U10" s="467">
        <v>4.5105616377265623E-3</v>
      </c>
      <c r="V10" s="468">
        <v>4.0236366012049718E-3</v>
      </c>
      <c r="W10" s="467">
        <v>6.4509381948885114E-4</v>
      </c>
      <c r="X10" s="442"/>
      <c r="Y10" s="443"/>
    </row>
    <row r="11" spans="2:32" ht="15" customHeight="1" x14ac:dyDescent="0.2">
      <c r="B11" s="42" t="s">
        <v>96</v>
      </c>
      <c r="C11" s="41"/>
      <c r="P11" s="44" t="s">
        <v>58</v>
      </c>
      <c r="Q11" s="466">
        <v>7.6584955530403231E-3</v>
      </c>
      <c r="R11" s="467">
        <v>2.2887760331398166E-3</v>
      </c>
      <c r="S11" s="467">
        <v>-3.1958922536219347E-3</v>
      </c>
      <c r="T11" s="467">
        <v>1.0753312988545316E-2</v>
      </c>
      <c r="U11" s="467">
        <v>2.0129254324107171E-2</v>
      </c>
      <c r="V11" s="467">
        <v>2.0018036603035361E-2</v>
      </c>
      <c r="W11" s="467">
        <v>1.9751737334224417E-2</v>
      </c>
      <c r="X11" s="442"/>
      <c r="Y11" s="443"/>
    </row>
    <row r="12" spans="2:32" ht="15" customHeight="1" x14ac:dyDescent="0.2">
      <c r="C12" s="41"/>
      <c r="P12" s="44" t="s">
        <v>262</v>
      </c>
      <c r="Q12" s="503">
        <f>(1+Z12)^0.5-1</f>
        <v>-6.2076762202790903E-2</v>
      </c>
      <c r="R12" s="504">
        <f>((1+Z12)^0.5*(1+AA12)^0.5)-1</f>
        <v>-4.0288637141353889E-2</v>
      </c>
      <c r="S12" s="504">
        <f t="shared" ref="S12:W12" si="0">((1+AA12)^0.5*(1+AB12)^0.5)-1</f>
        <v>4.7499880668250727E-2</v>
      </c>
      <c r="T12" s="504">
        <f t="shared" si="0"/>
        <v>4.7999999999999821E-2</v>
      </c>
      <c r="U12" s="504">
        <f t="shared" si="0"/>
        <v>4.8999523355468533E-2</v>
      </c>
      <c r="V12" s="504">
        <f t="shared" si="0"/>
        <v>5.0499881009036462E-2</v>
      </c>
      <c r="W12" s="504">
        <f t="shared" si="0"/>
        <v>5.1499881122199609E-2</v>
      </c>
      <c r="X12" s="442"/>
      <c r="Y12" s="443"/>
      <c r="Z12" s="536">
        <v>-0.1203</v>
      </c>
      <c r="AA12" s="537">
        <v>4.7E-2</v>
      </c>
      <c r="AB12" s="537">
        <v>4.8000000000000001E-2</v>
      </c>
      <c r="AC12" s="537">
        <v>4.8000000000000001E-2</v>
      </c>
      <c r="AD12" s="537">
        <v>0.05</v>
      </c>
      <c r="AE12" s="537">
        <v>5.0999999999999997E-2</v>
      </c>
      <c r="AF12" s="538">
        <v>5.1999999999999998E-2</v>
      </c>
    </row>
    <row r="13" spans="2:32" ht="15" customHeight="1" x14ac:dyDescent="0.2">
      <c r="C13" s="41"/>
      <c r="P13" s="44"/>
      <c r="Q13" s="358"/>
      <c r="R13" s="442"/>
      <c r="S13" s="444"/>
      <c r="T13" s="444"/>
      <c r="U13" s="444"/>
      <c r="V13" s="442"/>
      <c r="W13" s="444"/>
      <c r="X13" s="442"/>
      <c r="Y13" s="443"/>
      <c r="Z13" s="539" t="s">
        <v>426</v>
      </c>
      <c r="AA13" s="540" t="s">
        <v>427</v>
      </c>
      <c r="AB13" s="540" t="s">
        <v>428</v>
      </c>
      <c r="AC13" s="540" t="s">
        <v>429</v>
      </c>
      <c r="AD13" s="540" t="s">
        <v>430</v>
      </c>
      <c r="AE13" s="540" t="s">
        <v>431</v>
      </c>
      <c r="AF13" s="541" t="s">
        <v>432</v>
      </c>
    </row>
    <row r="14" spans="2:32" ht="15" customHeight="1" x14ac:dyDescent="0.2">
      <c r="C14" s="41"/>
      <c r="P14" s="44"/>
      <c r="Q14" s="358"/>
      <c r="R14" s="442"/>
      <c r="S14" s="444"/>
      <c r="T14" s="444"/>
      <c r="U14" s="444"/>
      <c r="V14" s="442"/>
      <c r="W14" s="444"/>
      <c r="X14" s="442"/>
      <c r="Y14" s="443"/>
    </row>
    <row r="15" spans="2:32" ht="15" customHeight="1" thickBot="1" x14ac:dyDescent="0.25">
      <c r="C15" s="41"/>
      <c r="P15" s="45" t="s">
        <v>76</v>
      </c>
      <c r="Q15" s="359">
        <v>0</v>
      </c>
      <c r="R15" s="445">
        <v>0</v>
      </c>
      <c r="S15" s="445">
        <v>0</v>
      </c>
      <c r="T15" s="445">
        <v>0</v>
      </c>
      <c r="U15" s="445">
        <v>0</v>
      </c>
      <c r="V15" s="445">
        <v>0</v>
      </c>
      <c r="W15" s="445">
        <v>0</v>
      </c>
      <c r="X15" s="445"/>
      <c r="Y15" s="446"/>
    </row>
    <row r="16" spans="2:32" x14ac:dyDescent="0.2">
      <c r="C16" s="41"/>
    </row>
    <row r="17" spans="2:25" ht="10.95" thickBot="1" x14ac:dyDescent="0.25">
      <c r="B17" s="42" t="s">
        <v>74</v>
      </c>
      <c r="P17" s="47" t="s">
        <v>75</v>
      </c>
    </row>
    <row r="18" spans="2:25" ht="52.95" customHeight="1" thickBot="1" x14ac:dyDescent="0.25">
      <c r="B18" s="48"/>
      <c r="C18" s="64" t="s">
        <v>4</v>
      </c>
      <c r="D18" s="65" t="s">
        <v>3</v>
      </c>
      <c r="E18" s="65" t="s">
        <v>53</v>
      </c>
      <c r="F18" s="65" t="s">
        <v>54</v>
      </c>
      <c r="G18" s="65" t="s">
        <v>55</v>
      </c>
      <c r="H18" s="65" t="s">
        <v>56</v>
      </c>
      <c r="I18" s="65" t="s">
        <v>57</v>
      </c>
      <c r="J18" s="65" t="s">
        <v>58</v>
      </c>
      <c r="K18" s="65" t="s">
        <v>265</v>
      </c>
      <c r="L18" s="65"/>
      <c r="M18" s="65"/>
      <c r="N18" s="66" t="s">
        <v>11</v>
      </c>
      <c r="P18" s="43"/>
      <c r="Q18" s="435" t="str">
        <f>Q3</f>
        <v>Jun 12
to
Dec 12</v>
      </c>
      <c r="R18" s="436" t="str">
        <f t="shared" ref="R18:Y18" si="1">R3</f>
        <v>Dec 12
to
Dec 13</v>
      </c>
      <c r="S18" s="436" t="str">
        <f t="shared" si="1"/>
        <v>Dec 13
to
Dec 14</v>
      </c>
      <c r="T18" s="436" t="str">
        <f t="shared" si="1"/>
        <v>Dec 14
to
Dec 15</v>
      </c>
      <c r="U18" s="436" t="str">
        <f t="shared" si="1"/>
        <v>Dec 15
to
Dec 16</v>
      </c>
      <c r="V18" s="436" t="str">
        <f t="shared" si="1"/>
        <v>Dec 16
to
Dec 17</v>
      </c>
      <c r="W18" s="436" t="str">
        <f t="shared" si="1"/>
        <v>Dec 17
to
Dec 18</v>
      </c>
      <c r="X18" s="436" t="str">
        <f t="shared" si="1"/>
        <v>Dec 18
to
Dec 19</v>
      </c>
      <c r="Y18" s="437" t="str">
        <f t="shared" si="1"/>
        <v>Dec 19
to
Dec 20</v>
      </c>
    </row>
    <row r="19" spans="2:25" ht="11.25" x14ac:dyDescent="0.2">
      <c r="B19" s="49" t="s">
        <v>59</v>
      </c>
      <c r="C19" s="432">
        <v>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8">
        <v>0</v>
      </c>
      <c r="P19" s="50" t="s">
        <v>59</v>
      </c>
      <c r="Q19" s="447">
        <f t="array" ref="Q19">SUMPRODUCT(Q$4:Q$15,TRANSPOSE($C19:$N19))</f>
        <v>8.8338397222655907E-3</v>
      </c>
      <c r="R19" s="448">
        <f t="array" ref="R19">SUMPRODUCT(R$4:R$15,TRANSPOSE($C19:$N19))</f>
        <v>-1.5445821415727146E-3</v>
      </c>
      <c r="S19" s="448">
        <f t="array" ref="S19">SUMPRODUCT(S$4:S$15,TRANSPOSE($C19:$N19))</f>
        <v>4.1751958245955789E-2</v>
      </c>
      <c r="T19" s="448">
        <f t="array" ref="T19">SUMPRODUCT(T$4:T$15,TRANSPOSE($C19:$N19))</f>
        <v>5.8270620795483286E-2</v>
      </c>
      <c r="U19" s="448">
        <f t="array" ref="U19">SUMPRODUCT(U$4:U$15,TRANSPOSE($C19:$N19))</f>
        <v>4.9503307791187723E-2</v>
      </c>
      <c r="V19" s="448">
        <f t="array" ref="V19">SUMPRODUCT(V$4:V$15,TRANSPOSE($C19:$N19))</f>
        <v>4.1890387798669382E-2</v>
      </c>
      <c r="W19" s="448">
        <f t="array" ref="W19">SUMPRODUCT(W$4:W$15,TRANSPOSE($C19:$N19))</f>
        <v>3.5936022222454955E-2</v>
      </c>
      <c r="X19" s="448">
        <f t="array" ref="X19">SUMPRODUCT(X$4:X$15,TRANSPOSE($C19:$N19))</f>
        <v>0</v>
      </c>
      <c r="Y19" s="449">
        <f t="array" ref="Y19">SUMPRODUCT(Y$4:Y$15,TRANSPOSE($C19:$N19))</f>
        <v>0</v>
      </c>
    </row>
    <row r="20" spans="2:25" ht="11.25" x14ac:dyDescent="0.2">
      <c r="B20" s="49" t="s">
        <v>60</v>
      </c>
      <c r="C20" s="67">
        <v>0</v>
      </c>
      <c r="D20" s="67">
        <v>0</v>
      </c>
      <c r="E20" s="67">
        <v>0</v>
      </c>
      <c r="F20" s="432">
        <v>1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8">
        <v>0</v>
      </c>
      <c r="P20" s="49" t="s">
        <v>60</v>
      </c>
      <c r="Q20" s="450">
        <f t="array" ref="Q20">SUMPRODUCT(Q$4:Q$15,TRANSPOSE($C20:$N20))</f>
        <v>-9.5055027554025728E-2</v>
      </c>
      <c r="R20" s="451">
        <f t="array" ref="R20">SUMPRODUCT(R$4:R$15,TRANSPOSE($C20:$N20))</f>
        <v>-6.3729489098840464E-4</v>
      </c>
      <c r="S20" s="451">
        <f t="array" ref="S20">SUMPRODUCT(S$4:S$15,TRANSPOSE($C20:$N20))</f>
        <v>6.1189195849646882E-3</v>
      </c>
      <c r="T20" s="451">
        <f t="array" ref="T20">SUMPRODUCT(T$4:T$15,TRANSPOSE($C20:$N20))</f>
        <v>3.1746212962046272E-2</v>
      </c>
      <c r="U20" s="451">
        <f t="array" ref="U20">SUMPRODUCT(U$4:U$15,TRANSPOSE($C20:$N20))</f>
        <v>6.3339078925670478E-3</v>
      </c>
      <c r="V20" s="451">
        <f t="array" ref="V20">SUMPRODUCT(V$4:V$15,TRANSPOSE($C20:$N20))</f>
        <v>2.8217973607540525E-3</v>
      </c>
      <c r="W20" s="451">
        <f t="array" ref="W20">SUMPRODUCT(W$4:W$15,TRANSPOSE($C20:$N20))</f>
        <v>-1.226850273315705E-3</v>
      </c>
      <c r="X20" s="451">
        <f t="array" ref="X20">SUMPRODUCT(X$4:X$15,TRANSPOSE($C20:$N20))</f>
        <v>0</v>
      </c>
      <c r="Y20" s="452">
        <f t="array" ref="Y20">SUMPRODUCT(Y$4:Y$15,TRANSPOSE($C20:$N20))</f>
        <v>0</v>
      </c>
    </row>
    <row r="21" spans="2:25" ht="11.25" x14ac:dyDescent="0.2">
      <c r="B21" s="49" t="s">
        <v>61</v>
      </c>
      <c r="C21" s="67">
        <v>0</v>
      </c>
      <c r="D21" s="432">
        <v>1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8">
        <v>0</v>
      </c>
      <c r="P21" s="49" t="s">
        <v>61</v>
      </c>
      <c r="Q21" s="450">
        <f t="array" ref="Q21">SUMPRODUCT(Q$4:Q$15,TRANSPOSE($C21:$N21))</f>
        <v>1.2486970642213269E-2</v>
      </c>
      <c r="R21" s="451">
        <f t="array" ref="R21">SUMPRODUCT(R$4:R$15,TRANSPOSE($C21:$N21))</f>
        <v>-7.9101324752421931E-3</v>
      </c>
      <c r="S21" s="451">
        <f t="array" ref="S21">SUMPRODUCT(S$4:S$15,TRANSPOSE($C21:$N21))</f>
        <v>-8.9427338390856148E-3</v>
      </c>
      <c r="T21" s="451">
        <f t="array" ref="T21">SUMPRODUCT(T$4:T$15,TRANSPOSE($C21:$N21))</f>
        <v>1.1292809312332119E-2</v>
      </c>
      <c r="U21" s="451">
        <f t="array" ref="U21">SUMPRODUCT(U$4:U$15,TRANSPOSE($C21:$N21))</f>
        <v>3.0320192193042939E-3</v>
      </c>
      <c r="V21" s="451">
        <f t="array" ref="V21">SUMPRODUCT(V$4:V$15,TRANSPOSE($C21:$N21))</f>
        <v>-3.398189812399699E-3</v>
      </c>
      <c r="W21" s="451">
        <f t="array" ref="W21">SUMPRODUCT(W$4:W$15,TRANSPOSE($C21:$N21))</f>
        <v>-7.4123014260328857E-3</v>
      </c>
      <c r="X21" s="451">
        <f t="array" ref="X21">SUMPRODUCT(X$4:X$15,TRANSPOSE($C21:$N21))</f>
        <v>0</v>
      </c>
      <c r="Y21" s="452">
        <f t="array" ref="Y21">SUMPRODUCT(Y$4:Y$15,TRANSPOSE($C21:$N21))</f>
        <v>0</v>
      </c>
    </row>
    <row r="22" spans="2:25" ht="11.25" x14ac:dyDescent="0.2">
      <c r="B22" s="49" t="s">
        <v>62</v>
      </c>
      <c r="C22" s="67">
        <v>0</v>
      </c>
      <c r="D22" s="67">
        <v>0</v>
      </c>
      <c r="E22" s="432">
        <v>0.2</v>
      </c>
      <c r="F22" s="67">
        <v>0</v>
      </c>
      <c r="G22" s="67">
        <v>0</v>
      </c>
      <c r="H22" s="67">
        <v>0</v>
      </c>
      <c r="I22" s="432">
        <v>0.8</v>
      </c>
      <c r="J22" s="67">
        <v>0</v>
      </c>
      <c r="K22" s="67">
        <v>0</v>
      </c>
      <c r="L22" s="67">
        <v>0</v>
      </c>
      <c r="M22" s="67">
        <v>0</v>
      </c>
      <c r="N22" s="68">
        <v>0</v>
      </c>
      <c r="P22" s="49" t="s">
        <v>62</v>
      </c>
      <c r="Q22" s="450">
        <f t="array" ref="Q22">SUMPRODUCT(Q$4:Q$15,TRANSPOSE($C22:$N22))</f>
        <v>6.8479406041728558E-2</v>
      </c>
      <c r="R22" s="451">
        <f t="array" ref="R22">SUMPRODUCT(R$4:R$15,TRANSPOSE($C22:$N22))</f>
        <v>4.1436102242051256E-2</v>
      </c>
      <c r="S22" s="451">
        <f t="array" ref="S22">SUMPRODUCT(S$4:S$15,TRANSPOSE($C22:$N22))</f>
        <v>2.8130023482761282E-3</v>
      </c>
      <c r="T22" s="451">
        <f t="array" ref="T22">SUMPRODUCT(T$4:T$15,TRANSPOSE($C22:$N22))</f>
        <v>1.1643191529014496E-2</v>
      </c>
      <c r="U22" s="451">
        <f t="array" ref="U22">SUMPRODUCT(U$4:U$15,TRANSPOSE($C22:$N22))</f>
        <v>8.739731979779064E-3</v>
      </c>
      <c r="V22" s="451">
        <f t="array" ref="V22">SUMPRODUCT(V$4:V$15,TRANSPOSE($C22:$N22))</f>
        <v>7.493219539559926E-3</v>
      </c>
      <c r="W22" s="451">
        <f t="array" ref="W22">SUMPRODUCT(W$4:W$15,TRANSPOSE($C22:$N22))</f>
        <v>4.0187480224918026E-3</v>
      </c>
      <c r="X22" s="451">
        <f t="array" ref="X22">SUMPRODUCT(X$4:X$15,TRANSPOSE($C22:$N22))</f>
        <v>0</v>
      </c>
      <c r="Y22" s="452">
        <f t="array" ref="Y22">SUMPRODUCT(Y$4:Y$15,TRANSPOSE($C22:$N22))</f>
        <v>0</v>
      </c>
    </row>
    <row r="23" spans="2:25" ht="11.25" x14ac:dyDescent="0.2">
      <c r="B23" s="49" t="s">
        <v>63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432">
        <v>1</v>
      </c>
      <c r="J23" s="67">
        <v>0</v>
      </c>
      <c r="K23" s="67">
        <v>0</v>
      </c>
      <c r="L23" s="67">
        <v>0</v>
      </c>
      <c r="M23" s="67">
        <v>0</v>
      </c>
      <c r="N23" s="68">
        <v>0</v>
      </c>
      <c r="P23" s="49" t="s">
        <v>63</v>
      </c>
      <c r="Q23" s="450">
        <f t="array" ref="Q23">SUMPRODUCT(Q$4:Q$15,TRANSPOSE($C23:$N23))</f>
        <v>6.1026863794123143E-2</v>
      </c>
      <c r="R23" s="451">
        <f t="array" ref="R23">SUMPRODUCT(R$4:R$15,TRANSPOSE($C23:$N23))</f>
        <v>4.7716771904973143E-3</v>
      </c>
      <c r="S23" s="451">
        <f t="array" ref="S23">SUMPRODUCT(S$4:S$15,TRANSPOSE($C23:$N23))</f>
        <v>4.8431513558770956E-3</v>
      </c>
      <c r="T23" s="451">
        <f t="array" ref="T23">SUMPRODUCT(T$4:T$15,TRANSPOSE($C23:$N23))</f>
        <v>7.475319782275669E-3</v>
      </c>
      <c r="U23" s="451">
        <f t="array" ref="U23">SUMPRODUCT(U$4:U$15,TRANSPOSE($C23:$N23))</f>
        <v>4.5105616377265623E-3</v>
      </c>
      <c r="V23" s="451">
        <f t="array" ref="V23">SUMPRODUCT(V$4:V$15,TRANSPOSE($C23:$N23))</f>
        <v>4.0236366012049718E-3</v>
      </c>
      <c r="W23" s="451">
        <f t="array" ref="W23">SUMPRODUCT(W$4:W$15,TRANSPOSE($C23:$N23))</f>
        <v>6.4509381948885114E-4</v>
      </c>
      <c r="X23" s="451">
        <f t="array" ref="X23">SUMPRODUCT(X$4:X$15,TRANSPOSE($C23:$N23))</f>
        <v>0</v>
      </c>
      <c r="Y23" s="452">
        <f t="array" ref="Y23">SUMPRODUCT(Y$4:Y$15,TRANSPOSE($C23:$N23))</f>
        <v>0</v>
      </c>
    </row>
    <row r="24" spans="2:25" ht="11.25" x14ac:dyDescent="0.2">
      <c r="B24" s="49" t="s">
        <v>64</v>
      </c>
      <c r="C24" s="433">
        <v>0</v>
      </c>
      <c r="D24" s="433">
        <v>0</v>
      </c>
      <c r="E24" s="433">
        <v>0</v>
      </c>
      <c r="F24" s="433">
        <v>0</v>
      </c>
      <c r="G24" s="433">
        <v>0</v>
      </c>
      <c r="H24" s="433">
        <v>0</v>
      </c>
      <c r="I24" s="433">
        <v>0</v>
      </c>
      <c r="J24" s="433">
        <v>0</v>
      </c>
      <c r="K24" s="433">
        <v>0</v>
      </c>
      <c r="L24" s="433">
        <v>0</v>
      </c>
      <c r="M24" s="433">
        <v>0</v>
      </c>
      <c r="N24" s="434">
        <v>1</v>
      </c>
      <c r="P24" s="49" t="s">
        <v>64</v>
      </c>
      <c r="Q24" s="450">
        <f t="array" ref="Q24">SUMPRODUCT(Q$4:Q$15,TRANSPOSE($C24:$N24))</f>
        <v>0</v>
      </c>
      <c r="R24" s="451">
        <f t="array" ref="R24">SUMPRODUCT(R$4:R$15,TRANSPOSE($C24:$N24))</f>
        <v>0</v>
      </c>
      <c r="S24" s="451">
        <f t="array" ref="S24">SUMPRODUCT(S$4:S$15,TRANSPOSE($C24:$N24))</f>
        <v>0</v>
      </c>
      <c r="T24" s="451">
        <f t="array" ref="T24">SUMPRODUCT(T$4:T$15,TRANSPOSE($C24:$N24))</f>
        <v>0</v>
      </c>
      <c r="U24" s="451">
        <f t="array" ref="U24">SUMPRODUCT(U$4:U$15,TRANSPOSE($C24:$N24))</f>
        <v>0</v>
      </c>
      <c r="V24" s="451">
        <f t="array" ref="V24">SUMPRODUCT(V$4:V$15,TRANSPOSE($C24:$N24))</f>
        <v>0</v>
      </c>
      <c r="W24" s="451">
        <f t="array" ref="W24">SUMPRODUCT(W$4:W$15,TRANSPOSE($C24:$N24))</f>
        <v>0</v>
      </c>
      <c r="X24" s="451">
        <f t="array" ref="X24">SUMPRODUCT(X$4:X$15,TRANSPOSE($C24:$N24))</f>
        <v>0</v>
      </c>
      <c r="Y24" s="452">
        <f t="array" ref="Y24">SUMPRODUCT(Y$4:Y$15,TRANSPOSE($C24:$N24))</f>
        <v>0</v>
      </c>
    </row>
    <row r="25" spans="2:25" ht="11.25" x14ac:dyDescent="0.2">
      <c r="B25" s="49" t="s">
        <v>65</v>
      </c>
      <c r="C25" s="433">
        <v>0</v>
      </c>
      <c r="D25" s="433">
        <v>0</v>
      </c>
      <c r="E25" s="433">
        <v>0</v>
      </c>
      <c r="F25" s="433">
        <v>0</v>
      </c>
      <c r="G25" s="433">
        <v>0</v>
      </c>
      <c r="H25" s="433">
        <v>0</v>
      </c>
      <c r="I25" s="433">
        <v>0</v>
      </c>
      <c r="J25" s="433">
        <v>0</v>
      </c>
      <c r="K25" s="433">
        <v>0</v>
      </c>
      <c r="L25" s="433">
        <v>0</v>
      </c>
      <c r="M25" s="433">
        <v>0</v>
      </c>
      <c r="N25" s="434">
        <v>1</v>
      </c>
      <c r="P25" s="49" t="s">
        <v>65</v>
      </c>
      <c r="Q25" s="450">
        <f t="array" ref="Q25">SUMPRODUCT(Q$4:Q$15,TRANSPOSE($C25:$N25))</f>
        <v>0</v>
      </c>
      <c r="R25" s="451">
        <f t="array" ref="R25">SUMPRODUCT(R$4:R$15,TRANSPOSE($C25:$N25))</f>
        <v>0</v>
      </c>
      <c r="S25" s="451">
        <f t="array" ref="S25">SUMPRODUCT(S$4:S$15,TRANSPOSE($C25:$N25))</f>
        <v>0</v>
      </c>
      <c r="T25" s="451">
        <f t="array" ref="T25">SUMPRODUCT(T$4:T$15,TRANSPOSE($C25:$N25))</f>
        <v>0</v>
      </c>
      <c r="U25" s="451">
        <f t="array" ref="U25">SUMPRODUCT(U$4:U$15,TRANSPOSE($C25:$N25))</f>
        <v>0</v>
      </c>
      <c r="V25" s="451">
        <f t="array" ref="V25">SUMPRODUCT(V$4:V$15,TRANSPOSE($C25:$N25))</f>
        <v>0</v>
      </c>
      <c r="W25" s="451">
        <f t="array" ref="W25">SUMPRODUCT(W$4:W$15,TRANSPOSE($C25:$N25))</f>
        <v>0</v>
      </c>
      <c r="X25" s="451">
        <f t="array" ref="X25">SUMPRODUCT(X$4:X$15,TRANSPOSE($C25:$N25))</f>
        <v>0</v>
      </c>
      <c r="Y25" s="452">
        <f t="array" ref="Y25">SUMPRODUCT(Y$4:Y$15,TRANSPOSE($C25:$N25))</f>
        <v>0</v>
      </c>
    </row>
    <row r="26" spans="2:25" ht="11.25" x14ac:dyDescent="0.2">
      <c r="B26" s="49" t="s">
        <v>66</v>
      </c>
      <c r="C26" s="67">
        <v>0</v>
      </c>
      <c r="D26" s="67">
        <v>0</v>
      </c>
      <c r="E26" s="432">
        <v>1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8">
        <v>0</v>
      </c>
      <c r="P26" s="49" t="s">
        <v>66</v>
      </c>
      <c r="Q26" s="450">
        <f t="array" ref="Q26">SUMPRODUCT(Q$4:Q$15,TRANSPOSE($C26:$N26))</f>
        <v>9.8289575032150189E-2</v>
      </c>
      <c r="R26" s="451">
        <f t="array" ref="R26">SUMPRODUCT(R$4:R$15,TRANSPOSE($C26:$N26))</f>
        <v>0.18809380244826701</v>
      </c>
      <c r="S26" s="451">
        <f t="array" ref="S26">SUMPRODUCT(S$4:S$15,TRANSPOSE($C26:$N26))</f>
        <v>-5.3075936821277425E-3</v>
      </c>
      <c r="T26" s="451">
        <f t="array" ref="T26">SUMPRODUCT(T$4:T$15,TRANSPOSE($C26:$N26))</f>
        <v>2.8314678515969804E-2</v>
      </c>
      <c r="U26" s="451">
        <f t="array" ref="U26">SUMPRODUCT(U$4:U$15,TRANSPOSE($C26:$N26))</f>
        <v>2.5656413347989071E-2</v>
      </c>
      <c r="V26" s="451">
        <f t="array" ref="V26">SUMPRODUCT(V$4:V$15,TRANSPOSE($C26:$N26))</f>
        <v>2.137155129297974E-2</v>
      </c>
      <c r="W26" s="451">
        <f t="array" ref="W26">SUMPRODUCT(W$4:W$15,TRANSPOSE($C26:$N26))</f>
        <v>1.7513364834503609E-2</v>
      </c>
      <c r="X26" s="451">
        <f t="array" ref="X26">SUMPRODUCT(X$4:X$15,TRANSPOSE($C26:$N26))</f>
        <v>0</v>
      </c>
      <c r="Y26" s="452">
        <f t="array" ref="Y26">SUMPRODUCT(Y$4:Y$15,TRANSPOSE($C26:$N26))</f>
        <v>0</v>
      </c>
    </row>
    <row r="27" spans="2:25" ht="11.25" x14ac:dyDescent="0.2">
      <c r="B27" s="49" t="s">
        <v>67</v>
      </c>
      <c r="C27" s="433">
        <v>0</v>
      </c>
      <c r="D27" s="433">
        <v>0</v>
      </c>
      <c r="E27" s="433">
        <v>0</v>
      </c>
      <c r="F27" s="433">
        <v>0</v>
      </c>
      <c r="G27" s="433">
        <v>0</v>
      </c>
      <c r="H27" s="433">
        <v>0</v>
      </c>
      <c r="I27" s="433">
        <v>0</v>
      </c>
      <c r="J27" s="433">
        <v>0</v>
      </c>
      <c r="K27" s="433">
        <v>0</v>
      </c>
      <c r="L27" s="433">
        <v>0</v>
      </c>
      <c r="M27" s="433">
        <v>0</v>
      </c>
      <c r="N27" s="434">
        <v>1</v>
      </c>
      <c r="P27" s="49" t="s">
        <v>67</v>
      </c>
      <c r="Q27" s="450">
        <f t="array" ref="Q27">SUMPRODUCT(Q$4:Q$15,TRANSPOSE($C27:$N27))</f>
        <v>0</v>
      </c>
      <c r="R27" s="451">
        <f t="array" ref="R27">SUMPRODUCT(R$4:R$15,TRANSPOSE($C27:$N27))</f>
        <v>0</v>
      </c>
      <c r="S27" s="451">
        <f t="array" ref="S27">SUMPRODUCT(S$4:S$15,TRANSPOSE($C27:$N27))</f>
        <v>0</v>
      </c>
      <c r="T27" s="451">
        <f t="array" ref="T27">SUMPRODUCT(T$4:T$15,TRANSPOSE($C27:$N27))</f>
        <v>0</v>
      </c>
      <c r="U27" s="451">
        <f t="array" ref="U27">SUMPRODUCT(U$4:U$15,TRANSPOSE($C27:$N27))</f>
        <v>0</v>
      </c>
      <c r="V27" s="451">
        <f t="array" ref="V27">SUMPRODUCT(V$4:V$15,TRANSPOSE($C27:$N27))</f>
        <v>0</v>
      </c>
      <c r="W27" s="451">
        <f t="array" ref="W27">SUMPRODUCT(W$4:W$15,TRANSPOSE($C27:$N27))</f>
        <v>0</v>
      </c>
      <c r="X27" s="451">
        <f t="array" ref="X27">SUMPRODUCT(X$4:X$15,TRANSPOSE($C27:$N27))</f>
        <v>0</v>
      </c>
      <c r="Y27" s="452">
        <f t="array" ref="Y27">SUMPRODUCT(Y$4:Y$15,TRANSPOSE($C27:$N27))</f>
        <v>0</v>
      </c>
    </row>
    <row r="28" spans="2:25" ht="11.25" x14ac:dyDescent="0.2">
      <c r="B28" s="49" t="s">
        <v>68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432">
        <v>1</v>
      </c>
      <c r="J28" s="67">
        <v>0</v>
      </c>
      <c r="K28" s="67">
        <v>0</v>
      </c>
      <c r="L28" s="67">
        <v>0</v>
      </c>
      <c r="M28" s="67">
        <v>0</v>
      </c>
      <c r="N28" s="68">
        <v>0</v>
      </c>
      <c r="P28" s="49" t="s">
        <v>68</v>
      </c>
      <c r="Q28" s="450">
        <f t="array" ref="Q28">SUMPRODUCT(Q$4:Q$15,TRANSPOSE($C28:$N28))</f>
        <v>6.1026863794123143E-2</v>
      </c>
      <c r="R28" s="451">
        <f t="array" ref="R28">SUMPRODUCT(R$4:R$15,TRANSPOSE($C28:$N28))</f>
        <v>4.7716771904973143E-3</v>
      </c>
      <c r="S28" s="451">
        <f t="array" ref="S28">SUMPRODUCT(S$4:S$15,TRANSPOSE($C28:$N28))</f>
        <v>4.8431513558770956E-3</v>
      </c>
      <c r="T28" s="451">
        <f t="array" ref="T28">SUMPRODUCT(T$4:T$15,TRANSPOSE($C28:$N28))</f>
        <v>7.475319782275669E-3</v>
      </c>
      <c r="U28" s="451">
        <f t="array" ref="U28">SUMPRODUCT(U$4:U$15,TRANSPOSE($C28:$N28))</f>
        <v>4.5105616377265623E-3</v>
      </c>
      <c r="V28" s="451">
        <f t="array" ref="V28">SUMPRODUCT(V$4:V$15,TRANSPOSE($C28:$N28))</f>
        <v>4.0236366012049718E-3</v>
      </c>
      <c r="W28" s="451">
        <f t="array" ref="W28">SUMPRODUCT(W$4:W$15,TRANSPOSE($C28:$N28))</f>
        <v>6.4509381948885114E-4</v>
      </c>
      <c r="X28" s="451">
        <f t="array" ref="X28">SUMPRODUCT(X$4:X$15,TRANSPOSE($C28:$N28))</f>
        <v>0</v>
      </c>
      <c r="Y28" s="452">
        <f t="array" ref="Y28">SUMPRODUCT(Y$4:Y$15,TRANSPOSE($C28:$N28))</f>
        <v>0</v>
      </c>
    </row>
    <row r="29" spans="2:25" ht="11.25" x14ac:dyDescent="0.2">
      <c r="B29" s="49" t="s">
        <v>69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432">
        <v>1</v>
      </c>
      <c r="J29" s="67">
        <v>0</v>
      </c>
      <c r="K29" s="67">
        <v>0</v>
      </c>
      <c r="L29" s="67">
        <v>0</v>
      </c>
      <c r="M29" s="67">
        <v>0</v>
      </c>
      <c r="N29" s="68">
        <v>0</v>
      </c>
      <c r="P29" s="49" t="s">
        <v>69</v>
      </c>
      <c r="Q29" s="450">
        <f t="array" ref="Q29">SUMPRODUCT(Q$4:Q$15,TRANSPOSE($C29:$N29))</f>
        <v>6.1026863794123143E-2</v>
      </c>
      <c r="R29" s="451">
        <f t="array" ref="R29">SUMPRODUCT(R$4:R$15,TRANSPOSE($C29:$N29))</f>
        <v>4.7716771904973143E-3</v>
      </c>
      <c r="S29" s="451">
        <f t="array" ref="S29">SUMPRODUCT(S$4:S$15,TRANSPOSE($C29:$N29))</f>
        <v>4.8431513558770956E-3</v>
      </c>
      <c r="T29" s="451">
        <f t="array" ref="T29">SUMPRODUCT(T$4:T$15,TRANSPOSE($C29:$N29))</f>
        <v>7.475319782275669E-3</v>
      </c>
      <c r="U29" s="451">
        <f t="array" ref="U29">SUMPRODUCT(U$4:U$15,TRANSPOSE($C29:$N29))</f>
        <v>4.5105616377265623E-3</v>
      </c>
      <c r="V29" s="451">
        <f t="array" ref="V29">SUMPRODUCT(V$4:V$15,TRANSPOSE($C29:$N29))</f>
        <v>4.0236366012049718E-3</v>
      </c>
      <c r="W29" s="451">
        <f t="array" ref="W29">SUMPRODUCT(W$4:W$15,TRANSPOSE($C29:$N29))</f>
        <v>6.4509381948885114E-4</v>
      </c>
      <c r="X29" s="451">
        <f t="array" ref="X29">SUMPRODUCT(X$4:X$15,TRANSPOSE($C29:$N29))</f>
        <v>0</v>
      </c>
      <c r="Y29" s="452">
        <f t="array" ref="Y29">SUMPRODUCT(Y$4:Y$15,TRANSPOSE($C29:$N29))</f>
        <v>0</v>
      </c>
    </row>
    <row r="30" spans="2:25" x14ac:dyDescent="0.2">
      <c r="B30" s="49" t="s">
        <v>70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432">
        <v>1</v>
      </c>
      <c r="K30" s="67">
        <v>0</v>
      </c>
      <c r="L30" s="67">
        <v>0</v>
      </c>
      <c r="M30" s="67">
        <v>0</v>
      </c>
      <c r="N30" s="68">
        <v>0</v>
      </c>
      <c r="P30" s="49" t="s">
        <v>70</v>
      </c>
      <c r="Q30" s="450">
        <f t="array" ref="Q30">SUMPRODUCT(Q$4:Q$15,TRANSPOSE($C30:$N30))</f>
        <v>7.6584955530403231E-3</v>
      </c>
      <c r="R30" s="451">
        <f t="array" ref="R30">SUMPRODUCT(R$4:R$15,TRANSPOSE($C30:$N30))</f>
        <v>2.2887760331398166E-3</v>
      </c>
      <c r="S30" s="451">
        <f t="array" ref="S30">SUMPRODUCT(S$4:S$15,TRANSPOSE($C30:$N30))</f>
        <v>-3.1958922536219347E-3</v>
      </c>
      <c r="T30" s="451">
        <f t="array" ref="T30">SUMPRODUCT(T$4:T$15,TRANSPOSE($C30:$N30))</f>
        <v>1.0753312988545316E-2</v>
      </c>
      <c r="U30" s="451">
        <f t="array" ref="U30">SUMPRODUCT(U$4:U$15,TRANSPOSE($C30:$N30))</f>
        <v>2.0129254324107171E-2</v>
      </c>
      <c r="V30" s="451">
        <f t="array" ref="V30">SUMPRODUCT(V$4:V$15,TRANSPOSE($C30:$N30))</f>
        <v>2.0018036603035361E-2</v>
      </c>
      <c r="W30" s="451">
        <f t="array" ref="W30">SUMPRODUCT(W$4:W$15,TRANSPOSE($C30:$N30))</f>
        <v>1.9751737334224417E-2</v>
      </c>
      <c r="X30" s="451">
        <f t="array" ref="X30">SUMPRODUCT(X$4:X$15,TRANSPOSE($C30:$N30))</f>
        <v>0</v>
      </c>
      <c r="Y30" s="452">
        <f t="array" ref="Y30">SUMPRODUCT(Y$4:Y$15,TRANSPOSE($C30:$N30))</f>
        <v>0</v>
      </c>
    </row>
    <row r="31" spans="2:25" x14ac:dyDescent="0.2">
      <c r="B31" s="49" t="s">
        <v>71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432">
        <v>1</v>
      </c>
      <c r="K31" s="67">
        <v>0</v>
      </c>
      <c r="L31" s="67">
        <v>0</v>
      </c>
      <c r="M31" s="67">
        <v>0</v>
      </c>
      <c r="N31" s="68">
        <v>0</v>
      </c>
      <c r="P31" s="49" t="s">
        <v>71</v>
      </c>
      <c r="Q31" s="450">
        <f t="array" ref="Q31">SUMPRODUCT(Q$4:Q$15,TRANSPOSE($C31:$N31))</f>
        <v>7.6584955530403231E-3</v>
      </c>
      <c r="R31" s="451">
        <f t="array" ref="R31">SUMPRODUCT(R$4:R$15,TRANSPOSE($C31:$N31))</f>
        <v>2.2887760331398166E-3</v>
      </c>
      <c r="S31" s="451">
        <f t="array" ref="S31">SUMPRODUCT(S$4:S$15,TRANSPOSE($C31:$N31))</f>
        <v>-3.1958922536219347E-3</v>
      </c>
      <c r="T31" s="451">
        <f t="array" ref="T31">SUMPRODUCT(T$4:T$15,TRANSPOSE($C31:$N31))</f>
        <v>1.0753312988545316E-2</v>
      </c>
      <c r="U31" s="451">
        <f t="array" ref="U31">SUMPRODUCT(U$4:U$15,TRANSPOSE($C31:$N31))</f>
        <v>2.0129254324107171E-2</v>
      </c>
      <c r="V31" s="451">
        <f t="array" ref="V31">SUMPRODUCT(V$4:V$15,TRANSPOSE($C31:$N31))</f>
        <v>2.0018036603035361E-2</v>
      </c>
      <c r="W31" s="451">
        <f t="array" ref="W31">SUMPRODUCT(W$4:W$15,TRANSPOSE($C31:$N31))</f>
        <v>1.9751737334224417E-2</v>
      </c>
      <c r="X31" s="451">
        <f t="array" ref="X31">SUMPRODUCT(X$4:X$15,TRANSPOSE($C31:$N31))</f>
        <v>0</v>
      </c>
      <c r="Y31" s="452">
        <f t="array" ref="Y31">SUMPRODUCT(Y$4:Y$15,TRANSPOSE($C31:$N31))</f>
        <v>0</v>
      </c>
    </row>
    <row r="32" spans="2:25" x14ac:dyDescent="0.2">
      <c r="B32" s="49" t="s">
        <v>72</v>
      </c>
      <c r="C32" s="433">
        <v>0</v>
      </c>
      <c r="D32" s="433">
        <v>0</v>
      </c>
      <c r="E32" s="433">
        <v>0</v>
      </c>
      <c r="F32" s="433">
        <v>0</v>
      </c>
      <c r="G32" s="433">
        <v>1</v>
      </c>
      <c r="H32" s="433">
        <v>0</v>
      </c>
      <c r="I32" s="433">
        <v>0</v>
      </c>
      <c r="J32" s="433">
        <v>0</v>
      </c>
      <c r="K32" s="433">
        <v>0</v>
      </c>
      <c r="L32" s="433">
        <v>0</v>
      </c>
      <c r="M32" s="433">
        <v>0</v>
      </c>
      <c r="N32" s="434">
        <v>0</v>
      </c>
      <c r="P32" s="49" t="s">
        <v>72</v>
      </c>
      <c r="Q32" s="450">
        <f t="array" ref="Q32">SUMPRODUCT(Q$4:Q$15,TRANSPOSE($C32:$N32))</f>
        <v>5.3635884444489523E-3</v>
      </c>
      <c r="R32" s="451">
        <f t="array" ref="R32">SUMPRODUCT(R$4:R$15,TRANSPOSE($C32:$N32))</f>
        <v>1.0276480781559183E-2</v>
      </c>
      <c r="S32" s="451">
        <f t="array" ref="S32">SUMPRODUCT(S$4:S$15,TRANSPOSE($C32:$N32))</f>
        <v>4.6322688804660839E-3</v>
      </c>
      <c r="T32" s="451">
        <f t="array" ref="T32">SUMPRODUCT(T$4:T$15,TRANSPOSE($C32:$N32))</f>
        <v>1.0263764083409344E-2</v>
      </c>
      <c r="U32" s="451">
        <f t="array" ref="U32">SUMPRODUCT(U$4:U$15,TRANSPOSE($C32:$N32))</f>
        <v>1.6479821941818074E-2</v>
      </c>
      <c r="V32" s="451">
        <f t="array" ref="V32">SUMPRODUCT(V$4:V$15,TRANSPOSE($C32:$N32))</f>
        <v>1.724429384901871E-2</v>
      </c>
      <c r="W32" s="451">
        <f t="array" ref="W32">SUMPRODUCT(W$4:W$15,TRANSPOSE($C32:$N32))</f>
        <v>1.7740438046844442E-2</v>
      </c>
      <c r="X32" s="451">
        <f t="array" ref="X32">SUMPRODUCT(X$4:X$15,TRANSPOSE($C32:$N32))</f>
        <v>0</v>
      </c>
      <c r="Y32" s="452">
        <f t="array" ref="Y32">SUMPRODUCT(Y$4:Y$15,TRANSPOSE($C32:$N32))</f>
        <v>0</v>
      </c>
    </row>
    <row r="33" spans="2:25" x14ac:dyDescent="0.2">
      <c r="B33" s="49" t="s">
        <v>263</v>
      </c>
      <c r="C33" s="433">
        <v>0</v>
      </c>
      <c r="D33" s="433">
        <v>0</v>
      </c>
      <c r="E33" s="433">
        <v>0</v>
      </c>
      <c r="F33" s="433">
        <v>0</v>
      </c>
      <c r="G33" s="433">
        <v>0</v>
      </c>
      <c r="H33" s="433">
        <v>0</v>
      </c>
      <c r="I33" s="433">
        <v>0</v>
      </c>
      <c r="J33" s="433">
        <v>0</v>
      </c>
      <c r="K33" s="433">
        <v>1</v>
      </c>
      <c r="L33" s="433">
        <v>0</v>
      </c>
      <c r="M33" s="433">
        <v>0</v>
      </c>
      <c r="N33" s="434">
        <v>0</v>
      </c>
      <c r="P33" s="49" t="s">
        <v>263</v>
      </c>
      <c r="Q33" s="450">
        <f t="array" ref="Q33">SUMPRODUCT(Q$4:Q$15,TRANSPOSE($C33:$N33))</f>
        <v>-6.2076762202790903E-2</v>
      </c>
      <c r="R33" s="451">
        <f t="array" ref="R33">SUMPRODUCT(R$4:R$15,TRANSPOSE($C33:$N33))</f>
        <v>-4.0288637141353889E-2</v>
      </c>
      <c r="S33" s="451">
        <f t="array" ref="S33">SUMPRODUCT(S$4:S$15,TRANSPOSE($C33:$N33))</f>
        <v>4.7499880668250727E-2</v>
      </c>
      <c r="T33" s="451">
        <f t="array" ref="T33">SUMPRODUCT(T$4:T$15,TRANSPOSE($C33:$N33))</f>
        <v>4.7999999999999821E-2</v>
      </c>
      <c r="U33" s="451">
        <f t="array" ref="U33">SUMPRODUCT(U$4:U$15,TRANSPOSE($C33:$N33))</f>
        <v>4.8999523355468533E-2</v>
      </c>
      <c r="V33" s="451">
        <f t="array" ref="V33">SUMPRODUCT(V$4:V$15,TRANSPOSE($C33:$N33))</f>
        <v>5.0499881009036462E-2</v>
      </c>
      <c r="W33" s="451">
        <f t="array" ref="W33">SUMPRODUCT(W$4:W$15,TRANSPOSE($C33:$N33))</f>
        <v>5.1499881122199609E-2</v>
      </c>
      <c r="X33" s="451">
        <f t="array" ref="X33">SUMPRODUCT(X$4:X$15,TRANSPOSE($C33:$N33))</f>
        <v>0</v>
      </c>
      <c r="Y33" s="452">
        <f t="array" ref="Y33">SUMPRODUCT(Y$4:Y$15,TRANSPOSE($C33:$N33))</f>
        <v>0</v>
      </c>
    </row>
    <row r="34" spans="2:25" x14ac:dyDescent="0.2">
      <c r="B34" s="49"/>
      <c r="C34" s="433">
        <v>0</v>
      </c>
      <c r="D34" s="433">
        <v>0</v>
      </c>
      <c r="E34" s="433">
        <v>0</v>
      </c>
      <c r="F34" s="433">
        <v>0</v>
      </c>
      <c r="G34" s="433">
        <v>0</v>
      </c>
      <c r="H34" s="433">
        <v>0</v>
      </c>
      <c r="I34" s="433">
        <v>0</v>
      </c>
      <c r="J34" s="433">
        <v>0</v>
      </c>
      <c r="K34" s="433">
        <v>0</v>
      </c>
      <c r="L34" s="433">
        <v>0</v>
      </c>
      <c r="M34" s="433">
        <v>0</v>
      </c>
      <c r="N34" s="434">
        <v>0</v>
      </c>
      <c r="P34" s="49"/>
      <c r="Q34" s="450">
        <f t="array" ref="Q34">SUMPRODUCT(Q$4:Q$15,TRANSPOSE($C34:$N34))</f>
        <v>0</v>
      </c>
      <c r="R34" s="451">
        <f t="array" ref="R34">SUMPRODUCT(R$4:R$15,TRANSPOSE($C34:$N34))</f>
        <v>0</v>
      </c>
      <c r="S34" s="451">
        <f t="array" ref="S34">SUMPRODUCT(S$4:S$15,TRANSPOSE($C34:$N34))</f>
        <v>0</v>
      </c>
      <c r="T34" s="451">
        <f t="array" ref="T34">SUMPRODUCT(T$4:T$15,TRANSPOSE($C34:$N34))</f>
        <v>0</v>
      </c>
      <c r="U34" s="451">
        <f t="array" ref="U34">SUMPRODUCT(U$4:U$15,TRANSPOSE($C34:$N34))</f>
        <v>0</v>
      </c>
      <c r="V34" s="451">
        <f t="array" ref="V34">SUMPRODUCT(V$4:V$15,TRANSPOSE($C34:$N34))</f>
        <v>0</v>
      </c>
      <c r="W34" s="451">
        <f t="array" ref="W34">SUMPRODUCT(W$4:W$15,TRANSPOSE($C34:$N34))</f>
        <v>0</v>
      </c>
      <c r="X34" s="451">
        <f t="array" ref="X34">SUMPRODUCT(X$4:X$15,TRANSPOSE($C34:$N34))</f>
        <v>0</v>
      </c>
      <c r="Y34" s="452">
        <f t="array" ref="Y34">SUMPRODUCT(Y$4:Y$15,TRANSPOSE($C34:$N34))</f>
        <v>0</v>
      </c>
    </row>
    <row r="35" spans="2:25" x14ac:dyDescent="0.2">
      <c r="B35" s="49"/>
      <c r="C35" s="433">
        <v>0</v>
      </c>
      <c r="D35" s="433">
        <v>0</v>
      </c>
      <c r="E35" s="433">
        <v>0</v>
      </c>
      <c r="F35" s="433">
        <v>0</v>
      </c>
      <c r="G35" s="433">
        <v>0</v>
      </c>
      <c r="H35" s="433">
        <v>0</v>
      </c>
      <c r="I35" s="433">
        <v>0</v>
      </c>
      <c r="J35" s="433">
        <v>0</v>
      </c>
      <c r="K35" s="433">
        <v>0</v>
      </c>
      <c r="L35" s="433">
        <v>0</v>
      </c>
      <c r="M35" s="433">
        <v>0</v>
      </c>
      <c r="N35" s="434">
        <v>0</v>
      </c>
      <c r="P35" s="49"/>
      <c r="Q35" s="450">
        <f t="array" ref="Q35">SUMPRODUCT(Q$4:Q$15,TRANSPOSE($C35:$N35))</f>
        <v>0</v>
      </c>
      <c r="R35" s="451">
        <f t="array" ref="R35">SUMPRODUCT(R$4:R$15,TRANSPOSE($C35:$N35))</f>
        <v>0</v>
      </c>
      <c r="S35" s="451">
        <f t="array" ref="S35">SUMPRODUCT(S$4:S$15,TRANSPOSE($C35:$N35))</f>
        <v>0</v>
      </c>
      <c r="T35" s="451">
        <f t="array" ref="T35">SUMPRODUCT(T$4:T$15,TRANSPOSE($C35:$N35))</f>
        <v>0</v>
      </c>
      <c r="U35" s="451">
        <f t="array" ref="U35">SUMPRODUCT(U$4:U$15,TRANSPOSE($C35:$N35))</f>
        <v>0</v>
      </c>
      <c r="V35" s="451">
        <f t="array" ref="V35">SUMPRODUCT(V$4:V$15,TRANSPOSE($C35:$N35))</f>
        <v>0</v>
      </c>
      <c r="W35" s="451">
        <f t="array" ref="W35">SUMPRODUCT(W$4:W$15,TRANSPOSE($C35:$N35))</f>
        <v>0</v>
      </c>
      <c r="X35" s="451">
        <f t="array" ref="X35">SUMPRODUCT(X$4:X$15,TRANSPOSE($C35:$N35))</f>
        <v>0</v>
      </c>
      <c r="Y35" s="452">
        <f t="array" ref="Y35">SUMPRODUCT(Y$4:Y$15,TRANSPOSE($C35:$N35))</f>
        <v>0</v>
      </c>
    </row>
    <row r="36" spans="2:25" x14ac:dyDescent="0.2">
      <c r="B36" s="49" t="s">
        <v>77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8">
        <v>1</v>
      </c>
      <c r="P36" s="49" t="s">
        <v>77</v>
      </c>
      <c r="Q36" s="450">
        <f t="array" ref="Q36">SUMPRODUCT(Q$4:Q$15,TRANSPOSE($C36:$N36))</f>
        <v>0</v>
      </c>
      <c r="R36" s="451">
        <f t="array" ref="R36">SUMPRODUCT(R$4:R$15,TRANSPOSE($C36:$N36))</f>
        <v>0</v>
      </c>
      <c r="S36" s="451">
        <f t="array" ref="S36">SUMPRODUCT(S$4:S$15,TRANSPOSE($C36:$N36))</f>
        <v>0</v>
      </c>
      <c r="T36" s="451">
        <f t="array" ref="T36">SUMPRODUCT(T$4:T$15,TRANSPOSE($C36:$N36))</f>
        <v>0</v>
      </c>
      <c r="U36" s="451">
        <f t="array" ref="U36">SUMPRODUCT(U$4:U$15,TRANSPOSE($C36:$N36))</f>
        <v>0</v>
      </c>
      <c r="V36" s="451">
        <f t="array" ref="V36">SUMPRODUCT(V$4:V$15,TRANSPOSE($C36:$N36))</f>
        <v>0</v>
      </c>
      <c r="W36" s="451">
        <f t="array" ref="W36">SUMPRODUCT(W$4:W$15,TRANSPOSE($C36:$N36))</f>
        <v>0</v>
      </c>
      <c r="X36" s="451">
        <f t="array" ref="X36">SUMPRODUCT(X$4:X$15,TRANSPOSE($C36:$N36))</f>
        <v>0</v>
      </c>
      <c r="Y36" s="452">
        <f t="array" ref="Y36">SUMPRODUCT(Y$4:Y$15,TRANSPOSE($C36:$N36))</f>
        <v>0</v>
      </c>
    </row>
    <row r="37" spans="2:25" ht="10.8" thickBot="1" x14ac:dyDescent="0.25">
      <c r="B37" s="51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  <c r="P37" s="51"/>
      <c r="Q37" s="46"/>
      <c r="R37" s="438"/>
      <c r="S37" s="438"/>
      <c r="T37" s="438"/>
      <c r="U37" s="438"/>
      <c r="V37" s="438"/>
      <c r="W37" s="438"/>
      <c r="X37" s="438"/>
      <c r="Y37" s="439"/>
    </row>
  </sheetData>
  <protectedRanges>
    <protectedRange sqref="C19:N37 Q4:Y14" name="EscalMappingEditable"/>
  </protectedRanges>
  <mergeCells count="1">
    <mergeCell ref="B3:H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B1:AJ86"/>
  <sheetViews>
    <sheetView topLeftCell="A16" zoomScale="80" zoomScaleNormal="80" workbookViewId="0">
      <selection activeCell="J30" sqref="J30"/>
    </sheetView>
  </sheetViews>
  <sheetFormatPr defaultColWidth="6.88671875" defaultRowHeight="13.8" x14ac:dyDescent="0.3"/>
  <cols>
    <col min="1" max="1" width="1.88671875" style="2" customWidth="1"/>
    <col min="2" max="2" width="3.6640625" style="2" customWidth="1"/>
    <col min="3" max="3" width="26.6640625" style="2" customWidth="1"/>
    <col min="4" max="43" width="7.88671875" style="2" customWidth="1"/>
    <col min="44" max="16384" width="6.88671875" style="2"/>
  </cols>
  <sheetData>
    <row r="1" spans="2:23" ht="13.95" x14ac:dyDescent="0.3">
      <c r="R1" s="3"/>
      <c r="S1" s="3"/>
    </row>
    <row r="2" spans="2:23" ht="13.5" thickBot="1" x14ac:dyDescent="0.25">
      <c r="B2" s="12" t="s">
        <v>24</v>
      </c>
      <c r="R2" s="3"/>
      <c r="S2" s="3"/>
    </row>
    <row r="3" spans="2:23" ht="12.75" x14ac:dyDescent="0.2">
      <c r="B3" s="24"/>
      <c r="C3" s="25"/>
      <c r="D3" s="5" t="s">
        <v>200</v>
      </c>
      <c r="E3" s="6" t="s">
        <v>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</row>
    <row r="4" spans="2:23" ht="69.75" customHeight="1" thickBot="1" x14ac:dyDescent="0.35">
      <c r="B4" s="591" t="s">
        <v>1</v>
      </c>
      <c r="C4" s="592"/>
      <c r="D4" s="8"/>
      <c r="E4" s="33" t="s">
        <v>201</v>
      </c>
      <c r="F4" s="34" t="s">
        <v>60</v>
      </c>
      <c r="G4" s="34" t="s">
        <v>202</v>
      </c>
      <c r="H4" s="34" t="s">
        <v>62</v>
      </c>
      <c r="I4" s="34" t="s">
        <v>63</v>
      </c>
      <c r="J4" s="34" t="s">
        <v>64</v>
      </c>
      <c r="K4" s="34" t="s">
        <v>65</v>
      </c>
      <c r="L4" s="34" t="s">
        <v>66</v>
      </c>
      <c r="M4" s="34" t="s">
        <v>67</v>
      </c>
      <c r="N4" s="34" t="s">
        <v>68</v>
      </c>
      <c r="O4" s="34" t="s">
        <v>69</v>
      </c>
      <c r="P4" s="34" t="s">
        <v>70</v>
      </c>
      <c r="Q4" s="34" t="s">
        <v>71</v>
      </c>
      <c r="R4" s="34" t="s">
        <v>72</v>
      </c>
      <c r="S4" s="34" t="s">
        <v>263</v>
      </c>
      <c r="T4" s="34"/>
      <c r="U4" s="34"/>
      <c r="V4" s="34" t="s">
        <v>25</v>
      </c>
      <c r="W4" s="35"/>
    </row>
    <row r="5" spans="2:23" ht="12.75" x14ac:dyDescent="0.2">
      <c r="B5" s="381">
        <v>1</v>
      </c>
      <c r="C5" s="399" t="s">
        <v>38</v>
      </c>
      <c r="D5" s="102">
        <v>2.07E-2</v>
      </c>
      <c r="E5" s="428">
        <v>0.08</v>
      </c>
      <c r="F5" s="429">
        <v>0.1</v>
      </c>
      <c r="G5" s="429">
        <v>0</v>
      </c>
      <c r="H5" s="429">
        <v>0.03</v>
      </c>
      <c r="I5" s="429">
        <v>0</v>
      </c>
      <c r="J5" s="429">
        <v>0.03</v>
      </c>
      <c r="K5" s="429">
        <v>0.03</v>
      </c>
      <c r="L5" s="429">
        <v>0.01</v>
      </c>
      <c r="M5" s="429">
        <v>0.03</v>
      </c>
      <c r="N5" s="429">
        <v>0.09</v>
      </c>
      <c r="O5" s="429">
        <v>0.24</v>
      </c>
      <c r="P5" s="429">
        <v>0.3</v>
      </c>
      <c r="Q5" s="429">
        <v>0.05</v>
      </c>
      <c r="R5" s="429">
        <v>0.01</v>
      </c>
      <c r="S5" s="429">
        <v>0</v>
      </c>
      <c r="T5" s="429">
        <v>0</v>
      </c>
      <c r="U5" s="429">
        <v>0</v>
      </c>
      <c r="V5" s="429">
        <v>0</v>
      </c>
      <c r="W5" s="430">
        <v>0</v>
      </c>
    </row>
    <row r="6" spans="2:23" ht="12.75" x14ac:dyDescent="0.2">
      <c r="B6" s="382">
        <v>2</v>
      </c>
      <c r="C6" s="400" t="s">
        <v>39</v>
      </c>
      <c r="D6" s="102">
        <v>2.07E-2</v>
      </c>
      <c r="E6" s="426">
        <v>0.09</v>
      </c>
      <c r="F6" s="427">
        <v>0.11</v>
      </c>
      <c r="G6" s="427">
        <v>0</v>
      </c>
      <c r="H6" s="427">
        <v>0.03</v>
      </c>
      <c r="I6" s="427">
        <v>0</v>
      </c>
      <c r="J6" s="427">
        <v>0.03</v>
      </c>
      <c r="K6" s="427">
        <v>0.03</v>
      </c>
      <c r="L6" s="427">
        <v>0.01</v>
      </c>
      <c r="M6" s="427">
        <v>0.05</v>
      </c>
      <c r="N6" s="427">
        <v>0.08</v>
      </c>
      <c r="O6" s="427">
        <v>0.25</v>
      </c>
      <c r="P6" s="427">
        <v>0.27</v>
      </c>
      <c r="Q6" s="427">
        <v>0.04</v>
      </c>
      <c r="R6" s="427">
        <v>0.01</v>
      </c>
      <c r="S6" s="427">
        <v>0</v>
      </c>
      <c r="T6" s="427">
        <v>0</v>
      </c>
      <c r="U6" s="427">
        <v>0</v>
      </c>
      <c r="V6" s="427">
        <v>0</v>
      </c>
      <c r="W6" s="431">
        <v>0</v>
      </c>
    </row>
    <row r="7" spans="2:23" ht="12.75" x14ac:dyDescent="0.2">
      <c r="B7" s="382">
        <v>3</v>
      </c>
      <c r="C7" s="400" t="s">
        <v>40</v>
      </c>
      <c r="D7" s="102">
        <v>2.4899999999999999E-2</v>
      </c>
      <c r="E7" s="426">
        <v>0.09</v>
      </c>
      <c r="F7" s="427">
        <v>0.11</v>
      </c>
      <c r="G7" s="427">
        <v>0</v>
      </c>
      <c r="H7" s="427">
        <v>0.03</v>
      </c>
      <c r="I7" s="427">
        <v>0</v>
      </c>
      <c r="J7" s="427">
        <v>0.03</v>
      </c>
      <c r="K7" s="427">
        <v>0.03</v>
      </c>
      <c r="L7" s="427">
        <v>0.01</v>
      </c>
      <c r="M7" s="427">
        <v>0.05</v>
      </c>
      <c r="N7" s="427">
        <v>0.08</v>
      </c>
      <c r="O7" s="427">
        <v>0.27</v>
      </c>
      <c r="P7" s="427">
        <v>0.25</v>
      </c>
      <c r="Q7" s="427">
        <v>0.04</v>
      </c>
      <c r="R7" s="427">
        <v>0.01</v>
      </c>
      <c r="S7" s="427">
        <v>0</v>
      </c>
      <c r="T7" s="427">
        <v>0</v>
      </c>
      <c r="U7" s="427">
        <v>0</v>
      </c>
      <c r="V7" s="427">
        <v>0</v>
      </c>
      <c r="W7" s="431">
        <v>0</v>
      </c>
    </row>
    <row r="8" spans="2:23" ht="12.75" x14ac:dyDescent="0.2">
      <c r="B8" s="382">
        <v>4</v>
      </c>
      <c r="C8" s="400" t="s">
        <v>41</v>
      </c>
      <c r="D8" s="102">
        <v>2.4899999999999999E-2</v>
      </c>
      <c r="E8" s="426">
        <v>0.09</v>
      </c>
      <c r="F8" s="427">
        <v>0.11</v>
      </c>
      <c r="G8" s="427">
        <v>0</v>
      </c>
      <c r="H8" s="427">
        <v>0.03</v>
      </c>
      <c r="I8" s="427">
        <v>0</v>
      </c>
      <c r="J8" s="427">
        <v>0.03</v>
      </c>
      <c r="K8" s="427">
        <v>0.03</v>
      </c>
      <c r="L8" s="427">
        <v>0.01</v>
      </c>
      <c r="M8" s="427">
        <v>0.05</v>
      </c>
      <c r="N8" s="427">
        <v>0.09</v>
      </c>
      <c r="O8" s="427">
        <v>0.28000000000000003</v>
      </c>
      <c r="P8" s="427">
        <v>0.23</v>
      </c>
      <c r="Q8" s="427">
        <v>0.04</v>
      </c>
      <c r="R8" s="427">
        <v>0.01</v>
      </c>
      <c r="S8" s="427">
        <v>0</v>
      </c>
      <c r="T8" s="427">
        <v>0</v>
      </c>
      <c r="U8" s="427">
        <v>0</v>
      </c>
      <c r="V8" s="427">
        <v>0</v>
      </c>
      <c r="W8" s="431">
        <v>0</v>
      </c>
    </row>
    <row r="9" spans="2:23" ht="12.75" x14ac:dyDescent="0.2">
      <c r="B9" s="382">
        <v>5</v>
      </c>
      <c r="C9" s="400" t="s">
        <v>42</v>
      </c>
      <c r="D9" s="102">
        <v>0</v>
      </c>
      <c r="E9" s="426">
        <v>0</v>
      </c>
      <c r="F9" s="427">
        <v>0.04</v>
      </c>
      <c r="G9" s="427">
        <v>0.28000000000000003</v>
      </c>
      <c r="H9" s="427">
        <v>0.02</v>
      </c>
      <c r="I9" s="427">
        <v>0</v>
      </c>
      <c r="J9" s="427">
        <v>0.05</v>
      </c>
      <c r="K9" s="427">
        <v>0.1</v>
      </c>
      <c r="L9" s="427">
        <v>0.01</v>
      </c>
      <c r="M9" s="427">
        <v>0.09</v>
      </c>
      <c r="N9" s="427">
        <v>0.09</v>
      </c>
      <c r="O9" s="427">
        <v>0.24</v>
      </c>
      <c r="P9" s="427">
        <v>0.05</v>
      </c>
      <c r="Q9" s="427">
        <v>0.02</v>
      </c>
      <c r="R9" s="427">
        <v>0.01</v>
      </c>
      <c r="S9" s="427">
        <v>0</v>
      </c>
      <c r="T9" s="427">
        <v>0</v>
      </c>
      <c r="U9" s="427">
        <v>0</v>
      </c>
      <c r="V9" s="427">
        <v>0</v>
      </c>
      <c r="W9" s="431">
        <v>0</v>
      </c>
    </row>
    <row r="10" spans="2:23" ht="12.75" x14ac:dyDescent="0.2">
      <c r="B10" s="382">
        <v>6</v>
      </c>
      <c r="C10" s="400" t="s">
        <v>43</v>
      </c>
      <c r="D10" s="102">
        <v>1.72E-2</v>
      </c>
      <c r="E10" s="426">
        <v>0.06</v>
      </c>
      <c r="F10" s="427">
        <v>0.05</v>
      </c>
      <c r="G10" s="427">
        <v>0</v>
      </c>
      <c r="H10" s="427">
        <v>0.08</v>
      </c>
      <c r="I10" s="427">
        <v>0</v>
      </c>
      <c r="J10" s="427">
        <v>0.03</v>
      </c>
      <c r="K10" s="427">
        <v>0.01</v>
      </c>
      <c r="L10" s="427">
        <v>0.01</v>
      </c>
      <c r="M10" s="427">
        <v>0.09</v>
      </c>
      <c r="N10" s="427">
        <v>0.14000000000000001</v>
      </c>
      <c r="O10" s="427">
        <v>0.12</v>
      </c>
      <c r="P10" s="427">
        <v>0.21</v>
      </c>
      <c r="Q10" s="427">
        <v>0.19</v>
      </c>
      <c r="R10" s="427">
        <v>0.01</v>
      </c>
      <c r="S10" s="427">
        <v>0</v>
      </c>
      <c r="T10" s="427">
        <v>0</v>
      </c>
      <c r="U10" s="427">
        <v>0</v>
      </c>
      <c r="V10" s="427">
        <v>0</v>
      </c>
      <c r="W10" s="431">
        <v>0</v>
      </c>
    </row>
    <row r="11" spans="2:23" ht="12.75" x14ac:dyDescent="0.2">
      <c r="B11" s="382">
        <v>7</v>
      </c>
      <c r="C11" s="400" t="s">
        <v>44</v>
      </c>
      <c r="D11" s="102">
        <v>1.44E-2</v>
      </c>
      <c r="E11" s="426">
        <v>0.02</v>
      </c>
      <c r="F11" s="427">
        <v>0.05</v>
      </c>
      <c r="G11" s="427">
        <v>0.04</v>
      </c>
      <c r="H11" s="427">
        <v>0.08</v>
      </c>
      <c r="I11" s="427">
        <v>7.0000000000000007E-2</v>
      </c>
      <c r="J11" s="427">
        <v>7.0000000000000007E-2</v>
      </c>
      <c r="K11" s="427">
        <v>0.06</v>
      </c>
      <c r="L11" s="427">
        <v>0.02</v>
      </c>
      <c r="M11" s="427">
        <v>0.05</v>
      </c>
      <c r="N11" s="427">
        <v>0.05</v>
      </c>
      <c r="O11" s="427">
        <v>0.1</v>
      </c>
      <c r="P11" s="427">
        <v>0.28000000000000003</v>
      </c>
      <c r="Q11" s="427">
        <v>0.1</v>
      </c>
      <c r="R11" s="427">
        <v>0.01</v>
      </c>
      <c r="S11" s="427">
        <v>0</v>
      </c>
      <c r="T11" s="427">
        <v>0</v>
      </c>
      <c r="U11" s="427">
        <v>0</v>
      </c>
      <c r="V11" s="427">
        <v>0</v>
      </c>
      <c r="W11" s="431">
        <v>0</v>
      </c>
    </row>
    <row r="12" spans="2:23" ht="12.75" x14ac:dyDescent="0.2">
      <c r="B12" s="382" t="s">
        <v>203</v>
      </c>
      <c r="C12" s="400" t="s">
        <v>45</v>
      </c>
      <c r="D12" s="102">
        <v>1.44E-2</v>
      </c>
      <c r="E12" s="426">
        <v>0.01</v>
      </c>
      <c r="F12" s="427">
        <v>0.08</v>
      </c>
      <c r="G12" s="427">
        <v>0.06</v>
      </c>
      <c r="H12" s="427">
        <v>0.01</v>
      </c>
      <c r="I12" s="427">
        <v>0.15</v>
      </c>
      <c r="J12" s="427">
        <v>0.1</v>
      </c>
      <c r="K12" s="427">
        <v>0.06</v>
      </c>
      <c r="L12" s="427">
        <v>0.04</v>
      </c>
      <c r="M12" s="427">
        <v>0.12</v>
      </c>
      <c r="N12" s="427">
        <v>0.06</v>
      </c>
      <c r="O12" s="427">
        <v>0.08</v>
      </c>
      <c r="P12" s="427">
        <v>0.17</v>
      </c>
      <c r="Q12" s="427">
        <v>0.05</v>
      </c>
      <c r="R12" s="427">
        <v>0.01</v>
      </c>
      <c r="S12" s="427">
        <v>0</v>
      </c>
      <c r="T12" s="427">
        <v>0</v>
      </c>
      <c r="U12" s="427">
        <v>0</v>
      </c>
      <c r="V12" s="427">
        <v>0</v>
      </c>
      <c r="W12" s="431">
        <v>0</v>
      </c>
    </row>
    <row r="13" spans="2:23" ht="12.75" x14ac:dyDescent="0.2">
      <c r="B13" s="382">
        <v>8</v>
      </c>
      <c r="C13" s="400" t="s">
        <v>46</v>
      </c>
      <c r="D13" s="102">
        <v>2.46E-2</v>
      </c>
      <c r="E13" s="426">
        <v>0.02</v>
      </c>
      <c r="F13" s="427">
        <v>0.05</v>
      </c>
      <c r="G13" s="427">
        <v>0.04</v>
      </c>
      <c r="H13" s="427">
        <v>0.08</v>
      </c>
      <c r="I13" s="427">
        <v>0.08</v>
      </c>
      <c r="J13" s="427">
        <v>0.08</v>
      </c>
      <c r="K13" s="427">
        <v>0.06</v>
      </c>
      <c r="L13" s="427">
        <v>0.02</v>
      </c>
      <c r="M13" s="427">
        <v>0.06</v>
      </c>
      <c r="N13" s="427">
        <v>0.04</v>
      </c>
      <c r="O13" s="427">
        <v>7.0000000000000007E-2</v>
      </c>
      <c r="P13" s="427">
        <v>0.28000000000000003</v>
      </c>
      <c r="Q13" s="427">
        <v>0.11</v>
      </c>
      <c r="R13" s="427">
        <v>0.01</v>
      </c>
      <c r="S13" s="427">
        <v>0</v>
      </c>
      <c r="T13" s="427">
        <v>0</v>
      </c>
      <c r="U13" s="427">
        <v>0</v>
      </c>
      <c r="V13" s="427">
        <v>0</v>
      </c>
      <c r="W13" s="431">
        <v>0</v>
      </c>
    </row>
    <row r="14" spans="2:23" ht="12.75" x14ac:dyDescent="0.2">
      <c r="B14" s="382" t="s">
        <v>204</v>
      </c>
      <c r="C14" s="400" t="s">
        <v>45</v>
      </c>
      <c r="D14" s="102">
        <v>2.46E-2</v>
      </c>
      <c r="E14" s="426">
        <v>0.01</v>
      </c>
      <c r="F14" s="427">
        <v>7.0000000000000007E-2</v>
      </c>
      <c r="G14" s="427">
        <v>0.05</v>
      </c>
      <c r="H14" s="427">
        <v>0.01</v>
      </c>
      <c r="I14" s="427">
        <v>0.12</v>
      </c>
      <c r="J14" s="427">
        <v>0.1</v>
      </c>
      <c r="K14" s="427">
        <v>0.06</v>
      </c>
      <c r="L14" s="427">
        <v>0.04</v>
      </c>
      <c r="M14" s="427">
        <v>0.04</v>
      </c>
      <c r="N14" s="427">
        <v>0.04</v>
      </c>
      <c r="O14" s="427">
        <v>0.06</v>
      </c>
      <c r="P14" s="427">
        <v>0.28000000000000003</v>
      </c>
      <c r="Q14" s="427">
        <v>0.11</v>
      </c>
      <c r="R14" s="427">
        <v>0.01</v>
      </c>
      <c r="S14" s="427">
        <v>0</v>
      </c>
      <c r="T14" s="427">
        <v>0</v>
      </c>
      <c r="U14" s="427">
        <v>0</v>
      </c>
      <c r="V14" s="427">
        <v>0</v>
      </c>
      <c r="W14" s="431">
        <v>0</v>
      </c>
    </row>
    <row r="15" spans="2:23" ht="12.75" x14ac:dyDescent="0.2">
      <c r="B15" s="382">
        <v>9</v>
      </c>
      <c r="C15" s="400" t="s">
        <v>47</v>
      </c>
      <c r="D15" s="102">
        <v>2.46E-2</v>
      </c>
      <c r="E15" s="426">
        <v>0.01</v>
      </c>
      <c r="F15" s="427">
        <v>0.04</v>
      </c>
      <c r="G15" s="427">
        <v>0.03</v>
      </c>
      <c r="H15" s="427">
        <v>0.05</v>
      </c>
      <c r="I15" s="427">
        <v>0.04</v>
      </c>
      <c r="J15" s="427">
        <v>0.06</v>
      </c>
      <c r="K15" s="427">
        <v>0.06</v>
      </c>
      <c r="L15" s="427">
        <v>0.01</v>
      </c>
      <c r="M15" s="427">
        <v>0.04</v>
      </c>
      <c r="N15" s="427">
        <v>7.0000000000000007E-2</v>
      </c>
      <c r="O15" s="427">
        <v>7.0000000000000007E-2</v>
      </c>
      <c r="P15" s="427">
        <v>0.35</v>
      </c>
      <c r="Q15" s="427">
        <v>0.16</v>
      </c>
      <c r="R15" s="427">
        <v>0.01</v>
      </c>
      <c r="S15" s="427">
        <v>0</v>
      </c>
      <c r="T15" s="427">
        <v>0</v>
      </c>
      <c r="U15" s="427">
        <v>0</v>
      </c>
      <c r="V15" s="427">
        <v>0</v>
      </c>
      <c r="W15" s="431">
        <v>0</v>
      </c>
    </row>
    <row r="16" spans="2:23" ht="12.75" x14ac:dyDescent="0.2">
      <c r="B16" s="382">
        <v>10</v>
      </c>
      <c r="C16" s="400" t="s">
        <v>48</v>
      </c>
      <c r="D16" s="102">
        <v>2.46E-2</v>
      </c>
      <c r="E16" s="426">
        <v>0</v>
      </c>
      <c r="F16" s="427">
        <v>0.11</v>
      </c>
      <c r="G16" s="427">
        <v>0.09</v>
      </c>
      <c r="H16" s="427">
        <v>0.06</v>
      </c>
      <c r="I16" s="427">
        <v>0</v>
      </c>
      <c r="J16" s="427">
        <v>0.27</v>
      </c>
      <c r="K16" s="427">
        <v>0.19</v>
      </c>
      <c r="L16" s="427">
        <v>0.08</v>
      </c>
      <c r="M16" s="427">
        <v>0.04</v>
      </c>
      <c r="N16" s="427">
        <v>0.01</v>
      </c>
      <c r="O16" s="427">
        <v>0.1</v>
      </c>
      <c r="P16" s="427">
        <v>0.03</v>
      </c>
      <c r="Q16" s="427">
        <v>0.01</v>
      </c>
      <c r="R16" s="427">
        <v>0.01</v>
      </c>
      <c r="S16" s="427">
        <v>0</v>
      </c>
      <c r="T16" s="427">
        <v>0</v>
      </c>
      <c r="U16" s="427">
        <v>0</v>
      </c>
      <c r="V16" s="427">
        <v>0</v>
      </c>
      <c r="W16" s="431">
        <v>0</v>
      </c>
    </row>
    <row r="17" spans="2:23" ht="12.75" x14ac:dyDescent="0.2">
      <c r="B17" s="382">
        <v>11</v>
      </c>
      <c r="C17" s="400" t="s">
        <v>49</v>
      </c>
      <c r="D17" s="102">
        <v>2.46E-2</v>
      </c>
      <c r="E17" s="426">
        <v>0</v>
      </c>
      <c r="F17" s="427">
        <v>0.11</v>
      </c>
      <c r="G17" s="427">
        <v>0.09</v>
      </c>
      <c r="H17" s="427">
        <v>0.04</v>
      </c>
      <c r="I17" s="427">
        <v>0</v>
      </c>
      <c r="J17" s="427">
        <v>0.27</v>
      </c>
      <c r="K17" s="427">
        <v>0.15</v>
      </c>
      <c r="L17" s="427">
        <v>0.08</v>
      </c>
      <c r="M17" s="427">
        <v>0.04</v>
      </c>
      <c r="N17" s="427">
        <v>0.01</v>
      </c>
      <c r="O17" s="427">
        <v>0.11</v>
      </c>
      <c r="P17" s="427">
        <v>0.08</v>
      </c>
      <c r="Q17" s="427">
        <v>0.01</v>
      </c>
      <c r="R17" s="427">
        <v>0.01</v>
      </c>
      <c r="S17" s="427">
        <v>0</v>
      </c>
      <c r="T17" s="427">
        <v>0</v>
      </c>
      <c r="U17" s="427">
        <v>0</v>
      </c>
      <c r="V17" s="427">
        <v>0</v>
      </c>
      <c r="W17" s="431">
        <v>0</v>
      </c>
    </row>
    <row r="18" spans="2:23" ht="12.75" x14ac:dyDescent="0.2">
      <c r="B18" s="382">
        <v>12</v>
      </c>
      <c r="C18" s="400" t="s">
        <v>50</v>
      </c>
      <c r="D18" s="102">
        <v>2.46E-2</v>
      </c>
      <c r="E18" s="426">
        <v>0</v>
      </c>
      <c r="F18" s="427">
        <v>0.02</v>
      </c>
      <c r="G18" s="427">
        <v>0.06</v>
      </c>
      <c r="H18" s="427">
        <v>0</v>
      </c>
      <c r="I18" s="427">
        <v>0.02</v>
      </c>
      <c r="J18" s="427">
        <v>0.1</v>
      </c>
      <c r="K18" s="427">
        <v>0.06</v>
      </c>
      <c r="L18" s="427">
        <v>0</v>
      </c>
      <c r="M18" s="427">
        <v>0.12</v>
      </c>
      <c r="N18" s="427">
        <v>0.01</v>
      </c>
      <c r="O18" s="427">
        <v>0.06</v>
      </c>
      <c r="P18" s="427">
        <v>0.4</v>
      </c>
      <c r="Q18" s="427">
        <v>0.14000000000000001</v>
      </c>
      <c r="R18" s="427">
        <v>0.01</v>
      </c>
      <c r="S18" s="427">
        <v>0</v>
      </c>
      <c r="T18" s="427">
        <v>0</v>
      </c>
      <c r="U18" s="427">
        <v>0</v>
      </c>
      <c r="V18" s="427">
        <v>0</v>
      </c>
      <c r="W18" s="431">
        <v>0</v>
      </c>
    </row>
    <row r="19" spans="2:23" ht="12.75" x14ac:dyDescent="0.2">
      <c r="B19" s="382">
        <v>13</v>
      </c>
      <c r="C19" s="400" t="s">
        <v>51</v>
      </c>
      <c r="D19" s="102">
        <v>2.46E-2</v>
      </c>
      <c r="E19" s="426">
        <v>0</v>
      </c>
      <c r="F19" s="427">
        <v>0.02</v>
      </c>
      <c r="G19" s="427">
        <v>0.06</v>
      </c>
      <c r="H19" s="427">
        <v>0</v>
      </c>
      <c r="I19" s="427">
        <v>0.02</v>
      </c>
      <c r="J19" s="427">
        <v>0.1</v>
      </c>
      <c r="K19" s="427">
        <v>0.06</v>
      </c>
      <c r="L19" s="427">
        <v>0</v>
      </c>
      <c r="M19" s="427">
        <v>0.12</v>
      </c>
      <c r="N19" s="427">
        <v>0.01</v>
      </c>
      <c r="O19" s="427">
        <v>0.06</v>
      </c>
      <c r="P19" s="427">
        <v>0.35</v>
      </c>
      <c r="Q19" s="427">
        <v>0.19</v>
      </c>
      <c r="R19" s="427">
        <v>0.01</v>
      </c>
      <c r="S19" s="427">
        <v>0</v>
      </c>
      <c r="T19" s="427">
        <v>0</v>
      </c>
      <c r="U19" s="427">
        <v>0</v>
      </c>
      <c r="V19" s="427">
        <v>0</v>
      </c>
      <c r="W19" s="431">
        <v>0</v>
      </c>
    </row>
    <row r="20" spans="2:23" ht="12.75" x14ac:dyDescent="0.2">
      <c r="B20" s="382">
        <v>14</v>
      </c>
      <c r="C20" s="400" t="s">
        <v>52</v>
      </c>
      <c r="D20" s="102">
        <v>2.46E-2</v>
      </c>
      <c r="E20" s="426">
        <v>0.06</v>
      </c>
      <c r="F20" s="427">
        <v>0.05</v>
      </c>
      <c r="G20" s="427">
        <v>7.0000000000000007E-2</v>
      </c>
      <c r="H20" s="427">
        <v>0.1</v>
      </c>
      <c r="I20" s="427">
        <v>0.04</v>
      </c>
      <c r="J20" s="427">
        <v>0.05</v>
      </c>
      <c r="K20" s="427">
        <v>0.06</v>
      </c>
      <c r="L20" s="427">
        <v>0.02</v>
      </c>
      <c r="M20" s="427">
        <v>0.15</v>
      </c>
      <c r="N20" s="427">
        <v>0.04</v>
      </c>
      <c r="O20" s="427">
        <v>7.0000000000000007E-2</v>
      </c>
      <c r="P20" s="427">
        <v>0.2</v>
      </c>
      <c r="Q20" s="427">
        <v>0.08</v>
      </c>
      <c r="R20" s="427">
        <v>0.01</v>
      </c>
      <c r="S20" s="427">
        <v>0</v>
      </c>
      <c r="T20" s="427">
        <v>0</v>
      </c>
      <c r="U20" s="427">
        <v>0</v>
      </c>
      <c r="V20" s="427">
        <v>0</v>
      </c>
      <c r="W20" s="431">
        <v>0</v>
      </c>
    </row>
    <row r="21" spans="2:23" ht="12.75" x14ac:dyDescent="0.2">
      <c r="B21" s="382">
        <v>15</v>
      </c>
      <c r="C21" s="400" t="s">
        <v>264</v>
      </c>
      <c r="D21" s="102">
        <v>0</v>
      </c>
      <c r="E21" s="426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1</v>
      </c>
      <c r="T21" s="427">
        <v>0</v>
      </c>
      <c r="U21" s="427">
        <v>0</v>
      </c>
      <c r="V21" s="427">
        <v>0</v>
      </c>
      <c r="W21" s="431">
        <v>0</v>
      </c>
    </row>
    <row r="22" spans="2:23" ht="12.75" x14ac:dyDescent="0.2">
      <c r="B22" s="382">
        <v>16</v>
      </c>
      <c r="C22" s="400"/>
      <c r="D22" s="102">
        <v>0</v>
      </c>
      <c r="E22" s="426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31">
        <v>0</v>
      </c>
    </row>
    <row r="23" spans="2:23" ht="12.75" x14ac:dyDescent="0.2">
      <c r="B23" s="382">
        <v>17</v>
      </c>
      <c r="C23" s="400"/>
      <c r="D23" s="102">
        <v>0</v>
      </c>
      <c r="E23" s="426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31">
        <v>0</v>
      </c>
    </row>
    <row r="24" spans="2:23" ht="12.75" x14ac:dyDescent="0.2">
      <c r="B24" s="382">
        <v>18</v>
      </c>
      <c r="C24" s="400" t="s">
        <v>25</v>
      </c>
      <c r="D24" s="102">
        <v>0</v>
      </c>
      <c r="E24" s="426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1</v>
      </c>
      <c r="W24" s="431">
        <v>0</v>
      </c>
    </row>
    <row r="25" spans="2:23" ht="12.75" x14ac:dyDescent="0.2">
      <c r="B25" s="382">
        <v>19</v>
      </c>
      <c r="C25" s="400"/>
      <c r="D25" s="102">
        <v>0</v>
      </c>
      <c r="E25" s="426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31">
        <v>0</v>
      </c>
    </row>
    <row r="26" spans="2:23" ht="12.75" x14ac:dyDescent="0.2">
      <c r="B26" s="382">
        <v>20</v>
      </c>
      <c r="C26" s="487"/>
      <c r="D26" s="102">
        <v>0</v>
      </c>
      <c r="E26" s="426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31">
        <v>0</v>
      </c>
    </row>
    <row r="27" spans="2:23" ht="12.75" x14ac:dyDescent="0.2">
      <c r="B27" s="382">
        <v>21</v>
      </c>
      <c r="C27" s="487"/>
      <c r="D27" s="102">
        <v>0</v>
      </c>
      <c r="E27" s="426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31">
        <v>0</v>
      </c>
    </row>
    <row r="28" spans="2:23" ht="12.75" x14ac:dyDescent="0.2">
      <c r="B28" s="382">
        <v>22</v>
      </c>
      <c r="C28" s="487"/>
      <c r="D28" s="102">
        <v>0</v>
      </c>
      <c r="E28" s="426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27">
        <v>0</v>
      </c>
      <c r="U28" s="427">
        <v>0</v>
      </c>
      <c r="V28" s="427">
        <v>0</v>
      </c>
      <c r="W28" s="431">
        <v>0</v>
      </c>
    </row>
    <row r="29" spans="2:23" ht="12.75" x14ac:dyDescent="0.2">
      <c r="B29" s="382">
        <v>23</v>
      </c>
      <c r="C29" s="487"/>
      <c r="D29" s="102">
        <v>0</v>
      </c>
      <c r="E29" s="426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31">
        <v>0</v>
      </c>
    </row>
    <row r="30" spans="2:23" ht="12.75" x14ac:dyDescent="0.2">
      <c r="B30" s="382">
        <v>24</v>
      </c>
      <c r="C30" s="487"/>
      <c r="D30" s="102">
        <v>0</v>
      </c>
      <c r="E30" s="426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27">
        <v>0</v>
      </c>
      <c r="U30" s="427">
        <v>0</v>
      </c>
      <c r="V30" s="427">
        <v>0</v>
      </c>
      <c r="W30" s="431">
        <v>0</v>
      </c>
    </row>
    <row r="31" spans="2:23" ht="12.75" x14ac:dyDescent="0.2">
      <c r="B31" s="382">
        <v>25</v>
      </c>
      <c r="C31" s="487"/>
      <c r="D31" s="102">
        <v>0</v>
      </c>
      <c r="E31" s="426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27">
        <v>0</v>
      </c>
      <c r="U31" s="427">
        <v>0</v>
      </c>
      <c r="V31" s="427">
        <v>0</v>
      </c>
      <c r="W31" s="431">
        <v>0</v>
      </c>
    </row>
    <row r="32" spans="2:23" ht="12.75" x14ac:dyDescent="0.2">
      <c r="B32" s="382">
        <v>26</v>
      </c>
      <c r="C32" s="473"/>
      <c r="D32" s="102">
        <v>0</v>
      </c>
      <c r="E32" s="426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27">
        <v>0</v>
      </c>
      <c r="U32" s="427">
        <v>0</v>
      </c>
      <c r="V32" s="427">
        <v>0</v>
      </c>
      <c r="W32" s="431">
        <v>0</v>
      </c>
    </row>
    <row r="33" spans="2:36" ht="12.75" x14ac:dyDescent="0.2">
      <c r="B33" s="382">
        <v>27</v>
      </c>
      <c r="C33" s="473"/>
      <c r="D33" s="102">
        <v>0</v>
      </c>
      <c r="E33" s="426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27">
        <v>0</v>
      </c>
      <c r="U33" s="427">
        <v>0</v>
      </c>
      <c r="V33" s="427">
        <v>0</v>
      </c>
      <c r="W33" s="431">
        <v>0</v>
      </c>
    </row>
    <row r="34" spans="2:36" ht="12.75" x14ac:dyDescent="0.2">
      <c r="B34" s="382">
        <v>28</v>
      </c>
      <c r="C34" s="400"/>
      <c r="D34" s="102">
        <v>0</v>
      </c>
      <c r="E34" s="426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27">
        <v>0</v>
      </c>
      <c r="U34" s="427">
        <v>0</v>
      </c>
      <c r="V34" s="427">
        <v>0</v>
      </c>
      <c r="W34" s="431">
        <v>0</v>
      </c>
    </row>
    <row r="35" spans="2:36" ht="13.5" thickBot="1" x14ac:dyDescent="0.25">
      <c r="B35" s="383">
        <v>29</v>
      </c>
      <c r="C35" s="401"/>
      <c r="D35" s="103">
        <v>0</v>
      </c>
      <c r="E35" s="488">
        <v>0</v>
      </c>
      <c r="F35" s="489">
        <v>0</v>
      </c>
      <c r="G35" s="489">
        <v>0</v>
      </c>
      <c r="H35" s="489">
        <v>0</v>
      </c>
      <c r="I35" s="489">
        <v>0</v>
      </c>
      <c r="J35" s="489">
        <v>0</v>
      </c>
      <c r="K35" s="489">
        <v>0</v>
      </c>
      <c r="L35" s="489">
        <v>0</v>
      </c>
      <c r="M35" s="489">
        <v>0</v>
      </c>
      <c r="N35" s="489">
        <v>0</v>
      </c>
      <c r="O35" s="489">
        <v>0</v>
      </c>
      <c r="P35" s="489">
        <v>0</v>
      </c>
      <c r="Q35" s="489">
        <v>0</v>
      </c>
      <c r="R35" s="489">
        <v>0</v>
      </c>
      <c r="S35" s="489">
        <v>0</v>
      </c>
      <c r="T35" s="489">
        <v>0</v>
      </c>
      <c r="U35" s="489">
        <v>0</v>
      </c>
      <c r="V35" s="489">
        <v>0</v>
      </c>
      <c r="W35" s="490">
        <v>0</v>
      </c>
    </row>
    <row r="37" spans="2:36" ht="13.5" thickBot="1" x14ac:dyDescent="0.25">
      <c r="B37" s="12" t="s">
        <v>32</v>
      </c>
      <c r="N37" s="12" t="s">
        <v>257</v>
      </c>
      <c r="AA37" s="12" t="s">
        <v>21</v>
      </c>
    </row>
    <row r="38" spans="2:36" ht="45.75" customHeight="1" thickBot="1" x14ac:dyDescent="0.35">
      <c r="B38" s="14"/>
      <c r="C38" s="11"/>
      <c r="D38" s="36">
        <f>DATE(VALUE(RIGHT(B66,2))+2000,6,1)</f>
        <v>41426</v>
      </c>
      <c r="E38" s="36">
        <f>DATE(YEAR(D38)+1,6,1)</f>
        <v>41791</v>
      </c>
      <c r="F38" s="36">
        <f t="shared" ref="F38:L38" si="0">DATE(YEAR(E38)+1,6,1)</f>
        <v>42156</v>
      </c>
      <c r="G38" s="36">
        <f t="shared" si="0"/>
        <v>42522</v>
      </c>
      <c r="H38" s="36">
        <f t="shared" si="0"/>
        <v>42887</v>
      </c>
      <c r="I38" s="36">
        <f t="shared" si="0"/>
        <v>43252</v>
      </c>
      <c r="J38" s="36">
        <f t="shared" si="0"/>
        <v>43617</v>
      </c>
      <c r="K38" s="36">
        <f t="shared" si="0"/>
        <v>43983</v>
      </c>
      <c r="L38" s="37">
        <f t="shared" si="0"/>
        <v>44348</v>
      </c>
      <c r="N38" s="14"/>
      <c r="O38" s="10"/>
      <c r="P38" s="11"/>
      <c r="Q38" s="36">
        <f t="array" ref="Q38:Y38">D38:L38</f>
        <v>41426</v>
      </c>
      <c r="R38" s="36">
        <v>41791</v>
      </c>
      <c r="S38" s="36">
        <v>42156</v>
      </c>
      <c r="T38" s="36">
        <v>42522</v>
      </c>
      <c r="U38" s="36">
        <v>42887</v>
      </c>
      <c r="V38" s="36">
        <v>43252</v>
      </c>
      <c r="W38" s="36">
        <v>43617</v>
      </c>
      <c r="X38" s="36">
        <v>43983</v>
      </c>
      <c r="Y38" s="37">
        <v>44348</v>
      </c>
      <c r="AA38" s="52" t="s">
        <v>80</v>
      </c>
      <c r="AB38" s="10" t="s">
        <v>242</v>
      </c>
      <c r="AC38" s="11"/>
    </row>
    <row r="39" spans="2:36" ht="14.4" thickBot="1" x14ac:dyDescent="0.35">
      <c r="B39" s="9" t="s">
        <v>11</v>
      </c>
      <c r="C39" s="8"/>
      <c r="D39" s="253">
        <f>102.8/100.4-1</f>
        <v>2.3904382470119501E-2</v>
      </c>
      <c r="E39" s="253">
        <v>2.5000000000000001E-2</v>
      </c>
      <c r="F39" s="253"/>
      <c r="G39" s="253"/>
      <c r="H39" s="253"/>
      <c r="I39" s="253"/>
      <c r="J39" s="253"/>
      <c r="K39" s="253"/>
      <c r="L39" s="103"/>
      <c r="N39" s="9" t="s">
        <v>11</v>
      </c>
      <c r="O39" s="7"/>
      <c r="P39" s="8"/>
      <c r="Q39" s="254">
        <f>D39</f>
        <v>2.3904382470119501E-2</v>
      </c>
      <c r="R39" s="255">
        <f t="shared" ref="R39:Y39" si="1">(1+Q39)*(1+E39)-1</f>
        <v>4.9501992031872444E-2</v>
      </c>
      <c r="S39" s="255">
        <f t="shared" si="1"/>
        <v>4.9501992031872444E-2</v>
      </c>
      <c r="T39" s="255">
        <f t="shared" si="1"/>
        <v>4.9501992031872444E-2</v>
      </c>
      <c r="U39" s="255">
        <f t="shared" si="1"/>
        <v>4.9501992031872444E-2</v>
      </c>
      <c r="V39" s="255">
        <f t="shared" si="1"/>
        <v>4.9501992031872444E-2</v>
      </c>
      <c r="W39" s="255">
        <f t="shared" si="1"/>
        <v>4.9501992031872444E-2</v>
      </c>
      <c r="X39" s="255">
        <f t="shared" si="1"/>
        <v>4.9501992031872444E-2</v>
      </c>
      <c r="Y39" s="256">
        <f t="shared" si="1"/>
        <v>4.9501992031872444E-2</v>
      </c>
      <c r="AA39" s="18">
        <v>2014</v>
      </c>
      <c r="AB39" s="266">
        <f>INDEX(Q39:Y39,MATCH(DATEVALUE("Jun-" &amp; AA39),Q38:Y38,0))</f>
        <v>4.9501992031872444E-2</v>
      </c>
      <c r="AC39" s="8"/>
    </row>
    <row r="40" spans="2:36" x14ac:dyDescent="0.3">
      <c r="B40" s="21"/>
      <c r="C40" s="21"/>
      <c r="N40" s="21"/>
      <c r="O40" s="21"/>
    </row>
    <row r="41" spans="2:36" ht="14.4" thickBot="1" x14ac:dyDescent="0.35">
      <c r="B41" s="22" t="s">
        <v>208</v>
      </c>
      <c r="C41" s="22"/>
      <c r="N41" s="22" t="s">
        <v>241</v>
      </c>
      <c r="O41" s="21"/>
      <c r="AA41" s="12" t="s">
        <v>14</v>
      </c>
    </row>
    <row r="42" spans="2:36" ht="47.25" customHeight="1" thickBot="1" x14ac:dyDescent="0.35">
      <c r="B42" s="14" t="s">
        <v>22</v>
      </c>
      <c r="C42" s="11"/>
      <c r="D42" s="36">
        <f>DATE(VALUE(LEFT(B66,4)),12,1)</f>
        <v>41244</v>
      </c>
      <c r="E42" s="36">
        <f>DATE(YEAR(D42)+1,12,1)</f>
        <v>41609</v>
      </c>
      <c r="F42" s="36">
        <f t="shared" ref="F42:L42" si="2">DATE(YEAR(E42)+1,12,1)</f>
        <v>41974</v>
      </c>
      <c r="G42" s="36">
        <f t="shared" si="2"/>
        <v>42339</v>
      </c>
      <c r="H42" s="36">
        <f t="shared" si="2"/>
        <v>42705</v>
      </c>
      <c r="I42" s="36">
        <f t="shared" si="2"/>
        <v>43070</v>
      </c>
      <c r="J42" s="36">
        <f t="shared" si="2"/>
        <v>43435</v>
      </c>
      <c r="K42" s="36">
        <f t="shared" si="2"/>
        <v>43800</v>
      </c>
      <c r="L42" s="37">
        <f t="shared" si="2"/>
        <v>44166</v>
      </c>
      <c r="N42" s="32" t="str">
        <f t="array" ref="N42:N61">B42:B61</f>
        <v>Component</v>
      </c>
      <c r="O42" s="10"/>
      <c r="P42" s="11"/>
      <c r="Q42" s="36">
        <f t="array" ref="Q42:Y42">D42:L42</f>
        <v>41244</v>
      </c>
      <c r="R42" s="36">
        <v>41609</v>
      </c>
      <c r="S42" s="36">
        <v>41974</v>
      </c>
      <c r="T42" s="36">
        <v>42339</v>
      </c>
      <c r="U42" s="36">
        <v>42705</v>
      </c>
      <c r="V42" s="36">
        <v>43070</v>
      </c>
      <c r="W42" s="36">
        <v>43435</v>
      </c>
      <c r="X42" s="36">
        <v>43800</v>
      </c>
      <c r="Y42" s="37">
        <v>44166</v>
      </c>
      <c r="AA42" s="17" t="s">
        <v>1</v>
      </c>
      <c r="AB42" s="36">
        <f t="array" ref="AB42:AJ42">Q42:Y42</f>
        <v>41244</v>
      </c>
      <c r="AC42" s="36">
        <v>41609</v>
      </c>
      <c r="AD42" s="36">
        <v>41974</v>
      </c>
      <c r="AE42" s="36">
        <v>42339</v>
      </c>
      <c r="AF42" s="36">
        <v>42705</v>
      </c>
      <c r="AG42" s="36">
        <v>43070</v>
      </c>
      <c r="AH42" s="36">
        <v>43435</v>
      </c>
      <c r="AI42" s="36">
        <v>43800</v>
      </c>
      <c r="AJ42" s="37">
        <v>44166</v>
      </c>
    </row>
    <row r="43" spans="2:36" x14ac:dyDescent="0.3">
      <c r="B43" s="29" t="str">
        <f t="array" ref="B43:B61">TRANSPOSE(E4:W4)</f>
        <v xml:space="preserve">Aluminium </v>
      </c>
      <c r="C43" s="5"/>
      <c r="D43" s="257">
        <f t="array" ref="D43:L61">EscalatorMapping!Q19:Y37</f>
        <v>8.8338397222655907E-3</v>
      </c>
      <c r="E43" s="258">
        <v>-1.5445821415727146E-3</v>
      </c>
      <c r="F43" s="258">
        <v>4.1751958245955789E-2</v>
      </c>
      <c r="G43" s="258">
        <v>5.8270620795483286E-2</v>
      </c>
      <c r="H43" s="258">
        <v>4.9503307791187723E-2</v>
      </c>
      <c r="I43" s="258">
        <v>4.1890387798669382E-2</v>
      </c>
      <c r="J43" s="258">
        <v>3.5936022222454955E-2</v>
      </c>
      <c r="K43" s="258">
        <v>0</v>
      </c>
      <c r="L43" s="259">
        <v>0</v>
      </c>
      <c r="N43" s="30" t="str">
        <v xml:space="preserve">Aluminium </v>
      </c>
      <c r="O43" s="21"/>
      <c r="P43" s="23"/>
      <c r="Q43" s="257">
        <f t="shared" ref="Q43:Q61" si="3">D43</f>
        <v>8.8338397222655907E-3</v>
      </c>
      <c r="R43" s="258">
        <f t="shared" ref="R43:Y43" si="4">(1+Q43)*(1+E43)-1</f>
        <v>7.2756129896163202E-3</v>
      </c>
      <c r="S43" s="258">
        <f t="shared" si="4"/>
        <v>4.933134232532832E-2</v>
      </c>
      <c r="T43" s="258">
        <f t="shared" si="4"/>
        <v>0.11047653106278288</v>
      </c>
      <c r="U43" s="258">
        <f t="shared" si="4"/>
        <v>0.16544879257487421</v>
      </c>
      <c r="V43" s="258">
        <f t="shared" si="4"/>
        <v>0.21426989445532674</v>
      </c>
      <c r="W43" s="258">
        <f t="shared" si="4"/>
        <v>0.25790592436653137</v>
      </c>
      <c r="X43" s="258">
        <f t="shared" si="4"/>
        <v>0.25790592436653137</v>
      </c>
      <c r="Y43" s="259">
        <f t="shared" si="4"/>
        <v>0.25790592436653137</v>
      </c>
      <c r="AA43" s="26">
        <f t="array" ref="AA43:AA73">B5:B35</f>
        <v>1</v>
      </c>
      <c r="AB43" s="267">
        <f t="shared" ref="AB43:AB73" si="5">MMULT($E5:$W5,Q$43:Q$61)</f>
        <v>1.7111456734021271E-2</v>
      </c>
      <c r="AC43" s="258">
        <f t="shared" ref="AC43:AC73" si="6">MMULT($E5:$W5,R$43:R$61)</f>
        <v>2.2904422442392637E-2</v>
      </c>
      <c r="AD43" s="258">
        <f t="shared" ref="AD43:AD73" si="7">MMULT($E5:$W5,S$43:S$61)</f>
        <v>2.7468112912126981E-2</v>
      </c>
      <c r="AE43" s="258">
        <f t="shared" ref="AE43:AE73" si="8">MMULT($E5:$W5,T$43:T$61)</f>
        <v>4.2541977957082831E-2</v>
      </c>
      <c r="AF43" s="258">
        <f t="shared" ref="AF43:AF73" si="9">MMULT($E5:$W5,U$43:U$61)</f>
        <v>5.7118119261853124E-2</v>
      </c>
      <c r="AG43" s="258">
        <f t="shared" ref="AG43:AG73" si="10">MMULT($E5:$W5,V$43:V$61)</f>
        <v>7.0732016315182361E-2</v>
      </c>
      <c r="AH43" s="258">
        <f t="shared" ref="AH43:AH73" si="11">MMULT($E5:$W5,W$43:W$61)</f>
        <v>8.2230449565815045E-2</v>
      </c>
      <c r="AI43" s="258">
        <f t="shared" ref="AI43:AI73" si="12">MMULT($E5:$W5,X$43:X$61)</f>
        <v>8.2230449565815045E-2</v>
      </c>
      <c r="AJ43" s="259">
        <f t="shared" ref="AJ43:AJ73" si="13">MMULT($E5:$W5,Y$43:Y$61)</f>
        <v>8.2230449565815045E-2</v>
      </c>
    </row>
    <row r="44" spans="2:36" x14ac:dyDescent="0.3">
      <c r="B44" s="30" t="str">
        <v xml:space="preserve">Steel </v>
      </c>
      <c r="C44" s="23"/>
      <c r="D44" s="260">
        <v>-9.5055027554025728E-2</v>
      </c>
      <c r="E44" s="261">
        <v>-6.3729489098840464E-4</v>
      </c>
      <c r="F44" s="261">
        <v>6.1189195849646882E-3</v>
      </c>
      <c r="G44" s="261">
        <v>3.1746212962046272E-2</v>
      </c>
      <c r="H44" s="261">
        <v>6.3339078925670478E-3</v>
      </c>
      <c r="I44" s="261">
        <v>2.8217973607540525E-3</v>
      </c>
      <c r="J44" s="261">
        <v>-1.226850273315705E-3</v>
      </c>
      <c r="K44" s="261">
        <v>0</v>
      </c>
      <c r="L44" s="262">
        <v>0</v>
      </c>
      <c r="N44" s="30" t="str">
        <v xml:space="preserve">Steel </v>
      </c>
      <c r="O44" s="21"/>
      <c r="P44" s="23"/>
      <c r="Q44" s="260">
        <f t="shared" si="3"/>
        <v>-9.5055027554025728E-2</v>
      </c>
      <c r="R44" s="261">
        <f t="shared" ref="R44:Y44" si="14">(1+Q44)*(1+E44)-1</f>
        <v>-9.5631744361591164E-2</v>
      </c>
      <c r="S44" s="261">
        <f t="shared" si="14"/>
        <v>-9.0097987730144991E-2</v>
      </c>
      <c r="T44" s="261">
        <f t="shared" si="14"/>
        <v>-6.121204467403174E-2</v>
      </c>
      <c r="U44" s="261">
        <f t="shared" si="14"/>
        <v>-5.526584823434566E-2</v>
      </c>
      <c r="V44" s="261">
        <f t="shared" si="14"/>
        <v>-5.2599999898279126E-2</v>
      </c>
      <c r="W44" s="261">
        <f t="shared" si="14"/>
        <v>-5.37623178473432E-2</v>
      </c>
      <c r="X44" s="261">
        <f t="shared" si="14"/>
        <v>-5.37623178473432E-2</v>
      </c>
      <c r="Y44" s="262">
        <f t="shared" si="14"/>
        <v>-5.37623178473432E-2</v>
      </c>
      <c r="AA44" s="27">
        <v>2</v>
      </c>
      <c r="AB44" s="268">
        <f t="shared" si="5"/>
        <v>1.5942905033582058E-2</v>
      </c>
      <c r="AC44" s="261">
        <f t="shared" si="6"/>
        <v>2.1622269121982823E-2</v>
      </c>
      <c r="AD44" s="261">
        <f t="shared" si="7"/>
        <v>2.6790963998640154E-2</v>
      </c>
      <c r="AE44" s="261">
        <f t="shared" si="8"/>
        <v>4.2332110012758606E-2</v>
      </c>
      <c r="AF44" s="261">
        <f t="shared" si="9"/>
        <v>5.669812466509995E-2</v>
      </c>
      <c r="AG44" s="261">
        <f t="shared" si="10"/>
        <v>6.9995705827133686E-2</v>
      </c>
      <c r="AH44" s="261">
        <f t="shared" si="11"/>
        <v>8.1082330679740994E-2</v>
      </c>
      <c r="AI44" s="261">
        <f t="shared" si="12"/>
        <v>8.1082330679740994E-2</v>
      </c>
      <c r="AJ44" s="262">
        <f t="shared" si="13"/>
        <v>8.1082330679740994E-2</v>
      </c>
    </row>
    <row r="45" spans="2:36" x14ac:dyDescent="0.3">
      <c r="B45" s="30" t="str">
        <v xml:space="preserve">Copper </v>
      </c>
      <c r="C45" s="23"/>
      <c r="D45" s="260">
        <v>1.2486970642213269E-2</v>
      </c>
      <c r="E45" s="261">
        <v>-7.9101324752421931E-3</v>
      </c>
      <c r="F45" s="261">
        <v>-8.9427338390856148E-3</v>
      </c>
      <c r="G45" s="261">
        <v>1.1292809312332119E-2</v>
      </c>
      <c r="H45" s="261">
        <v>3.0320192193042939E-3</v>
      </c>
      <c r="I45" s="261">
        <v>-3.398189812399699E-3</v>
      </c>
      <c r="J45" s="261">
        <v>-7.4123014260328857E-3</v>
      </c>
      <c r="K45" s="261">
        <v>0</v>
      </c>
      <c r="L45" s="262">
        <v>0</v>
      </c>
      <c r="N45" s="30" t="str">
        <v xml:space="preserve">Copper </v>
      </c>
      <c r="O45" s="21"/>
      <c r="P45" s="23"/>
      <c r="Q45" s="260">
        <f t="shared" si="3"/>
        <v>1.2486970642213269E-2</v>
      </c>
      <c r="R45" s="261">
        <f t="shared" ref="R45:Y45" si="15">(1+Q45)*(1+E45)-1</f>
        <v>4.4780645749766812E-3</v>
      </c>
      <c r="S45" s="261">
        <f t="shared" si="15"/>
        <v>-4.5047154037172188E-3</v>
      </c>
      <c r="T45" s="261">
        <f t="shared" si="15"/>
        <v>6.7372230165543279E-3</v>
      </c>
      <c r="U45" s="261">
        <f t="shared" si="15"/>
        <v>9.7896696255295179E-3</v>
      </c>
      <c r="V45" s="261">
        <f t="shared" si="15"/>
        <v>6.358212657541662E-3</v>
      </c>
      <c r="W45" s="261">
        <f t="shared" si="15"/>
        <v>-1.1012177572397031E-3</v>
      </c>
      <c r="X45" s="261">
        <f t="shared" si="15"/>
        <v>-1.1012177572397031E-3</v>
      </c>
      <c r="Y45" s="262">
        <f t="shared" si="15"/>
        <v>-1.1012177572397031E-3</v>
      </c>
      <c r="AA45" s="27">
        <v>3</v>
      </c>
      <c r="AB45" s="268">
        <f t="shared" si="5"/>
        <v>1.7010272398403716E-2</v>
      </c>
      <c r="AC45" s="261">
        <f t="shared" si="6"/>
        <v>2.2744767948209673E-2</v>
      </c>
      <c r="AD45" s="261">
        <f t="shared" si="7"/>
        <v>2.8081282278031288E-2</v>
      </c>
      <c r="AE45" s="261">
        <f t="shared" si="8"/>
        <v>4.3566072288948085E-2</v>
      </c>
      <c r="AF45" s="261">
        <f t="shared" si="9"/>
        <v>5.7619792784637351E-2</v>
      </c>
      <c r="AG45" s="261">
        <f t="shared" si="10"/>
        <v>7.0589024072999051E-2</v>
      </c>
      <c r="AH45" s="261">
        <f t="shared" si="11"/>
        <v>8.1271419745027565E-2</v>
      </c>
      <c r="AI45" s="261">
        <f t="shared" si="12"/>
        <v>8.1271419745027565E-2</v>
      </c>
      <c r="AJ45" s="262">
        <f t="shared" si="13"/>
        <v>8.1271419745027565E-2</v>
      </c>
    </row>
    <row r="46" spans="2:36" x14ac:dyDescent="0.3">
      <c r="B46" s="30" t="str">
        <v xml:space="preserve">Concrete (Found.) </v>
      </c>
      <c r="C46" s="23"/>
      <c r="D46" s="260">
        <v>6.8479406041728558E-2</v>
      </c>
      <c r="E46" s="261">
        <v>4.1436102242051256E-2</v>
      </c>
      <c r="F46" s="261">
        <v>2.8130023482761282E-3</v>
      </c>
      <c r="G46" s="261">
        <v>1.1643191529014496E-2</v>
      </c>
      <c r="H46" s="261">
        <v>8.739731979779064E-3</v>
      </c>
      <c r="I46" s="261">
        <v>7.493219539559926E-3</v>
      </c>
      <c r="J46" s="261">
        <v>4.0187480224918026E-3</v>
      </c>
      <c r="K46" s="261">
        <v>0</v>
      </c>
      <c r="L46" s="262">
        <v>0</v>
      </c>
      <c r="N46" s="30" t="str">
        <v xml:space="preserve">Concrete (Found.) </v>
      </c>
      <c r="O46" s="21"/>
      <c r="P46" s="23"/>
      <c r="Q46" s="260">
        <f t="shared" si="3"/>
        <v>6.8479406041728558E-2</v>
      </c>
      <c r="R46" s="261">
        <f t="shared" ref="R46:Y46" si="16">(1+Q46)*(1+E46)-1</f>
        <v>0.11275302795399988</v>
      </c>
      <c r="S46" s="261">
        <f t="shared" si="16"/>
        <v>0.11588320483468584</v>
      </c>
      <c r="T46" s="261">
        <f t="shared" si="16"/>
        <v>0.12887564671258667</v>
      </c>
      <c r="U46" s="261">
        <f t="shared" si="16"/>
        <v>0.13874171730335449</v>
      </c>
      <c r="V46" s="261">
        <f t="shared" si="16"/>
        <v>0.147274558989964</v>
      </c>
      <c r="W46" s="261">
        <f t="shared" si="16"/>
        <v>0.15188516635516014</v>
      </c>
      <c r="X46" s="261">
        <f t="shared" si="16"/>
        <v>0.15188516635516014</v>
      </c>
      <c r="Y46" s="262">
        <f t="shared" si="16"/>
        <v>0.15188516635516014</v>
      </c>
      <c r="AA46" s="27">
        <v>4</v>
      </c>
      <c r="AB46" s="268">
        <f t="shared" si="5"/>
        <v>1.8077639763225375E-2</v>
      </c>
      <c r="AC46" s="261">
        <f t="shared" si="6"/>
        <v>2.3867266774436523E-2</v>
      </c>
      <c r="AD46" s="261">
        <f t="shared" si="7"/>
        <v>2.9371600557422418E-2</v>
      </c>
      <c r="AE46" s="261">
        <f t="shared" si="8"/>
        <v>4.4800034565137564E-2</v>
      </c>
      <c r="AF46" s="261">
        <f t="shared" si="9"/>
        <v>5.8541460904174746E-2</v>
      </c>
      <c r="AG46" s="261">
        <f t="shared" si="10"/>
        <v>7.1182342318864431E-2</v>
      </c>
      <c r="AH46" s="261">
        <f t="shared" si="11"/>
        <v>8.1460508810314122E-2</v>
      </c>
      <c r="AI46" s="261">
        <f t="shared" si="12"/>
        <v>8.1460508810314122E-2</v>
      </c>
      <c r="AJ46" s="262">
        <f t="shared" si="13"/>
        <v>8.1460508810314122E-2</v>
      </c>
    </row>
    <row r="47" spans="2:36" x14ac:dyDescent="0.3">
      <c r="B47" s="30" t="str">
        <v xml:space="preserve">Bldgs &amp; Demol. </v>
      </c>
      <c r="C47" s="23"/>
      <c r="D47" s="260">
        <v>6.1026863794123143E-2</v>
      </c>
      <c r="E47" s="261">
        <v>4.7716771904973143E-3</v>
      </c>
      <c r="F47" s="261">
        <v>4.8431513558770956E-3</v>
      </c>
      <c r="G47" s="261">
        <v>7.475319782275669E-3</v>
      </c>
      <c r="H47" s="261">
        <v>4.5105616377265623E-3</v>
      </c>
      <c r="I47" s="261">
        <v>4.0236366012049718E-3</v>
      </c>
      <c r="J47" s="261">
        <v>6.4509381948885114E-4</v>
      </c>
      <c r="K47" s="261">
        <v>0</v>
      </c>
      <c r="L47" s="262">
        <v>0</v>
      </c>
      <c r="N47" s="30" t="str">
        <v xml:space="preserve">Bldgs &amp; Demol. </v>
      </c>
      <c r="O47" s="21"/>
      <c r="P47" s="23"/>
      <c r="Q47" s="260">
        <f t="shared" si="3"/>
        <v>6.1026863794123143E-2</v>
      </c>
      <c r="R47" s="261">
        <f t="shared" ref="R47:Y47" si="17">(1+Q47)*(1+E47)-1</f>
        <v>6.6089741478594366E-2</v>
      </c>
      <c r="S47" s="261">
        <f t="shared" si="17"/>
        <v>7.1252975455523115E-2</v>
      </c>
      <c r="T47" s="261">
        <f t="shared" si="17"/>
        <v>7.9260934014767415E-2</v>
      </c>
      <c r="U47" s="261">
        <f t="shared" si="17"/>
        <v>8.4129006980831367E-2</v>
      </c>
      <c r="V47" s="261">
        <f t="shared" si="17"/>
        <v>8.8491148133747366E-2</v>
      </c>
      <c r="W47" s="261">
        <f t="shared" si="17"/>
        <v>8.9193327045976822E-2</v>
      </c>
      <c r="X47" s="261">
        <f t="shared" si="17"/>
        <v>8.9193327045976822E-2</v>
      </c>
      <c r="Y47" s="262">
        <f t="shared" si="17"/>
        <v>8.9193327045976822E-2</v>
      </c>
      <c r="AA47" s="27">
        <v>5</v>
      </c>
      <c r="AB47" s="268">
        <f t="shared" si="5"/>
        <v>2.2775230174032705E-2</v>
      </c>
      <c r="AC47" s="261">
        <f t="shared" si="6"/>
        <v>2.5396461819541753E-2</v>
      </c>
      <c r="AD47" s="261">
        <f t="shared" si="7"/>
        <v>2.4620955212451109E-2</v>
      </c>
      <c r="AE47" s="261">
        <f t="shared" si="8"/>
        <v>3.3056654472529264E-2</v>
      </c>
      <c r="AF47" s="261">
        <f t="shared" si="9"/>
        <v>3.7899088790929403E-2</v>
      </c>
      <c r="AG47" s="261">
        <f t="shared" si="10"/>
        <v>4.058291267153092E-2</v>
      </c>
      <c r="AH47" s="261">
        <f t="shared" si="11"/>
        <v>4.0669637392892893E-2</v>
      </c>
      <c r="AI47" s="261">
        <f t="shared" si="12"/>
        <v>4.0669637392892893E-2</v>
      </c>
      <c r="AJ47" s="262">
        <f t="shared" si="13"/>
        <v>4.0669637392892893E-2</v>
      </c>
    </row>
    <row r="48" spans="2:36" x14ac:dyDescent="0.3">
      <c r="B48" s="30" t="str">
        <v xml:space="preserve">Prod. Labour </v>
      </c>
      <c r="C48" s="23"/>
      <c r="D48" s="260">
        <v>0</v>
      </c>
      <c r="E48" s="261">
        <v>0</v>
      </c>
      <c r="F48" s="261">
        <v>0</v>
      </c>
      <c r="G48" s="261">
        <v>0</v>
      </c>
      <c r="H48" s="261">
        <v>0</v>
      </c>
      <c r="I48" s="261">
        <v>0</v>
      </c>
      <c r="J48" s="261">
        <v>0</v>
      </c>
      <c r="K48" s="261">
        <v>0</v>
      </c>
      <c r="L48" s="262">
        <v>0</v>
      </c>
      <c r="N48" s="30" t="str">
        <v xml:space="preserve">Prod. Labour </v>
      </c>
      <c r="O48" s="21"/>
      <c r="P48" s="23"/>
      <c r="Q48" s="260">
        <f t="shared" si="3"/>
        <v>0</v>
      </c>
      <c r="R48" s="261">
        <f t="shared" ref="R48:Y48" si="18">(1+Q48)*(1+E48)-1</f>
        <v>0</v>
      </c>
      <c r="S48" s="261">
        <f t="shared" si="18"/>
        <v>0</v>
      </c>
      <c r="T48" s="261">
        <f t="shared" si="18"/>
        <v>0</v>
      </c>
      <c r="U48" s="261">
        <f t="shared" si="18"/>
        <v>0</v>
      </c>
      <c r="V48" s="261">
        <f t="shared" si="18"/>
        <v>0</v>
      </c>
      <c r="W48" s="261">
        <f t="shared" si="18"/>
        <v>0</v>
      </c>
      <c r="X48" s="261">
        <f t="shared" si="18"/>
        <v>0</v>
      </c>
      <c r="Y48" s="262">
        <f t="shared" si="18"/>
        <v>0</v>
      </c>
      <c r="AA48" s="27">
        <v>6</v>
      </c>
      <c r="AB48" s="268">
        <f t="shared" si="5"/>
        <v>2.1222545931427073E-2</v>
      </c>
      <c r="AC48" s="261">
        <f t="shared" si="6"/>
        <v>2.9050106903240856E-2</v>
      </c>
      <c r="AD48" s="261">
        <f t="shared" si="7"/>
        <v>3.212969048627367E-2</v>
      </c>
      <c r="AE48" s="261">
        <f t="shared" si="8"/>
        <v>4.5166707534389061E-2</v>
      </c>
      <c r="AF48" s="261">
        <f t="shared" si="9"/>
        <v>5.9522771248780533E-2</v>
      </c>
      <c r="AG48" s="261">
        <f t="shared" si="10"/>
        <v>7.3187227793149623E-2</v>
      </c>
      <c r="AH48" s="261">
        <f t="shared" si="11"/>
        <v>8.509811608447361E-2</v>
      </c>
      <c r="AI48" s="261">
        <f t="shared" si="12"/>
        <v>8.509811608447361E-2</v>
      </c>
      <c r="AJ48" s="262">
        <f t="shared" si="13"/>
        <v>8.509811608447361E-2</v>
      </c>
    </row>
    <row r="49" spans="2:36" x14ac:dyDescent="0.3">
      <c r="B49" s="30" t="str">
        <v xml:space="preserve">Prod. Margin </v>
      </c>
      <c r="C49" s="23"/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2">
        <v>0</v>
      </c>
      <c r="N49" s="30" t="str">
        <v xml:space="preserve">Prod. Margin </v>
      </c>
      <c r="O49" s="21"/>
      <c r="P49" s="23"/>
      <c r="Q49" s="260">
        <f t="shared" si="3"/>
        <v>0</v>
      </c>
      <c r="R49" s="261">
        <f t="shared" ref="R49:Y49" si="19">(1+Q49)*(1+E49)-1</f>
        <v>0</v>
      </c>
      <c r="S49" s="261">
        <f t="shared" si="19"/>
        <v>0</v>
      </c>
      <c r="T49" s="261">
        <f t="shared" si="19"/>
        <v>0</v>
      </c>
      <c r="U49" s="261">
        <f t="shared" si="19"/>
        <v>0</v>
      </c>
      <c r="V49" s="261">
        <f t="shared" si="19"/>
        <v>0</v>
      </c>
      <c r="W49" s="261">
        <f t="shared" si="19"/>
        <v>0</v>
      </c>
      <c r="X49" s="261">
        <f t="shared" si="19"/>
        <v>0</v>
      </c>
      <c r="Y49" s="262">
        <f t="shared" si="19"/>
        <v>0</v>
      </c>
      <c r="AA49" s="27">
        <v>7</v>
      </c>
      <c r="AB49" s="268">
        <f t="shared" si="5"/>
        <v>1.975732245572075E-2</v>
      </c>
      <c r="AC49" s="261">
        <f t="shared" si="6"/>
        <v>2.9144029678058847E-2</v>
      </c>
      <c r="AD49" s="261">
        <f t="shared" si="7"/>
        <v>2.9970841050323587E-2</v>
      </c>
      <c r="AE49" s="261">
        <f t="shared" si="8"/>
        <v>4.0842403611433868E-2</v>
      </c>
      <c r="AF49" s="261">
        <f t="shared" si="9"/>
        <v>5.2859731373293833E-2</v>
      </c>
      <c r="AG49" s="261">
        <f t="shared" si="10"/>
        <v>6.4136570878338559E-2</v>
      </c>
      <c r="AH49" s="261">
        <f t="shared" si="11"/>
        <v>7.3802152025392392E-2</v>
      </c>
      <c r="AI49" s="261">
        <f t="shared" si="12"/>
        <v>7.3802152025392392E-2</v>
      </c>
      <c r="AJ49" s="262">
        <f t="shared" si="13"/>
        <v>7.3802152025392392E-2</v>
      </c>
    </row>
    <row r="50" spans="2:36" x14ac:dyDescent="0.3">
      <c r="B50" s="30" t="str">
        <v xml:space="preserve">Transport </v>
      </c>
      <c r="C50" s="23"/>
      <c r="D50" s="260">
        <v>9.8289575032150189E-2</v>
      </c>
      <c r="E50" s="261">
        <v>0.18809380244826701</v>
      </c>
      <c r="F50" s="261">
        <v>-5.3075936821277425E-3</v>
      </c>
      <c r="G50" s="261">
        <v>2.8314678515969804E-2</v>
      </c>
      <c r="H50" s="261">
        <v>2.5656413347989071E-2</v>
      </c>
      <c r="I50" s="261">
        <v>2.137155129297974E-2</v>
      </c>
      <c r="J50" s="261">
        <v>1.7513364834503609E-2</v>
      </c>
      <c r="K50" s="261">
        <v>0</v>
      </c>
      <c r="L50" s="262">
        <v>0</v>
      </c>
      <c r="N50" s="30" t="str">
        <v xml:space="preserve">Transport </v>
      </c>
      <c r="O50" s="21"/>
      <c r="P50" s="23"/>
      <c r="Q50" s="260">
        <f t="shared" si="3"/>
        <v>9.8289575032150189E-2</v>
      </c>
      <c r="R50" s="261">
        <f t="shared" ref="R50:Y50" si="20">(1+Q50)*(1+E50)-1</f>
        <v>0.30487103738923849</v>
      </c>
      <c r="S50" s="261">
        <f t="shared" si="20"/>
        <v>0.29794531211519981</v>
      </c>
      <c r="T50" s="261">
        <f t="shared" si="20"/>
        <v>0.33469621635905189</v>
      </c>
      <c r="U50" s="261">
        <f t="shared" si="20"/>
        <v>0.36893973417995674</v>
      </c>
      <c r="V50" s="261">
        <f t="shared" si="20"/>
        <v>0.39819609992598171</v>
      </c>
      <c r="W50" s="261">
        <f t="shared" si="20"/>
        <v>0.42268321833416556</v>
      </c>
      <c r="X50" s="261">
        <f t="shared" si="20"/>
        <v>0.42268321833416556</v>
      </c>
      <c r="Y50" s="262">
        <f t="shared" si="20"/>
        <v>0.42268321833416556</v>
      </c>
      <c r="AA50" s="27" t="str">
        <v>7a</v>
      </c>
      <c r="AB50" s="268">
        <f t="shared" si="5"/>
        <v>1.7285826899545758E-2</v>
      </c>
      <c r="AC50" s="261">
        <f t="shared" si="6"/>
        <v>2.752850517656056E-2</v>
      </c>
      <c r="AD50" s="261">
        <f t="shared" si="7"/>
        <v>2.8441354035099571E-2</v>
      </c>
      <c r="AE50" s="261">
        <f t="shared" si="8"/>
        <v>3.8446864626402892E-2</v>
      </c>
      <c r="AF50" s="261">
        <f t="shared" si="9"/>
        <v>4.7211670193413963E-2</v>
      </c>
      <c r="AG50" s="261">
        <f t="shared" si="10"/>
        <v>5.4980081694095594E-2</v>
      </c>
      <c r="AH50" s="261">
        <f t="shared" si="11"/>
        <v>6.0895214701138747E-2</v>
      </c>
      <c r="AI50" s="261">
        <f t="shared" si="12"/>
        <v>6.0895214701138747E-2</v>
      </c>
      <c r="AJ50" s="262">
        <f t="shared" si="13"/>
        <v>6.0895214701138747E-2</v>
      </c>
    </row>
    <row r="51" spans="2:36" x14ac:dyDescent="0.3">
      <c r="B51" s="30" t="str">
        <v xml:space="preserve">Material - Others </v>
      </c>
      <c r="C51" s="23"/>
      <c r="D51" s="260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2">
        <v>0</v>
      </c>
      <c r="N51" s="30" t="str">
        <v xml:space="preserve">Material - Others </v>
      </c>
      <c r="O51" s="21"/>
      <c r="P51" s="23"/>
      <c r="Q51" s="260">
        <f t="shared" si="3"/>
        <v>0</v>
      </c>
      <c r="R51" s="261">
        <f t="shared" ref="R51:Y51" si="21">(1+Q51)*(1+E51)-1</f>
        <v>0</v>
      </c>
      <c r="S51" s="261">
        <f t="shared" si="21"/>
        <v>0</v>
      </c>
      <c r="T51" s="261">
        <f t="shared" si="21"/>
        <v>0</v>
      </c>
      <c r="U51" s="261">
        <f t="shared" si="21"/>
        <v>0</v>
      </c>
      <c r="V51" s="261">
        <f t="shared" si="21"/>
        <v>0</v>
      </c>
      <c r="W51" s="261">
        <f t="shared" si="21"/>
        <v>0</v>
      </c>
      <c r="X51" s="261">
        <f t="shared" si="21"/>
        <v>0</v>
      </c>
      <c r="Y51" s="262">
        <f t="shared" si="21"/>
        <v>0</v>
      </c>
      <c r="AA51" s="27">
        <v>8</v>
      </c>
      <c r="AB51" s="268">
        <f t="shared" si="5"/>
        <v>1.8003101497427461E-2</v>
      </c>
      <c r="AC51" s="261">
        <f t="shared" si="6"/>
        <v>2.7260985435373537E-2</v>
      </c>
      <c r="AD51" s="261">
        <f t="shared" si="7"/>
        <v>2.7900622401517559E-2</v>
      </c>
      <c r="AE51" s="261">
        <f t="shared" si="8"/>
        <v>3.8640203793043781E-2</v>
      </c>
      <c r="AF51" s="261">
        <f t="shared" si="9"/>
        <v>5.0716317173908503E-2</v>
      </c>
      <c r="AG51" s="261">
        <f t="shared" si="10"/>
        <v>6.2070088792730918E-2</v>
      </c>
      <c r="AH51" s="261">
        <f t="shared" si="11"/>
        <v>7.1923740951829573E-2</v>
      </c>
      <c r="AI51" s="261">
        <f t="shared" si="12"/>
        <v>7.1923740951829573E-2</v>
      </c>
      <c r="AJ51" s="262">
        <f t="shared" si="13"/>
        <v>7.1923740951829573E-2</v>
      </c>
    </row>
    <row r="52" spans="2:36" x14ac:dyDescent="0.3">
      <c r="B52" s="30" t="str">
        <v xml:space="preserve">Plant Hire &amp; Establishment </v>
      </c>
      <c r="C52" s="23"/>
      <c r="D52" s="260">
        <v>6.1026863794123143E-2</v>
      </c>
      <c r="E52" s="261">
        <v>4.7716771904973143E-3</v>
      </c>
      <c r="F52" s="261">
        <v>4.8431513558770956E-3</v>
      </c>
      <c r="G52" s="261">
        <v>7.475319782275669E-3</v>
      </c>
      <c r="H52" s="261">
        <v>4.5105616377265623E-3</v>
      </c>
      <c r="I52" s="261">
        <v>4.0236366012049718E-3</v>
      </c>
      <c r="J52" s="261">
        <v>6.4509381948885114E-4</v>
      </c>
      <c r="K52" s="261">
        <v>0</v>
      </c>
      <c r="L52" s="262">
        <v>0</v>
      </c>
      <c r="N52" s="30" t="str">
        <v xml:space="preserve">Plant Hire &amp; Establishment </v>
      </c>
      <c r="O52" s="21"/>
      <c r="P52" s="23"/>
      <c r="Q52" s="260">
        <f t="shared" si="3"/>
        <v>6.1026863794123143E-2</v>
      </c>
      <c r="R52" s="261">
        <f t="shared" ref="R52:Y52" si="22">(1+Q52)*(1+E52)-1</f>
        <v>6.6089741478594366E-2</v>
      </c>
      <c r="S52" s="261">
        <f t="shared" si="22"/>
        <v>7.1252975455523115E-2</v>
      </c>
      <c r="T52" s="261">
        <f t="shared" si="22"/>
        <v>7.9260934014767415E-2</v>
      </c>
      <c r="U52" s="261">
        <f t="shared" si="22"/>
        <v>8.4129006980831367E-2</v>
      </c>
      <c r="V52" s="261">
        <f t="shared" si="22"/>
        <v>8.8491148133747366E-2</v>
      </c>
      <c r="W52" s="261">
        <f t="shared" si="22"/>
        <v>8.9193327045976822E-2</v>
      </c>
      <c r="X52" s="261">
        <f t="shared" si="22"/>
        <v>8.9193327045976822E-2</v>
      </c>
      <c r="Y52" s="262">
        <f t="shared" si="22"/>
        <v>8.9193327045976822E-2</v>
      </c>
      <c r="AA52" s="27" t="str">
        <v>8a</v>
      </c>
      <c r="AB52" s="268">
        <f t="shared" si="5"/>
        <v>1.5141571247092115E-2</v>
      </c>
      <c r="AC52" s="261">
        <f t="shared" si="6"/>
        <v>2.5507776099357921E-2</v>
      </c>
      <c r="AD52" s="261">
        <f t="shared" si="7"/>
        <v>2.5544973237165883E-2</v>
      </c>
      <c r="AE52" s="261">
        <f t="shared" si="8"/>
        <v>3.6429026896843852E-2</v>
      </c>
      <c r="AF52" s="261">
        <f t="shared" si="9"/>
        <v>4.8245153661517402E-2</v>
      </c>
      <c r="AG52" s="261">
        <f t="shared" si="10"/>
        <v>5.924840929002205E-2</v>
      </c>
      <c r="AH52" s="261">
        <f t="shared" si="11"/>
        <v>6.8755925706846396E-2</v>
      </c>
      <c r="AI52" s="261">
        <f t="shared" si="12"/>
        <v>6.8755925706846396E-2</v>
      </c>
      <c r="AJ52" s="262">
        <f t="shared" si="13"/>
        <v>6.8755925706846396E-2</v>
      </c>
    </row>
    <row r="53" spans="2:36" x14ac:dyDescent="0.3">
      <c r="B53" s="30" t="str">
        <v xml:space="preserve">Labour-Ext-Civil &amp; Gen. </v>
      </c>
      <c r="C53" s="23"/>
      <c r="D53" s="260">
        <v>6.1026863794123143E-2</v>
      </c>
      <c r="E53" s="261">
        <v>4.7716771904973143E-3</v>
      </c>
      <c r="F53" s="261">
        <v>4.8431513558770956E-3</v>
      </c>
      <c r="G53" s="261">
        <v>7.475319782275669E-3</v>
      </c>
      <c r="H53" s="261">
        <v>4.5105616377265623E-3</v>
      </c>
      <c r="I53" s="261">
        <v>4.0236366012049718E-3</v>
      </c>
      <c r="J53" s="261">
        <v>6.4509381948885114E-4</v>
      </c>
      <c r="K53" s="261">
        <v>0</v>
      </c>
      <c r="L53" s="262">
        <v>0</v>
      </c>
      <c r="N53" s="30" t="str">
        <v xml:space="preserve">Labour-Ext-Civil &amp; Gen. </v>
      </c>
      <c r="O53" s="21"/>
      <c r="P53" s="23"/>
      <c r="Q53" s="260">
        <f t="shared" si="3"/>
        <v>6.1026863794123143E-2</v>
      </c>
      <c r="R53" s="261">
        <f t="shared" ref="R53:Y53" si="23">(1+Q53)*(1+E53)-1</f>
        <v>6.6089741478594366E-2</v>
      </c>
      <c r="S53" s="261">
        <f t="shared" si="23"/>
        <v>7.1252975455523115E-2</v>
      </c>
      <c r="T53" s="261">
        <f t="shared" si="23"/>
        <v>7.9260934014767415E-2</v>
      </c>
      <c r="U53" s="261">
        <f t="shared" si="23"/>
        <v>8.4129006980831367E-2</v>
      </c>
      <c r="V53" s="261">
        <f t="shared" si="23"/>
        <v>8.8491148133747366E-2</v>
      </c>
      <c r="W53" s="261">
        <f t="shared" si="23"/>
        <v>8.9193327045976822E-2</v>
      </c>
      <c r="X53" s="261">
        <f t="shared" si="23"/>
        <v>8.9193327045976822E-2</v>
      </c>
      <c r="Y53" s="262">
        <f t="shared" si="23"/>
        <v>8.9193327045976822E-2</v>
      </c>
      <c r="AA53" s="27">
        <v>9</v>
      </c>
      <c r="AB53" s="268">
        <f t="shared" si="5"/>
        <v>1.6011916566173175E-2</v>
      </c>
      <c r="AC53" s="261">
        <f t="shared" si="6"/>
        <v>2.220334349611542E-2</v>
      </c>
      <c r="AD53" s="261">
        <f t="shared" si="7"/>
        <v>2.1993304367171077E-2</v>
      </c>
      <c r="AE53" s="261">
        <f t="shared" si="8"/>
        <v>3.2181884218510155E-2</v>
      </c>
      <c r="AF53" s="261">
        <f t="shared" si="9"/>
        <v>4.5389124224014796E-2</v>
      </c>
      <c r="AG53" s="261">
        <f t="shared" si="10"/>
        <v>5.8163726771146271E-2</v>
      </c>
      <c r="AH53" s="261">
        <f t="shared" si="11"/>
        <v>6.9786661473551642E-2</v>
      </c>
      <c r="AI53" s="261">
        <f t="shared" si="12"/>
        <v>6.9786661473551642E-2</v>
      </c>
      <c r="AJ53" s="262">
        <f t="shared" si="13"/>
        <v>6.9786661473551642E-2</v>
      </c>
    </row>
    <row r="54" spans="2:36" x14ac:dyDescent="0.3">
      <c r="B54" s="30" t="str">
        <v xml:space="preserve">Labour-External-EGW </v>
      </c>
      <c r="C54" s="23"/>
      <c r="D54" s="260">
        <v>7.6584955530403231E-3</v>
      </c>
      <c r="E54" s="261">
        <v>2.2887760331398166E-3</v>
      </c>
      <c r="F54" s="261">
        <v>-3.1958922536219347E-3</v>
      </c>
      <c r="G54" s="261">
        <v>1.0753312988545316E-2</v>
      </c>
      <c r="H54" s="261">
        <v>2.0129254324107171E-2</v>
      </c>
      <c r="I54" s="261">
        <v>2.0018036603035361E-2</v>
      </c>
      <c r="J54" s="261">
        <v>1.9751737334224417E-2</v>
      </c>
      <c r="K54" s="261">
        <v>0</v>
      </c>
      <c r="L54" s="262">
        <v>0</v>
      </c>
      <c r="N54" s="30" t="str">
        <v xml:space="preserve">Labour-External-EGW </v>
      </c>
      <c r="O54" s="21"/>
      <c r="P54" s="23"/>
      <c r="Q54" s="260">
        <f t="shared" si="3"/>
        <v>7.6584955530403231E-3</v>
      </c>
      <c r="R54" s="261">
        <f t="shared" ref="R54:Y54" si="24">(1+Q54)*(1+E54)-1</f>
        <v>9.9648001672518749E-3</v>
      </c>
      <c r="S54" s="261">
        <f t="shared" si="24"/>
        <v>6.7370614859665334E-3</v>
      </c>
      <c r="T54" s="261">
        <f t="shared" si="24"/>
        <v>1.7562820205293539E-2</v>
      </c>
      <c r="U54" s="261">
        <f t="shared" si="24"/>
        <v>3.8045601003961593E-2</v>
      </c>
      <c r="V54" s="261">
        <f t="shared" si="24"/>
        <v>5.8825235840478829E-2</v>
      </c>
      <c r="W54" s="261">
        <f t="shared" si="24"/>
        <v>7.9738873781648234E-2</v>
      </c>
      <c r="X54" s="261">
        <f t="shared" si="24"/>
        <v>7.9738873781648234E-2</v>
      </c>
      <c r="Y54" s="262">
        <f t="shared" si="24"/>
        <v>7.9738873781648234E-2</v>
      </c>
      <c r="AA54" s="27">
        <v>10</v>
      </c>
      <c r="AB54" s="268">
        <f t="shared" si="5"/>
        <v>9.7126354158517409E-3</v>
      </c>
      <c r="AC54" s="261">
        <f t="shared" si="6"/>
        <v>2.8863814050083172E-2</v>
      </c>
      <c r="AD54" s="261">
        <f t="shared" si="7"/>
        <v>2.8783725594704566E-2</v>
      </c>
      <c r="AE54" s="261">
        <f t="shared" si="8"/>
        <v>3.8111209896431186E-2</v>
      </c>
      <c r="AF54" s="261">
        <f t="shared" si="9"/>
        <v>4.3896142704504003E-2</v>
      </c>
      <c r="AG54" s="261">
        <f t="shared" si="10"/>
        <v>4.8224751963496959E-2</v>
      </c>
      <c r="AH54" s="261">
        <f t="shared" si="11"/>
        <v>5.0764040291488066E-2</v>
      </c>
      <c r="AI54" s="261">
        <f t="shared" si="12"/>
        <v>5.0764040291488066E-2</v>
      </c>
      <c r="AJ54" s="262">
        <f t="shared" si="13"/>
        <v>5.0764040291488066E-2</v>
      </c>
    </row>
    <row r="55" spans="2:36" x14ac:dyDescent="0.3">
      <c r="B55" s="30" t="str">
        <v xml:space="preserve">Labour - Internal </v>
      </c>
      <c r="C55" s="23"/>
      <c r="D55" s="260">
        <v>7.6584955530403231E-3</v>
      </c>
      <c r="E55" s="261">
        <v>2.2887760331398166E-3</v>
      </c>
      <c r="F55" s="261">
        <v>-3.1958922536219347E-3</v>
      </c>
      <c r="G55" s="261">
        <v>1.0753312988545316E-2</v>
      </c>
      <c r="H55" s="261">
        <v>2.0129254324107171E-2</v>
      </c>
      <c r="I55" s="261">
        <v>2.0018036603035361E-2</v>
      </c>
      <c r="J55" s="261">
        <v>1.9751737334224417E-2</v>
      </c>
      <c r="K55" s="261">
        <v>0</v>
      </c>
      <c r="L55" s="262">
        <v>0</v>
      </c>
      <c r="N55" s="30" t="str">
        <v xml:space="preserve">Labour - Internal </v>
      </c>
      <c r="O55" s="21"/>
      <c r="P55" s="23"/>
      <c r="Q55" s="260">
        <f t="shared" si="3"/>
        <v>7.6584955530403231E-3</v>
      </c>
      <c r="R55" s="261">
        <f t="shared" ref="R55:Y55" si="25">(1+Q55)*(1+E55)-1</f>
        <v>9.9648001672518749E-3</v>
      </c>
      <c r="S55" s="261">
        <f t="shared" si="25"/>
        <v>6.7370614859665334E-3</v>
      </c>
      <c r="T55" s="261">
        <f t="shared" si="25"/>
        <v>1.7562820205293539E-2</v>
      </c>
      <c r="U55" s="261">
        <f t="shared" si="25"/>
        <v>3.8045601003961593E-2</v>
      </c>
      <c r="V55" s="261">
        <f t="shared" si="25"/>
        <v>5.8825235840478829E-2</v>
      </c>
      <c r="W55" s="261">
        <f t="shared" si="25"/>
        <v>7.9738873781648234E-2</v>
      </c>
      <c r="X55" s="261">
        <f t="shared" si="25"/>
        <v>7.9738873781648234E-2</v>
      </c>
      <c r="Y55" s="262">
        <f t="shared" si="25"/>
        <v>7.9738873781648234E-2</v>
      </c>
      <c r="AA55" s="27">
        <v>11</v>
      </c>
      <c r="AB55" s="268">
        <f t="shared" si="5"/>
        <v>9.3362407106104169E-3</v>
      </c>
      <c r="AC55" s="261">
        <f t="shared" si="6"/>
        <v>2.7767890914151713E-2</v>
      </c>
      <c r="AD55" s="261">
        <f t="shared" si="7"/>
        <v>2.7515444326864411E-2</v>
      </c>
      <c r="AE55" s="261">
        <f t="shared" si="8"/>
        <v>3.7204447312591801E-2</v>
      </c>
      <c r="AF55" s="261">
        <f t="shared" si="9"/>
        <v>4.3864878478443309E-2</v>
      </c>
      <c r="AG55" s="261">
        <f t="shared" si="10"/>
        <v>4.9105434057059097E-2</v>
      </c>
      <c r="AH55" s="261">
        <f t="shared" si="11"/>
        <v>5.2605213923927051E-2</v>
      </c>
      <c r="AI55" s="261">
        <f t="shared" si="12"/>
        <v>5.2605213923927051E-2</v>
      </c>
      <c r="AJ55" s="262">
        <f t="shared" si="13"/>
        <v>5.2605213923927051E-2</v>
      </c>
    </row>
    <row r="56" spans="2:36" x14ac:dyDescent="0.3">
      <c r="B56" s="30" t="str">
        <v xml:space="preserve">Labour - Other </v>
      </c>
      <c r="C56" s="23"/>
      <c r="D56" s="260">
        <v>5.3635884444489523E-3</v>
      </c>
      <c r="E56" s="261">
        <v>1.0276480781559183E-2</v>
      </c>
      <c r="F56" s="261">
        <v>4.6322688804660839E-3</v>
      </c>
      <c r="G56" s="261">
        <v>1.0263764083409344E-2</v>
      </c>
      <c r="H56" s="261">
        <v>1.6479821941818074E-2</v>
      </c>
      <c r="I56" s="261">
        <v>1.724429384901871E-2</v>
      </c>
      <c r="J56" s="261">
        <v>1.7740438046844442E-2</v>
      </c>
      <c r="K56" s="261">
        <v>0</v>
      </c>
      <c r="L56" s="262">
        <v>0</v>
      </c>
      <c r="N56" s="30" t="str">
        <v xml:space="preserve">Labour - Other </v>
      </c>
      <c r="O56" s="21"/>
      <c r="P56" s="23"/>
      <c r="Q56" s="260">
        <f t="shared" si="3"/>
        <v>5.3635884444489523E-3</v>
      </c>
      <c r="R56" s="261">
        <f t="shared" ref="R56:Y56" si="26">(1+Q56)*(1+E56)-1</f>
        <v>1.5695188039577701E-2</v>
      </c>
      <c r="S56" s="261">
        <f t="shared" si="26"/>
        <v>2.040016125117261E-2</v>
      </c>
      <c r="T56" s="261">
        <f t="shared" si="26"/>
        <v>3.0873307776927428E-2</v>
      </c>
      <c r="U56" s="261">
        <f t="shared" si="26"/>
        <v>4.7861916333664212E-2</v>
      </c>
      <c r="V56" s="261">
        <f t="shared" si="26"/>
        <v>6.5931555132117792E-2</v>
      </c>
      <c r="W56" s="261">
        <f t="shared" si="26"/>
        <v>8.4841647848115764E-2</v>
      </c>
      <c r="X56" s="261">
        <f t="shared" si="26"/>
        <v>8.4841647848115764E-2</v>
      </c>
      <c r="Y56" s="262">
        <f t="shared" si="26"/>
        <v>8.4841647848115764E-2</v>
      </c>
      <c r="AA56" s="27">
        <v>12</v>
      </c>
      <c r="AB56" s="268">
        <f t="shared" si="5"/>
        <v>8.5297589120096294E-3</v>
      </c>
      <c r="AC56" s="261">
        <f t="shared" si="6"/>
        <v>9.8420696910520595E-3</v>
      </c>
      <c r="AD56" s="261">
        <f t="shared" si="7"/>
        <v>8.1825399271048E-3</v>
      </c>
      <c r="AE56" s="261">
        <f t="shared" si="8"/>
        <v>1.6106132537469481E-2</v>
      </c>
      <c r="AF56" s="261">
        <f t="shared" si="9"/>
        <v>2.8076917546595585E-2</v>
      </c>
      <c r="AG56" s="261">
        <f t="shared" si="10"/>
        <v>3.9718638998703926E-2</v>
      </c>
      <c r="AH56" s="261">
        <f t="shared" si="11"/>
        <v>5.0793488332327871E-2</v>
      </c>
      <c r="AI56" s="261">
        <f t="shared" si="12"/>
        <v>5.0793488332327871E-2</v>
      </c>
      <c r="AJ56" s="262">
        <f t="shared" si="13"/>
        <v>5.0793488332327871E-2</v>
      </c>
    </row>
    <row r="57" spans="2:36" x14ac:dyDescent="0.3">
      <c r="B57" s="30" t="str">
        <v>Land (Tas)</v>
      </c>
      <c r="C57" s="23"/>
      <c r="D57" s="260">
        <v>-6.2076762202790903E-2</v>
      </c>
      <c r="E57" s="261">
        <v>-4.0288637141353889E-2</v>
      </c>
      <c r="F57" s="261">
        <v>4.7499880668250727E-2</v>
      </c>
      <c r="G57" s="261">
        <v>4.7999999999999821E-2</v>
      </c>
      <c r="H57" s="261">
        <v>4.8999523355468533E-2</v>
      </c>
      <c r="I57" s="261">
        <v>5.0499881009036462E-2</v>
      </c>
      <c r="J57" s="261">
        <v>5.1499881122199609E-2</v>
      </c>
      <c r="K57" s="261">
        <v>0</v>
      </c>
      <c r="L57" s="262">
        <v>0</v>
      </c>
      <c r="N57" s="30" t="str">
        <v>Land (Tas)</v>
      </c>
      <c r="O57" s="21"/>
      <c r="P57" s="23"/>
      <c r="Q57" s="260">
        <f t="shared" si="3"/>
        <v>-6.2076762202790903E-2</v>
      </c>
      <c r="R57" s="261">
        <f t="shared" ref="R57:Y57" si="27">(1+Q57)*(1+E57)-1</f>
        <v>-9.9864411196846414E-2</v>
      </c>
      <c r="S57" s="261">
        <f t="shared" si="27"/>
        <v>-5.710807814345098E-2</v>
      </c>
      <c r="T57" s="261">
        <f t="shared" si="27"/>
        <v>-1.1849265894336769E-2</v>
      </c>
      <c r="U57" s="261">
        <f t="shared" si="27"/>
        <v>3.6569649080196998E-2</v>
      </c>
      <c r="V57" s="261">
        <f t="shared" si="27"/>
        <v>8.8916293016325643E-2</v>
      </c>
      <c r="W57" s="261">
        <f t="shared" si="27"/>
        <v>0.14499535265869268</v>
      </c>
      <c r="X57" s="261">
        <f t="shared" si="27"/>
        <v>0.14499535265869268</v>
      </c>
      <c r="Y57" s="262">
        <f t="shared" si="27"/>
        <v>0.14499535265869268</v>
      </c>
      <c r="AA57" s="27">
        <v>13</v>
      </c>
      <c r="AB57" s="268">
        <f t="shared" si="5"/>
        <v>8.5297589120096277E-3</v>
      </c>
      <c r="AC57" s="261">
        <f t="shared" si="6"/>
        <v>9.8420696910520595E-3</v>
      </c>
      <c r="AD57" s="261">
        <f t="shared" si="7"/>
        <v>8.1825399271048017E-3</v>
      </c>
      <c r="AE57" s="261">
        <f t="shared" si="8"/>
        <v>1.6106132537469481E-2</v>
      </c>
      <c r="AF57" s="261">
        <f t="shared" si="9"/>
        <v>2.8076917546595581E-2</v>
      </c>
      <c r="AG57" s="261">
        <f t="shared" si="10"/>
        <v>3.9718638998703926E-2</v>
      </c>
      <c r="AH57" s="261">
        <f t="shared" si="11"/>
        <v>5.0793488332327864E-2</v>
      </c>
      <c r="AI57" s="261">
        <f t="shared" si="12"/>
        <v>5.0793488332327864E-2</v>
      </c>
      <c r="AJ57" s="262">
        <f t="shared" si="13"/>
        <v>5.0793488332327864E-2</v>
      </c>
    </row>
    <row r="58" spans="2:36" x14ac:dyDescent="0.3">
      <c r="B58" s="30">
        <v>0</v>
      </c>
      <c r="C58" s="23"/>
      <c r="D58" s="260">
        <v>0</v>
      </c>
      <c r="E58" s="261">
        <v>0</v>
      </c>
      <c r="F58" s="261">
        <v>0</v>
      </c>
      <c r="G58" s="261">
        <v>0</v>
      </c>
      <c r="H58" s="261">
        <v>0</v>
      </c>
      <c r="I58" s="261">
        <v>0</v>
      </c>
      <c r="J58" s="261">
        <v>0</v>
      </c>
      <c r="K58" s="261">
        <v>0</v>
      </c>
      <c r="L58" s="262">
        <v>0</v>
      </c>
      <c r="N58" s="30">
        <v>0</v>
      </c>
      <c r="O58" s="21"/>
      <c r="P58" s="23"/>
      <c r="Q58" s="260">
        <f t="shared" si="3"/>
        <v>0</v>
      </c>
      <c r="R58" s="261">
        <f t="shared" ref="R58:Y58" si="28">(1+Q58)*(1+E58)-1</f>
        <v>0</v>
      </c>
      <c r="S58" s="261">
        <f t="shared" si="28"/>
        <v>0</v>
      </c>
      <c r="T58" s="261">
        <f t="shared" si="28"/>
        <v>0</v>
      </c>
      <c r="U58" s="261">
        <f t="shared" si="28"/>
        <v>0</v>
      </c>
      <c r="V58" s="261">
        <f t="shared" si="28"/>
        <v>0</v>
      </c>
      <c r="W58" s="261">
        <f t="shared" si="28"/>
        <v>0</v>
      </c>
      <c r="X58" s="261">
        <f t="shared" si="28"/>
        <v>0</v>
      </c>
      <c r="Y58" s="262">
        <f t="shared" si="28"/>
        <v>0</v>
      </c>
      <c r="AA58" s="27">
        <v>14</v>
      </c>
      <c r="AB58" s="268">
        <f t="shared" si="5"/>
        <v>1.6817143263819688E-2</v>
      </c>
      <c r="AC58" s="261">
        <f t="shared" si="6"/>
        <v>2.6201694773746009E-2</v>
      </c>
      <c r="AD58" s="261">
        <f t="shared" si="7"/>
        <v>2.8465202947435653E-2</v>
      </c>
      <c r="AE58" s="261">
        <f t="shared" si="8"/>
        <v>4.0736547077130481E-2</v>
      </c>
      <c r="AF58" s="261">
        <f t="shared" si="9"/>
        <v>5.2852616922067414E-2</v>
      </c>
      <c r="AG58" s="261">
        <f t="shared" si="10"/>
        <v>6.3766700262666953E-2</v>
      </c>
      <c r="AH58" s="261">
        <f t="shared" si="11"/>
        <v>7.290563552305647E-2</v>
      </c>
      <c r="AI58" s="261">
        <f t="shared" si="12"/>
        <v>7.290563552305647E-2</v>
      </c>
      <c r="AJ58" s="262">
        <f t="shared" si="13"/>
        <v>7.290563552305647E-2</v>
      </c>
    </row>
    <row r="59" spans="2:36" x14ac:dyDescent="0.3">
      <c r="B59" s="30">
        <v>0</v>
      </c>
      <c r="C59" s="23"/>
      <c r="D59" s="260">
        <v>0</v>
      </c>
      <c r="E59" s="261">
        <v>0</v>
      </c>
      <c r="F59" s="261">
        <v>0</v>
      </c>
      <c r="G59" s="261">
        <v>0</v>
      </c>
      <c r="H59" s="261">
        <v>0</v>
      </c>
      <c r="I59" s="261">
        <v>0</v>
      </c>
      <c r="J59" s="261">
        <v>0</v>
      </c>
      <c r="K59" s="261">
        <v>0</v>
      </c>
      <c r="L59" s="262">
        <v>0</v>
      </c>
      <c r="N59" s="30">
        <v>0</v>
      </c>
      <c r="O59" s="21"/>
      <c r="P59" s="23"/>
      <c r="Q59" s="260">
        <f t="shared" si="3"/>
        <v>0</v>
      </c>
      <c r="R59" s="261">
        <f t="shared" ref="R59:Y59" si="29">(1+Q59)*(1+E59)-1</f>
        <v>0</v>
      </c>
      <c r="S59" s="261">
        <f t="shared" si="29"/>
        <v>0</v>
      </c>
      <c r="T59" s="261">
        <f t="shared" si="29"/>
        <v>0</v>
      </c>
      <c r="U59" s="261">
        <f t="shared" si="29"/>
        <v>0</v>
      </c>
      <c r="V59" s="261">
        <f t="shared" si="29"/>
        <v>0</v>
      </c>
      <c r="W59" s="261">
        <f t="shared" si="29"/>
        <v>0</v>
      </c>
      <c r="X59" s="261">
        <f t="shared" si="29"/>
        <v>0</v>
      </c>
      <c r="Y59" s="262">
        <f t="shared" si="29"/>
        <v>0</v>
      </c>
      <c r="AA59" s="27">
        <v>15</v>
      </c>
      <c r="AB59" s="268">
        <f t="shared" si="5"/>
        <v>-6.2076762202790903E-2</v>
      </c>
      <c r="AC59" s="261">
        <f t="shared" si="6"/>
        <v>-9.9864411196846414E-2</v>
      </c>
      <c r="AD59" s="261">
        <f t="shared" si="7"/>
        <v>-5.710807814345098E-2</v>
      </c>
      <c r="AE59" s="261">
        <f t="shared" si="8"/>
        <v>-1.1849265894336769E-2</v>
      </c>
      <c r="AF59" s="261">
        <f t="shared" si="9"/>
        <v>3.6569649080196998E-2</v>
      </c>
      <c r="AG59" s="261">
        <f t="shared" si="10"/>
        <v>8.8916293016325643E-2</v>
      </c>
      <c r="AH59" s="261">
        <f t="shared" si="11"/>
        <v>0.14499535265869268</v>
      </c>
      <c r="AI59" s="261">
        <f t="shared" si="12"/>
        <v>0.14499535265869268</v>
      </c>
      <c r="AJ59" s="262">
        <f t="shared" si="13"/>
        <v>0.14499535265869268</v>
      </c>
    </row>
    <row r="60" spans="2:36" x14ac:dyDescent="0.3">
      <c r="B60" s="30" t="str">
        <v>Non-Network</v>
      </c>
      <c r="C60" s="23"/>
      <c r="D60" s="260">
        <v>0</v>
      </c>
      <c r="E60" s="261">
        <v>0</v>
      </c>
      <c r="F60" s="261">
        <v>0</v>
      </c>
      <c r="G60" s="261">
        <v>0</v>
      </c>
      <c r="H60" s="261">
        <v>0</v>
      </c>
      <c r="I60" s="261">
        <v>0</v>
      </c>
      <c r="J60" s="261">
        <v>0</v>
      </c>
      <c r="K60" s="261">
        <v>0</v>
      </c>
      <c r="L60" s="262">
        <v>0</v>
      </c>
      <c r="N60" s="30" t="str">
        <v>Non-Network</v>
      </c>
      <c r="O60" s="21"/>
      <c r="P60" s="23"/>
      <c r="Q60" s="260">
        <f t="shared" si="3"/>
        <v>0</v>
      </c>
      <c r="R60" s="261">
        <f t="shared" ref="R60:Y60" si="30">(1+Q60)*(1+E60)-1</f>
        <v>0</v>
      </c>
      <c r="S60" s="261">
        <f t="shared" si="30"/>
        <v>0</v>
      </c>
      <c r="T60" s="261">
        <f t="shared" si="30"/>
        <v>0</v>
      </c>
      <c r="U60" s="261">
        <f t="shared" si="30"/>
        <v>0</v>
      </c>
      <c r="V60" s="261">
        <f t="shared" si="30"/>
        <v>0</v>
      </c>
      <c r="W60" s="261">
        <f t="shared" si="30"/>
        <v>0</v>
      </c>
      <c r="X60" s="261">
        <f t="shared" si="30"/>
        <v>0</v>
      </c>
      <c r="Y60" s="262">
        <f t="shared" si="30"/>
        <v>0</v>
      </c>
      <c r="AA60" s="27">
        <v>16</v>
      </c>
      <c r="AB60" s="268">
        <f t="shared" si="5"/>
        <v>0</v>
      </c>
      <c r="AC60" s="261">
        <f t="shared" si="6"/>
        <v>0</v>
      </c>
      <c r="AD60" s="261">
        <f t="shared" si="7"/>
        <v>0</v>
      </c>
      <c r="AE60" s="261">
        <f t="shared" si="8"/>
        <v>0</v>
      </c>
      <c r="AF60" s="261">
        <f t="shared" si="9"/>
        <v>0</v>
      </c>
      <c r="AG60" s="261">
        <f t="shared" si="10"/>
        <v>0</v>
      </c>
      <c r="AH60" s="261">
        <f t="shared" si="11"/>
        <v>0</v>
      </c>
      <c r="AI60" s="261">
        <f t="shared" si="12"/>
        <v>0</v>
      </c>
      <c r="AJ60" s="262">
        <f t="shared" si="13"/>
        <v>0</v>
      </c>
    </row>
    <row r="61" spans="2:36" ht="14.4" thickBot="1" x14ac:dyDescent="0.35">
      <c r="B61" s="31">
        <v>0</v>
      </c>
      <c r="C61" s="8"/>
      <c r="D61" s="263">
        <v>0</v>
      </c>
      <c r="E61" s="264">
        <v>0</v>
      </c>
      <c r="F61" s="264">
        <v>0</v>
      </c>
      <c r="G61" s="264">
        <v>0</v>
      </c>
      <c r="H61" s="264">
        <v>0</v>
      </c>
      <c r="I61" s="264">
        <v>0</v>
      </c>
      <c r="J61" s="264">
        <v>0</v>
      </c>
      <c r="K61" s="264">
        <v>0</v>
      </c>
      <c r="L61" s="265">
        <v>0</v>
      </c>
      <c r="N61" s="31">
        <v>0</v>
      </c>
      <c r="O61" s="7"/>
      <c r="P61" s="8"/>
      <c r="Q61" s="263">
        <f t="shared" si="3"/>
        <v>0</v>
      </c>
      <c r="R61" s="264">
        <f t="shared" ref="R61:Y61" si="31">(1+Q61)*(1+E61)-1</f>
        <v>0</v>
      </c>
      <c r="S61" s="264">
        <f t="shared" si="31"/>
        <v>0</v>
      </c>
      <c r="T61" s="264">
        <f t="shared" si="31"/>
        <v>0</v>
      </c>
      <c r="U61" s="264">
        <f t="shared" si="31"/>
        <v>0</v>
      </c>
      <c r="V61" s="264">
        <f t="shared" si="31"/>
        <v>0</v>
      </c>
      <c r="W61" s="264">
        <f t="shared" si="31"/>
        <v>0</v>
      </c>
      <c r="X61" s="264">
        <f t="shared" si="31"/>
        <v>0</v>
      </c>
      <c r="Y61" s="265">
        <f t="shared" si="31"/>
        <v>0</v>
      </c>
      <c r="AA61" s="27">
        <v>17</v>
      </c>
      <c r="AB61" s="268">
        <f t="shared" si="5"/>
        <v>0</v>
      </c>
      <c r="AC61" s="261">
        <f t="shared" si="6"/>
        <v>0</v>
      </c>
      <c r="AD61" s="261">
        <f t="shared" si="7"/>
        <v>0</v>
      </c>
      <c r="AE61" s="261">
        <f t="shared" si="8"/>
        <v>0</v>
      </c>
      <c r="AF61" s="261">
        <f t="shared" si="9"/>
        <v>0</v>
      </c>
      <c r="AG61" s="261">
        <f t="shared" si="10"/>
        <v>0</v>
      </c>
      <c r="AH61" s="261">
        <f t="shared" si="11"/>
        <v>0</v>
      </c>
      <c r="AI61" s="261">
        <f t="shared" si="12"/>
        <v>0</v>
      </c>
      <c r="AJ61" s="262">
        <f t="shared" si="13"/>
        <v>0</v>
      </c>
    </row>
    <row r="62" spans="2:36" x14ac:dyDescent="0.3">
      <c r="N62" s="21"/>
      <c r="O62" s="21"/>
      <c r="AA62" s="27">
        <v>18</v>
      </c>
      <c r="AB62" s="268">
        <f t="shared" si="5"/>
        <v>0</v>
      </c>
      <c r="AC62" s="261">
        <f t="shared" si="6"/>
        <v>0</v>
      </c>
      <c r="AD62" s="261">
        <f t="shared" si="7"/>
        <v>0</v>
      </c>
      <c r="AE62" s="261">
        <f t="shared" si="8"/>
        <v>0</v>
      </c>
      <c r="AF62" s="261">
        <f t="shared" si="9"/>
        <v>0</v>
      </c>
      <c r="AG62" s="261">
        <f t="shared" si="10"/>
        <v>0</v>
      </c>
      <c r="AH62" s="261">
        <f t="shared" si="11"/>
        <v>0</v>
      </c>
      <c r="AI62" s="261">
        <f t="shared" si="12"/>
        <v>0</v>
      </c>
      <c r="AJ62" s="262">
        <f t="shared" si="13"/>
        <v>0</v>
      </c>
    </row>
    <row r="63" spans="2:36" x14ac:dyDescent="0.3">
      <c r="AA63" s="27">
        <v>19</v>
      </c>
      <c r="AB63" s="268">
        <f t="shared" si="5"/>
        <v>0</v>
      </c>
      <c r="AC63" s="261">
        <f t="shared" si="6"/>
        <v>0</v>
      </c>
      <c r="AD63" s="261">
        <f t="shared" si="7"/>
        <v>0</v>
      </c>
      <c r="AE63" s="261">
        <f t="shared" si="8"/>
        <v>0</v>
      </c>
      <c r="AF63" s="261">
        <f t="shared" si="9"/>
        <v>0</v>
      </c>
      <c r="AG63" s="261">
        <f t="shared" si="10"/>
        <v>0</v>
      </c>
      <c r="AH63" s="261">
        <f t="shared" si="11"/>
        <v>0</v>
      </c>
      <c r="AI63" s="261">
        <f t="shared" si="12"/>
        <v>0</v>
      </c>
      <c r="AJ63" s="262">
        <f t="shared" si="13"/>
        <v>0</v>
      </c>
    </row>
    <row r="64" spans="2:36" ht="14.4" thickBot="1" x14ac:dyDescent="0.35">
      <c r="B64" s="12" t="s">
        <v>237</v>
      </c>
      <c r="E64" s="12" t="s">
        <v>196</v>
      </c>
      <c r="N64" s="12" t="s">
        <v>197</v>
      </c>
      <c r="O64" s="12"/>
      <c r="AA64" s="27">
        <v>20</v>
      </c>
      <c r="AB64" s="268">
        <f t="shared" si="5"/>
        <v>0</v>
      </c>
      <c r="AC64" s="261">
        <f t="shared" si="6"/>
        <v>0</v>
      </c>
      <c r="AD64" s="261">
        <f t="shared" si="7"/>
        <v>0</v>
      </c>
      <c r="AE64" s="261">
        <f t="shared" si="8"/>
        <v>0</v>
      </c>
      <c r="AF64" s="261">
        <f t="shared" si="9"/>
        <v>0</v>
      </c>
      <c r="AG64" s="261">
        <f t="shared" si="10"/>
        <v>0</v>
      </c>
      <c r="AH64" s="261">
        <f t="shared" si="11"/>
        <v>0</v>
      </c>
      <c r="AI64" s="261">
        <f t="shared" si="12"/>
        <v>0</v>
      </c>
      <c r="AJ64" s="262">
        <f t="shared" si="13"/>
        <v>0</v>
      </c>
    </row>
    <row r="65" spans="2:36" ht="14.4" thickBot="1" x14ac:dyDescent="0.35">
      <c r="B65" s="12" t="s">
        <v>238</v>
      </c>
      <c r="E65" s="14" t="s">
        <v>195</v>
      </c>
      <c r="F65" s="10"/>
      <c r="G65" s="10"/>
      <c r="H65" s="11"/>
      <c r="I65" s="405" t="s">
        <v>25</v>
      </c>
      <c r="J65" s="10"/>
      <c r="K65" s="10"/>
      <c r="L65" s="11"/>
      <c r="N65" s="6" t="str">
        <f>IFERROR(INDEX($T$66:$T$85,SMALL($S$66:$S$85,ROW()-ROW($N$64))),"")</f>
        <v>Augmentation</v>
      </c>
      <c r="O65" s="4"/>
      <c r="P65" s="4"/>
      <c r="Q65" s="5"/>
      <c r="S65" s="384" t="s">
        <v>236</v>
      </c>
      <c r="T65" s="385"/>
      <c r="U65" s="385"/>
      <c r="V65" s="386"/>
      <c r="AA65" s="27">
        <v>21</v>
      </c>
      <c r="AB65" s="268">
        <f t="shared" si="5"/>
        <v>0</v>
      </c>
      <c r="AC65" s="261">
        <f t="shared" si="6"/>
        <v>0</v>
      </c>
      <c r="AD65" s="261">
        <f t="shared" si="7"/>
        <v>0</v>
      </c>
      <c r="AE65" s="261">
        <f t="shared" si="8"/>
        <v>0</v>
      </c>
      <c r="AF65" s="261">
        <f t="shared" si="9"/>
        <v>0</v>
      </c>
      <c r="AG65" s="261">
        <f t="shared" si="10"/>
        <v>0</v>
      </c>
      <c r="AH65" s="261">
        <f t="shared" si="11"/>
        <v>0</v>
      </c>
      <c r="AI65" s="261">
        <f t="shared" si="12"/>
        <v>0</v>
      </c>
      <c r="AJ65" s="262">
        <f t="shared" si="13"/>
        <v>0</v>
      </c>
    </row>
    <row r="66" spans="2:36" ht="15.75" customHeight="1" thickBot="1" x14ac:dyDescent="0.35">
      <c r="B66" s="599" t="s">
        <v>26</v>
      </c>
      <c r="C66" s="600"/>
      <c r="E66" s="593" t="s">
        <v>111</v>
      </c>
      <c r="F66" s="594"/>
      <c r="G66" s="594"/>
      <c r="H66" s="595"/>
      <c r="I66" s="593" t="s">
        <v>191</v>
      </c>
      <c r="J66" s="594"/>
      <c r="K66" s="594"/>
      <c r="L66" s="595"/>
      <c r="N66" s="380" t="str">
        <f t="shared" ref="N66:N80" si="32">IFERROR(INDEX($T$66:$T$85,SMALL($S$66:$S$85,ROW()-ROW($N$64))),"")</f>
        <v>Connection</v>
      </c>
      <c r="O66" s="21"/>
      <c r="P66" s="21"/>
      <c r="Q66" s="23"/>
      <c r="S66" s="392">
        <f t="shared" ref="S66:S75" si="33">IF(E66="","",ROW(E66)-ROW($E$65))</f>
        <v>1</v>
      </c>
      <c r="T66" s="395" t="str">
        <f t="shared" ref="T66:T75" si="34">E66</f>
        <v>Augmentation</v>
      </c>
      <c r="U66" s="403"/>
      <c r="V66" s="390"/>
      <c r="AA66" s="27">
        <v>22</v>
      </c>
      <c r="AB66" s="268">
        <f t="shared" si="5"/>
        <v>0</v>
      </c>
      <c r="AC66" s="261">
        <f t="shared" si="6"/>
        <v>0</v>
      </c>
      <c r="AD66" s="261">
        <f t="shared" si="7"/>
        <v>0</v>
      </c>
      <c r="AE66" s="261">
        <f t="shared" si="8"/>
        <v>0</v>
      </c>
      <c r="AF66" s="261">
        <f t="shared" si="9"/>
        <v>0</v>
      </c>
      <c r="AG66" s="261">
        <f t="shared" si="10"/>
        <v>0</v>
      </c>
      <c r="AH66" s="261">
        <f t="shared" si="11"/>
        <v>0</v>
      </c>
      <c r="AI66" s="261">
        <f t="shared" si="12"/>
        <v>0</v>
      </c>
      <c r="AJ66" s="262">
        <f t="shared" si="13"/>
        <v>0</v>
      </c>
    </row>
    <row r="67" spans="2:36" x14ac:dyDescent="0.3">
      <c r="E67" s="593" t="s">
        <v>114</v>
      </c>
      <c r="F67" s="594"/>
      <c r="G67" s="594"/>
      <c r="H67" s="595"/>
      <c r="I67" s="593" t="s">
        <v>168</v>
      </c>
      <c r="J67" s="594"/>
      <c r="K67" s="594"/>
      <c r="L67" s="595"/>
      <c r="N67" s="380" t="str">
        <f t="shared" si="32"/>
        <v>Land and Easements</v>
      </c>
      <c r="O67" s="21"/>
      <c r="P67" s="21"/>
      <c r="Q67" s="23"/>
      <c r="S67" s="393">
        <f t="shared" si="33"/>
        <v>2</v>
      </c>
      <c r="T67" s="396" t="str">
        <f t="shared" si="34"/>
        <v>Connection</v>
      </c>
      <c r="U67" s="402"/>
      <c r="V67" s="387"/>
      <c r="AA67" s="27">
        <v>23</v>
      </c>
      <c r="AB67" s="268">
        <f t="shared" si="5"/>
        <v>0</v>
      </c>
      <c r="AC67" s="261">
        <f t="shared" si="6"/>
        <v>0</v>
      </c>
      <c r="AD67" s="261">
        <f t="shared" si="7"/>
        <v>0</v>
      </c>
      <c r="AE67" s="261">
        <f t="shared" si="8"/>
        <v>0</v>
      </c>
      <c r="AF67" s="261">
        <f t="shared" si="9"/>
        <v>0</v>
      </c>
      <c r="AG67" s="261">
        <f t="shared" si="10"/>
        <v>0</v>
      </c>
      <c r="AH67" s="261">
        <f t="shared" si="11"/>
        <v>0</v>
      </c>
      <c r="AI67" s="261">
        <f t="shared" si="12"/>
        <v>0</v>
      </c>
      <c r="AJ67" s="262">
        <f t="shared" si="13"/>
        <v>0</v>
      </c>
    </row>
    <row r="68" spans="2:36" x14ac:dyDescent="0.3">
      <c r="E68" s="593" t="s">
        <v>156</v>
      </c>
      <c r="F68" s="594"/>
      <c r="G68" s="594"/>
      <c r="H68" s="595"/>
      <c r="I68" s="593"/>
      <c r="J68" s="594"/>
      <c r="K68" s="594"/>
      <c r="L68" s="595"/>
      <c r="N68" s="380" t="str">
        <f t="shared" si="32"/>
        <v>Asset Renewal</v>
      </c>
      <c r="O68" s="21"/>
      <c r="P68" s="21"/>
      <c r="Q68" s="23"/>
      <c r="S68" s="393">
        <f t="shared" si="33"/>
        <v>3</v>
      </c>
      <c r="T68" s="396" t="str">
        <f t="shared" si="34"/>
        <v>Land and Easements</v>
      </c>
      <c r="U68" s="402"/>
      <c r="V68" s="387"/>
      <c r="AA68" s="27">
        <v>24</v>
      </c>
      <c r="AB68" s="268">
        <f t="shared" si="5"/>
        <v>0</v>
      </c>
      <c r="AC68" s="261">
        <f t="shared" si="6"/>
        <v>0</v>
      </c>
      <c r="AD68" s="261">
        <f t="shared" si="7"/>
        <v>0</v>
      </c>
      <c r="AE68" s="261">
        <f t="shared" si="8"/>
        <v>0</v>
      </c>
      <c r="AF68" s="261">
        <f t="shared" si="9"/>
        <v>0</v>
      </c>
      <c r="AG68" s="261">
        <f t="shared" si="10"/>
        <v>0</v>
      </c>
      <c r="AH68" s="261">
        <f t="shared" si="11"/>
        <v>0</v>
      </c>
      <c r="AI68" s="261">
        <f t="shared" si="12"/>
        <v>0</v>
      </c>
      <c r="AJ68" s="262">
        <f t="shared" si="13"/>
        <v>0</v>
      </c>
    </row>
    <row r="69" spans="2:36" x14ac:dyDescent="0.3">
      <c r="E69" s="593" t="s">
        <v>107</v>
      </c>
      <c r="F69" s="594"/>
      <c r="G69" s="594"/>
      <c r="H69" s="595"/>
      <c r="I69" s="593"/>
      <c r="J69" s="594"/>
      <c r="K69" s="594"/>
      <c r="L69" s="595"/>
      <c r="N69" s="380" t="str">
        <f t="shared" si="32"/>
        <v>Physical Security / Compliance</v>
      </c>
      <c r="O69" s="21"/>
      <c r="P69" s="21"/>
      <c r="Q69" s="23"/>
      <c r="S69" s="393">
        <f t="shared" si="33"/>
        <v>4</v>
      </c>
      <c r="T69" s="396" t="str">
        <f t="shared" si="34"/>
        <v>Asset Renewal</v>
      </c>
      <c r="U69" s="402"/>
      <c r="V69" s="387"/>
      <c r="AA69" s="27">
        <v>25</v>
      </c>
      <c r="AB69" s="268">
        <f t="shared" si="5"/>
        <v>0</v>
      </c>
      <c r="AC69" s="261">
        <f t="shared" si="6"/>
        <v>0</v>
      </c>
      <c r="AD69" s="261">
        <f t="shared" si="7"/>
        <v>0</v>
      </c>
      <c r="AE69" s="261">
        <f t="shared" si="8"/>
        <v>0</v>
      </c>
      <c r="AF69" s="261">
        <f t="shared" si="9"/>
        <v>0</v>
      </c>
      <c r="AG69" s="261">
        <f t="shared" si="10"/>
        <v>0</v>
      </c>
      <c r="AH69" s="261">
        <f t="shared" si="11"/>
        <v>0</v>
      </c>
      <c r="AI69" s="261">
        <f t="shared" si="12"/>
        <v>0</v>
      </c>
      <c r="AJ69" s="262">
        <f t="shared" si="13"/>
        <v>0</v>
      </c>
    </row>
    <row r="70" spans="2:36" x14ac:dyDescent="0.3">
      <c r="E70" s="593" t="s">
        <v>187</v>
      </c>
      <c r="F70" s="594"/>
      <c r="G70" s="594"/>
      <c r="H70" s="595"/>
      <c r="I70" s="593"/>
      <c r="J70" s="594"/>
      <c r="K70" s="594"/>
      <c r="L70" s="595"/>
      <c r="N70" s="380" t="str">
        <f t="shared" si="32"/>
        <v>Inventory / Spares</v>
      </c>
      <c r="O70" s="21"/>
      <c r="P70" s="21"/>
      <c r="Q70" s="23"/>
      <c r="S70" s="393">
        <f t="shared" si="33"/>
        <v>5</v>
      </c>
      <c r="T70" s="396" t="str">
        <f t="shared" si="34"/>
        <v>Physical Security / Compliance</v>
      </c>
      <c r="U70" s="402"/>
      <c r="V70" s="387"/>
      <c r="AA70" s="27">
        <v>26</v>
      </c>
      <c r="AB70" s="268">
        <f t="shared" si="5"/>
        <v>0</v>
      </c>
      <c r="AC70" s="261">
        <f t="shared" si="6"/>
        <v>0</v>
      </c>
      <c r="AD70" s="261">
        <f t="shared" si="7"/>
        <v>0</v>
      </c>
      <c r="AE70" s="261">
        <f t="shared" si="8"/>
        <v>0</v>
      </c>
      <c r="AF70" s="261">
        <f t="shared" si="9"/>
        <v>0</v>
      </c>
      <c r="AG70" s="261">
        <f t="shared" si="10"/>
        <v>0</v>
      </c>
      <c r="AH70" s="261">
        <f t="shared" si="11"/>
        <v>0</v>
      </c>
      <c r="AI70" s="261">
        <f t="shared" si="12"/>
        <v>0</v>
      </c>
      <c r="AJ70" s="262">
        <f t="shared" si="13"/>
        <v>0</v>
      </c>
    </row>
    <row r="71" spans="2:36" x14ac:dyDescent="0.3">
      <c r="E71" s="593" t="s">
        <v>188</v>
      </c>
      <c r="F71" s="594"/>
      <c r="G71" s="594"/>
      <c r="H71" s="595"/>
      <c r="I71" s="593"/>
      <c r="J71" s="594"/>
      <c r="K71" s="594"/>
      <c r="L71" s="595"/>
      <c r="N71" s="380" t="str">
        <f t="shared" si="32"/>
        <v>Operational Support Systems</v>
      </c>
      <c r="O71" s="21"/>
      <c r="P71" s="21"/>
      <c r="Q71" s="23"/>
      <c r="S71" s="393">
        <f t="shared" si="33"/>
        <v>6</v>
      </c>
      <c r="T71" s="396" t="str">
        <f t="shared" si="34"/>
        <v>Inventory / Spares</v>
      </c>
      <c r="U71" s="402"/>
      <c r="V71" s="387"/>
      <c r="AA71" s="27">
        <v>27</v>
      </c>
      <c r="AB71" s="268">
        <f t="shared" si="5"/>
        <v>0</v>
      </c>
      <c r="AC71" s="261">
        <f t="shared" si="6"/>
        <v>0</v>
      </c>
      <c r="AD71" s="261">
        <f t="shared" si="7"/>
        <v>0</v>
      </c>
      <c r="AE71" s="261">
        <f t="shared" si="8"/>
        <v>0</v>
      </c>
      <c r="AF71" s="261">
        <f t="shared" si="9"/>
        <v>0</v>
      </c>
      <c r="AG71" s="261">
        <f t="shared" si="10"/>
        <v>0</v>
      </c>
      <c r="AH71" s="261">
        <f t="shared" si="11"/>
        <v>0</v>
      </c>
      <c r="AI71" s="261">
        <f t="shared" si="12"/>
        <v>0</v>
      </c>
      <c r="AJ71" s="262">
        <f t="shared" si="13"/>
        <v>0</v>
      </c>
    </row>
    <row r="72" spans="2:36" x14ac:dyDescent="0.3">
      <c r="E72" s="593" t="s">
        <v>109</v>
      </c>
      <c r="F72" s="594"/>
      <c r="G72" s="594"/>
      <c r="H72" s="595"/>
      <c r="I72" s="593"/>
      <c r="J72" s="594"/>
      <c r="K72" s="594"/>
      <c r="L72" s="595"/>
      <c r="N72" s="380" t="str">
        <f t="shared" si="32"/>
        <v>Information Technology</v>
      </c>
      <c r="O72" s="21"/>
      <c r="P72" s="21"/>
      <c r="Q72" s="23"/>
      <c r="S72" s="393">
        <f t="shared" si="33"/>
        <v>7</v>
      </c>
      <c r="T72" s="396" t="str">
        <f t="shared" si="34"/>
        <v>Operational Support Systems</v>
      </c>
      <c r="U72" s="402"/>
      <c r="V72" s="387"/>
      <c r="AA72" s="27">
        <v>28</v>
      </c>
      <c r="AB72" s="268">
        <f t="shared" si="5"/>
        <v>0</v>
      </c>
      <c r="AC72" s="261">
        <f t="shared" si="6"/>
        <v>0</v>
      </c>
      <c r="AD72" s="261">
        <f t="shared" si="7"/>
        <v>0</v>
      </c>
      <c r="AE72" s="261">
        <f t="shared" si="8"/>
        <v>0</v>
      </c>
      <c r="AF72" s="261">
        <f t="shared" si="9"/>
        <v>0</v>
      </c>
      <c r="AG72" s="261">
        <f t="shared" si="10"/>
        <v>0</v>
      </c>
      <c r="AH72" s="261">
        <f t="shared" si="11"/>
        <v>0</v>
      </c>
      <c r="AI72" s="261">
        <f t="shared" si="12"/>
        <v>0</v>
      </c>
      <c r="AJ72" s="262">
        <f t="shared" si="13"/>
        <v>0</v>
      </c>
    </row>
    <row r="73" spans="2:36" ht="14.4" thickBot="1" x14ac:dyDescent="0.35">
      <c r="E73" s="593"/>
      <c r="F73" s="594"/>
      <c r="G73" s="594"/>
      <c r="H73" s="595"/>
      <c r="I73" s="593"/>
      <c r="J73" s="594"/>
      <c r="K73" s="594"/>
      <c r="L73" s="595"/>
      <c r="N73" s="380" t="str">
        <f t="shared" si="32"/>
        <v>Business Support</v>
      </c>
      <c r="O73" s="21"/>
      <c r="P73" s="21"/>
      <c r="Q73" s="23"/>
      <c r="S73" s="393" t="str">
        <f t="shared" si="33"/>
        <v/>
      </c>
      <c r="T73" s="396">
        <f t="shared" si="34"/>
        <v>0</v>
      </c>
      <c r="U73" s="402"/>
      <c r="V73" s="387"/>
      <c r="AA73" s="28">
        <v>29</v>
      </c>
      <c r="AB73" s="269">
        <f t="shared" si="5"/>
        <v>0</v>
      </c>
      <c r="AC73" s="264">
        <f t="shared" si="6"/>
        <v>0</v>
      </c>
      <c r="AD73" s="264">
        <f t="shared" si="7"/>
        <v>0</v>
      </c>
      <c r="AE73" s="264">
        <f t="shared" si="8"/>
        <v>0</v>
      </c>
      <c r="AF73" s="264">
        <f t="shared" si="9"/>
        <v>0</v>
      </c>
      <c r="AG73" s="264">
        <f t="shared" si="10"/>
        <v>0</v>
      </c>
      <c r="AH73" s="264">
        <f t="shared" si="11"/>
        <v>0</v>
      </c>
      <c r="AI73" s="264">
        <f t="shared" si="12"/>
        <v>0</v>
      </c>
      <c r="AJ73" s="265">
        <f t="shared" si="13"/>
        <v>0</v>
      </c>
    </row>
    <row r="74" spans="2:36" x14ac:dyDescent="0.3">
      <c r="E74" s="593"/>
      <c r="F74" s="594"/>
      <c r="G74" s="594"/>
      <c r="H74" s="595"/>
      <c r="I74" s="593"/>
      <c r="J74" s="594"/>
      <c r="K74" s="594"/>
      <c r="L74" s="595"/>
      <c r="N74" s="380" t="str">
        <f t="shared" si="32"/>
        <v/>
      </c>
      <c r="O74" s="21"/>
      <c r="P74" s="21"/>
      <c r="Q74" s="23"/>
      <c r="S74" s="393" t="str">
        <f t="shared" si="33"/>
        <v/>
      </c>
      <c r="T74" s="396">
        <f t="shared" si="34"/>
        <v>0</v>
      </c>
      <c r="U74" s="402"/>
      <c r="V74" s="387"/>
    </row>
    <row r="75" spans="2:36" ht="15.75" customHeight="1" thickBot="1" x14ac:dyDescent="0.35">
      <c r="E75" s="596"/>
      <c r="F75" s="597"/>
      <c r="G75" s="597"/>
      <c r="H75" s="598"/>
      <c r="I75" s="596"/>
      <c r="J75" s="597"/>
      <c r="K75" s="597"/>
      <c r="L75" s="598"/>
      <c r="N75" s="380" t="str">
        <f t="shared" si="32"/>
        <v/>
      </c>
      <c r="O75" s="21"/>
      <c r="P75" s="21"/>
      <c r="Q75" s="23"/>
      <c r="S75" s="393" t="str">
        <f t="shared" si="33"/>
        <v/>
      </c>
      <c r="T75" s="396">
        <f t="shared" si="34"/>
        <v>0</v>
      </c>
      <c r="U75" s="402"/>
      <c r="V75" s="387"/>
    </row>
    <row r="76" spans="2:36" x14ac:dyDescent="0.3">
      <c r="N76" s="380" t="str">
        <f t="shared" si="32"/>
        <v/>
      </c>
      <c r="O76" s="21"/>
      <c r="P76" s="21"/>
      <c r="Q76" s="23"/>
      <c r="S76" s="393">
        <f t="shared" ref="S76:S85" si="35">IF(I66="","",ROW(I66)-ROW($I$65)+10)</f>
        <v>11</v>
      </c>
      <c r="T76" s="396" t="str">
        <f t="shared" ref="T76:T85" si="36">I66</f>
        <v>Information Technology</v>
      </c>
      <c r="U76" s="402"/>
      <c r="V76" s="387"/>
    </row>
    <row r="77" spans="2:36" x14ac:dyDescent="0.3">
      <c r="N77" s="380" t="str">
        <f t="shared" si="32"/>
        <v/>
      </c>
      <c r="O77" s="21"/>
      <c r="P77" s="21"/>
      <c r="Q77" s="23"/>
      <c r="S77" s="393">
        <f t="shared" si="35"/>
        <v>12</v>
      </c>
      <c r="T77" s="396" t="str">
        <f t="shared" si="36"/>
        <v>Business Support</v>
      </c>
      <c r="U77" s="402"/>
      <c r="V77" s="387"/>
    </row>
    <row r="78" spans="2:36" x14ac:dyDescent="0.3">
      <c r="E78" s="12"/>
      <c r="N78" s="380" t="str">
        <f t="shared" si="32"/>
        <v/>
      </c>
      <c r="O78" s="21"/>
      <c r="P78" s="21"/>
      <c r="Q78" s="23"/>
      <c r="S78" s="393" t="str">
        <f t="shared" si="35"/>
        <v/>
      </c>
      <c r="T78" s="396">
        <f t="shared" si="36"/>
        <v>0</v>
      </c>
      <c r="U78" s="402"/>
      <c r="V78" s="387"/>
    </row>
    <row r="79" spans="2:36" ht="15.75" customHeight="1" x14ac:dyDescent="0.3">
      <c r="N79" s="380" t="str">
        <f t="shared" si="32"/>
        <v/>
      </c>
      <c r="O79" s="21"/>
      <c r="P79" s="21"/>
      <c r="Q79" s="23"/>
      <c r="S79" s="393" t="str">
        <f t="shared" si="35"/>
        <v/>
      </c>
      <c r="T79" s="396">
        <f t="shared" si="36"/>
        <v>0</v>
      </c>
      <c r="U79" s="402"/>
      <c r="V79" s="387"/>
    </row>
    <row r="80" spans="2:36" ht="15.75" customHeight="1" thickBot="1" x14ac:dyDescent="0.35">
      <c r="N80" s="9" t="str">
        <f t="shared" si="32"/>
        <v/>
      </c>
      <c r="O80" s="7"/>
      <c r="P80" s="7"/>
      <c r="Q80" s="8"/>
      <c r="S80" s="393" t="str">
        <f t="shared" si="35"/>
        <v/>
      </c>
      <c r="T80" s="396">
        <f t="shared" si="36"/>
        <v>0</v>
      </c>
      <c r="U80" s="402"/>
      <c r="V80" s="387"/>
    </row>
    <row r="81" spans="14:22" x14ac:dyDescent="0.3">
      <c r="S81" s="393" t="str">
        <f t="shared" si="35"/>
        <v/>
      </c>
      <c r="T81" s="396">
        <f t="shared" si="36"/>
        <v>0</v>
      </c>
      <c r="U81" s="402"/>
      <c r="V81" s="387"/>
    </row>
    <row r="82" spans="14:22" x14ac:dyDescent="0.3">
      <c r="S82" s="393" t="str">
        <f t="shared" si="35"/>
        <v/>
      </c>
      <c r="T82" s="396">
        <f t="shared" si="36"/>
        <v>0</v>
      </c>
      <c r="U82" s="402"/>
      <c r="V82" s="387"/>
    </row>
    <row r="83" spans="14:22" x14ac:dyDescent="0.3">
      <c r="S83" s="393" t="str">
        <f t="shared" si="35"/>
        <v/>
      </c>
      <c r="T83" s="396">
        <f t="shared" si="36"/>
        <v>0</v>
      </c>
      <c r="U83" s="402"/>
      <c r="V83" s="387"/>
    </row>
    <row r="84" spans="14:22" x14ac:dyDescent="0.3">
      <c r="N84" s="312"/>
      <c r="S84" s="393" t="str">
        <f t="shared" si="35"/>
        <v/>
      </c>
      <c r="T84" s="396">
        <f t="shared" si="36"/>
        <v>0</v>
      </c>
      <c r="U84" s="402"/>
      <c r="V84" s="387"/>
    </row>
    <row r="85" spans="14:22" x14ac:dyDescent="0.3">
      <c r="S85" s="394" t="str">
        <f t="shared" si="35"/>
        <v/>
      </c>
      <c r="T85" s="397">
        <f t="shared" si="36"/>
        <v>0</v>
      </c>
      <c r="U85" s="404"/>
      <c r="V85" s="391"/>
    </row>
    <row r="86" spans="14:22" x14ac:dyDescent="0.3">
      <c r="S86" s="398" t="str">
        <f>ADDRESS(ROW(N65),COLUMN(),1,1,"Parameters") &amp; ":" &amp; ADDRESS(ROW(N65)+COUNT(S66:S85)-1,COLUMN(),1,1)</f>
        <v>Parameters!$S$65:$S$73</v>
      </c>
      <c r="T86" s="388"/>
      <c r="U86" s="388"/>
      <c r="V86" s="389"/>
    </row>
  </sheetData>
  <protectedRanges>
    <protectedRange sqref="B5:C35" name="Range3"/>
    <protectedRange sqref="N65:N80" name="ParametersEditable_2"/>
    <protectedRange sqref="D5:D35 D39:L39 AA39 E66:E75 I66:I75 B66:C66 E4:W35" name="ParametersEditable"/>
  </protectedRanges>
  <mergeCells count="22">
    <mergeCell ref="I73:L73"/>
    <mergeCell ref="I74:L74"/>
    <mergeCell ref="I70:L70"/>
    <mergeCell ref="I67:L67"/>
    <mergeCell ref="I68:L68"/>
    <mergeCell ref="I69:L69"/>
    <mergeCell ref="B4:C4"/>
    <mergeCell ref="I71:L71"/>
    <mergeCell ref="I75:L75"/>
    <mergeCell ref="B66:C66"/>
    <mergeCell ref="E75:H7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I66:L66"/>
    <mergeCell ref="I72:L72"/>
  </mergeCells>
  <printOptions horizontalCentered="1"/>
  <pageMargins left="0.39370078740157483" right="0.39370078740157483" top="0.74803149606299213" bottom="0.74803149606299213" header="0.31496062992125984" footer="0.31496062992125984"/>
  <pageSetup paperSize="8" orientation="landscape" blackAndWhite="1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1"/>
  <sheetViews>
    <sheetView zoomScale="60" zoomScaleNormal="60" workbookViewId="0">
      <pane ySplit="3" topLeftCell="A4" activePane="bottomLeft" state="frozenSplit"/>
      <selection activeCell="M4" sqref="M4"/>
      <selection pane="bottomLeft" activeCell="AK6" sqref="AK6"/>
    </sheetView>
  </sheetViews>
  <sheetFormatPr defaultColWidth="9.109375" defaultRowHeight="13.8" x14ac:dyDescent="0.3"/>
  <cols>
    <col min="1" max="1" width="9.33203125" style="323" customWidth="1"/>
    <col min="2" max="2" width="51.5546875" style="2" customWidth="1"/>
    <col min="3" max="3" width="16.109375" style="2" customWidth="1"/>
    <col min="4" max="4" width="7.5546875" style="335" customWidth="1"/>
    <col min="5" max="5" width="5" style="335" customWidth="1"/>
    <col min="6" max="7" width="5" style="2" customWidth="1"/>
    <col min="8" max="8" width="7.5546875" style="13" customWidth="1"/>
    <col min="9" max="9" width="7.44140625" style="13" customWidth="1"/>
    <col min="10" max="10" width="7.5546875" style="13" customWidth="1"/>
    <col min="11" max="13" width="8.33203125" style="13" customWidth="1"/>
    <col min="14" max="14" width="7.5546875" style="13" customWidth="1"/>
    <col min="15" max="15" width="8.6640625" style="2" customWidth="1"/>
    <col min="16" max="17" width="7.5546875" style="2" customWidth="1"/>
    <col min="18" max="22" width="7.5546875" style="342" customWidth="1"/>
    <col min="23" max="26" width="7.5546875" style="2" customWidth="1"/>
    <col min="27" max="31" width="7.5546875" style="342" customWidth="1"/>
    <col min="32" max="33" width="7.5546875" style="2" customWidth="1"/>
    <col min="34" max="34" width="8" style="2" customWidth="1"/>
    <col min="35" max="58" width="9.109375" style="2"/>
    <col min="59" max="59" width="14.33203125" style="546" customWidth="1"/>
    <col min="60" max="16384" width="9.109375" style="2"/>
  </cols>
  <sheetData>
    <row r="1" spans="1:59" s="12" customFormat="1" ht="12.75" x14ac:dyDescent="0.2">
      <c r="A1" s="299"/>
      <c r="D1" s="334"/>
      <c r="E1" s="334"/>
      <c r="H1" s="300"/>
      <c r="I1" s="300"/>
      <c r="J1" s="300"/>
      <c r="K1" s="300"/>
      <c r="L1" s="300"/>
      <c r="M1" s="300"/>
      <c r="N1" s="300"/>
      <c r="P1" s="12" t="s">
        <v>81</v>
      </c>
      <c r="R1" s="337"/>
      <c r="S1" s="337"/>
      <c r="T1" s="337"/>
      <c r="U1" s="337"/>
      <c r="V1" s="337"/>
      <c r="Y1" s="12" t="s">
        <v>82</v>
      </c>
      <c r="AA1" s="337"/>
      <c r="AB1" s="337"/>
      <c r="AC1" s="337"/>
      <c r="AD1" s="337"/>
      <c r="AE1" s="337"/>
      <c r="AH1" s="12" t="s">
        <v>83</v>
      </c>
      <c r="BG1" s="546"/>
    </row>
    <row r="2" spans="1:59" s="12" customFormat="1" ht="13.5" thickBot="1" x14ac:dyDescent="0.25">
      <c r="A2" s="299" t="s">
        <v>12</v>
      </c>
      <c r="D2" s="335"/>
      <c r="E2" s="335"/>
      <c r="F2" s="301"/>
      <c r="G2" s="301"/>
      <c r="H2" s="302"/>
      <c r="I2" s="302"/>
      <c r="J2" s="302" t="s">
        <v>97</v>
      </c>
      <c r="K2" s="302"/>
      <c r="L2" s="302"/>
      <c r="M2" s="302"/>
      <c r="N2" s="302"/>
      <c r="O2" s="303">
        <f t="shared" ref="O2:AH2" si="0">SUM(O4:O100)</f>
        <v>261639029.4001931</v>
      </c>
      <c r="P2" s="289">
        <f t="shared" si="0"/>
        <v>0</v>
      </c>
      <c r="Q2" s="289">
        <f t="shared" si="0"/>
        <v>6322088.8204265721</v>
      </c>
      <c r="R2" s="338">
        <f t="shared" si="0"/>
        <v>47825074.079766527</v>
      </c>
      <c r="S2" s="338">
        <f t="shared" si="0"/>
        <v>60192048.375</v>
      </c>
      <c r="T2" s="338">
        <f t="shared" si="0"/>
        <v>53924725.375</v>
      </c>
      <c r="U2" s="338">
        <f t="shared" si="0"/>
        <v>47748663.375</v>
      </c>
      <c r="V2" s="338">
        <f t="shared" si="0"/>
        <v>39837117.375</v>
      </c>
      <c r="W2" s="289">
        <f t="shared" si="0"/>
        <v>5789312</v>
      </c>
      <c r="X2" s="289">
        <f t="shared" si="0"/>
        <v>0</v>
      </c>
      <c r="Y2" s="289">
        <f t="shared" si="0"/>
        <v>0</v>
      </c>
      <c r="Z2" s="289">
        <f t="shared" si="0"/>
        <v>518287.13123609993</v>
      </c>
      <c r="AA2" s="338">
        <f t="shared" si="0"/>
        <v>49278732.768957004</v>
      </c>
      <c r="AB2" s="338">
        <f t="shared" si="0"/>
        <v>41021425.375</v>
      </c>
      <c r="AC2" s="338">
        <f t="shared" si="0"/>
        <v>73039845.374999985</v>
      </c>
      <c r="AD2" s="338">
        <f t="shared" si="0"/>
        <v>37226569.375</v>
      </c>
      <c r="AE2" s="338">
        <f t="shared" si="0"/>
        <v>52250446.375</v>
      </c>
      <c r="AF2" s="289">
        <f t="shared" si="0"/>
        <v>61818</v>
      </c>
      <c r="AG2" s="289">
        <f t="shared" si="0"/>
        <v>8241905</v>
      </c>
      <c r="AH2" s="289">
        <f t="shared" si="0"/>
        <v>5803801.6891904725</v>
      </c>
      <c r="AI2" s="2" t="s">
        <v>6</v>
      </c>
      <c r="AJ2" s="2"/>
      <c r="AK2" s="274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546"/>
    </row>
    <row r="3" spans="1:59" s="312" customFormat="1" ht="48" customHeight="1" thickBot="1" x14ac:dyDescent="0.25">
      <c r="A3" s="304" t="str">
        <f>'Input Data Sheet'!B3</f>
        <v>ID</v>
      </c>
      <c r="B3" s="305" t="str">
        <f>'Input Data Sheet'!C3</f>
        <v>Projects</v>
      </c>
      <c r="C3" s="305" t="str">
        <f>'Input Data Sheet'!D3</f>
        <v>Category</v>
      </c>
      <c r="D3" s="336" t="str">
        <f>'Input Data Sheet'!E3</f>
        <v>Comm Yr</v>
      </c>
      <c r="E3" s="336" t="str">
        <f>'Input Data Sheet'!F3</f>
        <v>Type</v>
      </c>
      <c r="F3" s="306"/>
      <c r="G3" s="306"/>
      <c r="H3" s="336" t="str">
        <f>'Input Data Sheet'!J3</f>
        <v>Program</v>
      </c>
      <c r="I3" s="305"/>
      <c r="J3" s="336" t="s">
        <v>20</v>
      </c>
      <c r="K3" s="497"/>
      <c r="L3" s="497"/>
      <c r="M3" s="497"/>
      <c r="N3" s="305"/>
      <c r="O3" s="307" t="s">
        <v>13</v>
      </c>
      <c r="P3" s="308" t="str">
        <f t="array" ref="P3:X3">'Input Data Sheet'!Q3:Y3</f>
        <v>2012/13</v>
      </c>
      <c r="Q3" s="309" t="str">
        <v>2013/14</v>
      </c>
      <c r="R3" s="339" t="str">
        <v>2014/15</v>
      </c>
      <c r="S3" s="339" t="str">
        <v>2015/16</v>
      </c>
      <c r="T3" s="339" t="str">
        <v>2016/17</v>
      </c>
      <c r="U3" s="339" t="str">
        <v>2017/18</v>
      </c>
      <c r="V3" s="339" t="str">
        <v>2018/19</v>
      </c>
      <c r="W3" s="309" t="str">
        <v>2019/20</v>
      </c>
      <c r="X3" s="310" t="str">
        <v>2020/21</v>
      </c>
      <c r="Y3" s="308" t="str">
        <f t="array" ref="Y3:AG3">P3:X3</f>
        <v>2012/13</v>
      </c>
      <c r="Z3" s="309" t="str">
        <v>2013/14</v>
      </c>
      <c r="AA3" s="339" t="str">
        <v>2014/15</v>
      </c>
      <c r="AB3" s="339" t="str">
        <v>2015/16</v>
      </c>
      <c r="AC3" s="339" t="str">
        <v>2016/17</v>
      </c>
      <c r="AD3" s="339" t="str">
        <v>2017/18</v>
      </c>
      <c r="AE3" s="339" t="str">
        <v>2018/19</v>
      </c>
      <c r="AF3" s="309" t="str">
        <v>2019/20</v>
      </c>
      <c r="AG3" s="310" t="str">
        <v>2020/21</v>
      </c>
      <c r="AH3" s="311" t="str">
        <f>"June 20" &amp; RIGHT(Q3,2)</f>
        <v>June 2014</v>
      </c>
      <c r="AI3" s="38" t="str">
        <f t="array" ref="AI3:BF3">'Input Data Sheet'!Z3:AW3</f>
        <v>TL60</v>
      </c>
      <c r="AJ3" s="39" t="str">
        <v>TL45</v>
      </c>
      <c r="AK3" s="39" t="str">
        <v>TL10</v>
      </c>
      <c r="AL3" s="39" t="str">
        <v>SS60</v>
      </c>
      <c r="AM3" s="39" t="str">
        <v>SS45</v>
      </c>
      <c r="AN3" s="39" t="str">
        <v>SS15</v>
      </c>
      <c r="AO3" s="39" t="str">
        <v>PC15</v>
      </c>
      <c r="AP3" s="39" t="str">
        <v>PC4</v>
      </c>
      <c r="AQ3" s="39" t="str">
        <v>TO10</v>
      </c>
      <c r="AR3" s="39" t="str">
        <v>TO4</v>
      </c>
      <c r="AS3" s="39" t="str">
        <v>Other40</v>
      </c>
      <c r="AT3" s="39" t="str">
        <v>Other9</v>
      </c>
      <c r="AU3" s="39" t="str">
        <v>Other4</v>
      </c>
      <c r="AV3" s="39" t="str">
        <v>Com45</v>
      </c>
      <c r="AW3" s="39" t="str">
        <v>Com10</v>
      </c>
      <c r="AX3" s="39" t="str">
        <v>Com5</v>
      </c>
      <c r="AY3" s="39" t="str">
        <v>LB</v>
      </c>
      <c r="AZ3" s="39">
        <v>0</v>
      </c>
      <c r="BA3" s="39">
        <v>0</v>
      </c>
      <c r="BB3" s="39">
        <v>0</v>
      </c>
      <c r="BC3" s="39">
        <v>0</v>
      </c>
      <c r="BD3" s="39">
        <v>0</v>
      </c>
      <c r="BE3" s="39">
        <v>0</v>
      </c>
      <c r="BF3" s="40">
        <v>0</v>
      </c>
      <c r="BG3" s="547" t="s">
        <v>450</v>
      </c>
    </row>
    <row r="4" spans="1:59" ht="12.75" x14ac:dyDescent="0.2">
      <c r="A4" s="409" t="str">
        <f>'Input Data Sheet'!B4</f>
        <v>ND0826</v>
      </c>
      <c r="B4" s="314" t="str">
        <f>'Input Data Sheet'!C4</f>
        <v>Avoca Substation 110 kV Redevelopment</v>
      </c>
      <c r="C4" s="314" t="str">
        <f>'Input Data Sheet'!D4</f>
        <v>Asset Renewal</v>
      </c>
      <c r="D4" s="333" t="str">
        <f>'Input Data Sheet'!E4</f>
        <v>2014/15</v>
      </c>
      <c r="E4" s="333">
        <f>'Input Data Sheet'!F4</f>
        <v>0</v>
      </c>
      <c r="F4" s="315"/>
      <c r="G4" s="315"/>
      <c r="H4" s="316">
        <f>'Input Data Sheet'!J4</f>
        <v>0</v>
      </c>
      <c r="I4" s="316"/>
      <c r="J4" s="316">
        <f>'Input Data Sheet'!K4</f>
        <v>0</v>
      </c>
      <c r="K4" s="496"/>
      <c r="L4" s="496"/>
      <c r="M4" s="496"/>
      <c r="N4" s="316"/>
      <c r="O4" s="287">
        <f>SUM(P4:X4)</f>
        <v>269400.15564202337</v>
      </c>
      <c r="P4" s="317">
        <f>'Input Data Sheet'!Q4</f>
        <v>0</v>
      </c>
      <c r="Q4" s="286">
        <f>'Input Data Sheet'!R4</f>
        <v>0</v>
      </c>
      <c r="R4" s="340">
        <f>'Input Data Sheet'!S4</f>
        <v>269400.15564202337</v>
      </c>
      <c r="S4" s="340">
        <f>'Input Data Sheet'!T4</f>
        <v>0</v>
      </c>
      <c r="T4" s="340">
        <f>'Input Data Sheet'!U4</f>
        <v>0</v>
      </c>
      <c r="U4" s="340">
        <f>'Input Data Sheet'!V4</f>
        <v>0</v>
      </c>
      <c r="V4" s="340">
        <f>'Input Data Sheet'!W4</f>
        <v>0</v>
      </c>
      <c r="W4" s="286">
        <f>'Input Data Sheet'!X4</f>
        <v>0</v>
      </c>
      <c r="X4" s="318">
        <f>'Input Data Sheet'!Y4</f>
        <v>0</v>
      </c>
      <c r="Y4" s="286">
        <f>IF($H4,P4,IF(Y$3=$D4,$O4,0))</f>
        <v>0</v>
      </c>
      <c r="Z4" s="286">
        <f t="shared" ref="Z4:Z67" si="1">IF($H4,Q4,IF(Z$3=$D4,$O4,0))</f>
        <v>0</v>
      </c>
      <c r="AA4" s="340">
        <f t="shared" ref="AA4:AA67" si="2">IF($H4,R4,IF(AA$3=$D4,$O4,0))</f>
        <v>269400.15564202337</v>
      </c>
      <c r="AB4" s="340">
        <f t="shared" ref="AB4:AB67" si="3">IF($H4,S4,IF(AB$3=$D4,$O4,0))</f>
        <v>0</v>
      </c>
      <c r="AC4" s="340">
        <f t="shared" ref="AC4:AC67" si="4">IF($H4,T4,IF(AC$3=$D4,$O4,0))</f>
        <v>0</v>
      </c>
      <c r="AD4" s="340">
        <f t="shared" ref="AD4:AD67" si="5">IF($H4,U4,IF(AD$3=$D4,$O4,0))</f>
        <v>0</v>
      </c>
      <c r="AE4" s="340">
        <f t="shared" ref="AE4:AE67" si="6">IF($H4,V4,IF(AE$3=$D4,$O4,0))</f>
        <v>0</v>
      </c>
      <c r="AF4" s="286">
        <f t="shared" ref="AF4:AF67" si="7">IF($H4,W4,IF(AF$3=$D4,$O4,0))</f>
        <v>0</v>
      </c>
      <c r="AG4" s="286">
        <f t="shared" ref="AG4:AG67" si="8">IF($H4,X4,IF(AG$3=$D4,$O4,0))</f>
        <v>0</v>
      </c>
      <c r="AH4" s="319">
        <f>IF($H4,0,IFERROR(IF(VALUE(LEFT(D4,4))&gt;VALUE(LEFT(Parameters!$B$66,4))+1,O4-SUM(R4:X4),0),0))</f>
        <v>0</v>
      </c>
      <c r="AI4" s="330">
        <f>IF('Input Data Sheet'!$P4=0,0,'Input Data Sheet'!Z4/'Input Data Sheet'!$P4)</f>
        <v>0</v>
      </c>
      <c r="AJ4" s="331">
        <f>IF('Input Data Sheet'!$P4=0,0,'Input Data Sheet'!AA4/'Input Data Sheet'!$P4)</f>
        <v>0</v>
      </c>
      <c r="AK4" s="331">
        <f>IF('Input Data Sheet'!$P4=0,0,'Input Data Sheet'!AB4/'Input Data Sheet'!$P4)</f>
        <v>0</v>
      </c>
      <c r="AL4" s="331">
        <f>IF('Input Data Sheet'!$P4=0,0,'Input Data Sheet'!AC4/'Input Data Sheet'!$P4)</f>
        <v>0.27999999999999997</v>
      </c>
      <c r="AM4" s="331">
        <f>IF('Input Data Sheet'!$P4=0,0,'Input Data Sheet'!AD4/'Input Data Sheet'!$P4)</f>
        <v>0.44999999999999996</v>
      </c>
      <c r="AN4" s="331">
        <f>IF('Input Data Sheet'!$P4=0,0,'Input Data Sheet'!AE4/'Input Data Sheet'!$P4)</f>
        <v>0.06</v>
      </c>
      <c r="AO4" s="331">
        <f>IF('Input Data Sheet'!$P4=0,0,'Input Data Sheet'!AF4/'Input Data Sheet'!$P4)</f>
        <v>0.21</v>
      </c>
      <c r="AP4" s="331">
        <f>IF('Input Data Sheet'!$P4=0,0,'Input Data Sheet'!AG4/'Input Data Sheet'!$P4)</f>
        <v>0</v>
      </c>
      <c r="AQ4" s="331">
        <f>IF('Input Data Sheet'!$P4=0,0,'Input Data Sheet'!AH4/'Input Data Sheet'!$P4)</f>
        <v>0</v>
      </c>
      <c r="AR4" s="331">
        <f>IF('Input Data Sheet'!$P4=0,0,'Input Data Sheet'!AI4/'Input Data Sheet'!$P4)</f>
        <v>0</v>
      </c>
      <c r="AS4" s="331">
        <f>IF('Input Data Sheet'!$P4=0,0,'Input Data Sheet'!AJ4/'Input Data Sheet'!$P4)</f>
        <v>0</v>
      </c>
      <c r="AT4" s="331">
        <f>IF('Input Data Sheet'!$P4=0,0,'Input Data Sheet'!AK4/'Input Data Sheet'!$P4)</f>
        <v>0</v>
      </c>
      <c r="AU4" s="331">
        <f>IF('Input Data Sheet'!$P4=0,0,'Input Data Sheet'!AL4/'Input Data Sheet'!$P4)</f>
        <v>0</v>
      </c>
      <c r="AV4" s="331">
        <f>IF('Input Data Sheet'!$P4=0,0,'Input Data Sheet'!AM4/'Input Data Sheet'!$P4)</f>
        <v>0</v>
      </c>
      <c r="AW4" s="331">
        <f>IF('Input Data Sheet'!$P4=0,0,'Input Data Sheet'!AN4/'Input Data Sheet'!$P4)</f>
        <v>0</v>
      </c>
      <c r="AX4" s="331">
        <f>IF('Input Data Sheet'!$P4=0,0,'Input Data Sheet'!AO4/'Input Data Sheet'!$P4)</f>
        <v>0</v>
      </c>
      <c r="AY4" s="331">
        <f>IF('Input Data Sheet'!$P4=0,0,'Input Data Sheet'!AP4/'Input Data Sheet'!$P4)</f>
        <v>0</v>
      </c>
      <c r="AZ4" s="331">
        <f>IF('Input Data Sheet'!$P4=0,0,'Input Data Sheet'!AQ4/'Input Data Sheet'!$P4)</f>
        <v>0</v>
      </c>
      <c r="BA4" s="331">
        <f>IF('Input Data Sheet'!$P4=0,0,'Input Data Sheet'!AR4/'Input Data Sheet'!$P4)</f>
        <v>0</v>
      </c>
      <c r="BB4" s="331">
        <f>IF('Input Data Sheet'!$P4=0,0,'Input Data Sheet'!AS4/'Input Data Sheet'!$P4)</f>
        <v>0</v>
      </c>
      <c r="BC4" s="331">
        <f>IF('Input Data Sheet'!$P4=0,0,'Input Data Sheet'!AT4/'Input Data Sheet'!$P4)</f>
        <v>0</v>
      </c>
      <c r="BD4" s="331">
        <f>IF('Input Data Sheet'!$P4=0,0,'Input Data Sheet'!AU4/'Input Data Sheet'!$P4)</f>
        <v>0</v>
      </c>
      <c r="BE4" s="331">
        <f>IF('Input Data Sheet'!$P4=0,0,'Input Data Sheet'!AV4/'Input Data Sheet'!$P4)</f>
        <v>0</v>
      </c>
      <c r="BF4" s="332">
        <f>IF('Input Data Sheet'!$P4=0,0,'Input Data Sheet'!AW4/'Input Data Sheet'!$P4)</f>
        <v>0</v>
      </c>
      <c r="BG4" s="328">
        <f>SUM(AI4:BF4)</f>
        <v>1</v>
      </c>
    </row>
    <row r="5" spans="1:59" ht="12.75" x14ac:dyDescent="0.2">
      <c r="A5" s="409" t="str">
        <f>'Input Data Sheet'!B5</f>
        <v>ND1306</v>
      </c>
      <c r="B5" s="314" t="str">
        <f>'Input Data Sheet'!C5</f>
        <v>Bridgewater 110 kV transmission line security augmentation</v>
      </c>
      <c r="C5" s="314" t="str">
        <f>'Input Data Sheet'!D5</f>
        <v>Augmentation</v>
      </c>
      <c r="D5" s="333" t="str">
        <f>'Input Data Sheet'!E5</f>
        <v>2016/17</v>
      </c>
      <c r="E5" s="333">
        <f>'Input Data Sheet'!F5</f>
        <v>1</v>
      </c>
      <c r="F5" s="315"/>
      <c r="G5" s="315"/>
      <c r="H5" s="316">
        <f>'Input Data Sheet'!J5</f>
        <v>0</v>
      </c>
      <c r="I5" s="316"/>
      <c r="J5" s="316">
        <f>'Input Data Sheet'!K5</f>
        <v>0</v>
      </c>
      <c r="K5" s="496"/>
      <c r="L5" s="496"/>
      <c r="M5" s="496"/>
      <c r="N5" s="316"/>
      <c r="O5" s="287">
        <f t="shared" ref="O5:O68" si="9">SUM(P5:X5)</f>
        <v>1449642</v>
      </c>
      <c r="P5" s="320">
        <f>'Input Data Sheet'!Q5</f>
        <v>0</v>
      </c>
      <c r="Q5" s="287">
        <f>'Input Data Sheet'!R5</f>
        <v>0</v>
      </c>
      <c r="R5" s="341">
        <f>'Input Data Sheet'!S5</f>
        <v>674</v>
      </c>
      <c r="S5" s="341">
        <f>'Input Data Sheet'!T5</f>
        <v>334344</v>
      </c>
      <c r="T5" s="341">
        <f>'Input Data Sheet'!U5</f>
        <v>1114624</v>
      </c>
      <c r="U5" s="341">
        <f>'Input Data Sheet'!V5</f>
        <v>0</v>
      </c>
      <c r="V5" s="341">
        <f>'Input Data Sheet'!W5</f>
        <v>0</v>
      </c>
      <c r="W5" s="287">
        <f>'Input Data Sheet'!X5</f>
        <v>0</v>
      </c>
      <c r="X5" s="321">
        <f>'Input Data Sheet'!Y5</f>
        <v>0</v>
      </c>
      <c r="Y5" s="287">
        <f t="shared" ref="Y5:Y68" si="10">IF($H5,P5,IF(Y$3=$D5,$O5,0))</f>
        <v>0</v>
      </c>
      <c r="Z5" s="287">
        <f t="shared" si="1"/>
        <v>0</v>
      </c>
      <c r="AA5" s="341">
        <f t="shared" si="2"/>
        <v>0</v>
      </c>
      <c r="AB5" s="341">
        <f t="shared" si="3"/>
        <v>0</v>
      </c>
      <c r="AC5" s="341">
        <f t="shared" si="4"/>
        <v>1449642</v>
      </c>
      <c r="AD5" s="341">
        <f t="shared" si="5"/>
        <v>0</v>
      </c>
      <c r="AE5" s="341">
        <f t="shared" si="6"/>
        <v>0</v>
      </c>
      <c r="AF5" s="287">
        <f t="shared" si="7"/>
        <v>0</v>
      </c>
      <c r="AG5" s="287">
        <f t="shared" si="8"/>
        <v>0</v>
      </c>
      <c r="AH5" s="322">
        <f>IF($H5,0,IFERROR(IF(VALUE(LEFT(D5,4))&gt;VALUE(LEFT(Parameters!$B$66,4))+1,O5-SUM(R5:X5),0),0))</f>
        <v>0</v>
      </c>
      <c r="AI5" s="330">
        <f>IF('Input Data Sheet'!$P5=0,0,'Input Data Sheet'!Z5/'Input Data Sheet'!$P5)</f>
        <v>0.25806371504136882</v>
      </c>
      <c r="AJ5" s="331">
        <f>IF('Input Data Sheet'!$P5=0,0,'Input Data Sheet'!AA5/'Input Data Sheet'!$P5)</f>
        <v>2.1005186108018395E-2</v>
      </c>
      <c r="AK5" s="331">
        <f>IF('Input Data Sheet'!$P5=0,0,'Input Data Sheet'!AB5/'Input Data Sheet'!$P5)</f>
        <v>2.1005186108018395E-2</v>
      </c>
      <c r="AL5" s="331">
        <f>IF('Input Data Sheet'!$P5=0,0,'Input Data Sheet'!AC5/'Input Data Sheet'!$P5)</f>
        <v>0.16477585500420103</v>
      </c>
      <c r="AM5" s="331">
        <f>IF('Input Data Sheet'!$P5=0,0,'Input Data Sheet'!AD5/'Input Data Sheet'!$P5)</f>
        <v>0.26481779639386827</v>
      </c>
      <c r="AN5" s="331">
        <f>IF('Input Data Sheet'!$P5=0,0,'Input Data Sheet'!AE5/'Input Data Sheet'!$P5)</f>
        <v>3.5309407426109343E-2</v>
      </c>
      <c r="AO5" s="331">
        <f>IF('Input Data Sheet'!$P5=0,0,'Input Data Sheet'!AF5/'Input Data Sheet'!$P5)</f>
        <v>0.23502285391841571</v>
      </c>
      <c r="AP5" s="331">
        <f>IF('Input Data Sheet'!$P5=0,0,'Input Data Sheet'!AG5/'Input Data Sheet'!$P5)</f>
        <v>0</v>
      </c>
      <c r="AQ5" s="331">
        <f>IF('Input Data Sheet'!$P5=0,0,'Input Data Sheet'!AH5/'Input Data Sheet'!$P5)</f>
        <v>0</v>
      </c>
      <c r="AR5" s="331">
        <f>IF('Input Data Sheet'!$P5=0,0,'Input Data Sheet'!AI5/'Input Data Sheet'!$P5)</f>
        <v>0</v>
      </c>
      <c r="AS5" s="331">
        <f>IF('Input Data Sheet'!$P5=0,0,'Input Data Sheet'!AJ5/'Input Data Sheet'!$P5)</f>
        <v>0</v>
      </c>
      <c r="AT5" s="331">
        <f>IF('Input Data Sheet'!$P5=0,0,'Input Data Sheet'!AK5/'Input Data Sheet'!$P5)</f>
        <v>0</v>
      </c>
      <c r="AU5" s="331">
        <f>IF('Input Data Sheet'!$P5=0,0,'Input Data Sheet'!AL5/'Input Data Sheet'!$P5)</f>
        <v>0</v>
      </c>
      <c r="AV5" s="331">
        <f>IF('Input Data Sheet'!$P5=0,0,'Input Data Sheet'!AM5/'Input Data Sheet'!$P5)</f>
        <v>0</v>
      </c>
      <c r="AW5" s="331">
        <f>IF('Input Data Sheet'!$P5=0,0,'Input Data Sheet'!AN5/'Input Data Sheet'!$P5)</f>
        <v>0</v>
      </c>
      <c r="AX5" s="331">
        <f>IF('Input Data Sheet'!$P5=0,0,'Input Data Sheet'!AO5/'Input Data Sheet'!$P5)</f>
        <v>0</v>
      </c>
      <c r="AY5" s="331">
        <f>IF('Input Data Sheet'!$P5=0,0,'Input Data Sheet'!AP5/'Input Data Sheet'!$P5)</f>
        <v>0</v>
      </c>
      <c r="AZ5" s="331">
        <f>IF('Input Data Sheet'!$P5=0,0,'Input Data Sheet'!AQ5/'Input Data Sheet'!$P5)</f>
        <v>0</v>
      </c>
      <c r="BA5" s="331">
        <f>IF('Input Data Sheet'!$P5=0,0,'Input Data Sheet'!AR5/'Input Data Sheet'!$P5)</f>
        <v>0</v>
      </c>
      <c r="BB5" s="331">
        <f>IF('Input Data Sheet'!$P5=0,0,'Input Data Sheet'!AS5/'Input Data Sheet'!$P5)</f>
        <v>0</v>
      </c>
      <c r="BC5" s="331">
        <f>IF('Input Data Sheet'!$P5=0,0,'Input Data Sheet'!AT5/'Input Data Sheet'!$P5)</f>
        <v>0</v>
      </c>
      <c r="BD5" s="331">
        <f>IF('Input Data Sheet'!$P5=0,0,'Input Data Sheet'!AU5/'Input Data Sheet'!$P5)</f>
        <v>0</v>
      </c>
      <c r="BE5" s="331">
        <f>IF('Input Data Sheet'!$P5=0,0,'Input Data Sheet'!AV5/'Input Data Sheet'!$P5)</f>
        <v>0</v>
      </c>
      <c r="BF5" s="332">
        <f>IF('Input Data Sheet'!$P5=0,0,'Input Data Sheet'!AW5/'Input Data Sheet'!$P5)</f>
        <v>0</v>
      </c>
      <c r="BG5" s="328">
        <f t="shared" ref="BG5:BG68" si="11">SUM(AI5:BF5)</f>
        <v>0.99999999999999989</v>
      </c>
    </row>
    <row r="6" spans="1:59" ht="12.75" x14ac:dyDescent="0.2">
      <c r="A6" s="409" t="str">
        <f>'Input Data Sheet'!B6</f>
        <v>ND0908</v>
      </c>
      <c r="B6" s="314" t="str">
        <f>'Input Data Sheet'!C6</f>
        <v>Burnie Substation 110 kV redevelopment</v>
      </c>
      <c r="C6" s="314" t="str">
        <f>'Input Data Sheet'!D6</f>
        <v>Asset Renewal</v>
      </c>
      <c r="D6" s="333" t="str">
        <f>'Input Data Sheet'!E6</f>
        <v>2014/15</v>
      </c>
      <c r="E6" s="333">
        <f>'Input Data Sheet'!F6</f>
        <v>0</v>
      </c>
      <c r="F6" s="315"/>
      <c r="G6" s="315"/>
      <c r="H6" s="316">
        <f>'Input Data Sheet'!J6</f>
        <v>0</v>
      </c>
      <c r="I6" s="316"/>
      <c r="J6" s="316">
        <f>'Input Data Sheet'!K6</f>
        <v>0</v>
      </c>
      <c r="K6" s="496"/>
      <c r="L6" s="496"/>
      <c r="M6" s="496"/>
      <c r="N6" s="316"/>
      <c r="O6" s="287">
        <f t="shared" si="9"/>
        <v>27632.153364335201</v>
      </c>
      <c r="P6" s="320">
        <f>'Input Data Sheet'!Q6</f>
        <v>0</v>
      </c>
      <c r="Q6" s="287">
        <f>'Input Data Sheet'!R6</f>
        <v>0</v>
      </c>
      <c r="R6" s="341">
        <f>'Input Data Sheet'!S6</f>
        <v>27632.153364335201</v>
      </c>
      <c r="S6" s="341">
        <f>'Input Data Sheet'!T6</f>
        <v>0</v>
      </c>
      <c r="T6" s="341">
        <f>'Input Data Sheet'!U6</f>
        <v>0</v>
      </c>
      <c r="U6" s="341">
        <f>'Input Data Sheet'!V6</f>
        <v>0</v>
      </c>
      <c r="V6" s="341">
        <f>'Input Data Sheet'!W6</f>
        <v>0</v>
      </c>
      <c r="W6" s="287">
        <f>'Input Data Sheet'!X6</f>
        <v>0</v>
      </c>
      <c r="X6" s="321">
        <f>'Input Data Sheet'!Y6</f>
        <v>0</v>
      </c>
      <c r="Y6" s="287">
        <f t="shared" si="10"/>
        <v>0</v>
      </c>
      <c r="Z6" s="287">
        <f t="shared" si="1"/>
        <v>0</v>
      </c>
      <c r="AA6" s="341">
        <f t="shared" si="2"/>
        <v>27632.153364335201</v>
      </c>
      <c r="AB6" s="341">
        <f t="shared" si="3"/>
        <v>0</v>
      </c>
      <c r="AC6" s="341">
        <f t="shared" si="4"/>
        <v>0</v>
      </c>
      <c r="AD6" s="341">
        <f t="shared" si="5"/>
        <v>0</v>
      </c>
      <c r="AE6" s="341">
        <f t="shared" si="6"/>
        <v>0</v>
      </c>
      <c r="AF6" s="287">
        <f t="shared" si="7"/>
        <v>0</v>
      </c>
      <c r="AG6" s="287">
        <f t="shared" si="8"/>
        <v>0</v>
      </c>
      <c r="AH6" s="322">
        <f>IF($H6,0,IFERROR(IF(VALUE(LEFT(D6,4))&gt;VALUE(LEFT(Parameters!$B$66,4))+1,O6-SUM(R6:X6),0),0))</f>
        <v>0</v>
      </c>
      <c r="AI6" s="330">
        <f>IF('Input Data Sheet'!$P6=0,0,'Input Data Sheet'!Z6/'Input Data Sheet'!$P6)</f>
        <v>0</v>
      </c>
      <c r="AJ6" s="331">
        <f>IF('Input Data Sheet'!$P6=0,0,'Input Data Sheet'!AA6/'Input Data Sheet'!$P6)</f>
        <v>0</v>
      </c>
      <c r="AK6" s="331">
        <f>IF('Input Data Sheet'!$P6=0,0,'Input Data Sheet'!AB6/'Input Data Sheet'!$P6)</f>
        <v>0</v>
      </c>
      <c r="AL6" s="331">
        <f>IF('Input Data Sheet'!$P6=0,0,'Input Data Sheet'!AC6/'Input Data Sheet'!$P6)</f>
        <v>0.28000000000000003</v>
      </c>
      <c r="AM6" s="331">
        <f>IF('Input Data Sheet'!$P6=0,0,'Input Data Sheet'!AD6/'Input Data Sheet'!$P6)</f>
        <v>0.45</v>
      </c>
      <c r="AN6" s="331">
        <f>IF('Input Data Sheet'!$P6=0,0,'Input Data Sheet'!AE6/'Input Data Sheet'!$P6)</f>
        <v>0.06</v>
      </c>
      <c r="AO6" s="331">
        <f>IF('Input Data Sheet'!$P6=0,0,'Input Data Sheet'!AF6/'Input Data Sheet'!$P6)</f>
        <v>0.21</v>
      </c>
      <c r="AP6" s="331">
        <f>IF('Input Data Sheet'!$P6=0,0,'Input Data Sheet'!AG6/'Input Data Sheet'!$P6)</f>
        <v>0</v>
      </c>
      <c r="AQ6" s="331">
        <f>IF('Input Data Sheet'!$P6=0,0,'Input Data Sheet'!AH6/'Input Data Sheet'!$P6)</f>
        <v>0</v>
      </c>
      <c r="AR6" s="331">
        <f>IF('Input Data Sheet'!$P6=0,0,'Input Data Sheet'!AI6/'Input Data Sheet'!$P6)</f>
        <v>0</v>
      </c>
      <c r="AS6" s="331">
        <f>IF('Input Data Sheet'!$P6=0,0,'Input Data Sheet'!AJ6/'Input Data Sheet'!$P6)</f>
        <v>0</v>
      </c>
      <c r="AT6" s="331">
        <f>IF('Input Data Sheet'!$P6=0,0,'Input Data Sheet'!AK6/'Input Data Sheet'!$P6)</f>
        <v>0</v>
      </c>
      <c r="AU6" s="331">
        <f>IF('Input Data Sheet'!$P6=0,0,'Input Data Sheet'!AL6/'Input Data Sheet'!$P6)</f>
        <v>0</v>
      </c>
      <c r="AV6" s="331">
        <f>IF('Input Data Sheet'!$P6=0,0,'Input Data Sheet'!AM6/'Input Data Sheet'!$P6)</f>
        <v>0</v>
      </c>
      <c r="AW6" s="331">
        <f>IF('Input Data Sheet'!$P6=0,0,'Input Data Sheet'!AN6/'Input Data Sheet'!$P6)</f>
        <v>0</v>
      </c>
      <c r="AX6" s="331">
        <f>IF('Input Data Sheet'!$P6=0,0,'Input Data Sheet'!AO6/'Input Data Sheet'!$P6)</f>
        <v>0</v>
      </c>
      <c r="AY6" s="331">
        <f>IF('Input Data Sheet'!$P6=0,0,'Input Data Sheet'!AP6/'Input Data Sheet'!$P6)</f>
        <v>0</v>
      </c>
      <c r="AZ6" s="331">
        <f>IF('Input Data Sheet'!$P6=0,0,'Input Data Sheet'!AQ6/'Input Data Sheet'!$P6)</f>
        <v>0</v>
      </c>
      <c r="BA6" s="331">
        <f>IF('Input Data Sheet'!$P6=0,0,'Input Data Sheet'!AR6/'Input Data Sheet'!$P6)</f>
        <v>0</v>
      </c>
      <c r="BB6" s="331">
        <f>IF('Input Data Sheet'!$P6=0,0,'Input Data Sheet'!AS6/'Input Data Sheet'!$P6)</f>
        <v>0</v>
      </c>
      <c r="BC6" s="331">
        <f>IF('Input Data Sheet'!$P6=0,0,'Input Data Sheet'!AT6/'Input Data Sheet'!$P6)</f>
        <v>0</v>
      </c>
      <c r="BD6" s="331">
        <f>IF('Input Data Sheet'!$P6=0,0,'Input Data Sheet'!AU6/'Input Data Sheet'!$P6)</f>
        <v>0</v>
      </c>
      <c r="BE6" s="331">
        <f>IF('Input Data Sheet'!$P6=0,0,'Input Data Sheet'!AV6/'Input Data Sheet'!$P6)</f>
        <v>0</v>
      </c>
      <c r="BF6" s="332">
        <f>IF('Input Data Sheet'!$P6=0,0,'Input Data Sheet'!AW6/'Input Data Sheet'!$P6)</f>
        <v>0</v>
      </c>
      <c r="BG6" s="328">
        <f t="shared" si="11"/>
        <v>1</v>
      </c>
    </row>
    <row r="7" spans="1:59" ht="12.75" x14ac:dyDescent="0.2">
      <c r="A7" s="409" t="str">
        <f>'Input Data Sheet'!B7</f>
        <v>ND1307</v>
      </c>
      <c r="B7" s="314" t="str">
        <f>'Input Data Sheet'!C7</f>
        <v>Condition Based Risk Management System (Stage 2)</v>
      </c>
      <c r="C7" s="314" t="str">
        <f>'Input Data Sheet'!D7</f>
        <v>Operational Support Systems</v>
      </c>
      <c r="D7" s="333" t="str">
        <f>'Input Data Sheet'!E7</f>
        <v>2018/19</v>
      </c>
      <c r="E7" s="333">
        <f>'Input Data Sheet'!F7</f>
        <v>18</v>
      </c>
      <c r="F7" s="315"/>
      <c r="G7" s="315"/>
      <c r="H7" s="316">
        <f>'Input Data Sheet'!J7</f>
        <v>0</v>
      </c>
      <c r="I7" s="316"/>
      <c r="J7" s="316">
        <f>'Input Data Sheet'!K7</f>
        <v>0</v>
      </c>
      <c r="K7" s="496"/>
      <c r="L7" s="496"/>
      <c r="M7" s="496"/>
      <c r="N7" s="316"/>
      <c r="O7" s="287">
        <f t="shared" si="9"/>
        <v>454350</v>
      </c>
      <c r="P7" s="320">
        <f>'Input Data Sheet'!Q7</f>
        <v>0</v>
      </c>
      <c r="Q7" s="287">
        <f>'Input Data Sheet'!R7</f>
        <v>0</v>
      </c>
      <c r="R7" s="341">
        <f>'Input Data Sheet'!S7</f>
        <v>0</v>
      </c>
      <c r="S7" s="341">
        <f>'Input Data Sheet'!T7</f>
        <v>0</v>
      </c>
      <c r="T7" s="341">
        <f>'Input Data Sheet'!U7</f>
        <v>0</v>
      </c>
      <c r="U7" s="341">
        <f>'Input Data Sheet'!V7</f>
        <v>0</v>
      </c>
      <c r="V7" s="341">
        <f>'Input Data Sheet'!W7</f>
        <v>454350</v>
      </c>
      <c r="W7" s="287">
        <f>'Input Data Sheet'!X7</f>
        <v>0</v>
      </c>
      <c r="X7" s="321">
        <f>'Input Data Sheet'!Y7</f>
        <v>0</v>
      </c>
      <c r="Y7" s="287">
        <f t="shared" si="10"/>
        <v>0</v>
      </c>
      <c r="Z7" s="287">
        <f t="shared" si="1"/>
        <v>0</v>
      </c>
      <c r="AA7" s="341">
        <f t="shared" si="2"/>
        <v>0</v>
      </c>
      <c r="AB7" s="341">
        <f t="shared" si="3"/>
        <v>0</v>
      </c>
      <c r="AC7" s="341">
        <f t="shared" si="4"/>
        <v>0</v>
      </c>
      <c r="AD7" s="341">
        <f t="shared" si="5"/>
        <v>0</v>
      </c>
      <c r="AE7" s="341">
        <f t="shared" si="6"/>
        <v>454350</v>
      </c>
      <c r="AF7" s="287">
        <f t="shared" si="7"/>
        <v>0</v>
      </c>
      <c r="AG7" s="287">
        <f t="shared" si="8"/>
        <v>0</v>
      </c>
      <c r="AH7" s="322">
        <f>IF($H7,0,IFERROR(IF(VALUE(LEFT(D7,4))&gt;VALUE(LEFT(Parameters!$B$66,4))+1,O7-SUM(R7:X7),0),0))</f>
        <v>0</v>
      </c>
      <c r="AI7" s="330">
        <f>IF('Input Data Sheet'!$P7=0,0,'Input Data Sheet'!Z7/'Input Data Sheet'!$P7)</f>
        <v>0</v>
      </c>
      <c r="AJ7" s="331">
        <f>IF('Input Data Sheet'!$P7=0,0,'Input Data Sheet'!AA7/'Input Data Sheet'!$P7)</f>
        <v>0</v>
      </c>
      <c r="AK7" s="331">
        <f>IF('Input Data Sheet'!$P7=0,0,'Input Data Sheet'!AB7/'Input Data Sheet'!$P7)</f>
        <v>0</v>
      </c>
      <c r="AL7" s="331">
        <f>IF('Input Data Sheet'!$P7=0,0,'Input Data Sheet'!AC7/'Input Data Sheet'!$P7)</f>
        <v>0</v>
      </c>
      <c r="AM7" s="331">
        <f>IF('Input Data Sheet'!$P7=0,0,'Input Data Sheet'!AD7/'Input Data Sheet'!$P7)</f>
        <v>0</v>
      </c>
      <c r="AN7" s="331">
        <f>IF('Input Data Sheet'!$P7=0,0,'Input Data Sheet'!AE7/'Input Data Sheet'!$P7)</f>
        <v>0</v>
      </c>
      <c r="AO7" s="331">
        <f>IF('Input Data Sheet'!$P7=0,0,'Input Data Sheet'!AF7/'Input Data Sheet'!$P7)</f>
        <v>0</v>
      </c>
      <c r="AP7" s="331">
        <f>IF('Input Data Sheet'!$P7=0,0,'Input Data Sheet'!AG7/'Input Data Sheet'!$P7)</f>
        <v>0</v>
      </c>
      <c r="AQ7" s="331">
        <f>IF('Input Data Sheet'!$P7=0,0,'Input Data Sheet'!AH7/'Input Data Sheet'!$P7)</f>
        <v>1</v>
      </c>
      <c r="AR7" s="331">
        <f>IF('Input Data Sheet'!$P7=0,0,'Input Data Sheet'!AI7/'Input Data Sheet'!$P7)</f>
        <v>0</v>
      </c>
      <c r="AS7" s="331">
        <f>IF('Input Data Sheet'!$P7=0,0,'Input Data Sheet'!AJ7/'Input Data Sheet'!$P7)</f>
        <v>0</v>
      </c>
      <c r="AT7" s="331">
        <f>IF('Input Data Sheet'!$P7=0,0,'Input Data Sheet'!AK7/'Input Data Sheet'!$P7)</f>
        <v>0</v>
      </c>
      <c r="AU7" s="331">
        <f>IF('Input Data Sheet'!$P7=0,0,'Input Data Sheet'!AL7/'Input Data Sheet'!$P7)</f>
        <v>0</v>
      </c>
      <c r="AV7" s="331">
        <f>IF('Input Data Sheet'!$P7=0,0,'Input Data Sheet'!AM7/'Input Data Sheet'!$P7)</f>
        <v>0</v>
      </c>
      <c r="AW7" s="331">
        <f>IF('Input Data Sheet'!$P7=0,0,'Input Data Sheet'!AN7/'Input Data Sheet'!$P7)</f>
        <v>0</v>
      </c>
      <c r="AX7" s="331">
        <f>IF('Input Data Sheet'!$P7=0,0,'Input Data Sheet'!AO7/'Input Data Sheet'!$P7)</f>
        <v>0</v>
      </c>
      <c r="AY7" s="331">
        <f>IF('Input Data Sheet'!$P7=0,0,'Input Data Sheet'!AP7/'Input Data Sheet'!$P7)</f>
        <v>0</v>
      </c>
      <c r="AZ7" s="331">
        <f>IF('Input Data Sheet'!$P7=0,0,'Input Data Sheet'!AQ7/'Input Data Sheet'!$P7)</f>
        <v>0</v>
      </c>
      <c r="BA7" s="331">
        <f>IF('Input Data Sheet'!$P7=0,0,'Input Data Sheet'!AR7/'Input Data Sheet'!$P7)</f>
        <v>0</v>
      </c>
      <c r="BB7" s="331">
        <f>IF('Input Data Sheet'!$P7=0,0,'Input Data Sheet'!AS7/'Input Data Sheet'!$P7)</f>
        <v>0</v>
      </c>
      <c r="BC7" s="331">
        <f>IF('Input Data Sheet'!$P7=0,0,'Input Data Sheet'!AT7/'Input Data Sheet'!$P7)</f>
        <v>0</v>
      </c>
      <c r="BD7" s="331">
        <f>IF('Input Data Sheet'!$P7=0,0,'Input Data Sheet'!AU7/'Input Data Sheet'!$P7)</f>
        <v>0</v>
      </c>
      <c r="BE7" s="331">
        <f>IF('Input Data Sheet'!$P7=0,0,'Input Data Sheet'!AV7/'Input Data Sheet'!$P7)</f>
        <v>0</v>
      </c>
      <c r="BF7" s="332">
        <f>IF('Input Data Sheet'!$P7=0,0,'Input Data Sheet'!AW7/'Input Data Sheet'!$P7)</f>
        <v>0</v>
      </c>
      <c r="BG7" s="328">
        <f t="shared" si="11"/>
        <v>1</v>
      </c>
    </row>
    <row r="8" spans="1:59" ht="12.75" x14ac:dyDescent="0.2">
      <c r="A8" s="409" t="str">
        <f>'Input Data Sheet'!B8</f>
        <v>TBA1</v>
      </c>
      <c r="B8" s="314" t="str">
        <f>'Input Data Sheet'!C8</f>
        <v>Consumer engagement management system</v>
      </c>
      <c r="C8" s="314" t="str">
        <f>'Input Data Sheet'!D8</f>
        <v>Operational Support Systems</v>
      </c>
      <c r="D8" s="333" t="str">
        <f>'Input Data Sheet'!E8</f>
        <v>2017/18</v>
      </c>
      <c r="E8" s="333">
        <f>'Input Data Sheet'!F8</f>
        <v>18</v>
      </c>
      <c r="F8" s="315"/>
      <c r="G8" s="315"/>
      <c r="H8" s="316">
        <f>'Input Data Sheet'!J8</f>
        <v>0</v>
      </c>
      <c r="I8" s="316"/>
      <c r="J8" s="316">
        <f>'Input Data Sheet'!K8</f>
        <v>0</v>
      </c>
      <c r="K8" s="496"/>
      <c r="L8" s="496"/>
      <c r="M8" s="496"/>
      <c r="N8" s="316"/>
      <c r="O8" s="287">
        <f t="shared" si="9"/>
        <v>980000</v>
      </c>
      <c r="P8" s="320">
        <f>'Input Data Sheet'!Q8</f>
        <v>0</v>
      </c>
      <c r="Q8" s="287">
        <f>'Input Data Sheet'!R8</f>
        <v>0</v>
      </c>
      <c r="R8" s="341">
        <f>'Input Data Sheet'!S8</f>
        <v>155000</v>
      </c>
      <c r="S8" s="341">
        <f>'Input Data Sheet'!T8</f>
        <v>480000</v>
      </c>
      <c r="T8" s="341">
        <f>'Input Data Sheet'!U8</f>
        <v>265000</v>
      </c>
      <c r="U8" s="341">
        <f>'Input Data Sheet'!V8</f>
        <v>80000</v>
      </c>
      <c r="V8" s="341">
        <f>'Input Data Sheet'!W8</f>
        <v>0</v>
      </c>
      <c r="W8" s="287">
        <f>'Input Data Sheet'!X8</f>
        <v>0</v>
      </c>
      <c r="X8" s="321">
        <f>'Input Data Sheet'!Y8</f>
        <v>0</v>
      </c>
      <c r="Y8" s="287">
        <f t="shared" si="10"/>
        <v>0</v>
      </c>
      <c r="Z8" s="287">
        <f t="shared" si="1"/>
        <v>0</v>
      </c>
      <c r="AA8" s="341">
        <f t="shared" si="2"/>
        <v>0</v>
      </c>
      <c r="AB8" s="341">
        <f t="shared" si="3"/>
        <v>0</v>
      </c>
      <c r="AC8" s="341">
        <f t="shared" si="4"/>
        <v>0</v>
      </c>
      <c r="AD8" s="341">
        <f t="shared" si="5"/>
        <v>980000</v>
      </c>
      <c r="AE8" s="341">
        <f t="shared" si="6"/>
        <v>0</v>
      </c>
      <c r="AF8" s="287">
        <f t="shared" si="7"/>
        <v>0</v>
      </c>
      <c r="AG8" s="287">
        <f t="shared" si="8"/>
        <v>0</v>
      </c>
      <c r="AH8" s="322">
        <f>IF($H8,0,IFERROR(IF(VALUE(LEFT(D8,4))&gt;VALUE(LEFT(Parameters!$B$66,4))+1,O8-SUM(R8:X8),0),0))</f>
        <v>0</v>
      </c>
      <c r="AI8" s="330">
        <f>IF('Input Data Sheet'!$P8=0,0,'Input Data Sheet'!Z8/'Input Data Sheet'!$P8)</f>
        <v>0</v>
      </c>
      <c r="AJ8" s="331">
        <f>IF('Input Data Sheet'!$P8=0,0,'Input Data Sheet'!AA8/'Input Data Sheet'!$P8)</f>
        <v>0</v>
      </c>
      <c r="AK8" s="331">
        <f>IF('Input Data Sheet'!$P8=0,0,'Input Data Sheet'!AB8/'Input Data Sheet'!$P8)</f>
        <v>0</v>
      </c>
      <c r="AL8" s="331">
        <f>IF('Input Data Sheet'!$P8=0,0,'Input Data Sheet'!AC8/'Input Data Sheet'!$P8)</f>
        <v>0</v>
      </c>
      <c r="AM8" s="331">
        <f>IF('Input Data Sheet'!$P8=0,0,'Input Data Sheet'!AD8/'Input Data Sheet'!$P8)</f>
        <v>0</v>
      </c>
      <c r="AN8" s="331">
        <f>IF('Input Data Sheet'!$P8=0,0,'Input Data Sheet'!AE8/'Input Data Sheet'!$P8)</f>
        <v>0</v>
      </c>
      <c r="AO8" s="331">
        <f>IF('Input Data Sheet'!$P8=0,0,'Input Data Sheet'!AF8/'Input Data Sheet'!$P8)</f>
        <v>0</v>
      </c>
      <c r="AP8" s="331">
        <f>IF('Input Data Sheet'!$P8=0,0,'Input Data Sheet'!AG8/'Input Data Sheet'!$P8)</f>
        <v>0</v>
      </c>
      <c r="AQ8" s="331">
        <f>IF('Input Data Sheet'!$P8=0,0,'Input Data Sheet'!AH8/'Input Data Sheet'!$P8)</f>
        <v>1</v>
      </c>
      <c r="AR8" s="331">
        <f>IF('Input Data Sheet'!$P8=0,0,'Input Data Sheet'!AI8/'Input Data Sheet'!$P8)</f>
        <v>0</v>
      </c>
      <c r="AS8" s="331">
        <f>IF('Input Data Sheet'!$P8=0,0,'Input Data Sheet'!AJ8/'Input Data Sheet'!$P8)</f>
        <v>0</v>
      </c>
      <c r="AT8" s="331">
        <f>IF('Input Data Sheet'!$P8=0,0,'Input Data Sheet'!AK8/'Input Data Sheet'!$P8)</f>
        <v>0</v>
      </c>
      <c r="AU8" s="331">
        <f>IF('Input Data Sheet'!$P8=0,0,'Input Data Sheet'!AL8/'Input Data Sheet'!$P8)</f>
        <v>0</v>
      </c>
      <c r="AV8" s="331">
        <f>IF('Input Data Sheet'!$P8=0,0,'Input Data Sheet'!AM8/'Input Data Sheet'!$P8)</f>
        <v>0</v>
      </c>
      <c r="AW8" s="331">
        <f>IF('Input Data Sheet'!$P8=0,0,'Input Data Sheet'!AN8/'Input Data Sheet'!$P8)</f>
        <v>0</v>
      </c>
      <c r="AX8" s="331">
        <f>IF('Input Data Sheet'!$P8=0,0,'Input Data Sheet'!AO8/'Input Data Sheet'!$P8)</f>
        <v>0</v>
      </c>
      <c r="AY8" s="331">
        <f>IF('Input Data Sheet'!$P8=0,0,'Input Data Sheet'!AP8/'Input Data Sheet'!$P8)</f>
        <v>0</v>
      </c>
      <c r="AZ8" s="331">
        <f>IF('Input Data Sheet'!$P8=0,0,'Input Data Sheet'!AQ8/'Input Data Sheet'!$P8)</f>
        <v>0</v>
      </c>
      <c r="BA8" s="331">
        <f>IF('Input Data Sheet'!$P8=0,0,'Input Data Sheet'!AR8/'Input Data Sheet'!$P8)</f>
        <v>0</v>
      </c>
      <c r="BB8" s="331">
        <f>IF('Input Data Sheet'!$P8=0,0,'Input Data Sheet'!AS8/'Input Data Sheet'!$P8)</f>
        <v>0</v>
      </c>
      <c r="BC8" s="331">
        <f>IF('Input Data Sheet'!$P8=0,0,'Input Data Sheet'!AT8/'Input Data Sheet'!$P8)</f>
        <v>0</v>
      </c>
      <c r="BD8" s="331">
        <f>IF('Input Data Sheet'!$P8=0,0,'Input Data Sheet'!AU8/'Input Data Sheet'!$P8)</f>
        <v>0</v>
      </c>
      <c r="BE8" s="331">
        <f>IF('Input Data Sheet'!$P8=0,0,'Input Data Sheet'!AV8/'Input Data Sheet'!$P8)</f>
        <v>0</v>
      </c>
      <c r="BF8" s="332">
        <f>IF('Input Data Sheet'!$P8=0,0,'Input Data Sheet'!AW8/'Input Data Sheet'!$P8)</f>
        <v>0</v>
      </c>
      <c r="BG8" s="328">
        <f t="shared" si="11"/>
        <v>1</v>
      </c>
    </row>
    <row r="9" spans="1:59" ht="12.75" x14ac:dyDescent="0.2">
      <c r="A9" s="409" t="str">
        <f>'Input Data Sheet'!B9</f>
        <v>ND0733</v>
      </c>
      <c r="B9" s="314" t="str">
        <f>'Input Data Sheet'!C9</f>
        <v>Creek Road Substation 110 kV redevelopment</v>
      </c>
      <c r="C9" s="314" t="str">
        <f>'Input Data Sheet'!D9</f>
        <v>Asset Renewal</v>
      </c>
      <c r="D9" s="333" t="str">
        <f>'Input Data Sheet'!E9</f>
        <v>2014/15</v>
      </c>
      <c r="E9" s="333">
        <f>'Input Data Sheet'!F9</f>
        <v>0</v>
      </c>
      <c r="F9" s="315"/>
      <c r="G9" s="315"/>
      <c r="H9" s="316">
        <f>'Input Data Sheet'!J9</f>
        <v>0</v>
      </c>
      <c r="I9" s="316"/>
      <c r="J9" s="316">
        <f>'Input Data Sheet'!K9</f>
        <v>0</v>
      </c>
      <c r="K9" s="496"/>
      <c r="L9" s="496"/>
      <c r="M9" s="496"/>
      <c r="N9" s="316"/>
      <c r="O9" s="287">
        <f t="shared" si="9"/>
        <v>962930.99743760086</v>
      </c>
      <c r="P9" s="320">
        <f>'Input Data Sheet'!Q9</f>
        <v>0</v>
      </c>
      <c r="Q9" s="287">
        <f>'Input Data Sheet'!R9</f>
        <v>0</v>
      </c>
      <c r="R9" s="341">
        <f>'Input Data Sheet'!S9</f>
        <v>962930.99743760086</v>
      </c>
      <c r="S9" s="341">
        <f>'Input Data Sheet'!T9</f>
        <v>0</v>
      </c>
      <c r="T9" s="341">
        <f>'Input Data Sheet'!U9</f>
        <v>0</v>
      </c>
      <c r="U9" s="341">
        <f>'Input Data Sheet'!V9</f>
        <v>0</v>
      </c>
      <c r="V9" s="341">
        <f>'Input Data Sheet'!W9</f>
        <v>0</v>
      </c>
      <c r="W9" s="287">
        <f>'Input Data Sheet'!X9</f>
        <v>0</v>
      </c>
      <c r="X9" s="321">
        <f>'Input Data Sheet'!Y9</f>
        <v>0</v>
      </c>
      <c r="Y9" s="287">
        <f t="shared" si="10"/>
        <v>0</v>
      </c>
      <c r="Z9" s="287">
        <f t="shared" si="1"/>
        <v>0</v>
      </c>
      <c r="AA9" s="341">
        <f t="shared" si="2"/>
        <v>962930.99743760086</v>
      </c>
      <c r="AB9" s="341">
        <f t="shared" si="3"/>
        <v>0</v>
      </c>
      <c r="AC9" s="341">
        <f t="shared" si="4"/>
        <v>0</v>
      </c>
      <c r="AD9" s="341">
        <f t="shared" si="5"/>
        <v>0</v>
      </c>
      <c r="AE9" s="341">
        <f t="shared" si="6"/>
        <v>0</v>
      </c>
      <c r="AF9" s="287">
        <f t="shared" si="7"/>
        <v>0</v>
      </c>
      <c r="AG9" s="287">
        <f t="shared" si="8"/>
        <v>0</v>
      </c>
      <c r="AH9" s="322">
        <f>IF($H9,0,IFERROR(IF(VALUE(LEFT(D9,4))&gt;VALUE(LEFT(Parameters!$B$66,4))+1,O9-SUM(R9:X9),0),0))</f>
        <v>0</v>
      </c>
      <c r="AI9" s="330">
        <f>IF('Input Data Sheet'!$P9=0,0,'Input Data Sheet'!Z9/'Input Data Sheet'!$P9)</f>
        <v>0</v>
      </c>
      <c r="AJ9" s="331">
        <f>IF('Input Data Sheet'!$P9=0,0,'Input Data Sheet'!AA9/'Input Data Sheet'!$P9)</f>
        <v>0</v>
      </c>
      <c r="AK9" s="331">
        <f>IF('Input Data Sheet'!$P9=0,0,'Input Data Sheet'!AB9/'Input Data Sheet'!$P9)</f>
        <v>0</v>
      </c>
      <c r="AL9" s="331">
        <f>IF('Input Data Sheet'!$P9=0,0,'Input Data Sheet'!AC9/'Input Data Sheet'!$P9)</f>
        <v>0.27999999999999997</v>
      </c>
      <c r="AM9" s="331">
        <f>IF('Input Data Sheet'!$P9=0,0,'Input Data Sheet'!AD9/'Input Data Sheet'!$P9)</f>
        <v>0.45000000000000007</v>
      </c>
      <c r="AN9" s="331">
        <f>IF('Input Data Sheet'!$P9=0,0,'Input Data Sheet'!AE9/'Input Data Sheet'!$P9)</f>
        <v>6.0000000000000005E-2</v>
      </c>
      <c r="AO9" s="331">
        <f>IF('Input Data Sheet'!$P9=0,0,'Input Data Sheet'!AF9/'Input Data Sheet'!$P9)</f>
        <v>0.21</v>
      </c>
      <c r="AP9" s="331">
        <f>IF('Input Data Sheet'!$P9=0,0,'Input Data Sheet'!AG9/'Input Data Sheet'!$P9)</f>
        <v>0</v>
      </c>
      <c r="AQ9" s="331">
        <f>IF('Input Data Sheet'!$P9=0,0,'Input Data Sheet'!AH9/'Input Data Sheet'!$P9)</f>
        <v>0</v>
      </c>
      <c r="AR9" s="331">
        <f>IF('Input Data Sheet'!$P9=0,0,'Input Data Sheet'!AI9/'Input Data Sheet'!$P9)</f>
        <v>0</v>
      </c>
      <c r="AS9" s="331">
        <f>IF('Input Data Sheet'!$P9=0,0,'Input Data Sheet'!AJ9/'Input Data Sheet'!$P9)</f>
        <v>0</v>
      </c>
      <c r="AT9" s="331">
        <f>IF('Input Data Sheet'!$P9=0,0,'Input Data Sheet'!AK9/'Input Data Sheet'!$P9)</f>
        <v>0</v>
      </c>
      <c r="AU9" s="331">
        <f>IF('Input Data Sheet'!$P9=0,0,'Input Data Sheet'!AL9/'Input Data Sheet'!$P9)</f>
        <v>0</v>
      </c>
      <c r="AV9" s="331">
        <f>IF('Input Data Sheet'!$P9=0,0,'Input Data Sheet'!AM9/'Input Data Sheet'!$P9)</f>
        <v>0</v>
      </c>
      <c r="AW9" s="331">
        <f>IF('Input Data Sheet'!$P9=0,0,'Input Data Sheet'!AN9/'Input Data Sheet'!$P9)</f>
        <v>0</v>
      </c>
      <c r="AX9" s="331">
        <f>IF('Input Data Sheet'!$P9=0,0,'Input Data Sheet'!AO9/'Input Data Sheet'!$P9)</f>
        <v>0</v>
      </c>
      <c r="AY9" s="331">
        <f>IF('Input Data Sheet'!$P9=0,0,'Input Data Sheet'!AP9/'Input Data Sheet'!$P9)</f>
        <v>0</v>
      </c>
      <c r="AZ9" s="331">
        <f>IF('Input Data Sheet'!$P9=0,0,'Input Data Sheet'!AQ9/'Input Data Sheet'!$P9)</f>
        <v>0</v>
      </c>
      <c r="BA9" s="331">
        <f>IF('Input Data Sheet'!$P9=0,0,'Input Data Sheet'!AR9/'Input Data Sheet'!$P9)</f>
        <v>0</v>
      </c>
      <c r="BB9" s="331">
        <f>IF('Input Data Sheet'!$P9=0,0,'Input Data Sheet'!AS9/'Input Data Sheet'!$P9)</f>
        <v>0</v>
      </c>
      <c r="BC9" s="331">
        <f>IF('Input Data Sheet'!$P9=0,0,'Input Data Sheet'!AT9/'Input Data Sheet'!$P9)</f>
        <v>0</v>
      </c>
      <c r="BD9" s="331">
        <f>IF('Input Data Sheet'!$P9=0,0,'Input Data Sheet'!AU9/'Input Data Sheet'!$P9)</f>
        <v>0</v>
      </c>
      <c r="BE9" s="331">
        <f>IF('Input Data Sheet'!$P9=0,0,'Input Data Sheet'!AV9/'Input Data Sheet'!$P9)</f>
        <v>0</v>
      </c>
      <c r="BF9" s="332">
        <f>IF('Input Data Sheet'!$P9=0,0,'Input Data Sheet'!AW9/'Input Data Sheet'!$P9)</f>
        <v>0</v>
      </c>
      <c r="BG9" s="328">
        <f t="shared" si="11"/>
        <v>1</v>
      </c>
    </row>
    <row r="10" spans="1:59" ht="12.75" x14ac:dyDescent="0.2">
      <c r="A10" s="409" t="str">
        <f>'Input Data Sheet'!B10</f>
        <v>TBA3</v>
      </c>
      <c r="B10" s="314" t="str">
        <f>'Input Data Sheet'!C10</f>
        <v>Derwent Bridge transmission line redevelopment</v>
      </c>
      <c r="C10" s="314" t="str">
        <f>'Input Data Sheet'!D10</f>
        <v>Asset Renewal</v>
      </c>
      <c r="D10" s="333" t="str">
        <f>'Input Data Sheet'!E10</f>
        <v>2016/17</v>
      </c>
      <c r="E10" s="333">
        <f>'Input Data Sheet'!F10</f>
        <v>1</v>
      </c>
      <c r="F10" s="315"/>
      <c r="G10" s="315"/>
      <c r="H10" s="316">
        <f>'Input Data Sheet'!J10</f>
        <v>0</v>
      </c>
      <c r="I10" s="316"/>
      <c r="J10" s="316">
        <f>'Input Data Sheet'!K10</f>
        <v>0</v>
      </c>
      <c r="K10" s="496"/>
      <c r="L10" s="496"/>
      <c r="M10" s="496"/>
      <c r="N10" s="316"/>
      <c r="O10" s="287">
        <f t="shared" si="9"/>
        <v>1000000</v>
      </c>
      <c r="P10" s="320">
        <f>'Input Data Sheet'!Q10</f>
        <v>0</v>
      </c>
      <c r="Q10" s="287">
        <f>'Input Data Sheet'!R10</f>
        <v>0</v>
      </c>
      <c r="R10" s="341">
        <f>'Input Data Sheet'!S10</f>
        <v>400000</v>
      </c>
      <c r="S10" s="341">
        <f>'Input Data Sheet'!T10</f>
        <v>600000</v>
      </c>
      <c r="T10" s="341">
        <f>'Input Data Sheet'!U10</f>
        <v>0</v>
      </c>
      <c r="U10" s="341">
        <f>'Input Data Sheet'!V10</f>
        <v>0</v>
      </c>
      <c r="V10" s="341">
        <f>'Input Data Sheet'!W10</f>
        <v>0</v>
      </c>
      <c r="W10" s="287">
        <f>'Input Data Sheet'!X10</f>
        <v>0</v>
      </c>
      <c r="X10" s="321">
        <f>'Input Data Sheet'!Y10</f>
        <v>0</v>
      </c>
      <c r="Y10" s="287">
        <f t="shared" si="10"/>
        <v>0</v>
      </c>
      <c r="Z10" s="287">
        <f t="shared" si="1"/>
        <v>0</v>
      </c>
      <c r="AA10" s="341">
        <f t="shared" si="2"/>
        <v>0</v>
      </c>
      <c r="AB10" s="341">
        <f t="shared" si="3"/>
        <v>0</v>
      </c>
      <c r="AC10" s="341">
        <f t="shared" si="4"/>
        <v>1000000</v>
      </c>
      <c r="AD10" s="341">
        <f t="shared" si="5"/>
        <v>0</v>
      </c>
      <c r="AE10" s="341">
        <f t="shared" si="6"/>
        <v>0</v>
      </c>
      <c r="AF10" s="287">
        <f t="shared" si="7"/>
        <v>0</v>
      </c>
      <c r="AG10" s="287">
        <f t="shared" si="8"/>
        <v>0</v>
      </c>
      <c r="AH10" s="322">
        <f>IF($H10,0,IFERROR(IF(VALUE(LEFT(D10,4))&gt;VALUE(LEFT(Parameters!$B$66,4))+1,O10-SUM(R10:X10),0),0))</f>
        <v>0</v>
      </c>
      <c r="AI10" s="330">
        <f>IF('Input Data Sheet'!$P10=0,0,'Input Data Sheet'!Z10/'Input Data Sheet'!$P10)</f>
        <v>0.86</v>
      </c>
      <c r="AJ10" s="331">
        <f>IF('Input Data Sheet'!$P10=0,0,'Input Data Sheet'!AA10/'Input Data Sheet'!$P10)</f>
        <v>7.0000000000000007E-2</v>
      </c>
      <c r="AK10" s="331">
        <f>IF('Input Data Sheet'!$P10=0,0,'Input Data Sheet'!AB10/'Input Data Sheet'!$P10)</f>
        <v>7.0000000000000007E-2</v>
      </c>
      <c r="AL10" s="331">
        <f>IF('Input Data Sheet'!$P10=0,0,'Input Data Sheet'!AC10/'Input Data Sheet'!$P10)</f>
        <v>0</v>
      </c>
      <c r="AM10" s="331">
        <f>IF('Input Data Sheet'!$P10=0,0,'Input Data Sheet'!AD10/'Input Data Sheet'!$P10)</f>
        <v>0</v>
      </c>
      <c r="AN10" s="331">
        <f>IF('Input Data Sheet'!$P10=0,0,'Input Data Sheet'!AE10/'Input Data Sheet'!$P10)</f>
        <v>0</v>
      </c>
      <c r="AO10" s="331">
        <f>IF('Input Data Sheet'!$P10=0,0,'Input Data Sheet'!AF10/'Input Data Sheet'!$P10)</f>
        <v>0</v>
      </c>
      <c r="AP10" s="331">
        <f>IF('Input Data Sheet'!$P10=0,0,'Input Data Sheet'!AG10/'Input Data Sheet'!$P10)</f>
        <v>0</v>
      </c>
      <c r="AQ10" s="331">
        <f>IF('Input Data Sheet'!$P10=0,0,'Input Data Sheet'!AH10/'Input Data Sheet'!$P10)</f>
        <v>0</v>
      </c>
      <c r="AR10" s="331">
        <f>IF('Input Data Sheet'!$P10=0,0,'Input Data Sheet'!AI10/'Input Data Sheet'!$P10)</f>
        <v>0</v>
      </c>
      <c r="AS10" s="331">
        <f>IF('Input Data Sheet'!$P10=0,0,'Input Data Sheet'!AJ10/'Input Data Sheet'!$P10)</f>
        <v>0</v>
      </c>
      <c r="AT10" s="331">
        <f>IF('Input Data Sheet'!$P10=0,0,'Input Data Sheet'!AK10/'Input Data Sheet'!$P10)</f>
        <v>0</v>
      </c>
      <c r="AU10" s="331">
        <f>IF('Input Data Sheet'!$P10=0,0,'Input Data Sheet'!AL10/'Input Data Sheet'!$P10)</f>
        <v>0</v>
      </c>
      <c r="AV10" s="331">
        <f>IF('Input Data Sheet'!$P10=0,0,'Input Data Sheet'!AM10/'Input Data Sheet'!$P10)</f>
        <v>0</v>
      </c>
      <c r="AW10" s="331">
        <f>IF('Input Data Sheet'!$P10=0,0,'Input Data Sheet'!AN10/'Input Data Sheet'!$P10)</f>
        <v>0</v>
      </c>
      <c r="AX10" s="331">
        <f>IF('Input Data Sheet'!$P10=0,0,'Input Data Sheet'!AO10/'Input Data Sheet'!$P10)</f>
        <v>0</v>
      </c>
      <c r="AY10" s="331">
        <f>IF('Input Data Sheet'!$P10=0,0,'Input Data Sheet'!AP10/'Input Data Sheet'!$P10)</f>
        <v>0</v>
      </c>
      <c r="AZ10" s="331">
        <f>IF('Input Data Sheet'!$P10=0,0,'Input Data Sheet'!AQ10/'Input Data Sheet'!$P10)</f>
        <v>0</v>
      </c>
      <c r="BA10" s="331">
        <f>IF('Input Data Sheet'!$P10=0,0,'Input Data Sheet'!AR10/'Input Data Sheet'!$P10)</f>
        <v>0</v>
      </c>
      <c r="BB10" s="331">
        <f>IF('Input Data Sheet'!$P10=0,0,'Input Data Sheet'!AS10/'Input Data Sheet'!$P10)</f>
        <v>0</v>
      </c>
      <c r="BC10" s="331">
        <f>IF('Input Data Sheet'!$P10=0,0,'Input Data Sheet'!AT10/'Input Data Sheet'!$P10)</f>
        <v>0</v>
      </c>
      <c r="BD10" s="331">
        <f>IF('Input Data Sheet'!$P10=0,0,'Input Data Sheet'!AU10/'Input Data Sheet'!$P10)</f>
        <v>0</v>
      </c>
      <c r="BE10" s="331">
        <f>IF('Input Data Sheet'!$P10=0,0,'Input Data Sheet'!AV10/'Input Data Sheet'!$P10)</f>
        <v>0</v>
      </c>
      <c r="BF10" s="332">
        <f>IF('Input Data Sheet'!$P10=0,0,'Input Data Sheet'!AW10/'Input Data Sheet'!$P10)</f>
        <v>0</v>
      </c>
      <c r="BG10" s="328">
        <f t="shared" si="11"/>
        <v>1</v>
      </c>
    </row>
    <row r="11" spans="1:59" ht="12.75" x14ac:dyDescent="0.2">
      <c r="A11" s="409" t="str">
        <f>'Input Data Sheet'!B11</f>
        <v>ND1211</v>
      </c>
      <c r="B11" s="314" t="str">
        <f>'Input Data Sheet'!C11</f>
        <v>Enterprise Asset Management system</v>
      </c>
      <c r="C11" s="314" t="str">
        <f>'Input Data Sheet'!D11</f>
        <v>Operational Support Systems</v>
      </c>
      <c r="D11" s="333" t="str">
        <f>'Input Data Sheet'!E11</f>
        <v>2018/19</v>
      </c>
      <c r="E11" s="333">
        <f>'Input Data Sheet'!F11</f>
        <v>18</v>
      </c>
      <c r="F11" s="315"/>
      <c r="G11" s="315"/>
      <c r="H11" s="316">
        <f>'Input Data Sheet'!J11</f>
        <v>1</v>
      </c>
      <c r="I11" s="316"/>
      <c r="J11" s="316">
        <f>'Input Data Sheet'!K11</f>
        <v>0</v>
      </c>
      <c r="K11" s="496"/>
      <c r="L11" s="496"/>
      <c r="M11" s="496"/>
      <c r="N11" s="316"/>
      <c r="O11" s="287">
        <f t="shared" si="9"/>
        <v>5939000</v>
      </c>
      <c r="P11" s="320">
        <f>'Input Data Sheet'!Q11</f>
        <v>0</v>
      </c>
      <c r="Q11" s="287">
        <f>'Input Data Sheet'!R11</f>
        <v>0</v>
      </c>
      <c r="R11" s="341">
        <f>'Input Data Sheet'!S11</f>
        <v>300000</v>
      </c>
      <c r="S11" s="341">
        <f>'Input Data Sheet'!T11</f>
        <v>3107500</v>
      </c>
      <c r="T11" s="341">
        <f>'Input Data Sheet'!U11</f>
        <v>1219000</v>
      </c>
      <c r="U11" s="341">
        <f>'Input Data Sheet'!V11</f>
        <v>562500</v>
      </c>
      <c r="V11" s="341">
        <f>'Input Data Sheet'!W11</f>
        <v>750000</v>
      </c>
      <c r="W11" s="287">
        <f>'Input Data Sheet'!X11</f>
        <v>0</v>
      </c>
      <c r="X11" s="321">
        <f>'Input Data Sheet'!Y11</f>
        <v>0</v>
      </c>
      <c r="Y11" s="287">
        <f t="shared" si="10"/>
        <v>0</v>
      </c>
      <c r="Z11" s="287">
        <f t="shared" si="1"/>
        <v>0</v>
      </c>
      <c r="AA11" s="341">
        <f t="shared" si="2"/>
        <v>300000</v>
      </c>
      <c r="AB11" s="341">
        <f t="shared" si="3"/>
        <v>3107500</v>
      </c>
      <c r="AC11" s="341">
        <f t="shared" si="4"/>
        <v>1219000</v>
      </c>
      <c r="AD11" s="341">
        <f t="shared" si="5"/>
        <v>562500</v>
      </c>
      <c r="AE11" s="341">
        <f t="shared" si="6"/>
        <v>750000</v>
      </c>
      <c r="AF11" s="287">
        <f t="shared" si="7"/>
        <v>0</v>
      </c>
      <c r="AG11" s="287">
        <f t="shared" si="8"/>
        <v>0</v>
      </c>
      <c r="AH11" s="322">
        <f>IF($H11,0,IFERROR(IF(VALUE(LEFT(D11,4))&gt;VALUE(LEFT(Parameters!$B$66,4))+1,O11-SUM(R11:X11),0),0))</f>
        <v>0</v>
      </c>
      <c r="AI11" s="330">
        <f>IF('Input Data Sheet'!$P11=0,0,'Input Data Sheet'!Z11/'Input Data Sheet'!$P11)</f>
        <v>0</v>
      </c>
      <c r="AJ11" s="331">
        <f>IF('Input Data Sheet'!$P11=0,0,'Input Data Sheet'!AA11/'Input Data Sheet'!$P11)</f>
        <v>0</v>
      </c>
      <c r="AK11" s="331">
        <f>IF('Input Data Sheet'!$P11=0,0,'Input Data Sheet'!AB11/'Input Data Sheet'!$P11)</f>
        <v>0</v>
      </c>
      <c r="AL11" s="331">
        <f>IF('Input Data Sheet'!$P11=0,0,'Input Data Sheet'!AC11/'Input Data Sheet'!$P11)</f>
        <v>0</v>
      </c>
      <c r="AM11" s="331">
        <f>IF('Input Data Sheet'!$P11=0,0,'Input Data Sheet'!AD11/'Input Data Sheet'!$P11)</f>
        <v>0</v>
      </c>
      <c r="AN11" s="331">
        <f>IF('Input Data Sheet'!$P11=0,0,'Input Data Sheet'!AE11/'Input Data Sheet'!$P11)</f>
        <v>0</v>
      </c>
      <c r="AO11" s="331">
        <f>IF('Input Data Sheet'!$P11=0,0,'Input Data Sheet'!AF11/'Input Data Sheet'!$P11)</f>
        <v>0</v>
      </c>
      <c r="AP11" s="331">
        <f>IF('Input Data Sheet'!$P11=0,0,'Input Data Sheet'!AG11/'Input Data Sheet'!$P11)</f>
        <v>0</v>
      </c>
      <c r="AQ11" s="331">
        <f>IF('Input Data Sheet'!$P11=0,0,'Input Data Sheet'!AH11/'Input Data Sheet'!$P11)</f>
        <v>1</v>
      </c>
      <c r="AR11" s="331">
        <f>IF('Input Data Sheet'!$P11=0,0,'Input Data Sheet'!AI11/'Input Data Sheet'!$P11)</f>
        <v>0</v>
      </c>
      <c r="AS11" s="331">
        <f>IF('Input Data Sheet'!$P11=0,0,'Input Data Sheet'!AJ11/'Input Data Sheet'!$P11)</f>
        <v>0</v>
      </c>
      <c r="AT11" s="331">
        <f>IF('Input Data Sheet'!$P11=0,0,'Input Data Sheet'!AK11/'Input Data Sheet'!$P11)</f>
        <v>0</v>
      </c>
      <c r="AU11" s="331">
        <f>IF('Input Data Sheet'!$P11=0,0,'Input Data Sheet'!AL11/'Input Data Sheet'!$P11)</f>
        <v>0</v>
      </c>
      <c r="AV11" s="331">
        <f>IF('Input Data Sheet'!$P11=0,0,'Input Data Sheet'!AM11/'Input Data Sheet'!$P11)</f>
        <v>0</v>
      </c>
      <c r="AW11" s="331">
        <f>IF('Input Data Sheet'!$P11=0,0,'Input Data Sheet'!AN11/'Input Data Sheet'!$P11)</f>
        <v>0</v>
      </c>
      <c r="AX11" s="331">
        <f>IF('Input Data Sheet'!$P11=0,0,'Input Data Sheet'!AO11/'Input Data Sheet'!$P11)</f>
        <v>0</v>
      </c>
      <c r="AY11" s="331">
        <f>IF('Input Data Sheet'!$P11=0,0,'Input Data Sheet'!AP11/'Input Data Sheet'!$P11)</f>
        <v>0</v>
      </c>
      <c r="AZ11" s="331">
        <f>IF('Input Data Sheet'!$P11=0,0,'Input Data Sheet'!AQ11/'Input Data Sheet'!$P11)</f>
        <v>0</v>
      </c>
      <c r="BA11" s="331">
        <f>IF('Input Data Sheet'!$P11=0,0,'Input Data Sheet'!AR11/'Input Data Sheet'!$P11)</f>
        <v>0</v>
      </c>
      <c r="BB11" s="331">
        <f>IF('Input Data Sheet'!$P11=0,0,'Input Data Sheet'!AS11/'Input Data Sheet'!$P11)</f>
        <v>0</v>
      </c>
      <c r="BC11" s="331">
        <f>IF('Input Data Sheet'!$P11=0,0,'Input Data Sheet'!AT11/'Input Data Sheet'!$P11)</f>
        <v>0</v>
      </c>
      <c r="BD11" s="331">
        <f>IF('Input Data Sheet'!$P11=0,0,'Input Data Sheet'!AU11/'Input Data Sheet'!$P11)</f>
        <v>0</v>
      </c>
      <c r="BE11" s="331">
        <f>IF('Input Data Sheet'!$P11=0,0,'Input Data Sheet'!AV11/'Input Data Sheet'!$P11)</f>
        <v>0</v>
      </c>
      <c r="BF11" s="332">
        <f>IF('Input Data Sheet'!$P11=0,0,'Input Data Sheet'!AW11/'Input Data Sheet'!$P11)</f>
        <v>0</v>
      </c>
      <c r="BG11" s="328">
        <f t="shared" si="11"/>
        <v>1</v>
      </c>
    </row>
    <row r="12" spans="1:59" ht="12.75" x14ac:dyDescent="0.2">
      <c r="A12" s="409" t="str">
        <f>'Input Data Sheet'!B12</f>
        <v>TBA2</v>
      </c>
      <c r="B12" s="314" t="str">
        <f>'Input Data Sheet'!C12</f>
        <v>Facilities Access Control System</v>
      </c>
      <c r="C12" s="314" t="str">
        <f>'Input Data Sheet'!D12</f>
        <v>Business support</v>
      </c>
      <c r="D12" s="333" t="str">
        <f>'Input Data Sheet'!E12</f>
        <v>2014/15</v>
      </c>
      <c r="E12" s="333">
        <f>'Input Data Sheet'!F12</f>
        <v>18</v>
      </c>
      <c r="F12" s="315"/>
      <c r="G12" s="315"/>
      <c r="H12" s="316">
        <f>'Input Data Sheet'!J12</f>
        <v>0</v>
      </c>
      <c r="I12" s="316"/>
      <c r="J12" s="316">
        <f>'Input Data Sheet'!K12</f>
        <v>0</v>
      </c>
      <c r="K12" s="496"/>
      <c r="L12" s="496"/>
      <c r="M12" s="496"/>
      <c r="N12" s="316"/>
      <c r="O12" s="287">
        <f t="shared" si="9"/>
        <v>158278</v>
      </c>
      <c r="P12" s="320">
        <f>'Input Data Sheet'!Q12</f>
        <v>0</v>
      </c>
      <c r="Q12" s="287">
        <f>'Input Data Sheet'!R12</f>
        <v>0</v>
      </c>
      <c r="R12" s="341">
        <f>'Input Data Sheet'!S12</f>
        <v>158278</v>
      </c>
      <c r="S12" s="341">
        <f>'Input Data Sheet'!T12</f>
        <v>0</v>
      </c>
      <c r="T12" s="341">
        <f>'Input Data Sheet'!U12</f>
        <v>0</v>
      </c>
      <c r="U12" s="341">
        <f>'Input Data Sheet'!V12</f>
        <v>0</v>
      </c>
      <c r="V12" s="341">
        <f>'Input Data Sheet'!W12</f>
        <v>0</v>
      </c>
      <c r="W12" s="287">
        <f>'Input Data Sheet'!X12</f>
        <v>0</v>
      </c>
      <c r="X12" s="321">
        <f>'Input Data Sheet'!Y12</f>
        <v>0</v>
      </c>
      <c r="Y12" s="287">
        <f t="shared" si="10"/>
        <v>0</v>
      </c>
      <c r="Z12" s="287">
        <f t="shared" si="1"/>
        <v>0</v>
      </c>
      <c r="AA12" s="341">
        <f t="shared" si="2"/>
        <v>158278</v>
      </c>
      <c r="AB12" s="341">
        <f t="shared" si="3"/>
        <v>0</v>
      </c>
      <c r="AC12" s="341">
        <f t="shared" si="4"/>
        <v>0</v>
      </c>
      <c r="AD12" s="341">
        <f t="shared" si="5"/>
        <v>0</v>
      </c>
      <c r="AE12" s="341">
        <f t="shared" si="6"/>
        <v>0</v>
      </c>
      <c r="AF12" s="287">
        <f t="shared" si="7"/>
        <v>0</v>
      </c>
      <c r="AG12" s="287">
        <f t="shared" si="8"/>
        <v>0</v>
      </c>
      <c r="AH12" s="322">
        <f>IF($H12,0,IFERROR(IF(VALUE(LEFT(D12,4))&gt;VALUE(LEFT(Parameters!$B$66,4))+1,O12-SUM(R12:X12),0),0))</f>
        <v>0</v>
      </c>
      <c r="AI12" s="330">
        <f>IF('Input Data Sheet'!$P12=0,0,'Input Data Sheet'!Z12/'Input Data Sheet'!$P12)</f>
        <v>0</v>
      </c>
      <c r="AJ12" s="331">
        <f>IF('Input Data Sheet'!$P12=0,0,'Input Data Sheet'!AA12/'Input Data Sheet'!$P12)</f>
        <v>0</v>
      </c>
      <c r="AK12" s="331">
        <f>IF('Input Data Sheet'!$P12=0,0,'Input Data Sheet'!AB12/'Input Data Sheet'!$P12)</f>
        <v>0</v>
      </c>
      <c r="AL12" s="331">
        <f>IF('Input Data Sheet'!$P12=0,0,'Input Data Sheet'!AC12/'Input Data Sheet'!$P12)</f>
        <v>0</v>
      </c>
      <c r="AM12" s="331">
        <f>IF('Input Data Sheet'!$P12=0,0,'Input Data Sheet'!AD12/'Input Data Sheet'!$P12)</f>
        <v>0</v>
      </c>
      <c r="AN12" s="331">
        <f>IF('Input Data Sheet'!$P12=0,0,'Input Data Sheet'!AE12/'Input Data Sheet'!$P12)</f>
        <v>0</v>
      </c>
      <c r="AO12" s="331">
        <f>IF('Input Data Sheet'!$P12=0,0,'Input Data Sheet'!AF12/'Input Data Sheet'!$P12)</f>
        <v>0</v>
      </c>
      <c r="AP12" s="331">
        <f>IF('Input Data Sheet'!$P12=0,0,'Input Data Sheet'!AG12/'Input Data Sheet'!$P12)</f>
        <v>0</v>
      </c>
      <c r="AQ12" s="331">
        <f>IF('Input Data Sheet'!$P12=0,0,'Input Data Sheet'!AH12/'Input Data Sheet'!$P12)</f>
        <v>0</v>
      </c>
      <c r="AR12" s="331">
        <f>IF('Input Data Sheet'!$P12=0,0,'Input Data Sheet'!AI12/'Input Data Sheet'!$P12)</f>
        <v>0</v>
      </c>
      <c r="AS12" s="331">
        <f>IF('Input Data Sheet'!$P12=0,0,'Input Data Sheet'!AJ12/'Input Data Sheet'!$P12)</f>
        <v>0</v>
      </c>
      <c r="AT12" s="331">
        <f>IF('Input Data Sheet'!$P12=0,0,'Input Data Sheet'!AK12/'Input Data Sheet'!$P12)</f>
        <v>1</v>
      </c>
      <c r="AU12" s="331">
        <f>IF('Input Data Sheet'!$P12=0,0,'Input Data Sheet'!AL12/'Input Data Sheet'!$P12)</f>
        <v>0</v>
      </c>
      <c r="AV12" s="331">
        <f>IF('Input Data Sheet'!$P12=0,0,'Input Data Sheet'!AM12/'Input Data Sheet'!$P12)</f>
        <v>0</v>
      </c>
      <c r="AW12" s="331">
        <f>IF('Input Data Sheet'!$P12=0,0,'Input Data Sheet'!AN12/'Input Data Sheet'!$P12)</f>
        <v>0</v>
      </c>
      <c r="AX12" s="331">
        <f>IF('Input Data Sheet'!$P12=0,0,'Input Data Sheet'!AO12/'Input Data Sheet'!$P12)</f>
        <v>0</v>
      </c>
      <c r="AY12" s="331">
        <f>IF('Input Data Sheet'!$P12=0,0,'Input Data Sheet'!AP12/'Input Data Sheet'!$P12)</f>
        <v>0</v>
      </c>
      <c r="AZ12" s="331">
        <f>IF('Input Data Sheet'!$P12=0,0,'Input Data Sheet'!AQ12/'Input Data Sheet'!$P12)</f>
        <v>0</v>
      </c>
      <c r="BA12" s="331">
        <f>IF('Input Data Sheet'!$P12=0,0,'Input Data Sheet'!AR12/'Input Data Sheet'!$P12)</f>
        <v>0</v>
      </c>
      <c r="BB12" s="331">
        <f>IF('Input Data Sheet'!$P12=0,0,'Input Data Sheet'!AS12/'Input Data Sheet'!$P12)</f>
        <v>0</v>
      </c>
      <c r="BC12" s="331">
        <f>IF('Input Data Sheet'!$P12=0,0,'Input Data Sheet'!AT12/'Input Data Sheet'!$P12)</f>
        <v>0</v>
      </c>
      <c r="BD12" s="331">
        <f>IF('Input Data Sheet'!$P12=0,0,'Input Data Sheet'!AU12/'Input Data Sheet'!$P12)</f>
        <v>0</v>
      </c>
      <c r="BE12" s="331">
        <f>IF('Input Data Sheet'!$P12=0,0,'Input Data Sheet'!AV12/'Input Data Sheet'!$P12)</f>
        <v>0</v>
      </c>
      <c r="BF12" s="332">
        <f>IF('Input Data Sheet'!$P12=0,0,'Input Data Sheet'!AW12/'Input Data Sheet'!$P12)</f>
        <v>0</v>
      </c>
      <c r="BG12" s="328">
        <f t="shared" si="11"/>
        <v>1</v>
      </c>
    </row>
    <row r="13" spans="1:59" ht="12.75" x14ac:dyDescent="0.2">
      <c r="A13" s="409" t="str">
        <f>'Input Data Sheet'!B13</f>
        <v>ND1116</v>
      </c>
      <c r="B13" s="314" t="str">
        <f>'Input Data Sheet'!C13</f>
        <v>Fault Level Mitigation Program</v>
      </c>
      <c r="C13" s="314" t="str">
        <f>'Input Data Sheet'!D13</f>
        <v>Connection</v>
      </c>
      <c r="D13" s="333" t="str">
        <f>'Input Data Sheet'!E13</f>
        <v>2016/17</v>
      </c>
      <c r="E13" s="333">
        <f>'Input Data Sheet'!F13</f>
        <v>9</v>
      </c>
      <c r="F13" s="315"/>
      <c r="G13" s="315"/>
      <c r="H13" s="316">
        <f>'Input Data Sheet'!J13</f>
        <v>1</v>
      </c>
      <c r="I13" s="316"/>
      <c r="J13" s="316">
        <f>'Input Data Sheet'!K13</f>
        <v>0</v>
      </c>
      <c r="K13" s="496"/>
      <c r="L13" s="496"/>
      <c r="M13" s="496"/>
      <c r="N13" s="316"/>
      <c r="O13" s="287">
        <f t="shared" si="9"/>
        <v>3028432</v>
      </c>
      <c r="P13" s="320">
        <f>'Input Data Sheet'!Q13</f>
        <v>0</v>
      </c>
      <c r="Q13" s="287">
        <f>'Input Data Sheet'!R13</f>
        <v>0</v>
      </c>
      <c r="R13" s="341">
        <f>'Input Data Sheet'!S13</f>
        <v>380472</v>
      </c>
      <c r="S13" s="341">
        <f>'Input Data Sheet'!T13</f>
        <v>2595282</v>
      </c>
      <c r="T13" s="341">
        <f>'Input Data Sheet'!U13</f>
        <v>52678</v>
      </c>
      <c r="U13" s="341">
        <f>'Input Data Sheet'!V13</f>
        <v>0</v>
      </c>
      <c r="V13" s="341">
        <f>'Input Data Sheet'!W13</f>
        <v>0</v>
      </c>
      <c r="W13" s="287">
        <f>'Input Data Sheet'!X13</f>
        <v>0</v>
      </c>
      <c r="X13" s="321">
        <f>'Input Data Sheet'!Y13</f>
        <v>0</v>
      </c>
      <c r="Y13" s="287">
        <f t="shared" si="10"/>
        <v>0</v>
      </c>
      <c r="Z13" s="287">
        <f t="shared" si="1"/>
        <v>0</v>
      </c>
      <c r="AA13" s="341">
        <f t="shared" si="2"/>
        <v>380472</v>
      </c>
      <c r="AB13" s="341">
        <f t="shared" si="3"/>
        <v>2595282</v>
      </c>
      <c r="AC13" s="341">
        <f t="shared" si="4"/>
        <v>52678</v>
      </c>
      <c r="AD13" s="341">
        <f t="shared" si="5"/>
        <v>0</v>
      </c>
      <c r="AE13" s="341">
        <f t="shared" si="6"/>
        <v>0</v>
      </c>
      <c r="AF13" s="287">
        <f t="shared" si="7"/>
        <v>0</v>
      </c>
      <c r="AG13" s="287">
        <f t="shared" si="8"/>
        <v>0</v>
      </c>
      <c r="AH13" s="322">
        <f>IF($H13,0,IFERROR(IF(VALUE(LEFT(D13,4))&gt;VALUE(LEFT(Parameters!$B$66,4))+1,O13-SUM(R13:X13),0),0))</f>
        <v>0</v>
      </c>
      <c r="AI13" s="330">
        <f>IF('Input Data Sheet'!$P13=0,0,'Input Data Sheet'!Z13/'Input Data Sheet'!$P13)</f>
        <v>0</v>
      </c>
      <c r="AJ13" s="331">
        <f>IF('Input Data Sheet'!$P13=0,0,'Input Data Sheet'!AA13/'Input Data Sheet'!$P13)</f>
        <v>0</v>
      </c>
      <c r="AK13" s="331">
        <f>IF('Input Data Sheet'!$P13=0,0,'Input Data Sheet'!AB13/'Input Data Sheet'!$P13)</f>
        <v>0</v>
      </c>
      <c r="AL13" s="331">
        <f>IF('Input Data Sheet'!$P13=0,0,'Input Data Sheet'!AC13/'Input Data Sheet'!$P13)</f>
        <v>0.15394468160420971</v>
      </c>
      <c r="AM13" s="331">
        <f>IF('Input Data Sheet'!$P13=0,0,'Input Data Sheet'!AD13/'Input Data Sheet'!$P13)</f>
        <v>0.78614741886230233</v>
      </c>
      <c r="AN13" s="331">
        <f>IF('Input Data Sheet'!$P13=0,0,'Input Data Sheet'!AE13/'Input Data Sheet'!$P13)</f>
        <v>9.5778937747322702E-3</v>
      </c>
      <c r="AO13" s="331">
        <f>IF('Input Data Sheet'!$P13=0,0,'Input Data Sheet'!AF13/'Input Data Sheet'!$P13)</f>
        <v>5.0330005758755687E-2</v>
      </c>
      <c r="AP13" s="331">
        <f>IF('Input Data Sheet'!$P13=0,0,'Input Data Sheet'!AG13/'Input Data Sheet'!$P13)</f>
        <v>0</v>
      </c>
      <c r="AQ13" s="331">
        <f>IF('Input Data Sheet'!$P13=0,0,'Input Data Sheet'!AH13/'Input Data Sheet'!$P13)</f>
        <v>0</v>
      </c>
      <c r="AR13" s="331">
        <f>IF('Input Data Sheet'!$P13=0,0,'Input Data Sheet'!AI13/'Input Data Sheet'!$P13)</f>
        <v>0</v>
      </c>
      <c r="AS13" s="331">
        <f>IF('Input Data Sheet'!$P13=0,0,'Input Data Sheet'!AJ13/'Input Data Sheet'!$P13)</f>
        <v>0</v>
      </c>
      <c r="AT13" s="331">
        <f>IF('Input Data Sheet'!$P13=0,0,'Input Data Sheet'!AK13/'Input Data Sheet'!$P13)</f>
        <v>0</v>
      </c>
      <c r="AU13" s="331">
        <f>IF('Input Data Sheet'!$P13=0,0,'Input Data Sheet'!AL13/'Input Data Sheet'!$P13)</f>
        <v>0</v>
      </c>
      <c r="AV13" s="331">
        <f>IF('Input Data Sheet'!$P13=0,0,'Input Data Sheet'!AM13/'Input Data Sheet'!$P13)</f>
        <v>0</v>
      </c>
      <c r="AW13" s="331">
        <f>IF('Input Data Sheet'!$P13=0,0,'Input Data Sheet'!AN13/'Input Data Sheet'!$P13)</f>
        <v>0</v>
      </c>
      <c r="AX13" s="331">
        <f>IF('Input Data Sheet'!$P13=0,0,'Input Data Sheet'!AO13/'Input Data Sheet'!$P13)</f>
        <v>0</v>
      </c>
      <c r="AY13" s="331">
        <f>IF('Input Data Sheet'!$P13=0,0,'Input Data Sheet'!AP13/'Input Data Sheet'!$P13)</f>
        <v>0</v>
      </c>
      <c r="AZ13" s="331">
        <f>IF('Input Data Sheet'!$P13=0,0,'Input Data Sheet'!AQ13/'Input Data Sheet'!$P13)</f>
        <v>0</v>
      </c>
      <c r="BA13" s="331">
        <f>IF('Input Data Sheet'!$P13=0,0,'Input Data Sheet'!AR13/'Input Data Sheet'!$P13)</f>
        <v>0</v>
      </c>
      <c r="BB13" s="331">
        <f>IF('Input Data Sheet'!$P13=0,0,'Input Data Sheet'!AS13/'Input Data Sheet'!$P13)</f>
        <v>0</v>
      </c>
      <c r="BC13" s="331">
        <f>IF('Input Data Sheet'!$P13=0,0,'Input Data Sheet'!AT13/'Input Data Sheet'!$P13)</f>
        <v>0</v>
      </c>
      <c r="BD13" s="331">
        <f>IF('Input Data Sheet'!$P13=0,0,'Input Data Sheet'!AU13/'Input Data Sheet'!$P13)</f>
        <v>0</v>
      </c>
      <c r="BE13" s="331">
        <f>IF('Input Data Sheet'!$P13=0,0,'Input Data Sheet'!AV13/'Input Data Sheet'!$P13)</f>
        <v>0</v>
      </c>
      <c r="BF13" s="332">
        <f>IF('Input Data Sheet'!$P13=0,0,'Input Data Sheet'!AW13/'Input Data Sheet'!$P13)</f>
        <v>0</v>
      </c>
      <c r="BG13" s="328">
        <f t="shared" si="11"/>
        <v>1</v>
      </c>
    </row>
    <row r="14" spans="1:59" ht="12.75" x14ac:dyDescent="0.2">
      <c r="A14" s="409" t="str">
        <f>'Input Data Sheet'!B14</f>
        <v>ND0789</v>
      </c>
      <c r="B14" s="314" t="str">
        <f>'Input Data Sheet'!C14</f>
        <v>Fleet Vehicle Procurement program</v>
      </c>
      <c r="C14" s="314" t="str">
        <f>'Input Data Sheet'!D14</f>
        <v>Business support</v>
      </c>
      <c r="D14" s="333" t="str">
        <f>'Input Data Sheet'!E14</f>
        <v>2018/19</v>
      </c>
      <c r="E14" s="333">
        <f>'Input Data Sheet'!F14</f>
        <v>18</v>
      </c>
      <c r="F14" s="315"/>
      <c r="G14" s="315"/>
      <c r="H14" s="316">
        <f>'Input Data Sheet'!J14</f>
        <v>1</v>
      </c>
      <c r="I14" s="316"/>
      <c r="J14" s="316">
        <f>'Input Data Sheet'!K14</f>
        <v>0</v>
      </c>
      <c r="K14" s="496"/>
      <c r="L14" s="496"/>
      <c r="M14" s="496"/>
      <c r="N14" s="316"/>
      <c r="O14" s="287">
        <f t="shared" si="9"/>
        <v>3157000</v>
      </c>
      <c r="P14" s="320">
        <f>'Input Data Sheet'!Q14</f>
        <v>0</v>
      </c>
      <c r="Q14" s="287">
        <f>'Input Data Sheet'!R14</f>
        <v>0</v>
      </c>
      <c r="R14" s="341">
        <f>'Input Data Sheet'!S14</f>
        <v>640000</v>
      </c>
      <c r="S14" s="341">
        <f>'Input Data Sheet'!T14</f>
        <v>957000</v>
      </c>
      <c r="T14" s="341">
        <f>'Input Data Sheet'!U14</f>
        <v>600000</v>
      </c>
      <c r="U14" s="341">
        <f>'Input Data Sheet'!V14</f>
        <v>200000</v>
      </c>
      <c r="V14" s="341">
        <f>'Input Data Sheet'!W14</f>
        <v>760000</v>
      </c>
      <c r="W14" s="287">
        <f>'Input Data Sheet'!X14</f>
        <v>0</v>
      </c>
      <c r="X14" s="321">
        <f>'Input Data Sheet'!Y14</f>
        <v>0</v>
      </c>
      <c r="Y14" s="287">
        <f t="shared" si="10"/>
        <v>0</v>
      </c>
      <c r="Z14" s="287">
        <f t="shared" si="1"/>
        <v>0</v>
      </c>
      <c r="AA14" s="341">
        <f t="shared" si="2"/>
        <v>640000</v>
      </c>
      <c r="AB14" s="341">
        <f t="shared" si="3"/>
        <v>957000</v>
      </c>
      <c r="AC14" s="341">
        <f t="shared" si="4"/>
        <v>600000</v>
      </c>
      <c r="AD14" s="341">
        <f t="shared" si="5"/>
        <v>200000</v>
      </c>
      <c r="AE14" s="341">
        <f t="shared" si="6"/>
        <v>760000</v>
      </c>
      <c r="AF14" s="287">
        <f t="shared" si="7"/>
        <v>0</v>
      </c>
      <c r="AG14" s="287">
        <f t="shared" si="8"/>
        <v>0</v>
      </c>
      <c r="AH14" s="322">
        <f>IF($H14,0,IFERROR(IF(VALUE(LEFT(D14,4))&gt;VALUE(LEFT(Parameters!$B$66,4))+1,O14-SUM(R14:X14),0),0))</f>
        <v>0</v>
      </c>
      <c r="AI14" s="330">
        <f>IF('Input Data Sheet'!$P14=0,0,'Input Data Sheet'!Z14/'Input Data Sheet'!$P14)</f>
        <v>0</v>
      </c>
      <c r="AJ14" s="331">
        <f>IF('Input Data Sheet'!$P14=0,0,'Input Data Sheet'!AA14/'Input Data Sheet'!$P14)</f>
        <v>0</v>
      </c>
      <c r="AK14" s="331">
        <f>IF('Input Data Sheet'!$P14=0,0,'Input Data Sheet'!AB14/'Input Data Sheet'!$P14)</f>
        <v>0</v>
      </c>
      <c r="AL14" s="331">
        <f>IF('Input Data Sheet'!$P14=0,0,'Input Data Sheet'!AC14/'Input Data Sheet'!$P14)</f>
        <v>0</v>
      </c>
      <c r="AM14" s="331">
        <f>IF('Input Data Sheet'!$P14=0,0,'Input Data Sheet'!AD14/'Input Data Sheet'!$P14)</f>
        <v>0</v>
      </c>
      <c r="AN14" s="331">
        <f>IF('Input Data Sheet'!$P14=0,0,'Input Data Sheet'!AE14/'Input Data Sheet'!$P14)</f>
        <v>0</v>
      </c>
      <c r="AO14" s="331">
        <f>IF('Input Data Sheet'!$P14=0,0,'Input Data Sheet'!AF14/'Input Data Sheet'!$P14)</f>
        <v>0</v>
      </c>
      <c r="AP14" s="331">
        <f>IF('Input Data Sheet'!$P14=0,0,'Input Data Sheet'!AG14/'Input Data Sheet'!$P14)</f>
        <v>0</v>
      </c>
      <c r="AQ14" s="331">
        <f>IF('Input Data Sheet'!$P14=0,0,'Input Data Sheet'!AH14/'Input Data Sheet'!$P14)</f>
        <v>0</v>
      </c>
      <c r="AR14" s="331">
        <f>IF('Input Data Sheet'!$P14=0,0,'Input Data Sheet'!AI14/'Input Data Sheet'!$P14)</f>
        <v>0</v>
      </c>
      <c r="AS14" s="331">
        <f>IF('Input Data Sheet'!$P14=0,0,'Input Data Sheet'!AJ14/'Input Data Sheet'!$P14)</f>
        <v>0</v>
      </c>
      <c r="AT14" s="331">
        <f>IF('Input Data Sheet'!$P14=0,0,'Input Data Sheet'!AK14/'Input Data Sheet'!$P14)</f>
        <v>1</v>
      </c>
      <c r="AU14" s="331">
        <f>IF('Input Data Sheet'!$P14=0,0,'Input Data Sheet'!AL14/'Input Data Sheet'!$P14)</f>
        <v>0</v>
      </c>
      <c r="AV14" s="331">
        <f>IF('Input Data Sheet'!$P14=0,0,'Input Data Sheet'!AM14/'Input Data Sheet'!$P14)</f>
        <v>0</v>
      </c>
      <c r="AW14" s="331">
        <f>IF('Input Data Sheet'!$P14=0,0,'Input Data Sheet'!AN14/'Input Data Sheet'!$P14)</f>
        <v>0</v>
      </c>
      <c r="AX14" s="331">
        <f>IF('Input Data Sheet'!$P14=0,0,'Input Data Sheet'!AO14/'Input Data Sheet'!$P14)</f>
        <v>0</v>
      </c>
      <c r="AY14" s="331">
        <f>IF('Input Data Sheet'!$P14=0,0,'Input Data Sheet'!AP14/'Input Data Sheet'!$P14)</f>
        <v>0</v>
      </c>
      <c r="AZ14" s="331">
        <f>IF('Input Data Sheet'!$P14=0,0,'Input Data Sheet'!AQ14/'Input Data Sheet'!$P14)</f>
        <v>0</v>
      </c>
      <c r="BA14" s="331">
        <f>IF('Input Data Sheet'!$P14=0,0,'Input Data Sheet'!AR14/'Input Data Sheet'!$P14)</f>
        <v>0</v>
      </c>
      <c r="BB14" s="331">
        <f>IF('Input Data Sheet'!$P14=0,0,'Input Data Sheet'!AS14/'Input Data Sheet'!$P14)</f>
        <v>0</v>
      </c>
      <c r="BC14" s="331">
        <f>IF('Input Data Sheet'!$P14=0,0,'Input Data Sheet'!AT14/'Input Data Sheet'!$P14)</f>
        <v>0</v>
      </c>
      <c r="BD14" s="331">
        <f>IF('Input Data Sheet'!$P14=0,0,'Input Data Sheet'!AU14/'Input Data Sheet'!$P14)</f>
        <v>0</v>
      </c>
      <c r="BE14" s="331">
        <f>IF('Input Data Sheet'!$P14=0,0,'Input Data Sheet'!AV14/'Input Data Sheet'!$P14)</f>
        <v>0</v>
      </c>
      <c r="BF14" s="332">
        <f>IF('Input Data Sheet'!$P14=0,0,'Input Data Sheet'!AW14/'Input Data Sheet'!$P14)</f>
        <v>0</v>
      </c>
      <c r="BG14" s="328">
        <f t="shared" si="11"/>
        <v>1</v>
      </c>
    </row>
    <row r="15" spans="1:59" ht="12.75" x14ac:dyDescent="0.2">
      <c r="A15" s="409" t="str">
        <f>'Input Data Sheet'!B15</f>
        <v>ND1240</v>
      </c>
      <c r="B15" s="314" t="str">
        <f>'Input Data Sheet'!C15</f>
        <v>Geographical Information System renewal and data collection tools</v>
      </c>
      <c r="C15" s="314" t="str">
        <f>'Input Data Sheet'!D15</f>
        <v>Operational Support Systems</v>
      </c>
      <c r="D15" s="333" t="str">
        <f>'Input Data Sheet'!E15</f>
        <v>2018/19</v>
      </c>
      <c r="E15" s="333">
        <f>'Input Data Sheet'!F15</f>
        <v>15</v>
      </c>
      <c r="F15" s="315"/>
      <c r="G15" s="315"/>
      <c r="H15" s="316">
        <f>'Input Data Sheet'!J15</f>
        <v>1</v>
      </c>
      <c r="I15" s="316"/>
      <c r="J15" s="316">
        <f>'Input Data Sheet'!K15</f>
        <v>0</v>
      </c>
      <c r="K15" s="496"/>
      <c r="L15" s="496"/>
      <c r="M15" s="496"/>
      <c r="N15" s="316"/>
      <c r="O15" s="287">
        <f t="shared" si="9"/>
        <v>500000</v>
      </c>
      <c r="P15" s="320">
        <f>'Input Data Sheet'!Q15</f>
        <v>0</v>
      </c>
      <c r="Q15" s="287">
        <f>'Input Data Sheet'!R15</f>
        <v>0</v>
      </c>
      <c r="R15" s="341">
        <f>'Input Data Sheet'!S15</f>
        <v>100000</v>
      </c>
      <c r="S15" s="341">
        <f>'Input Data Sheet'!T15</f>
        <v>100000</v>
      </c>
      <c r="T15" s="341">
        <f>'Input Data Sheet'!U15</f>
        <v>100000</v>
      </c>
      <c r="U15" s="341">
        <f>'Input Data Sheet'!V15</f>
        <v>100000</v>
      </c>
      <c r="V15" s="341">
        <f>'Input Data Sheet'!W15</f>
        <v>100000</v>
      </c>
      <c r="W15" s="287">
        <f>'Input Data Sheet'!X15</f>
        <v>0</v>
      </c>
      <c r="X15" s="321">
        <f>'Input Data Sheet'!Y15</f>
        <v>0</v>
      </c>
      <c r="Y15" s="287">
        <f t="shared" si="10"/>
        <v>0</v>
      </c>
      <c r="Z15" s="287">
        <f t="shared" si="1"/>
        <v>0</v>
      </c>
      <c r="AA15" s="341">
        <f t="shared" si="2"/>
        <v>100000</v>
      </c>
      <c r="AB15" s="341">
        <f t="shared" si="3"/>
        <v>100000</v>
      </c>
      <c r="AC15" s="341">
        <f t="shared" si="4"/>
        <v>100000</v>
      </c>
      <c r="AD15" s="341">
        <f t="shared" si="5"/>
        <v>100000</v>
      </c>
      <c r="AE15" s="341">
        <f t="shared" si="6"/>
        <v>100000</v>
      </c>
      <c r="AF15" s="287">
        <f t="shared" si="7"/>
        <v>0</v>
      </c>
      <c r="AG15" s="287">
        <f t="shared" si="8"/>
        <v>0</v>
      </c>
      <c r="AH15" s="322">
        <f>IF($H15,0,IFERROR(IF(VALUE(LEFT(D15,4))&gt;VALUE(LEFT(Parameters!$B$66,4))+1,O15-SUM(R15:X15),0),0))</f>
        <v>0</v>
      </c>
      <c r="AI15" s="330">
        <f>IF('Input Data Sheet'!$P15=0,0,'Input Data Sheet'!Z15/'Input Data Sheet'!$P15)</f>
        <v>0</v>
      </c>
      <c r="AJ15" s="331">
        <f>IF('Input Data Sheet'!$P15=0,0,'Input Data Sheet'!AA15/'Input Data Sheet'!$P15)</f>
        <v>0</v>
      </c>
      <c r="AK15" s="331">
        <f>IF('Input Data Sheet'!$P15=0,0,'Input Data Sheet'!AB15/'Input Data Sheet'!$P15)</f>
        <v>0</v>
      </c>
      <c r="AL15" s="331">
        <f>IF('Input Data Sheet'!$P15=0,0,'Input Data Sheet'!AC15/'Input Data Sheet'!$P15)</f>
        <v>0</v>
      </c>
      <c r="AM15" s="331">
        <f>IF('Input Data Sheet'!$P15=0,0,'Input Data Sheet'!AD15/'Input Data Sheet'!$P15)</f>
        <v>0</v>
      </c>
      <c r="AN15" s="331">
        <f>IF('Input Data Sheet'!$P15=0,0,'Input Data Sheet'!AE15/'Input Data Sheet'!$P15)</f>
        <v>0</v>
      </c>
      <c r="AO15" s="331">
        <f>IF('Input Data Sheet'!$P15=0,0,'Input Data Sheet'!AF15/'Input Data Sheet'!$P15)</f>
        <v>0</v>
      </c>
      <c r="AP15" s="331">
        <f>IF('Input Data Sheet'!$P15=0,0,'Input Data Sheet'!AG15/'Input Data Sheet'!$P15)</f>
        <v>0</v>
      </c>
      <c r="AQ15" s="331">
        <f>IF('Input Data Sheet'!$P15=0,0,'Input Data Sheet'!AH15/'Input Data Sheet'!$P15)</f>
        <v>0</v>
      </c>
      <c r="AR15" s="331">
        <f>IF('Input Data Sheet'!$P15=0,0,'Input Data Sheet'!AI15/'Input Data Sheet'!$P15)</f>
        <v>0</v>
      </c>
      <c r="AS15" s="331">
        <f>IF('Input Data Sheet'!$P15=0,0,'Input Data Sheet'!AJ15/'Input Data Sheet'!$P15)</f>
        <v>0</v>
      </c>
      <c r="AT15" s="331">
        <f>IF('Input Data Sheet'!$P15=0,0,'Input Data Sheet'!AK15/'Input Data Sheet'!$P15)</f>
        <v>0</v>
      </c>
      <c r="AU15" s="331">
        <f>IF('Input Data Sheet'!$P15=0,0,'Input Data Sheet'!AL15/'Input Data Sheet'!$P15)</f>
        <v>1</v>
      </c>
      <c r="AV15" s="331">
        <f>IF('Input Data Sheet'!$P15=0,0,'Input Data Sheet'!AM15/'Input Data Sheet'!$P15)</f>
        <v>0</v>
      </c>
      <c r="AW15" s="331">
        <f>IF('Input Data Sheet'!$P15=0,0,'Input Data Sheet'!AN15/'Input Data Sheet'!$P15)</f>
        <v>0</v>
      </c>
      <c r="AX15" s="331">
        <f>IF('Input Data Sheet'!$P15=0,0,'Input Data Sheet'!AO15/'Input Data Sheet'!$P15)</f>
        <v>0</v>
      </c>
      <c r="AY15" s="331">
        <f>IF('Input Data Sheet'!$P15=0,0,'Input Data Sheet'!AP15/'Input Data Sheet'!$P15)</f>
        <v>0</v>
      </c>
      <c r="AZ15" s="331">
        <f>IF('Input Data Sheet'!$P15=0,0,'Input Data Sheet'!AQ15/'Input Data Sheet'!$P15)</f>
        <v>0</v>
      </c>
      <c r="BA15" s="331">
        <f>IF('Input Data Sheet'!$P15=0,0,'Input Data Sheet'!AR15/'Input Data Sheet'!$P15)</f>
        <v>0</v>
      </c>
      <c r="BB15" s="331">
        <f>IF('Input Data Sheet'!$P15=0,0,'Input Data Sheet'!AS15/'Input Data Sheet'!$P15)</f>
        <v>0</v>
      </c>
      <c r="BC15" s="331">
        <f>IF('Input Data Sheet'!$P15=0,0,'Input Data Sheet'!AT15/'Input Data Sheet'!$P15)</f>
        <v>0</v>
      </c>
      <c r="BD15" s="331">
        <f>IF('Input Data Sheet'!$P15=0,0,'Input Data Sheet'!AU15/'Input Data Sheet'!$P15)</f>
        <v>0</v>
      </c>
      <c r="BE15" s="331">
        <f>IF('Input Data Sheet'!$P15=0,0,'Input Data Sheet'!AV15/'Input Data Sheet'!$P15)</f>
        <v>0</v>
      </c>
      <c r="BF15" s="332">
        <f>IF('Input Data Sheet'!$P15=0,0,'Input Data Sheet'!AW15/'Input Data Sheet'!$P15)</f>
        <v>0</v>
      </c>
      <c r="BG15" s="328">
        <f t="shared" si="11"/>
        <v>1</v>
      </c>
    </row>
    <row r="16" spans="1:59" ht="12.75" x14ac:dyDescent="0.2">
      <c r="A16" s="409" t="str">
        <f>'Input Data Sheet'!B16</f>
        <v>ND0937</v>
      </c>
      <c r="B16" s="314" t="str">
        <f>'Input Data Sheet'!C16</f>
        <v>George Town Substation 110 kV redevelopment</v>
      </c>
      <c r="C16" s="314" t="str">
        <f>'Input Data Sheet'!D16</f>
        <v>Asset Renewal</v>
      </c>
      <c r="D16" s="333" t="str">
        <f>'Input Data Sheet'!E16</f>
        <v>2014/15</v>
      </c>
      <c r="E16" s="333">
        <f>'Input Data Sheet'!F16</f>
        <v>0</v>
      </c>
      <c r="F16" s="315"/>
      <c r="G16" s="315"/>
      <c r="H16" s="316">
        <f>'Input Data Sheet'!J16</f>
        <v>0</v>
      </c>
      <c r="I16" s="316"/>
      <c r="J16" s="316">
        <f>'Input Data Sheet'!K16</f>
        <v>0</v>
      </c>
      <c r="K16" s="496"/>
      <c r="L16" s="496"/>
      <c r="M16" s="496"/>
      <c r="N16" s="316"/>
      <c r="O16" s="287">
        <f t="shared" si="9"/>
        <v>9379978.3847394902</v>
      </c>
      <c r="P16" s="320">
        <f>'Input Data Sheet'!Q16</f>
        <v>0</v>
      </c>
      <c r="Q16" s="287">
        <f>'Input Data Sheet'!R16</f>
        <v>3477848.5679035783</v>
      </c>
      <c r="R16" s="341">
        <f>'Input Data Sheet'!S16</f>
        <v>5902129.8168359119</v>
      </c>
      <c r="S16" s="341">
        <f>'Input Data Sheet'!T16</f>
        <v>0</v>
      </c>
      <c r="T16" s="341">
        <f>'Input Data Sheet'!U16</f>
        <v>0</v>
      </c>
      <c r="U16" s="341">
        <f>'Input Data Sheet'!V16</f>
        <v>0</v>
      </c>
      <c r="V16" s="341">
        <f>'Input Data Sheet'!W16</f>
        <v>0</v>
      </c>
      <c r="W16" s="287">
        <f>'Input Data Sheet'!X16</f>
        <v>0</v>
      </c>
      <c r="X16" s="321">
        <f>'Input Data Sheet'!Y16</f>
        <v>0</v>
      </c>
      <c r="Y16" s="287">
        <f t="shared" si="10"/>
        <v>0</v>
      </c>
      <c r="Z16" s="287">
        <f t="shared" si="1"/>
        <v>0</v>
      </c>
      <c r="AA16" s="341">
        <f t="shared" si="2"/>
        <v>9379978.3847394902</v>
      </c>
      <c r="AB16" s="341">
        <f t="shared" si="3"/>
        <v>0</v>
      </c>
      <c r="AC16" s="341">
        <f t="shared" si="4"/>
        <v>0</v>
      </c>
      <c r="AD16" s="341">
        <f t="shared" si="5"/>
        <v>0</v>
      </c>
      <c r="AE16" s="341">
        <f t="shared" si="6"/>
        <v>0</v>
      </c>
      <c r="AF16" s="287">
        <f t="shared" si="7"/>
        <v>0</v>
      </c>
      <c r="AG16" s="287">
        <f t="shared" si="8"/>
        <v>0</v>
      </c>
      <c r="AH16" s="322">
        <f>IF($H16,0,IFERROR(IF(VALUE(LEFT(D16,4))&gt;VALUE(LEFT(Parameters!$B$66,4))+1,O16-SUM(R16:X16),0),0))</f>
        <v>3477848.5679035783</v>
      </c>
      <c r="AI16" s="330">
        <f>IF('Input Data Sheet'!$P16=0,0,'Input Data Sheet'!Z16/'Input Data Sheet'!$P16)</f>
        <v>0</v>
      </c>
      <c r="AJ16" s="331">
        <f>IF('Input Data Sheet'!$P16=0,0,'Input Data Sheet'!AA16/'Input Data Sheet'!$P16)</f>
        <v>0</v>
      </c>
      <c r="AK16" s="331">
        <f>IF('Input Data Sheet'!$P16=0,0,'Input Data Sheet'!AB16/'Input Data Sheet'!$P16)</f>
        <v>0</v>
      </c>
      <c r="AL16" s="331">
        <f>IF('Input Data Sheet'!$P16=0,0,'Input Data Sheet'!AC16/'Input Data Sheet'!$P16)</f>
        <v>0.27999999999999997</v>
      </c>
      <c r="AM16" s="331">
        <f>IF('Input Data Sheet'!$P16=0,0,'Input Data Sheet'!AD16/'Input Data Sheet'!$P16)</f>
        <v>0.44999999999999996</v>
      </c>
      <c r="AN16" s="331">
        <f>IF('Input Data Sheet'!$P16=0,0,'Input Data Sheet'!AE16/'Input Data Sheet'!$P16)</f>
        <v>0.06</v>
      </c>
      <c r="AO16" s="331">
        <f>IF('Input Data Sheet'!$P16=0,0,'Input Data Sheet'!AF16/'Input Data Sheet'!$P16)</f>
        <v>0.21</v>
      </c>
      <c r="AP16" s="331">
        <f>IF('Input Data Sheet'!$P16=0,0,'Input Data Sheet'!AG16/'Input Data Sheet'!$P16)</f>
        <v>0</v>
      </c>
      <c r="AQ16" s="331">
        <f>IF('Input Data Sheet'!$P16=0,0,'Input Data Sheet'!AH16/'Input Data Sheet'!$P16)</f>
        <v>0</v>
      </c>
      <c r="AR16" s="331">
        <f>IF('Input Data Sheet'!$P16=0,0,'Input Data Sheet'!AI16/'Input Data Sheet'!$P16)</f>
        <v>0</v>
      </c>
      <c r="AS16" s="331">
        <f>IF('Input Data Sheet'!$P16=0,0,'Input Data Sheet'!AJ16/'Input Data Sheet'!$P16)</f>
        <v>0</v>
      </c>
      <c r="AT16" s="331">
        <f>IF('Input Data Sheet'!$P16=0,0,'Input Data Sheet'!AK16/'Input Data Sheet'!$P16)</f>
        <v>0</v>
      </c>
      <c r="AU16" s="331">
        <f>IF('Input Data Sheet'!$P16=0,0,'Input Data Sheet'!AL16/'Input Data Sheet'!$P16)</f>
        <v>0</v>
      </c>
      <c r="AV16" s="331">
        <f>IF('Input Data Sheet'!$P16=0,0,'Input Data Sheet'!AM16/'Input Data Sheet'!$P16)</f>
        <v>0</v>
      </c>
      <c r="AW16" s="331">
        <f>IF('Input Data Sheet'!$P16=0,0,'Input Data Sheet'!AN16/'Input Data Sheet'!$P16)</f>
        <v>0</v>
      </c>
      <c r="AX16" s="331">
        <f>IF('Input Data Sheet'!$P16=0,0,'Input Data Sheet'!AO16/'Input Data Sheet'!$P16)</f>
        <v>0</v>
      </c>
      <c r="AY16" s="331">
        <f>IF('Input Data Sheet'!$P16=0,0,'Input Data Sheet'!AP16/'Input Data Sheet'!$P16)</f>
        <v>0</v>
      </c>
      <c r="AZ16" s="331">
        <f>IF('Input Data Sheet'!$P16=0,0,'Input Data Sheet'!AQ16/'Input Data Sheet'!$P16)</f>
        <v>0</v>
      </c>
      <c r="BA16" s="331">
        <f>IF('Input Data Sheet'!$P16=0,0,'Input Data Sheet'!AR16/'Input Data Sheet'!$P16)</f>
        <v>0</v>
      </c>
      <c r="BB16" s="331">
        <f>IF('Input Data Sheet'!$P16=0,0,'Input Data Sheet'!AS16/'Input Data Sheet'!$P16)</f>
        <v>0</v>
      </c>
      <c r="BC16" s="331">
        <f>IF('Input Data Sheet'!$P16=0,0,'Input Data Sheet'!AT16/'Input Data Sheet'!$P16)</f>
        <v>0</v>
      </c>
      <c r="BD16" s="331">
        <f>IF('Input Data Sheet'!$P16=0,0,'Input Data Sheet'!AU16/'Input Data Sheet'!$P16)</f>
        <v>0</v>
      </c>
      <c r="BE16" s="331">
        <f>IF('Input Data Sheet'!$P16=0,0,'Input Data Sheet'!AV16/'Input Data Sheet'!$P16)</f>
        <v>0</v>
      </c>
      <c r="BF16" s="332">
        <f>IF('Input Data Sheet'!$P16=0,0,'Input Data Sheet'!AW16/'Input Data Sheet'!$P16)</f>
        <v>0</v>
      </c>
      <c r="BG16" s="328">
        <f t="shared" si="11"/>
        <v>1</v>
      </c>
    </row>
    <row r="17" spans="1:59" ht="12.75" x14ac:dyDescent="0.2">
      <c r="A17" s="409" t="str">
        <f>'Input Data Sheet'!B17</f>
        <v>ND1214</v>
      </c>
      <c r="B17" s="314" t="str">
        <f>'Input Data Sheet'!C17</f>
        <v>High Voltage switchgear refurbishment program</v>
      </c>
      <c r="C17" s="314" t="str">
        <f>'Input Data Sheet'!D17</f>
        <v>Asset Renewal</v>
      </c>
      <c r="D17" s="333" t="str">
        <f>'Input Data Sheet'!E17</f>
        <v>2018/19</v>
      </c>
      <c r="E17" s="333">
        <f>'Input Data Sheet'!F17</f>
        <v>9</v>
      </c>
      <c r="F17" s="315"/>
      <c r="G17" s="315"/>
      <c r="H17" s="316">
        <f>'Input Data Sheet'!J17</f>
        <v>1</v>
      </c>
      <c r="I17" s="316"/>
      <c r="J17" s="316">
        <f>'Input Data Sheet'!K17</f>
        <v>0</v>
      </c>
      <c r="K17" s="496"/>
      <c r="L17" s="496"/>
      <c r="M17" s="496"/>
      <c r="N17" s="316"/>
      <c r="O17" s="287">
        <f t="shared" si="9"/>
        <v>2319152</v>
      </c>
      <c r="P17" s="320">
        <f>'Input Data Sheet'!Q17</f>
        <v>0</v>
      </c>
      <c r="Q17" s="287">
        <f>'Input Data Sheet'!R17</f>
        <v>0</v>
      </c>
      <c r="R17" s="341">
        <f>'Input Data Sheet'!S17</f>
        <v>0</v>
      </c>
      <c r="S17" s="341">
        <f>'Input Data Sheet'!T17</f>
        <v>0</v>
      </c>
      <c r="T17" s="341">
        <f>'Input Data Sheet'!U17</f>
        <v>312462</v>
      </c>
      <c r="U17" s="341">
        <f>'Input Data Sheet'!V17</f>
        <v>1392526</v>
      </c>
      <c r="V17" s="341">
        <f>'Input Data Sheet'!W17</f>
        <v>614164</v>
      </c>
      <c r="W17" s="287">
        <f>'Input Data Sheet'!X17</f>
        <v>0</v>
      </c>
      <c r="X17" s="321">
        <f>'Input Data Sheet'!Y17</f>
        <v>0</v>
      </c>
      <c r="Y17" s="287">
        <f t="shared" si="10"/>
        <v>0</v>
      </c>
      <c r="Z17" s="287">
        <f t="shared" si="1"/>
        <v>0</v>
      </c>
      <c r="AA17" s="341">
        <f t="shared" si="2"/>
        <v>0</v>
      </c>
      <c r="AB17" s="341">
        <f t="shared" si="3"/>
        <v>0</v>
      </c>
      <c r="AC17" s="341">
        <f t="shared" si="4"/>
        <v>312462</v>
      </c>
      <c r="AD17" s="341">
        <f t="shared" si="5"/>
        <v>1392526</v>
      </c>
      <c r="AE17" s="341">
        <f t="shared" si="6"/>
        <v>614164</v>
      </c>
      <c r="AF17" s="287">
        <f t="shared" si="7"/>
        <v>0</v>
      </c>
      <c r="AG17" s="287">
        <f t="shared" si="8"/>
        <v>0</v>
      </c>
      <c r="AH17" s="322">
        <f>IF($H17,0,IFERROR(IF(VALUE(LEFT(D17,4))&gt;VALUE(LEFT(Parameters!$B$66,4))+1,O17-SUM(R17:X17),0),0))</f>
        <v>0</v>
      </c>
      <c r="AI17" s="330">
        <f>IF('Input Data Sheet'!$P17=0,0,'Input Data Sheet'!Z17/'Input Data Sheet'!$P17)</f>
        <v>0</v>
      </c>
      <c r="AJ17" s="331">
        <f>IF('Input Data Sheet'!$P17=0,0,'Input Data Sheet'!AA17/'Input Data Sheet'!$P17)</f>
        <v>0</v>
      </c>
      <c r="AK17" s="331">
        <f>IF('Input Data Sheet'!$P17=0,0,'Input Data Sheet'!AB17/'Input Data Sheet'!$P17)</f>
        <v>0</v>
      </c>
      <c r="AL17" s="331">
        <f>IF('Input Data Sheet'!$P17=0,0,'Input Data Sheet'!AC17/'Input Data Sheet'!$P17)</f>
        <v>0.28000018972452001</v>
      </c>
      <c r="AM17" s="331">
        <f>IF('Input Data Sheet'!$P17=0,0,'Input Data Sheet'!AD17/'Input Data Sheet'!$P17)</f>
        <v>0.44999982752316364</v>
      </c>
      <c r="AN17" s="331">
        <f>IF('Input Data Sheet'!$P17=0,0,'Input Data Sheet'!AE17/'Input Data Sheet'!$P17)</f>
        <v>5.9999948256949091E-2</v>
      </c>
      <c r="AO17" s="331">
        <f>IF('Input Data Sheet'!$P17=0,0,'Input Data Sheet'!AF17/'Input Data Sheet'!$P17)</f>
        <v>0.21000003449536728</v>
      </c>
      <c r="AP17" s="331">
        <f>IF('Input Data Sheet'!$P17=0,0,'Input Data Sheet'!AG17/'Input Data Sheet'!$P17)</f>
        <v>0</v>
      </c>
      <c r="AQ17" s="331">
        <f>IF('Input Data Sheet'!$P17=0,0,'Input Data Sheet'!AH17/'Input Data Sheet'!$P17)</f>
        <v>0</v>
      </c>
      <c r="AR17" s="331">
        <f>IF('Input Data Sheet'!$P17=0,0,'Input Data Sheet'!AI17/'Input Data Sheet'!$P17)</f>
        <v>0</v>
      </c>
      <c r="AS17" s="331">
        <f>IF('Input Data Sheet'!$P17=0,0,'Input Data Sheet'!AJ17/'Input Data Sheet'!$P17)</f>
        <v>0</v>
      </c>
      <c r="AT17" s="331">
        <f>IF('Input Data Sheet'!$P17=0,0,'Input Data Sheet'!AK17/'Input Data Sheet'!$P17)</f>
        <v>0</v>
      </c>
      <c r="AU17" s="331">
        <f>IF('Input Data Sheet'!$P17=0,0,'Input Data Sheet'!AL17/'Input Data Sheet'!$P17)</f>
        <v>0</v>
      </c>
      <c r="AV17" s="331">
        <f>IF('Input Data Sheet'!$P17=0,0,'Input Data Sheet'!AM17/'Input Data Sheet'!$P17)</f>
        <v>0</v>
      </c>
      <c r="AW17" s="331">
        <f>IF('Input Data Sheet'!$P17=0,0,'Input Data Sheet'!AN17/'Input Data Sheet'!$P17)</f>
        <v>0</v>
      </c>
      <c r="AX17" s="331">
        <f>IF('Input Data Sheet'!$P17=0,0,'Input Data Sheet'!AO17/'Input Data Sheet'!$P17)</f>
        <v>0</v>
      </c>
      <c r="AY17" s="331">
        <f>IF('Input Data Sheet'!$P17=0,0,'Input Data Sheet'!AP17/'Input Data Sheet'!$P17)</f>
        <v>0</v>
      </c>
      <c r="AZ17" s="331">
        <f>IF('Input Data Sheet'!$P17=0,0,'Input Data Sheet'!AQ17/'Input Data Sheet'!$P17)</f>
        <v>0</v>
      </c>
      <c r="BA17" s="331">
        <f>IF('Input Data Sheet'!$P17=0,0,'Input Data Sheet'!AR17/'Input Data Sheet'!$P17)</f>
        <v>0</v>
      </c>
      <c r="BB17" s="331">
        <f>IF('Input Data Sheet'!$P17=0,0,'Input Data Sheet'!AS17/'Input Data Sheet'!$P17)</f>
        <v>0</v>
      </c>
      <c r="BC17" s="331">
        <f>IF('Input Data Sheet'!$P17=0,0,'Input Data Sheet'!AT17/'Input Data Sheet'!$P17)</f>
        <v>0</v>
      </c>
      <c r="BD17" s="331">
        <f>IF('Input Data Sheet'!$P17=0,0,'Input Data Sheet'!AU17/'Input Data Sheet'!$P17)</f>
        <v>0</v>
      </c>
      <c r="BE17" s="331">
        <f>IF('Input Data Sheet'!$P17=0,0,'Input Data Sheet'!AV17/'Input Data Sheet'!$P17)</f>
        <v>0</v>
      </c>
      <c r="BF17" s="332">
        <f>IF('Input Data Sheet'!$P17=0,0,'Input Data Sheet'!AW17/'Input Data Sheet'!$P17)</f>
        <v>0</v>
      </c>
      <c r="BG17" s="328">
        <f t="shared" si="11"/>
        <v>1</v>
      </c>
    </row>
    <row r="18" spans="1:59" ht="12.75" x14ac:dyDescent="0.2">
      <c r="A18" s="409" t="str">
        <f>'Input Data Sheet'!B18</f>
        <v>ND1215</v>
      </c>
      <c r="B18" s="314" t="str">
        <f>'Input Data Sheet'!C18</f>
        <v>HV Feeder protection renewal program</v>
      </c>
      <c r="C18" s="314" t="str">
        <f>'Input Data Sheet'!D18</f>
        <v>Asset Renewal</v>
      </c>
      <c r="D18" s="333" t="str">
        <f>'Input Data Sheet'!E18</f>
        <v>2019/20</v>
      </c>
      <c r="E18" s="333">
        <f>'Input Data Sheet'!F18</f>
        <v>13</v>
      </c>
      <c r="F18" s="315"/>
      <c r="G18" s="315"/>
      <c r="H18" s="316">
        <f>'Input Data Sheet'!J18</f>
        <v>1</v>
      </c>
      <c r="I18" s="316"/>
      <c r="J18" s="316">
        <f>'Input Data Sheet'!K18</f>
        <v>0</v>
      </c>
      <c r="K18" s="496"/>
      <c r="L18" s="496"/>
      <c r="M18" s="496"/>
      <c r="N18" s="316"/>
      <c r="O18" s="287">
        <f t="shared" si="9"/>
        <v>2371472</v>
      </c>
      <c r="P18" s="320">
        <f>'Input Data Sheet'!Q18</f>
        <v>0</v>
      </c>
      <c r="Q18" s="287">
        <f>'Input Data Sheet'!R18</f>
        <v>0</v>
      </c>
      <c r="R18" s="341">
        <f>'Input Data Sheet'!S18</f>
        <v>0</v>
      </c>
      <c r="S18" s="341">
        <f>'Input Data Sheet'!T18</f>
        <v>0</v>
      </c>
      <c r="T18" s="341">
        <f>'Input Data Sheet'!U18</f>
        <v>0</v>
      </c>
      <c r="U18" s="341">
        <f>'Input Data Sheet'!V18</f>
        <v>308291</v>
      </c>
      <c r="V18" s="341">
        <f>'Input Data Sheet'!W18</f>
        <v>2039466</v>
      </c>
      <c r="W18" s="287">
        <f>'Input Data Sheet'!X18</f>
        <v>23715</v>
      </c>
      <c r="X18" s="321">
        <f>'Input Data Sheet'!Y18</f>
        <v>0</v>
      </c>
      <c r="Y18" s="287">
        <f t="shared" si="10"/>
        <v>0</v>
      </c>
      <c r="Z18" s="287">
        <f t="shared" si="1"/>
        <v>0</v>
      </c>
      <c r="AA18" s="341">
        <f t="shared" si="2"/>
        <v>0</v>
      </c>
      <c r="AB18" s="341">
        <f t="shared" si="3"/>
        <v>0</v>
      </c>
      <c r="AC18" s="341">
        <f t="shared" si="4"/>
        <v>0</v>
      </c>
      <c r="AD18" s="341">
        <f t="shared" si="5"/>
        <v>308291</v>
      </c>
      <c r="AE18" s="341">
        <f t="shared" si="6"/>
        <v>2039466</v>
      </c>
      <c r="AF18" s="287">
        <f t="shared" si="7"/>
        <v>23715</v>
      </c>
      <c r="AG18" s="287">
        <f t="shared" si="8"/>
        <v>0</v>
      </c>
      <c r="AH18" s="322">
        <f>IF($H18,0,IFERROR(IF(VALUE(LEFT(D18,4))&gt;VALUE(LEFT(Parameters!$B$66,4))+1,O18-SUM(R18:X18),0),0))</f>
        <v>0</v>
      </c>
      <c r="AI18" s="330">
        <f>IF('Input Data Sheet'!$P18=0,0,'Input Data Sheet'!Z18/'Input Data Sheet'!$P18)</f>
        <v>0</v>
      </c>
      <c r="AJ18" s="331">
        <f>IF('Input Data Sheet'!$P18=0,0,'Input Data Sheet'!AA18/'Input Data Sheet'!$P18)</f>
        <v>0</v>
      </c>
      <c r="AK18" s="331">
        <f>IF('Input Data Sheet'!$P18=0,0,'Input Data Sheet'!AB18/'Input Data Sheet'!$P18)</f>
        <v>0</v>
      </c>
      <c r="AL18" s="331">
        <f>IF('Input Data Sheet'!$P18=0,0,'Input Data Sheet'!AC18/'Input Data Sheet'!$P18)</f>
        <v>0</v>
      </c>
      <c r="AM18" s="331">
        <f>IF('Input Data Sheet'!$P18=0,0,'Input Data Sheet'!AD18/'Input Data Sheet'!$P18)</f>
        <v>0</v>
      </c>
      <c r="AN18" s="331">
        <f>IF('Input Data Sheet'!$P18=0,0,'Input Data Sheet'!AE18/'Input Data Sheet'!$P18)</f>
        <v>0</v>
      </c>
      <c r="AO18" s="331">
        <f>IF('Input Data Sheet'!$P18=0,0,'Input Data Sheet'!AF18/'Input Data Sheet'!$P18)</f>
        <v>0.99999999999999978</v>
      </c>
      <c r="AP18" s="331">
        <f>IF('Input Data Sheet'!$P18=0,0,'Input Data Sheet'!AG18/'Input Data Sheet'!$P18)</f>
        <v>0</v>
      </c>
      <c r="AQ18" s="331">
        <f>IF('Input Data Sheet'!$P18=0,0,'Input Data Sheet'!AH18/'Input Data Sheet'!$P18)</f>
        <v>0</v>
      </c>
      <c r="AR18" s="331">
        <f>IF('Input Data Sheet'!$P18=0,0,'Input Data Sheet'!AI18/'Input Data Sheet'!$P18)</f>
        <v>0</v>
      </c>
      <c r="AS18" s="331">
        <f>IF('Input Data Sheet'!$P18=0,0,'Input Data Sheet'!AJ18/'Input Data Sheet'!$P18)</f>
        <v>0</v>
      </c>
      <c r="AT18" s="331">
        <f>IF('Input Data Sheet'!$P18=0,0,'Input Data Sheet'!AK18/'Input Data Sheet'!$P18)</f>
        <v>0</v>
      </c>
      <c r="AU18" s="331">
        <f>IF('Input Data Sheet'!$P18=0,0,'Input Data Sheet'!AL18/'Input Data Sheet'!$P18)</f>
        <v>0</v>
      </c>
      <c r="AV18" s="331">
        <f>IF('Input Data Sheet'!$P18=0,0,'Input Data Sheet'!AM18/'Input Data Sheet'!$P18)</f>
        <v>0</v>
      </c>
      <c r="AW18" s="331">
        <f>IF('Input Data Sheet'!$P18=0,0,'Input Data Sheet'!AN18/'Input Data Sheet'!$P18)</f>
        <v>0</v>
      </c>
      <c r="AX18" s="331">
        <f>IF('Input Data Sheet'!$P18=0,0,'Input Data Sheet'!AO18/'Input Data Sheet'!$P18)</f>
        <v>0</v>
      </c>
      <c r="AY18" s="331">
        <f>IF('Input Data Sheet'!$P18=0,0,'Input Data Sheet'!AP18/'Input Data Sheet'!$P18)</f>
        <v>0</v>
      </c>
      <c r="AZ18" s="331">
        <f>IF('Input Data Sheet'!$P18=0,0,'Input Data Sheet'!AQ18/'Input Data Sheet'!$P18)</f>
        <v>0</v>
      </c>
      <c r="BA18" s="331">
        <f>IF('Input Data Sheet'!$P18=0,0,'Input Data Sheet'!AR18/'Input Data Sheet'!$P18)</f>
        <v>0</v>
      </c>
      <c r="BB18" s="331">
        <f>IF('Input Data Sheet'!$P18=0,0,'Input Data Sheet'!AS18/'Input Data Sheet'!$P18)</f>
        <v>0</v>
      </c>
      <c r="BC18" s="331">
        <f>IF('Input Data Sheet'!$P18=0,0,'Input Data Sheet'!AT18/'Input Data Sheet'!$P18)</f>
        <v>0</v>
      </c>
      <c r="BD18" s="331">
        <f>IF('Input Data Sheet'!$P18=0,0,'Input Data Sheet'!AU18/'Input Data Sheet'!$P18)</f>
        <v>0</v>
      </c>
      <c r="BE18" s="331">
        <f>IF('Input Data Sheet'!$P18=0,0,'Input Data Sheet'!AV18/'Input Data Sheet'!$P18)</f>
        <v>0</v>
      </c>
      <c r="BF18" s="332">
        <f>IF('Input Data Sheet'!$P18=0,0,'Input Data Sheet'!AW18/'Input Data Sheet'!$P18)</f>
        <v>0</v>
      </c>
      <c r="BG18" s="328">
        <f t="shared" si="11"/>
        <v>0.99999999999999978</v>
      </c>
    </row>
    <row r="19" spans="1:59" ht="12.75" x14ac:dyDescent="0.2">
      <c r="A19" s="409" t="str">
        <f>'Input Data Sheet'!B19</f>
        <v>ND1205-1</v>
      </c>
      <c r="B19" s="314" t="str">
        <f>'Input Data Sheet'!C19</f>
        <v>Information Technology applications program</v>
      </c>
      <c r="C19" s="314" t="str">
        <f>'Input Data Sheet'!D19</f>
        <v>Information Technology</v>
      </c>
      <c r="D19" s="333" t="str">
        <f>'Input Data Sheet'!E19</f>
        <v>2018/19</v>
      </c>
      <c r="E19" s="333">
        <f>'Input Data Sheet'!F19</f>
        <v>18</v>
      </c>
      <c r="F19" s="315"/>
      <c r="G19" s="315"/>
      <c r="H19" s="316">
        <f>'Input Data Sheet'!J19</f>
        <v>1</v>
      </c>
      <c r="I19" s="316"/>
      <c r="J19" s="316">
        <f>'Input Data Sheet'!K19</f>
        <v>0</v>
      </c>
      <c r="K19" s="496"/>
      <c r="L19" s="496"/>
      <c r="M19" s="496"/>
      <c r="N19" s="316"/>
      <c r="O19" s="287">
        <f t="shared" si="9"/>
        <v>5169798.4000000004</v>
      </c>
      <c r="P19" s="320">
        <f>'Input Data Sheet'!Q19</f>
        <v>0</v>
      </c>
      <c r="Q19" s="287">
        <f>'Input Data Sheet'!R19</f>
        <v>0</v>
      </c>
      <c r="R19" s="341">
        <f>'Input Data Sheet'!S19</f>
        <v>1426609.6</v>
      </c>
      <c r="S19" s="341">
        <f>'Input Data Sheet'!T19</f>
        <v>506313.60000000003</v>
      </c>
      <c r="T19" s="341">
        <f>'Input Data Sheet'!U19</f>
        <v>875056</v>
      </c>
      <c r="U19" s="341">
        <f>'Input Data Sheet'!V19</f>
        <v>1715209.6</v>
      </c>
      <c r="V19" s="341">
        <f>'Input Data Sheet'!W19</f>
        <v>646609.6</v>
      </c>
      <c r="W19" s="287">
        <f>'Input Data Sheet'!X19</f>
        <v>0</v>
      </c>
      <c r="X19" s="321">
        <f>'Input Data Sheet'!Y19</f>
        <v>0</v>
      </c>
      <c r="Y19" s="287">
        <f t="shared" si="10"/>
        <v>0</v>
      </c>
      <c r="Z19" s="287">
        <f t="shared" si="1"/>
        <v>0</v>
      </c>
      <c r="AA19" s="341">
        <f t="shared" si="2"/>
        <v>1426609.6</v>
      </c>
      <c r="AB19" s="341">
        <f t="shared" si="3"/>
        <v>506313.60000000003</v>
      </c>
      <c r="AC19" s="341">
        <f t="shared" si="4"/>
        <v>875056</v>
      </c>
      <c r="AD19" s="341">
        <f t="shared" si="5"/>
        <v>1715209.6</v>
      </c>
      <c r="AE19" s="341">
        <f t="shared" si="6"/>
        <v>646609.6</v>
      </c>
      <c r="AF19" s="287">
        <f t="shared" si="7"/>
        <v>0</v>
      </c>
      <c r="AG19" s="287">
        <f t="shared" si="8"/>
        <v>0</v>
      </c>
      <c r="AH19" s="322">
        <f>IF($H19,0,IFERROR(IF(VALUE(LEFT(D19,4))&gt;VALUE(LEFT(Parameters!$B$66,4))+1,O19-SUM(R19:X19),0),0))</f>
        <v>0</v>
      </c>
      <c r="AI19" s="330">
        <f>IF('Input Data Sheet'!$P19=0,0,'Input Data Sheet'!Z19/'Input Data Sheet'!$P19)</f>
        <v>0</v>
      </c>
      <c r="AJ19" s="331">
        <f>IF('Input Data Sheet'!$P19=0,0,'Input Data Sheet'!AA19/'Input Data Sheet'!$P19)</f>
        <v>0</v>
      </c>
      <c r="AK19" s="331">
        <f>IF('Input Data Sheet'!$P19=0,0,'Input Data Sheet'!AB19/'Input Data Sheet'!$P19)</f>
        <v>0</v>
      </c>
      <c r="AL19" s="331">
        <f>IF('Input Data Sheet'!$P19=0,0,'Input Data Sheet'!AC19/'Input Data Sheet'!$P19)</f>
        <v>0</v>
      </c>
      <c r="AM19" s="331">
        <f>IF('Input Data Sheet'!$P19=0,0,'Input Data Sheet'!AD19/'Input Data Sheet'!$P19)</f>
        <v>0</v>
      </c>
      <c r="AN19" s="331">
        <f>IF('Input Data Sheet'!$P19=0,0,'Input Data Sheet'!AE19/'Input Data Sheet'!$P19)</f>
        <v>0</v>
      </c>
      <c r="AO19" s="331">
        <f>IF('Input Data Sheet'!$P19=0,0,'Input Data Sheet'!AF19/'Input Data Sheet'!$P19)</f>
        <v>0</v>
      </c>
      <c r="AP19" s="331">
        <f>IF('Input Data Sheet'!$P19=0,0,'Input Data Sheet'!AG19/'Input Data Sheet'!$P19)</f>
        <v>0</v>
      </c>
      <c r="AQ19" s="331">
        <f>IF('Input Data Sheet'!$P19=0,0,'Input Data Sheet'!AH19/'Input Data Sheet'!$P19)</f>
        <v>0</v>
      </c>
      <c r="AR19" s="331">
        <f>IF('Input Data Sheet'!$P19=0,0,'Input Data Sheet'!AI19/'Input Data Sheet'!$P19)</f>
        <v>0</v>
      </c>
      <c r="AS19" s="331">
        <f>IF('Input Data Sheet'!$P19=0,0,'Input Data Sheet'!AJ19/'Input Data Sheet'!$P19)</f>
        <v>0</v>
      </c>
      <c r="AT19" s="331">
        <f>IF('Input Data Sheet'!$P19=0,0,'Input Data Sheet'!AK19/'Input Data Sheet'!$P19)</f>
        <v>0</v>
      </c>
      <c r="AU19" s="331">
        <f>IF('Input Data Sheet'!$P19=0,0,'Input Data Sheet'!AL19/'Input Data Sheet'!$P19)</f>
        <v>1</v>
      </c>
      <c r="AV19" s="331">
        <f>IF('Input Data Sheet'!$P19=0,0,'Input Data Sheet'!AM19/'Input Data Sheet'!$P19)</f>
        <v>0</v>
      </c>
      <c r="AW19" s="331">
        <f>IF('Input Data Sheet'!$P19=0,0,'Input Data Sheet'!AN19/'Input Data Sheet'!$P19)</f>
        <v>0</v>
      </c>
      <c r="AX19" s="331">
        <f>IF('Input Data Sheet'!$P19=0,0,'Input Data Sheet'!AO19/'Input Data Sheet'!$P19)</f>
        <v>0</v>
      </c>
      <c r="AY19" s="331">
        <f>IF('Input Data Sheet'!$P19=0,0,'Input Data Sheet'!AP19/'Input Data Sheet'!$P19)</f>
        <v>0</v>
      </c>
      <c r="AZ19" s="331">
        <f>IF('Input Data Sheet'!$P19=0,0,'Input Data Sheet'!AQ19/'Input Data Sheet'!$P19)</f>
        <v>0</v>
      </c>
      <c r="BA19" s="331">
        <f>IF('Input Data Sheet'!$P19=0,0,'Input Data Sheet'!AR19/'Input Data Sheet'!$P19)</f>
        <v>0</v>
      </c>
      <c r="BB19" s="331">
        <f>IF('Input Data Sheet'!$P19=0,0,'Input Data Sheet'!AS19/'Input Data Sheet'!$P19)</f>
        <v>0</v>
      </c>
      <c r="BC19" s="331">
        <f>IF('Input Data Sheet'!$P19=0,0,'Input Data Sheet'!AT19/'Input Data Sheet'!$P19)</f>
        <v>0</v>
      </c>
      <c r="BD19" s="331">
        <f>IF('Input Data Sheet'!$P19=0,0,'Input Data Sheet'!AU19/'Input Data Sheet'!$P19)</f>
        <v>0</v>
      </c>
      <c r="BE19" s="331">
        <f>IF('Input Data Sheet'!$P19=0,0,'Input Data Sheet'!AV19/'Input Data Sheet'!$P19)</f>
        <v>0</v>
      </c>
      <c r="BF19" s="332">
        <f>IF('Input Data Sheet'!$P19=0,0,'Input Data Sheet'!AW19/'Input Data Sheet'!$P19)</f>
        <v>0</v>
      </c>
      <c r="BG19" s="328">
        <f t="shared" si="11"/>
        <v>1</v>
      </c>
    </row>
    <row r="20" spans="1:59" ht="12.75" x14ac:dyDescent="0.2">
      <c r="A20" s="409" t="str">
        <f>'Input Data Sheet'!B20</f>
        <v>ND1205-2</v>
      </c>
      <c r="B20" s="314" t="str">
        <f>'Input Data Sheet'!C20</f>
        <v>Information Technology applications program</v>
      </c>
      <c r="C20" s="314" t="str">
        <f>'Input Data Sheet'!D20</f>
        <v>Operational Support Systems</v>
      </c>
      <c r="D20" s="333" t="str">
        <f>'Input Data Sheet'!E20</f>
        <v>2018/19</v>
      </c>
      <c r="E20" s="333">
        <f>'Input Data Sheet'!F20</f>
        <v>18</v>
      </c>
      <c r="F20" s="315"/>
      <c r="G20" s="315"/>
      <c r="H20" s="316">
        <f>'Input Data Sheet'!J20</f>
        <v>1</v>
      </c>
      <c r="I20" s="316"/>
      <c r="J20" s="316">
        <f>'Input Data Sheet'!K20</f>
        <v>0</v>
      </c>
      <c r="K20" s="496"/>
      <c r="L20" s="496"/>
      <c r="M20" s="496"/>
      <c r="N20" s="316"/>
      <c r="O20" s="287">
        <f t="shared" si="9"/>
        <v>4772121.5999999996</v>
      </c>
      <c r="P20" s="320">
        <f>'Input Data Sheet'!Q20</f>
        <v>0</v>
      </c>
      <c r="Q20" s="287">
        <f>'Input Data Sheet'!R20</f>
        <v>0</v>
      </c>
      <c r="R20" s="341">
        <f>'Input Data Sheet'!S20</f>
        <v>1316870.3999999999</v>
      </c>
      <c r="S20" s="341">
        <f>'Input Data Sheet'!T20</f>
        <v>467366.39999999997</v>
      </c>
      <c r="T20" s="341">
        <f>'Input Data Sheet'!U20</f>
        <v>807744</v>
      </c>
      <c r="U20" s="341">
        <f>'Input Data Sheet'!V20</f>
        <v>1583270.4</v>
      </c>
      <c r="V20" s="341">
        <f>'Input Data Sheet'!W20</f>
        <v>596870.40000000002</v>
      </c>
      <c r="W20" s="287">
        <f>'Input Data Sheet'!X20</f>
        <v>0</v>
      </c>
      <c r="X20" s="321">
        <f>'Input Data Sheet'!Y20</f>
        <v>0</v>
      </c>
      <c r="Y20" s="287">
        <f t="shared" si="10"/>
        <v>0</v>
      </c>
      <c r="Z20" s="287">
        <f t="shared" si="1"/>
        <v>0</v>
      </c>
      <c r="AA20" s="341">
        <f t="shared" si="2"/>
        <v>1316870.3999999999</v>
      </c>
      <c r="AB20" s="341">
        <f t="shared" si="3"/>
        <v>467366.39999999997</v>
      </c>
      <c r="AC20" s="341">
        <f t="shared" si="4"/>
        <v>807744</v>
      </c>
      <c r="AD20" s="341">
        <f t="shared" si="5"/>
        <v>1583270.4</v>
      </c>
      <c r="AE20" s="341">
        <f t="shared" si="6"/>
        <v>596870.40000000002</v>
      </c>
      <c r="AF20" s="287">
        <f t="shared" si="7"/>
        <v>0</v>
      </c>
      <c r="AG20" s="287">
        <f t="shared" si="8"/>
        <v>0</v>
      </c>
      <c r="AH20" s="322">
        <f>IF($H20,0,IFERROR(IF(VALUE(LEFT(D20,4))&gt;VALUE(LEFT(Parameters!$B$66,4))+1,O20-SUM(R20:X20),0),0))</f>
        <v>0</v>
      </c>
      <c r="AI20" s="330">
        <f>IF('Input Data Sheet'!$P20=0,0,'Input Data Sheet'!Z20/'Input Data Sheet'!$P20)</f>
        <v>0</v>
      </c>
      <c r="AJ20" s="331">
        <f>IF('Input Data Sheet'!$P20=0,0,'Input Data Sheet'!AA20/'Input Data Sheet'!$P20)</f>
        <v>0</v>
      </c>
      <c r="AK20" s="331">
        <f>IF('Input Data Sheet'!$P20=0,0,'Input Data Sheet'!AB20/'Input Data Sheet'!$P20)</f>
        <v>0</v>
      </c>
      <c r="AL20" s="331">
        <f>IF('Input Data Sheet'!$P20=0,0,'Input Data Sheet'!AC20/'Input Data Sheet'!$P20)</f>
        <v>0</v>
      </c>
      <c r="AM20" s="331">
        <f>IF('Input Data Sheet'!$P20=0,0,'Input Data Sheet'!AD20/'Input Data Sheet'!$P20)</f>
        <v>0</v>
      </c>
      <c r="AN20" s="331">
        <f>IF('Input Data Sheet'!$P20=0,0,'Input Data Sheet'!AE20/'Input Data Sheet'!$P20)</f>
        <v>0</v>
      </c>
      <c r="AO20" s="331">
        <f>IF('Input Data Sheet'!$P20=0,0,'Input Data Sheet'!AF20/'Input Data Sheet'!$P20)</f>
        <v>0</v>
      </c>
      <c r="AP20" s="331">
        <f>IF('Input Data Sheet'!$P20=0,0,'Input Data Sheet'!AG20/'Input Data Sheet'!$P20)</f>
        <v>0</v>
      </c>
      <c r="AQ20" s="331">
        <f>IF('Input Data Sheet'!$P20=0,0,'Input Data Sheet'!AH20/'Input Data Sheet'!$P20)</f>
        <v>0</v>
      </c>
      <c r="AR20" s="331">
        <f>IF('Input Data Sheet'!$P20=0,0,'Input Data Sheet'!AI20/'Input Data Sheet'!$P20)</f>
        <v>0</v>
      </c>
      <c r="AS20" s="331">
        <f>IF('Input Data Sheet'!$P20=0,0,'Input Data Sheet'!AJ20/'Input Data Sheet'!$P20)</f>
        <v>0</v>
      </c>
      <c r="AT20" s="331">
        <f>IF('Input Data Sheet'!$P20=0,0,'Input Data Sheet'!AK20/'Input Data Sheet'!$P20)</f>
        <v>0</v>
      </c>
      <c r="AU20" s="331">
        <f>IF('Input Data Sheet'!$P20=0,0,'Input Data Sheet'!AL20/'Input Data Sheet'!$P20)</f>
        <v>1</v>
      </c>
      <c r="AV20" s="331">
        <f>IF('Input Data Sheet'!$P20=0,0,'Input Data Sheet'!AM20/'Input Data Sheet'!$P20)</f>
        <v>0</v>
      </c>
      <c r="AW20" s="331">
        <f>IF('Input Data Sheet'!$P20=0,0,'Input Data Sheet'!AN20/'Input Data Sheet'!$P20)</f>
        <v>0</v>
      </c>
      <c r="AX20" s="331">
        <f>IF('Input Data Sheet'!$P20=0,0,'Input Data Sheet'!AO20/'Input Data Sheet'!$P20)</f>
        <v>0</v>
      </c>
      <c r="AY20" s="331">
        <f>IF('Input Data Sheet'!$P20=0,0,'Input Data Sheet'!AP20/'Input Data Sheet'!$P20)</f>
        <v>0</v>
      </c>
      <c r="AZ20" s="331">
        <f>IF('Input Data Sheet'!$P20=0,0,'Input Data Sheet'!AQ20/'Input Data Sheet'!$P20)</f>
        <v>0</v>
      </c>
      <c r="BA20" s="331">
        <f>IF('Input Data Sheet'!$P20=0,0,'Input Data Sheet'!AR20/'Input Data Sheet'!$P20)</f>
        <v>0</v>
      </c>
      <c r="BB20" s="331">
        <f>IF('Input Data Sheet'!$P20=0,0,'Input Data Sheet'!AS20/'Input Data Sheet'!$P20)</f>
        <v>0</v>
      </c>
      <c r="BC20" s="331">
        <f>IF('Input Data Sheet'!$P20=0,0,'Input Data Sheet'!AT20/'Input Data Sheet'!$P20)</f>
        <v>0</v>
      </c>
      <c r="BD20" s="331">
        <f>IF('Input Data Sheet'!$P20=0,0,'Input Data Sheet'!AU20/'Input Data Sheet'!$P20)</f>
        <v>0</v>
      </c>
      <c r="BE20" s="331">
        <f>IF('Input Data Sheet'!$P20=0,0,'Input Data Sheet'!AV20/'Input Data Sheet'!$P20)</f>
        <v>0</v>
      </c>
      <c r="BF20" s="332">
        <f>IF('Input Data Sheet'!$P20=0,0,'Input Data Sheet'!AW20/'Input Data Sheet'!$P20)</f>
        <v>0</v>
      </c>
      <c r="BG20" s="328">
        <f t="shared" si="11"/>
        <v>1</v>
      </c>
    </row>
    <row r="21" spans="1:59" ht="12.75" x14ac:dyDescent="0.2">
      <c r="A21" s="409" t="str">
        <f>'Input Data Sheet'!B21</f>
        <v>ND1206-1</v>
      </c>
      <c r="B21" s="314" t="str">
        <f>'Input Data Sheet'!C21</f>
        <v>Information Technology desktop program</v>
      </c>
      <c r="C21" s="314" t="str">
        <f>'Input Data Sheet'!D21</f>
        <v>Information Technology</v>
      </c>
      <c r="D21" s="333" t="str">
        <f>'Input Data Sheet'!E21</f>
        <v>2018/19</v>
      </c>
      <c r="E21" s="333">
        <f>'Input Data Sheet'!F21</f>
        <v>18</v>
      </c>
      <c r="F21" s="315"/>
      <c r="G21" s="315"/>
      <c r="H21" s="316">
        <f>'Input Data Sheet'!J21</f>
        <v>1</v>
      </c>
      <c r="I21" s="316"/>
      <c r="J21" s="316">
        <f>'Input Data Sheet'!K21</f>
        <v>0</v>
      </c>
      <c r="K21" s="496"/>
      <c r="L21" s="496"/>
      <c r="M21" s="496"/>
      <c r="N21" s="316"/>
      <c r="O21" s="287">
        <f t="shared" si="9"/>
        <v>382843.2</v>
      </c>
      <c r="P21" s="320">
        <f>'Input Data Sheet'!Q21</f>
        <v>0</v>
      </c>
      <c r="Q21" s="287">
        <f>'Input Data Sheet'!R21</f>
        <v>0</v>
      </c>
      <c r="R21" s="341">
        <f>'Input Data Sheet'!S21</f>
        <v>71731.360000000015</v>
      </c>
      <c r="S21" s="341">
        <f>'Input Data Sheet'!T21</f>
        <v>91511.840000000011</v>
      </c>
      <c r="T21" s="341">
        <f>'Input Data Sheet'!U21</f>
        <v>74100</v>
      </c>
      <c r="U21" s="341">
        <f>'Input Data Sheet'!V21</f>
        <v>86096.319999999992</v>
      </c>
      <c r="V21" s="341">
        <f>'Input Data Sheet'!W21</f>
        <v>59403.680000000008</v>
      </c>
      <c r="W21" s="287">
        <f>'Input Data Sheet'!X21</f>
        <v>0</v>
      </c>
      <c r="X21" s="321">
        <f>'Input Data Sheet'!Y21</f>
        <v>0</v>
      </c>
      <c r="Y21" s="287">
        <f t="shared" si="10"/>
        <v>0</v>
      </c>
      <c r="Z21" s="287">
        <f t="shared" si="1"/>
        <v>0</v>
      </c>
      <c r="AA21" s="341">
        <f t="shared" si="2"/>
        <v>71731.360000000015</v>
      </c>
      <c r="AB21" s="341">
        <f t="shared" si="3"/>
        <v>91511.840000000011</v>
      </c>
      <c r="AC21" s="341">
        <f t="shared" si="4"/>
        <v>74100</v>
      </c>
      <c r="AD21" s="341">
        <f t="shared" si="5"/>
        <v>86096.319999999992</v>
      </c>
      <c r="AE21" s="341">
        <f t="shared" si="6"/>
        <v>59403.680000000008</v>
      </c>
      <c r="AF21" s="287">
        <f t="shared" si="7"/>
        <v>0</v>
      </c>
      <c r="AG21" s="287">
        <f t="shared" si="8"/>
        <v>0</v>
      </c>
      <c r="AH21" s="322">
        <f>IF($H21,0,IFERROR(IF(VALUE(LEFT(D21,4))&gt;VALUE(LEFT(Parameters!$B$66,4))+1,O21-SUM(R21:X21),0),0))</f>
        <v>0</v>
      </c>
      <c r="AI21" s="330">
        <f>IF('Input Data Sheet'!$P21=0,0,'Input Data Sheet'!Z21/'Input Data Sheet'!$P21)</f>
        <v>0</v>
      </c>
      <c r="AJ21" s="331">
        <f>IF('Input Data Sheet'!$P21=0,0,'Input Data Sheet'!AA21/'Input Data Sheet'!$P21)</f>
        <v>0</v>
      </c>
      <c r="AK21" s="331">
        <f>IF('Input Data Sheet'!$P21=0,0,'Input Data Sheet'!AB21/'Input Data Sheet'!$P21)</f>
        <v>0</v>
      </c>
      <c r="AL21" s="331">
        <f>IF('Input Data Sheet'!$P21=0,0,'Input Data Sheet'!AC21/'Input Data Sheet'!$P21)</f>
        <v>0</v>
      </c>
      <c r="AM21" s="331">
        <f>IF('Input Data Sheet'!$P21=0,0,'Input Data Sheet'!AD21/'Input Data Sheet'!$P21)</f>
        <v>0</v>
      </c>
      <c r="AN21" s="331">
        <f>IF('Input Data Sheet'!$P21=0,0,'Input Data Sheet'!AE21/'Input Data Sheet'!$P21)</f>
        <v>0</v>
      </c>
      <c r="AO21" s="331">
        <f>IF('Input Data Sheet'!$P21=0,0,'Input Data Sheet'!AF21/'Input Data Sheet'!$P21)</f>
        <v>0</v>
      </c>
      <c r="AP21" s="331">
        <f>IF('Input Data Sheet'!$P21=0,0,'Input Data Sheet'!AG21/'Input Data Sheet'!$P21)</f>
        <v>0</v>
      </c>
      <c r="AQ21" s="331">
        <f>IF('Input Data Sheet'!$P21=0,0,'Input Data Sheet'!AH21/'Input Data Sheet'!$P21)</f>
        <v>0</v>
      </c>
      <c r="AR21" s="331">
        <f>IF('Input Data Sheet'!$P21=0,0,'Input Data Sheet'!AI21/'Input Data Sheet'!$P21)</f>
        <v>0</v>
      </c>
      <c r="AS21" s="331">
        <f>IF('Input Data Sheet'!$P21=0,0,'Input Data Sheet'!AJ21/'Input Data Sheet'!$P21)</f>
        <v>0</v>
      </c>
      <c r="AT21" s="331">
        <f>IF('Input Data Sheet'!$P21=0,0,'Input Data Sheet'!AK21/'Input Data Sheet'!$P21)</f>
        <v>0</v>
      </c>
      <c r="AU21" s="331">
        <f>IF('Input Data Sheet'!$P21=0,0,'Input Data Sheet'!AL21/'Input Data Sheet'!$P21)</f>
        <v>1</v>
      </c>
      <c r="AV21" s="331">
        <f>IF('Input Data Sheet'!$P21=0,0,'Input Data Sheet'!AM21/'Input Data Sheet'!$P21)</f>
        <v>0</v>
      </c>
      <c r="AW21" s="331">
        <f>IF('Input Data Sheet'!$P21=0,0,'Input Data Sheet'!AN21/'Input Data Sheet'!$P21)</f>
        <v>0</v>
      </c>
      <c r="AX21" s="331">
        <f>IF('Input Data Sheet'!$P21=0,0,'Input Data Sheet'!AO21/'Input Data Sheet'!$P21)</f>
        <v>0</v>
      </c>
      <c r="AY21" s="331">
        <f>IF('Input Data Sheet'!$P21=0,0,'Input Data Sheet'!AP21/'Input Data Sheet'!$P21)</f>
        <v>0</v>
      </c>
      <c r="AZ21" s="331">
        <f>IF('Input Data Sheet'!$P21=0,0,'Input Data Sheet'!AQ21/'Input Data Sheet'!$P21)</f>
        <v>0</v>
      </c>
      <c r="BA21" s="331">
        <f>IF('Input Data Sheet'!$P21=0,0,'Input Data Sheet'!AR21/'Input Data Sheet'!$P21)</f>
        <v>0</v>
      </c>
      <c r="BB21" s="331">
        <f>IF('Input Data Sheet'!$P21=0,0,'Input Data Sheet'!AS21/'Input Data Sheet'!$P21)</f>
        <v>0</v>
      </c>
      <c r="BC21" s="331">
        <f>IF('Input Data Sheet'!$P21=0,0,'Input Data Sheet'!AT21/'Input Data Sheet'!$P21)</f>
        <v>0</v>
      </c>
      <c r="BD21" s="331">
        <f>IF('Input Data Sheet'!$P21=0,0,'Input Data Sheet'!AU21/'Input Data Sheet'!$P21)</f>
        <v>0</v>
      </c>
      <c r="BE21" s="331">
        <f>IF('Input Data Sheet'!$P21=0,0,'Input Data Sheet'!AV21/'Input Data Sheet'!$P21)</f>
        <v>0</v>
      </c>
      <c r="BF21" s="332">
        <f>IF('Input Data Sheet'!$P21=0,0,'Input Data Sheet'!AW21/'Input Data Sheet'!$P21)</f>
        <v>0</v>
      </c>
      <c r="BG21" s="328">
        <f t="shared" si="11"/>
        <v>1</v>
      </c>
    </row>
    <row r="22" spans="1:59" ht="12.75" x14ac:dyDescent="0.2">
      <c r="A22" s="409" t="str">
        <f>'Input Data Sheet'!B22</f>
        <v>ND1206-2</v>
      </c>
      <c r="B22" s="314" t="str">
        <f>'Input Data Sheet'!C22</f>
        <v>Information Technology desktop program</v>
      </c>
      <c r="C22" s="314" t="str">
        <f>'Input Data Sheet'!D22</f>
        <v>Operational Support Systems</v>
      </c>
      <c r="D22" s="333" t="str">
        <f>'Input Data Sheet'!E22</f>
        <v>2018/19</v>
      </c>
      <c r="E22" s="333">
        <f>'Input Data Sheet'!F22</f>
        <v>18</v>
      </c>
      <c r="F22" s="315"/>
      <c r="G22" s="315"/>
      <c r="H22" s="316">
        <f>'Input Data Sheet'!J22</f>
        <v>1</v>
      </c>
      <c r="I22" s="316"/>
      <c r="J22" s="316">
        <f>'Input Data Sheet'!K22</f>
        <v>0</v>
      </c>
      <c r="K22" s="496"/>
      <c r="L22" s="496"/>
      <c r="M22" s="496"/>
      <c r="N22" s="316"/>
      <c r="O22" s="287">
        <f t="shared" si="9"/>
        <v>2009926.8</v>
      </c>
      <c r="P22" s="320">
        <f>'Input Data Sheet'!Q22</f>
        <v>0</v>
      </c>
      <c r="Q22" s="287">
        <f>'Input Data Sheet'!R22</f>
        <v>0</v>
      </c>
      <c r="R22" s="341">
        <f>'Input Data Sheet'!S22</f>
        <v>376589.64</v>
      </c>
      <c r="S22" s="341">
        <f>'Input Data Sheet'!T22</f>
        <v>480437.16000000003</v>
      </c>
      <c r="T22" s="341">
        <f>'Input Data Sheet'!U22</f>
        <v>389025</v>
      </c>
      <c r="U22" s="341">
        <f>'Input Data Sheet'!V22</f>
        <v>452005.68</v>
      </c>
      <c r="V22" s="341">
        <f>'Input Data Sheet'!W22</f>
        <v>311869.32</v>
      </c>
      <c r="W22" s="287">
        <f>'Input Data Sheet'!X22</f>
        <v>0</v>
      </c>
      <c r="X22" s="321">
        <f>'Input Data Sheet'!Y22</f>
        <v>0</v>
      </c>
      <c r="Y22" s="287">
        <f t="shared" si="10"/>
        <v>0</v>
      </c>
      <c r="Z22" s="287">
        <f t="shared" si="1"/>
        <v>0</v>
      </c>
      <c r="AA22" s="341">
        <f t="shared" si="2"/>
        <v>376589.64</v>
      </c>
      <c r="AB22" s="341">
        <f t="shared" si="3"/>
        <v>480437.16000000003</v>
      </c>
      <c r="AC22" s="341">
        <f t="shared" si="4"/>
        <v>389025</v>
      </c>
      <c r="AD22" s="341">
        <f t="shared" si="5"/>
        <v>452005.68</v>
      </c>
      <c r="AE22" s="341">
        <f t="shared" si="6"/>
        <v>311869.32</v>
      </c>
      <c r="AF22" s="287">
        <f t="shared" si="7"/>
        <v>0</v>
      </c>
      <c r="AG22" s="287">
        <f t="shared" si="8"/>
        <v>0</v>
      </c>
      <c r="AH22" s="322">
        <f>IF($H22,0,IFERROR(IF(VALUE(LEFT(D22,4))&gt;VALUE(LEFT(Parameters!$B$66,4))+1,O22-SUM(R22:X22),0),0))</f>
        <v>0</v>
      </c>
      <c r="AI22" s="330">
        <f>IF('Input Data Sheet'!$P22=0,0,'Input Data Sheet'!Z22/'Input Data Sheet'!$P22)</f>
        <v>0</v>
      </c>
      <c r="AJ22" s="331">
        <f>IF('Input Data Sheet'!$P22=0,0,'Input Data Sheet'!AA22/'Input Data Sheet'!$P22)</f>
        <v>0</v>
      </c>
      <c r="AK22" s="331">
        <f>IF('Input Data Sheet'!$P22=0,0,'Input Data Sheet'!AB22/'Input Data Sheet'!$P22)</f>
        <v>0</v>
      </c>
      <c r="AL22" s="331">
        <f>IF('Input Data Sheet'!$P22=0,0,'Input Data Sheet'!AC22/'Input Data Sheet'!$P22)</f>
        <v>0</v>
      </c>
      <c r="AM22" s="331">
        <f>IF('Input Data Sheet'!$P22=0,0,'Input Data Sheet'!AD22/'Input Data Sheet'!$P22)</f>
        <v>0</v>
      </c>
      <c r="AN22" s="331">
        <f>IF('Input Data Sheet'!$P22=0,0,'Input Data Sheet'!AE22/'Input Data Sheet'!$P22)</f>
        <v>0</v>
      </c>
      <c r="AO22" s="331">
        <f>IF('Input Data Sheet'!$P22=0,0,'Input Data Sheet'!AF22/'Input Data Sheet'!$P22)</f>
        <v>0</v>
      </c>
      <c r="AP22" s="331">
        <f>IF('Input Data Sheet'!$P22=0,0,'Input Data Sheet'!AG22/'Input Data Sheet'!$P22)</f>
        <v>0</v>
      </c>
      <c r="AQ22" s="331">
        <f>IF('Input Data Sheet'!$P22=0,0,'Input Data Sheet'!AH22/'Input Data Sheet'!$P22)</f>
        <v>0</v>
      </c>
      <c r="AR22" s="331">
        <f>IF('Input Data Sheet'!$P22=0,0,'Input Data Sheet'!AI22/'Input Data Sheet'!$P22)</f>
        <v>0</v>
      </c>
      <c r="AS22" s="331">
        <f>IF('Input Data Sheet'!$P22=0,0,'Input Data Sheet'!AJ22/'Input Data Sheet'!$P22)</f>
        <v>0</v>
      </c>
      <c r="AT22" s="331">
        <f>IF('Input Data Sheet'!$P22=0,0,'Input Data Sheet'!AK22/'Input Data Sheet'!$P22)</f>
        <v>0</v>
      </c>
      <c r="AU22" s="331">
        <f>IF('Input Data Sheet'!$P22=0,0,'Input Data Sheet'!AL22/'Input Data Sheet'!$P22)</f>
        <v>1</v>
      </c>
      <c r="AV22" s="331">
        <f>IF('Input Data Sheet'!$P22=0,0,'Input Data Sheet'!AM22/'Input Data Sheet'!$P22)</f>
        <v>0</v>
      </c>
      <c r="AW22" s="331">
        <f>IF('Input Data Sheet'!$P22=0,0,'Input Data Sheet'!AN22/'Input Data Sheet'!$P22)</f>
        <v>0</v>
      </c>
      <c r="AX22" s="331">
        <f>IF('Input Data Sheet'!$P22=0,0,'Input Data Sheet'!AO22/'Input Data Sheet'!$P22)</f>
        <v>0</v>
      </c>
      <c r="AY22" s="331">
        <f>IF('Input Data Sheet'!$P22=0,0,'Input Data Sheet'!AP22/'Input Data Sheet'!$P22)</f>
        <v>0</v>
      </c>
      <c r="AZ22" s="331">
        <f>IF('Input Data Sheet'!$P22=0,0,'Input Data Sheet'!AQ22/'Input Data Sheet'!$P22)</f>
        <v>0</v>
      </c>
      <c r="BA22" s="331">
        <f>IF('Input Data Sheet'!$P22=0,0,'Input Data Sheet'!AR22/'Input Data Sheet'!$P22)</f>
        <v>0</v>
      </c>
      <c r="BB22" s="331">
        <f>IF('Input Data Sheet'!$P22=0,0,'Input Data Sheet'!AS22/'Input Data Sheet'!$P22)</f>
        <v>0</v>
      </c>
      <c r="BC22" s="331">
        <f>IF('Input Data Sheet'!$P22=0,0,'Input Data Sheet'!AT22/'Input Data Sheet'!$P22)</f>
        <v>0</v>
      </c>
      <c r="BD22" s="331">
        <f>IF('Input Data Sheet'!$P22=0,0,'Input Data Sheet'!AU22/'Input Data Sheet'!$P22)</f>
        <v>0</v>
      </c>
      <c r="BE22" s="331">
        <f>IF('Input Data Sheet'!$P22=0,0,'Input Data Sheet'!AV22/'Input Data Sheet'!$P22)</f>
        <v>0</v>
      </c>
      <c r="BF22" s="332">
        <f>IF('Input Data Sheet'!$P22=0,0,'Input Data Sheet'!AW22/'Input Data Sheet'!$P22)</f>
        <v>0</v>
      </c>
      <c r="BG22" s="328">
        <f t="shared" si="11"/>
        <v>1</v>
      </c>
    </row>
    <row r="23" spans="1:59" ht="12.75" x14ac:dyDescent="0.2">
      <c r="A23" s="409" t="str">
        <f>'Input Data Sheet'!B23</f>
        <v>ND1207-1</v>
      </c>
      <c r="B23" s="314" t="str">
        <f>'Input Data Sheet'!C23</f>
        <v>Information Technology infrastructure program</v>
      </c>
      <c r="C23" s="314" t="str">
        <f>'Input Data Sheet'!D23</f>
        <v>Information Technology</v>
      </c>
      <c r="D23" s="333" t="str">
        <f>'Input Data Sheet'!E23</f>
        <v>2018/19</v>
      </c>
      <c r="E23" s="333">
        <f>'Input Data Sheet'!F23</f>
        <v>18</v>
      </c>
      <c r="F23" s="315"/>
      <c r="G23" s="315"/>
      <c r="H23" s="316">
        <f>'Input Data Sheet'!J23</f>
        <v>1</v>
      </c>
      <c r="I23" s="316"/>
      <c r="J23" s="316">
        <f>'Input Data Sheet'!K23</f>
        <v>0</v>
      </c>
      <c r="K23" s="496"/>
      <c r="L23" s="496"/>
      <c r="M23" s="496"/>
      <c r="N23" s="316"/>
      <c r="O23" s="287">
        <f t="shared" si="9"/>
        <v>814005.76000000001</v>
      </c>
      <c r="P23" s="320">
        <f>'Input Data Sheet'!Q23</f>
        <v>0</v>
      </c>
      <c r="Q23" s="287">
        <f>'Input Data Sheet'!R23</f>
        <v>0</v>
      </c>
      <c r="R23" s="341">
        <f>'Input Data Sheet'!S23</f>
        <v>85188.319999999992</v>
      </c>
      <c r="S23" s="341">
        <f>'Input Data Sheet'!T23</f>
        <v>429633.12000000005</v>
      </c>
      <c r="T23" s="341">
        <f>'Input Data Sheet'!U23</f>
        <v>188550.72</v>
      </c>
      <c r="U23" s="341">
        <f>'Input Data Sheet'!V23</f>
        <v>50618.080000000002</v>
      </c>
      <c r="V23" s="341">
        <f>'Input Data Sheet'!W23</f>
        <v>60015.520000000004</v>
      </c>
      <c r="W23" s="287">
        <f>'Input Data Sheet'!X23</f>
        <v>0</v>
      </c>
      <c r="X23" s="321">
        <f>'Input Data Sheet'!Y23</f>
        <v>0</v>
      </c>
      <c r="Y23" s="287">
        <f t="shared" si="10"/>
        <v>0</v>
      </c>
      <c r="Z23" s="287">
        <f t="shared" si="1"/>
        <v>0</v>
      </c>
      <c r="AA23" s="341">
        <f t="shared" si="2"/>
        <v>85188.319999999992</v>
      </c>
      <c r="AB23" s="341">
        <f t="shared" si="3"/>
        <v>429633.12000000005</v>
      </c>
      <c r="AC23" s="341">
        <f t="shared" si="4"/>
        <v>188550.72</v>
      </c>
      <c r="AD23" s="341">
        <f t="shared" si="5"/>
        <v>50618.080000000002</v>
      </c>
      <c r="AE23" s="341">
        <f t="shared" si="6"/>
        <v>60015.520000000004</v>
      </c>
      <c r="AF23" s="287">
        <f t="shared" si="7"/>
        <v>0</v>
      </c>
      <c r="AG23" s="287">
        <f t="shared" si="8"/>
        <v>0</v>
      </c>
      <c r="AH23" s="322">
        <f>IF($H23,0,IFERROR(IF(VALUE(LEFT(D23,4))&gt;VALUE(LEFT(Parameters!$B$66,4))+1,O23-SUM(R23:X23),0),0))</f>
        <v>0</v>
      </c>
      <c r="AI23" s="330">
        <f>IF('Input Data Sheet'!$P23=0,0,'Input Data Sheet'!Z23/'Input Data Sheet'!$P23)</f>
        <v>0</v>
      </c>
      <c r="AJ23" s="331">
        <f>IF('Input Data Sheet'!$P23=0,0,'Input Data Sheet'!AA23/'Input Data Sheet'!$P23)</f>
        <v>0</v>
      </c>
      <c r="AK23" s="331">
        <f>IF('Input Data Sheet'!$P23=0,0,'Input Data Sheet'!AB23/'Input Data Sheet'!$P23)</f>
        <v>0</v>
      </c>
      <c r="AL23" s="331">
        <f>IF('Input Data Sheet'!$P23=0,0,'Input Data Sheet'!AC23/'Input Data Sheet'!$P23)</f>
        <v>0</v>
      </c>
      <c r="AM23" s="331">
        <f>IF('Input Data Sheet'!$P23=0,0,'Input Data Sheet'!AD23/'Input Data Sheet'!$P23)</f>
        <v>0</v>
      </c>
      <c r="AN23" s="331">
        <f>IF('Input Data Sheet'!$P23=0,0,'Input Data Sheet'!AE23/'Input Data Sheet'!$P23)</f>
        <v>0</v>
      </c>
      <c r="AO23" s="331">
        <f>IF('Input Data Sheet'!$P23=0,0,'Input Data Sheet'!AF23/'Input Data Sheet'!$P23)</f>
        <v>0</v>
      </c>
      <c r="AP23" s="331">
        <f>IF('Input Data Sheet'!$P23=0,0,'Input Data Sheet'!AG23/'Input Data Sheet'!$P23)</f>
        <v>0</v>
      </c>
      <c r="AQ23" s="331">
        <f>IF('Input Data Sheet'!$P23=0,0,'Input Data Sheet'!AH23/'Input Data Sheet'!$P23)</f>
        <v>0</v>
      </c>
      <c r="AR23" s="331">
        <f>IF('Input Data Sheet'!$P23=0,0,'Input Data Sheet'!AI23/'Input Data Sheet'!$P23)</f>
        <v>0</v>
      </c>
      <c r="AS23" s="331">
        <f>IF('Input Data Sheet'!$P23=0,0,'Input Data Sheet'!AJ23/'Input Data Sheet'!$P23)</f>
        <v>0</v>
      </c>
      <c r="AT23" s="331">
        <f>IF('Input Data Sheet'!$P23=0,0,'Input Data Sheet'!AK23/'Input Data Sheet'!$P23)</f>
        <v>0</v>
      </c>
      <c r="AU23" s="331">
        <f>IF('Input Data Sheet'!$P23=0,0,'Input Data Sheet'!AL23/'Input Data Sheet'!$P23)</f>
        <v>1</v>
      </c>
      <c r="AV23" s="331">
        <f>IF('Input Data Sheet'!$P23=0,0,'Input Data Sheet'!AM23/'Input Data Sheet'!$P23)</f>
        <v>0</v>
      </c>
      <c r="AW23" s="331">
        <f>IF('Input Data Sheet'!$P23=0,0,'Input Data Sheet'!AN23/'Input Data Sheet'!$P23)</f>
        <v>0</v>
      </c>
      <c r="AX23" s="331">
        <f>IF('Input Data Sheet'!$P23=0,0,'Input Data Sheet'!AO23/'Input Data Sheet'!$P23)</f>
        <v>0</v>
      </c>
      <c r="AY23" s="331">
        <f>IF('Input Data Sheet'!$P23=0,0,'Input Data Sheet'!AP23/'Input Data Sheet'!$P23)</f>
        <v>0</v>
      </c>
      <c r="AZ23" s="331">
        <f>IF('Input Data Sheet'!$P23=0,0,'Input Data Sheet'!AQ23/'Input Data Sheet'!$P23)</f>
        <v>0</v>
      </c>
      <c r="BA23" s="331">
        <f>IF('Input Data Sheet'!$P23=0,0,'Input Data Sheet'!AR23/'Input Data Sheet'!$P23)</f>
        <v>0</v>
      </c>
      <c r="BB23" s="331">
        <f>IF('Input Data Sheet'!$P23=0,0,'Input Data Sheet'!AS23/'Input Data Sheet'!$P23)</f>
        <v>0</v>
      </c>
      <c r="BC23" s="331">
        <f>IF('Input Data Sheet'!$P23=0,0,'Input Data Sheet'!AT23/'Input Data Sheet'!$P23)</f>
        <v>0</v>
      </c>
      <c r="BD23" s="331">
        <f>IF('Input Data Sheet'!$P23=0,0,'Input Data Sheet'!AU23/'Input Data Sheet'!$P23)</f>
        <v>0</v>
      </c>
      <c r="BE23" s="331">
        <f>IF('Input Data Sheet'!$P23=0,0,'Input Data Sheet'!AV23/'Input Data Sheet'!$P23)</f>
        <v>0</v>
      </c>
      <c r="BF23" s="332">
        <f>IF('Input Data Sheet'!$P23=0,0,'Input Data Sheet'!AW23/'Input Data Sheet'!$P23)</f>
        <v>0</v>
      </c>
      <c r="BG23" s="328">
        <f t="shared" si="11"/>
        <v>1</v>
      </c>
    </row>
    <row r="24" spans="1:59" ht="12.75" x14ac:dyDescent="0.2">
      <c r="A24" s="409" t="str">
        <f>'Input Data Sheet'!B24</f>
        <v>ND1207-2</v>
      </c>
      <c r="B24" s="314" t="str">
        <f>'Input Data Sheet'!C24</f>
        <v>Information Technology infrastructure program</v>
      </c>
      <c r="C24" s="314" t="str">
        <f>'Input Data Sheet'!D24</f>
        <v>Operational Support Systems</v>
      </c>
      <c r="D24" s="333" t="str">
        <f>'Input Data Sheet'!E24</f>
        <v>2018/19</v>
      </c>
      <c r="E24" s="333">
        <f>'Input Data Sheet'!F24</f>
        <v>18</v>
      </c>
      <c r="F24" s="315"/>
      <c r="G24" s="315"/>
      <c r="H24" s="316">
        <f>'Input Data Sheet'!J24</f>
        <v>1</v>
      </c>
      <c r="I24" s="316"/>
      <c r="J24" s="316">
        <f>'Input Data Sheet'!K24</f>
        <v>0</v>
      </c>
      <c r="K24" s="496"/>
      <c r="L24" s="496"/>
      <c r="M24" s="496"/>
      <c r="N24" s="316"/>
      <c r="O24" s="287">
        <f t="shared" si="9"/>
        <v>4273530.2399999993</v>
      </c>
      <c r="P24" s="320">
        <f>'Input Data Sheet'!Q24</f>
        <v>0</v>
      </c>
      <c r="Q24" s="287">
        <f>'Input Data Sheet'!R24</f>
        <v>0</v>
      </c>
      <c r="R24" s="341">
        <f>'Input Data Sheet'!S24</f>
        <v>447238.67999999993</v>
      </c>
      <c r="S24" s="341">
        <f>'Input Data Sheet'!T24</f>
        <v>2255573.88</v>
      </c>
      <c r="T24" s="341">
        <f>'Input Data Sheet'!U24</f>
        <v>989891.27999999991</v>
      </c>
      <c r="U24" s="341">
        <f>'Input Data Sheet'!V24</f>
        <v>265744.92</v>
      </c>
      <c r="V24" s="341">
        <f>'Input Data Sheet'!W24</f>
        <v>315081.48000000004</v>
      </c>
      <c r="W24" s="287">
        <f>'Input Data Sheet'!X24</f>
        <v>0</v>
      </c>
      <c r="X24" s="321">
        <f>'Input Data Sheet'!Y24</f>
        <v>0</v>
      </c>
      <c r="Y24" s="287">
        <f t="shared" si="10"/>
        <v>0</v>
      </c>
      <c r="Z24" s="287">
        <f t="shared" si="1"/>
        <v>0</v>
      </c>
      <c r="AA24" s="341">
        <f t="shared" si="2"/>
        <v>447238.67999999993</v>
      </c>
      <c r="AB24" s="341">
        <f t="shared" si="3"/>
        <v>2255573.88</v>
      </c>
      <c r="AC24" s="341">
        <f t="shared" si="4"/>
        <v>989891.27999999991</v>
      </c>
      <c r="AD24" s="341">
        <f t="shared" si="5"/>
        <v>265744.92</v>
      </c>
      <c r="AE24" s="341">
        <f t="shared" si="6"/>
        <v>315081.48000000004</v>
      </c>
      <c r="AF24" s="287">
        <f t="shared" si="7"/>
        <v>0</v>
      </c>
      <c r="AG24" s="287">
        <f t="shared" si="8"/>
        <v>0</v>
      </c>
      <c r="AH24" s="322">
        <f>IF($H24,0,IFERROR(IF(VALUE(LEFT(D24,4))&gt;VALUE(LEFT(Parameters!$B$66,4))+1,O24-SUM(R24:X24),0),0))</f>
        <v>0</v>
      </c>
      <c r="AI24" s="330">
        <f>IF('Input Data Sheet'!$P24=0,0,'Input Data Sheet'!Z24/'Input Data Sheet'!$P24)</f>
        <v>0</v>
      </c>
      <c r="AJ24" s="331">
        <f>IF('Input Data Sheet'!$P24=0,0,'Input Data Sheet'!AA24/'Input Data Sheet'!$P24)</f>
        <v>0</v>
      </c>
      <c r="AK24" s="331">
        <f>IF('Input Data Sheet'!$P24=0,0,'Input Data Sheet'!AB24/'Input Data Sheet'!$P24)</f>
        <v>0</v>
      </c>
      <c r="AL24" s="331">
        <f>IF('Input Data Sheet'!$P24=0,0,'Input Data Sheet'!AC24/'Input Data Sheet'!$P24)</f>
        <v>0</v>
      </c>
      <c r="AM24" s="331">
        <f>IF('Input Data Sheet'!$P24=0,0,'Input Data Sheet'!AD24/'Input Data Sheet'!$P24)</f>
        <v>0</v>
      </c>
      <c r="AN24" s="331">
        <f>IF('Input Data Sheet'!$P24=0,0,'Input Data Sheet'!AE24/'Input Data Sheet'!$P24)</f>
        <v>0</v>
      </c>
      <c r="AO24" s="331">
        <f>IF('Input Data Sheet'!$P24=0,0,'Input Data Sheet'!AF24/'Input Data Sheet'!$P24)</f>
        <v>0</v>
      </c>
      <c r="AP24" s="331">
        <f>IF('Input Data Sheet'!$P24=0,0,'Input Data Sheet'!AG24/'Input Data Sheet'!$P24)</f>
        <v>0</v>
      </c>
      <c r="AQ24" s="331">
        <f>IF('Input Data Sheet'!$P24=0,0,'Input Data Sheet'!AH24/'Input Data Sheet'!$P24)</f>
        <v>0</v>
      </c>
      <c r="AR24" s="331">
        <f>IF('Input Data Sheet'!$P24=0,0,'Input Data Sheet'!AI24/'Input Data Sheet'!$P24)</f>
        <v>0</v>
      </c>
      <c r="AS24" s="331">
        <f>IF('Input Data Sheet'!$P24=0,0,'Input Data Sheet'!AJ24/'Input Data Sheet'!$P24)</f>
        <v>0</v>
      </c>
      <c r="AT24" s="331">
        <f>IF('Input Data Sheet'!$P24=0,0,'Input Data Sheet'!AK24/'Input Data Sheet'!$P24)</f>
        <v>0</v>
      </c>
      <c r="AU24" s="331">
        <f>IF('Input Data Sheet'!$P24=0,0,'Input Data Sheet'!AL24/'Input Data Sheet'!$P24)</f>
        <v>1</v>
      </c>
      <c r="AV24" s="331">
        <f>IF('Input Data Sheet'!$P24=0,0,'Input Data Sheet'!AM24/'Input Data Sheet'!$P24)</f>
        <v>0</v>
      </c>
      <c r="AW24" s="331">
        <f>IF('Input Data Sheet'!$P24=0,0,'Input Data Sheet'!AN24/'Input Data Sheet'!$P24)</f>
        <v>0</v>
      </c>
      <c r="AX24" s="331">
        <f>IF('Input Data Sheet'!$P24=0,0,'Input Data Sheet'!AO24/'Input Data Sheet'!$P24)</f>
        <v>0</v>
      </c>
      <c r="AY24" s="331">
        <f>IF('Input Data Sheet'!$P24=0,0,'Input Data Sheet'!AP24/'Input Data Sheet'!$P24)</f>
        <v>0</v>
      </c>
      <c r="AZ24" s="331">
        <f>IF('Input Data Sheet'!$P24=0,0,'Input Data Sheet'!AQ24/'Input Data Sheet'!$P24)</f>
        <v>0</v>
      </c>
      <c r="BA24" s="331">
        <f>IF('Input Data Sheet'!$P24=0,0,'Input Data Sheet'!AR24/'Input Data Sheet'!$P24)</f>
        <v>0</v>
      </c>
      <c r="BB24" s="331">
        <f>IF('Input Data Sheet'!$P24=0,0,'Input Data Sheet'!AS24/'Input Data Sheet'!$P24)</f>
        <v>0</v>
      </c>
      <c r="BC24" s="331">
        <f>IF('Input Data Sheet'!$P24=0,0,'Input Data Sheet'!AT24/'Input Data Sheet'!$P24)</f>
        <v>0</v>
      </c>
      <c r="BD24" s="331">
        <f>IF('Input Data Sheet'!$P24=0,0,'Input Data Sheet'!AU24/'Input Data Sheet'!$P24)</f>
        <v>0</v>
      </c>
      <c r="BE24" s="331">
        <f>IF('Input Data Sheet'!$P24=0,0,'Input Data Sheet'!AV24/'Input Data Sheet'!$P24)</f>
        <v>0</v>
      </c>
      <c r="BF24" s="332">
        <f>IF('Input Data Sheet'!$P24=0,0,'Input Data Sheet'!AW24/'Input Data Sheet'!$P24)</f>
        <v>0</v>
      </c>
      <c r="BG24" s="328">
        <f t="shared" si="11"/>
        <v>1</v>
      </c>
    </row>
    <row r="25" spans="1:59" ht="12.75" x14ac:dyDescent="0.2">
      <c r="A25" s="409" t="str">
        <f>'Input Data Sheet'!B25</f>
        <v>ND1260-1</v>
      </c>
      <c r="B25" s="314" t="str">
        <f>'Input Data Sheet'!C25</f>
        <v>Information Technology security system program</v>
      </c>
      <c r="C25" s="314" t="str">
        <f>'Input Data Sheet'!D25</f>
        <v>Information Technology</v>
      </c>
      <c r="D25" s="333" t="str">
        <f>'Input Data Sheet'!E25</f>
        <v>2018/19</v>
      </c>
      <c r="E25" s="333">
        <f>'Input Data Sheet'!F25</f>
        <v>18</v>
      </c>
      <c r="F25" s="315"/>
      <c r="G25" s="315"/>
      <c r="H25" s="316">
        <f>'Input Data Sheet'!J25</f>
        <v>1</v>
      </c>
      <c r="I25" s="316"/>
      <c r="J25" s="316">
        <f>'Input Data Sheet'!K25</f>
        <v>0</v>
      </c>
      <c r="K25" s="496"/>
      <c r="L25" s="496"/>
      <c r="M25" s="496"/>
      <c r="N25" s="316"/>
      <c r="O25" s="287">
        <f t="shared" si="9"/>
        <v>278148</v>
      </c>
      <c r="P25" s="320">
        <f>'Input Data Sheet'!Q25</f>
        <v>0</v>
      </c>
      <c r="Q25" s="287">
        <f>'Input Data Sheet'!R25</f>
        <v>0</v>
      </c>
      <c r="R25" s="341">
        <f>'Input Data Sheet'!S25</f>
        <v>75800.159999999989</v>
      </c>
      <c r="S25" s="341">
        <f>'Input Data Sheet'!T25</f>
        <v>27863.360000000001</v>
      </c>
      <c r="T25" s="341">
        <f>'Input Data Sheet'!U25</f>
        <v>100006.24</v>
      </c>
      <c r="U25" s="341">
        <f>'Input Data Sheet'!V25</f>
        <v>54784.160000000003</v>
      </c>
      <c r="V25" s="341">
        <f>'Input Data Sheet'!W25</f>
        <v>19694.079999999998</v>
      </c>
      <c r="W25" s="287">
        <f>'Input Data Sheet'!X25</f>
        <v>0</v>
      </c>
      <c r="X25" s="321">
        <f>'Input Data Sheet'!Y25</f>
        <v>0</v>
      </c>
      <c r="Y25" s="287">
        <f t="shared" si="10"/>
        <v>0</v>
      </c>
      <c r="Z25" s="287">
        <f t="shared" si="1"/>
        <v>0</v>
      </c>
      <c r="AA25" s="341">
        <f t="shared" si="2"/>
        <v>75800.159999999989</v>
      </c>
      <c r="AB25" s="341">
        <f t="shared" si="3"/>
        <v>27863.360000000001</v>
      </c>
      <c r="AC25" s="341">
        <f t="shared" si="4"/>
        <v>100006.24</v>
      </c>
      <c r="AD25" s="341">
        <f t="shared" si="5"/>
        <v>54784.160000000003</v>
      </c>
      <c r="AE25" s="341">
        <f t="shared" si="6"/>
        <v>19694.079999999998</v>
      </c>
      <c r="AF25" s="287">
        <f t="shared" si="7"/>
        <v>0</v>
      </c>
      <c r="AG25" s="287">
        <f t="shared" si="8"/>
        <v>0</v>
      </c>
      <c r="AH25" s="322">
        <f>IF($H25,0,IFERROR(IF(VALUE(LEFT(D25,4))&gt;VALUE(LEFT(Parameters!$B$66,4))+1,O25-SUM(R25:X25),0),0))</f>
        <v>0</v>
      </c>
      <c r="AI25" s="330">
        <f>IF('Input Data Sheet'!$P25=0,0,'Input Data Sheet'!Z25/'Input Data Sheet'!$P25)</f>
        <v>0</v>
      </c>
      <c r="AJ25" s="331">
        <f>IF('Input Data Sheet'!$P25=0,0,'Input Data Sheet'!AA25/'Input Data Sheet'!$P25)</f>
        <v>0</v>
      </c>
      <c r="AK25" s="331">
        <f>IF('Input Data Sheet'!$P25=0,0,'Input Data Sheet'!AB25/'Input Data Sheet'!$P25)</f>
        <v>0</v>
      </c>
      <c r="AL25" s="331">
        <f>IF('Input Data Sheet'!$P25=0,0,'Input Data Sheet'!AC25/'Input Data Sheet'!$P25)</f>
        <v>0</v>
      </c>
      <c r="AM25" s="331">
        <f>IF('Input Data Sheet'!$P25=0,0,'Input Data Sheet'!AD25/'Input Data Sheet'!$P25)</f>
        <v>0</v>
      </c>
      <c r="AN25" s="331">
        <f>IF('Input Data Sheet'!$P25=0,0,'Input Data Sheet'!AE25/'Input Data Sheet'!$P25)</f>
        <v>0</v>
      </c>
      <c r="AO25" s="331">
        <f>IF('Input Data Sheet'!$P25=0,0,'Input Data Sheet'!AF25/'Input Data Sheet'!$P25)</f>
        <v>0</v>
      </c>
      <c r="AP25" s="331">
        <f>IF('Input Data Sheet'!$P25=0,0,'Input Data Sheet'!AG25/'Input Data Sheet'!$P25)</f>
        <v>0</v>
      </c>
      <c r="AQ25" s="331">
        <f>IF('Input Data Sheet'!$P25=0,0,'Input Data Sheet'!AH25/'Input Data Sheet'!$P25)</f>
        <v>0</v>
      </c>
      <c r="AR25" s="331">
        <f>IF('Input Data Sheet'!$P25=0,0,'Input Data Sheet'!AI25/'Input Data Sheet'!$P25)</f>
        <v>0</v>
      </c>
      <c r="AS25" s="331">
        <f>IF('Input Data Sheet'!$P25=0,0,'Input Data Sheet'!AJ25/'Input Data Sheet'!$P25)</f>
        <v>0</v>
      </c>
      <c r="AT25" s="331">
        <f>IF('Input Data Sheet'!$P25=0,0,'Input Data Sheet'!AK25/'Input Data Sheet'!$P25)</f>
        <v>0</v>
      </c>
      <c r="AU25" s="331">
        <f>IF('Input Data Sheet'!$P25=0,0,'Input Data Sheet'!AL25/'Input Data Sheet'!$P25)</f>
        <v>1</v>
      </c>
      <c r="AV25" s="331">
        <f>IF('Input Data Sheet'!$P25=0,0,'Input Data Sheet'!AM25/'Input Data Sheet'!$P25)</f>
        <v>0</v>
      </c>
      <c r="AW25" s="331">
        <f>IF('Input Data Sheet'!$P25=0,0,'Input Data Sheet'!AN25/'Input Data Sheet'!$P25)</f>
        <v>0</v>
      </c>
      <c r="AX25" s="331">
        <f>IF('Input Data Sheet'!$P25=0,0,'Input Data Sheet'!AO25/'Input Data Sheet'!$P25)</f>
        <v>0</v>
      </c>
      <c r="AY25" s="331">
        <f>IF('Input Data Sheet'!$P25=0,0,'Input Data Sheet'!AP25/'Input Data Sheet'!$P25)</f>
        <v>0</v>
      </c>
      <c r="AZ25" s="331">
        <f>IF('Input Data Sheet'!$P25=0,0,'Input Data Sheet'!AQ25/'Input Data Sheet'!$P25)</f>
        <v>0</v>
      </c>
      <c r="BA25" s="331">
        <f>IF('Input Data Sheet'!$P25=0,0,'Input Data Sheet'!AR25/'Input Data Sheet'!$P25)</f>
        <v>0</v>
      </c>
      <c r="BB25" s="331">
        <f>IF('Input Data Sheet'!$P25=0,0,'Input Data Sheet'!AS25/'Input Data Sheet'!$P25)</f>
        <v>0</v>
      </c>
      <c r="BC25" s="331">
        <f>IF('Input Data Sheet'!$P25=0,0,'Input Data Sheet'!AT25/'Input Data Sheet'!$P25)</f>
        <v>0</v>
      </c>
      <c r="BD25" s="331">
        <f>IF('Input Data Sheet'!$P25=0,0,'Input Data Sheet'!AU25/'Input Data Sheet'!$P25)</f>
        <v>0</v>
      </c>
      <c r="BE25" s="331">
        <f>IF('Input Data Sheet'!$P25=0,0,'Input Data Sheet'!AV25/'Input Data Sheet'!$P25)</f>
        <v>0</v>
      </c>
      <c r="BF25" s="332">
        <f>IF('Input Data Sheet'!$P25=0,0,'Input Data Sheet'!AW25/'Input Data Sheet'!$P25)</f>
        <v>0</v>
      </c>
      <c r="BG25" s="328">
        <f t="shared" si="11"/>
        <v>1</v>
      </c>
    </row>
    <row r="26" spans="1:59" ht="12.75" x14ac:dyDescent="0.2">
      <c r="A26" s="409" t="str">
        <f>'Input Data Sheet'!B26</f>
        <v>ND1260-2</v>
      </c>
      <c r="B26" s="314" t="str">
        <f>'Input Data Sheet'!C26</f>
        <v>Information Technology security system program</v>
      </c>
      <c r="C26" s="314" t="str">
        <f>'Input Data Sheet'!D26</f>
        <v>Operational Support Systems</v>
      </c>
      <c r="D26" s="333" t="str">
        <f>'Input Data Sheet'!E26</f>
        <v>2018/19</v>
      </c>
      <c r="E26" s="333">
        <f>'Input Data Sheet'!F26</f>
        <v>18</v>
      </c>
      <c r="F26" s="315"/>
      <c r="G26" s="315"/>
      <c r="H26" s="316">
        <f>'Input Data Sheet'!J26</f>
        <v>1</v>
      </c>
      <c r="I26" s="316"/>
      <c r="J26" s="316">
        <f>'Input Data Sheet'!K26</f>
        <v>0</v>
      </c>
      <c r="K26" s="496"/>
      <c r="L26" s="496"/>
      <c r="M26" s="496"/>
      <c r="N26" s="316"/>
      <c r="O26" s="287">
        <f t="shared" si="9"/>
        <v>1460277</v>
      </c>
      <c r="P26" s="320">
        <f>'Input Data Sheet'!Q26</f>
        <v>0</v>
      </c>
      <c r="Q26" s="287">
        <f>'Input Data Sheet'!R26</f>
        <v>0</v>
      </c>
      <c r="R26" s="341">
        <f>'Input Data Sheet'!S26</f>
        <v>397950.83999999997</v>
      </c>
      <c r="S26" s="341">
        <f>'Input Data Sheet'!T26</f>
        <v>146282.63999999998</v>
      </c>
      <c r="T26" s="341">
        <f>'Input Data Sheet'!U26</f>
        <v>525032.76</v>
      </c>
      <c r="U26" s="341">
        <f>'Input Data Sheet'!V26</f>
        <v>287616.83999999997</v>
      </c>
      <c r="V26" s="341">
        <f>'Input Data Sheet'!W26</f>
        <v>103393.92</v>
      </c>
      <c r="W26" s="287">
        <f>'Input Data Sheet'!X26</f>
        <v>0</v>
      </c>
      <c r="X26" s="321">
        <f>'Input Data Sheet'!Y26</f>
        <v>0</v>
      </c>
      <c r="Y26" s="287">
        <f t="shared" si="10"/>
        <v>0</v>
      </c>
      <c r="Z26" s="287">
        <f t="shared" si="1"/>
        <v>0</v>
      </c>
      <c r="AA26" s="341">
        <f t="shared" si="2"/>
        <v>397950.83999999997</v>
      </c>
      <c r="AB26" s="341">
        <f t="shared" si="3"/>
        <v>146282.63999999998</v>
      </c>
      <c r="AC26" s="341">
        <f t="shared" si="4"/>
        <v>525032.76</v>
      </c>
      <c r="AD26" s="341">
        <f t="shared" si="5"/>
        <v>287616.83999999997</v>
      </c>
      <c r="AE26" s="341">
        <f t="shared" si="6"/>
        <v>103393.92</v>
      </c>
      <c r="AF26" s="287">
        <f t="shared" si="7"/>
        <v>0</v>
      </c>
      <c r="AG26" s="287">
        <f t="shared" si="8"/>
        <v>0</v>
      </c>
      <c r="AH26" s="322">
        <f>IF($H26,0,IFERROR(IF(VALUE(LEFT(D26,4))&gt;VALUE(LEFT(Parameters!$B$66,4))+1,O26-SUM(R26:X26),0),0))</f>
        <v>0</v>
      </c>
      <c r="AI26" s="330">
        <f>IF('Input Data Sheet'!$P26=0,0,'Input Data Sheet'!Z26/'Input Data Sheet'!$P26)</f>
        <v>0</v>
      </c>
      <c r="AJ26" s="331">
        <f>IF('Input Data Sheet'!$P26=0,0,'Input Data Sheet'!AA26/'Input Data Sheet'!$P26)</f>
        <v>0</v>
      </c>
      <c r="AK26" s="331">
        <f>IF('Input Data Sheet'!$P26=0,0,'Input Data Sheet'!AB26/'Input Data Sheet'!$P26)</f>
        <v>0</v>
      </c>
      <c r="AL26" s="331">
        <f>IF('Input Data Sheet'!$P26=0,0,'Input Data Sheet'!AC26/'Input Data Sheet'!$P26)</f>
        <v>0</v>
      </c>
      <c r="AM26" s="331">
        <f>IF('Input Data Sheet'!$P26=0,0,'Input Data Sheet'!AD26/'Input Data Sheet'!$P26)</f>
        <v>0</v>
      </c>
      <c r="AN26" s="331">
        <f>IF('Input Data Sheet'!$P26=0,0,'Input Data Sheet'!AE26/'Input Data Sheet'!$P26)</f>
        <v>0</v>
      </c>
      <c r="AO26" s="331">
        <f>IF('Input Data Sheet'!$P26=0,0,'Input Data Sheet'!AF26/'Input Data Sheet'!$P26)</f>
        <v>0</v>
      </c>
      <c r="AP26" s="331">
        <f>IF('Input Data Sheet'!$P26=0,0,'Input Data Sheet'!AG26/'Input Data Sheet'!$P26)</f>
        <v>0</v>
      </c>
      <c r="AQ26" s="331">
        <f>IF('Input Data Sheet'!$P26=0,0,'Input Data Sheet'!AH26/'Input Data Sheet'!$P26)</f>
        <v>0</v>
      </c>
      <c r="AR26" s="331">
        <f>IF('Input Data Sheet'!$P26=0,0,'Input Data Sheet'!AI26/'Input Data Sheet'!$P26)</f>
        <v>0</v>
      </c>
      <c r="AS26" s="331">
        <f>IF('Input Data Sheet'!$P26=0,0,'Input Data Sheet'!AJ26/'Input Data Sheet'!$P26)</f>
        <v>0</v>
      </c>
      <c r="AT26" s="331">
        <f>IF('Input Data Sheet'!$P26=0,0,'Input Data Sheet'!AK26/'Input Data Sheet'!$P26)</f>
        <v>0</v>
      </c>
      <c r="AU26" s="331">
        <f>IF('Input Data Sheet'!$P26=0,0,'Input Data Sheet'!AL26/'Input Data Sheet'!$P26)</f>
        <v>1</v>
      </c>
      <c r="AV26" s="331">
        <f>IF('Input Data Sheet'!$P26=0,0,'Input Data Sheet'!AM26/'Input Data Sheet'!$P26)</f>
        <v>0</v>
      </c>
      <c r="AW26" s="331">
        <f>IF('Input Data Sheet'!$P26=0,0,'Input Data Sheet'!AN26/'Input Data Sheet'!$P26)</f>
        <v>0</v>
      </c>
      <c r="AX26" s="331">
        <f>IF('Input Data Sheet'!$P26=0,0,'Input Data Sheet'!AO26/'Input Data Sheet'!$P26)</f>
        <v>0</v>
      </c>
      <c r="AY26" s="331">
        <f>IF('Input Data Sheet'!$P26=0,0,'Input Data Sheet'!AP26/'Input Data Sheet'!$P26)</f>
        <v>0</v>
      </c>
      <c r="AZ26" s="331">
        <f>IF('Input Data Sheet'!$P26=0,0,'Input Data Sheet'!AQ26/'Input Data Sheet'!$P26)</f>
        <v>0</v>
      </c>
      <c r="BA26" s="331">
        <f>IF('Input Data Sheet'!$P26=0,0,'Input Data Sheet'!AR26/'Input Data Sheet'!$P26)</f>
        <v>0</v>
      </c>
      <c r="BB26" s="331">
        <f>IF('Input Data Sheet'!$P26=0,0,'Input Data Sheet'!AS26/'Input Data Sheet'!$P26)</f>
        <v>0</v>
      </c>
      <c r="BC26" s="331">
        <f>IF('Input Data Sheet'!$P26=0,0,'Input Data Sheet'!AT26/'Input Data Sheet'!$P26)</f>
        <v>0</v>
      </c>
      <c r="BD26" s="331">
        <f>IF('Input Data Sheet'!$P26=0,0,'Input Data Sheet'!AU26/'Input Data Sheet'!$P26)</f>
        <v>0</v>
      </c>
      <c r="BE26" s="331">
        <f>IF('Input Data Sheet'!$P26=0,0,'Input Data Sheet'!AV26/'Input Data Sheet'!$P26)</f>
        <v>0</v>
      </c>
      <c r="BF26" s="332">
        <f>IF('Input Data Sheet'!$P26=0,0,'Input Data Sheet'!AW26/'Input Data Sheet'!$P26)</f>
        <v>0</v>
      </c>
      <c r="BG26" s="328">
        <f t="shared" si="11"/>
        <v>1</v>
      </c>
    </row>
    <row r="27" spans="1:59" ht="12.75" x14ac:dyDescent="0.2">
      <c r="A27" s="409" t="str">
        <f>'Input Data Sheet'!B27</f>
        <v>ND1062</v>
      </c>
      <c r="B27" s="314" t="str">
        <f>'Input Data Sheet'!C27</f>
        <v>Insourcing Drawing Management</v>
      </c>
      <c r="C27" s="314" t="str">
        <f>'Input Data Sheet'!D27</f>
        <v>Operational Support Systems</v>
      </c>
      <c r="D27" s="333" t="str">
        <f>'Input Data Sheet'!E27</f>
        <v>2014/15</v>
      </c>
      <c r="E27" s="333">
        <f>'Input Data Sheet'!F27</f>
        <v>0</v>
      </c>
      <c r="F27" s="315"/>
      <c r="G27" s="315"/>
      <c r="H27" s="316">
        <f>'Input Data Sheet'!J27</f>
        <v>0</v>
      </c>
      <c r="I27" s="316"/>
      <c r="J27" s="316">
        <f>'Input Data Sheet'!K27</f>
        <v>0</v>
      </c>
      <c r="K27" s="496"/>
      <c r="L27" s="496"/>
      <c r="M27" s="496"/>
      <c r="N27" s="316"/>
      <c r="O27" s="287">
        <f t="shared" si="9"/>
        <v>505001.42355509161</v>
      </c>
      <c r="P27" s="320">
        <f>'Input Data Sheet'!Q27</f>
        <v>0</v>
      </c>
      <c r="Q27" s="287">
        <f>'Input Data Sheet'!R27</f>
        <v>0</v>
      </c>
      <c r="R27" s="341">
        <f>'Input Data Sheet'!S27</f>
        <v>505001.42355509161</v>
      </c>
      <c r="S27" s="341">
        <f>'Input Data Sheet'!T27</f>
        <v>0</v>
      </c>
      <c r="T27" s="341">
        <f>'Input Data Sheet'!U27</f>
        <v>0</v>
      </c>
      <c r="U27" s="341">
        <f>'Input Data Sheet'!V27</f>
        <v>0</v>
      </c>
      <c r="V27" s="341">
        <f>'Input Data Sheet'!W27</f>
        <v>0</v>
      </c>
      <c r="W27" s="287">
        <f>'Input Data Sheet'!X27</f>
        <v>0</v>
      </c>
      <c r="X27" s="321">
        <f>'Input Data Sheet'!Y27</f>
        <v>0</v>
      </c>
      <c r="Y27" s="287">
        <f t="shared" si="10"/>
        <v>0</v>
      </c>
      <c r="Z27" s="287">
        <f t="shared" si="1"/>
        <v>0</v>
      </c>
      <c r="AA27" s="341">
        <f t="shared" si="2"/>
        <v>505001.42355509161</v>
      </c>
      <c r="AB27" s="341">
        <f t="shared" si="3"/>
        <v>0</v>
      </c>
      <c r="AC27" s="341">
        <f t="shared" si="4"/>
        <v>0</v>
      </c>
      <c r="AD27" s="341">
        <f t="shared" si="5"/>
        <v>0</v>
      </c>
      <c r="AE27" s="341">
        <f t="shared" si="6"/>
        <v>0</v>
      </c>
      <c r="AF27" s="287">
        <f t="shared" si="7"/>
        <v>0</v>
      </c>
      <c r="AG27" s="287">
        <f t="shared" si="8"/>
        <v>0</v>
      </c>
      <c r="AH27" s="322">
        <f>IF($H27,0,IFERROR(IF(VALUE(LEFT(D27,4))&gt;VALUE(LEFT(Parameters!$B$66,4))+1,O27-SUM(R27:X27),0),0))</f>
        <v>0</v>
      </c>
      <c r="AI27" s="330">
        <f>IF('Input Data Sheet'!$P27=0,0,'Input Data Sheet'!Z27/'Input Data Sheet'!$P27)</f>
        <v>0</v>
      </c>
      <c r="AJ27" s="331">
        <f>IF('Input Data Sheet'!$P27=0,0,'Input Data Sheet'!AA27/'Input Data Sheet'!$P27)</f>
        <v>0</v>
      </c>
      <c r="AK27" s="331">
        <f>IF('Input Data Sheet'!$P27=0,0,'Input Data Sheet'!AB27/'Input Data Sheet'!$P27)</f>
        <v>0</v>
      </c>
      <c r="AL27" s="331">
        <f>IF('Input Data Sheet'!$P27=0,0,'Input Data Sheet'!AC27/'Input Data Sheet'!$P27)</f>
        <v>0</v>
      </c>
      <c r="AM27" s="331">
        <f>IF('Input Data Sheet'!$P27=0,0,'Input Data Sheet'!AD27/'Input Data Sheet'!$P27)</f>
        <v>0</v>
      </c>
      <c r="AN27" s="331">
        <f>IF('Input Data Sheet'!$P27=0,0,'Input Data Sheet'!AE27/'Input Data Sheet'!$P27)</f>
        <v>0</v>
      </c>
      <c r="AO27" s="331">
        <f>IF('Input Data Sheet'!$P27=0,0,'Input Data Sheet'!AF27/'Input Data Sheet'!$P27)</f>
        <v>0</v>
      </c>
      <c r="AP27" s="331">
        <f>IF('Input Data Sheet'!$P27=0,0,'Input Data Sheet'!AG27/'Input Data Sheet'!$P27)</f>
        <v>0</v>
      </c>
      <c r="AQ27" s="331">
        <f>IF('Input Data Sheet'!$P27=0,0,'Input Data Sheet'!AH27/'Input Data Sheet'!$P27)</f>
        <v>0</v>
      </c>
      <c r="AR27" s="331">
        <f>IF('Input Data Sheet'!$P27=0,0,'Input Data Sheet'!AI27/'Input Data Sheet'!$P27)</f>
        <v>0</v>
      </c>
      <c r="AS27" s="331">
        <f>IF('Input Data Sheet'!$P27=0,0,'Input Data Sheet'!AJ27/'Input Data Sheet'!$P27)</f>
        <v>0.1</v>
      </c>
      <c r="AT27" s="331">
        <f>IF('Input Data Sheet'!$P27=0,0,'Input Data Sheet'!AK27/'Input Data Sheet'!$P27)</f>
        <v>0.5</v>
      </c>
      <c r="AU27" s="331">
        <f>IF('Input Data Sheet'!$P27=0,0,'Input Data Sheet'!AL27/'Input Data Sheet'!$P27)</f>
        <v>0.4</v>
      </c>
      <c r="AV27" s="331">
        <f>IF('Input Data Sheet'!$P27=0,0,'Input Data Sheet'!AM27/'Input Data Sheet'!$P27)</f>
        <v>0</v>
      </c>
      <c r="AW27" s="331">
        <f>IF('Input Data Sheet'!$P27=0,0,'Input Data Sheet'!AN27/'Input Data Sheet'!$P27)</f>
        <v>0</v>
      </c>
      <c r="AX27" s="331">
        <f>IF('Input Data Sheet'!$P27=0,0,'Input Data Sheet'!AO27/'Input Data Sheet'!$P27)</f>
        <v>0</v>
      </c>
      <c r="AY27" s="331">
        <f>IF('Input Data Sheet'!$P27=0,0,'Input Data Sheet'!AP27/'Input Data Sheet'!$P27)</f>
        <v>0</v>
      </c>
      <c r="AZ27" s="331">
        <f>IF('Input Data Sheet'!$P27=0,0,'Input Data Sheet'!AQ27/'Input Data Sheet'!$P27)</f>
        <v>0</v>
      </c>
      <c r="BA27" s="331">
        <f>IF('Input Data Sheet'!$P27=0,0,'Input Data Sheet'!AR27/'Input Data Sheet'!$P27)</f>
        <v>0</v>
      </c>
      <c r="BB27" s="331">
        <f>IF('Input Data Sheet'!$P27=0,0,'Input Data Sheet'!AS27/'Input Data Sheet'!$P27)</f>
        <v>0</v>
      </c>
      <c r="BC27" s="331">
        <f>IF('Input Data Sheet'!$P27=0,0,'Input Data Sheet'!AT27/'Input Data Sheet'!$P27)</f>
        <v>0</v>
      </c>
      <c r="BD27" s="331">
        <f>IF('Input Data Sheet'!$P27=0,0,'Input Data Sheet'!AU27/'Input Data Sheet'!$P27)</f>
        <v>0</v>
      </c>
      <c r="BE27" s="331">
        <f>IF('Input Data Sheet'!$P27=0,0,'Input Data Sheet'!AV27/'Input Data Sheet'!$P27)</f>
        <v>0</v>
      </c>
      <c r="BF27" s="332">
        <f>IF('Input Data Sheet'!$P27=0,0,'Input Data Sheet'!AW27/'Input Data Sheet'!$P27)</f>
        <v>0</v>
      </c>
      <c r="BG27" s="328">
        <f t="shared" si="11"/>
        <v>1</v>
      </c>
    </row>
    <row r="28" spans="1:59" ht="12.75" x14ac:dyDescent="0.2">
      <c r="A28" s="409" t="str">
        <f>'Input Data Sheet'!B28</f>
        <v>ND0948</v>
      </c>
      <c r="B28" s="314" t="str">
        <f>'Input Data Sheet'!C28</f>
        <v>Lindisfarne Substation transformer T2 and T3 replacement</v>
      </c>
      <c r="C28" s="314" t="str">
        <f>'Input Data Sheet'!D28</f>
        <v>Asset Renewal</v>
      </c>
      <c r="D28" s="333" t="str">
        <f>'Input Data Sheet'!E28</f>
        <v>2018/19</v>
      </c>
      <c r="E28" s="333">
        <f>'Input Data Sheet'!F28</f>
        <v>11</v>
      </c>
      <c r="F28" s="315"/>
      <c r="G28" s="315"/>
      <c r="H28" s="316">
        <f>'Input Data Sheet'!J28</f>
        <v>0</v>
      </c>
      <c r="I28" s="316"/>
      <c r="J28" s="316">
        <f>'Input Data Sheet'!K28</f>
        <v>0</v>
      </c>
      <c r="K28" s="496"/>
      <c r="L28" s="496"/>
      <c r="M28" s="496"/>
      <c r="N28" s="316"/>
      <c r="O28" s="287">
        <f t="shared" si="9"/>
        <v>5815000</v>
      </c>
      <c r="P28" s="320">
        <f>'Input Data Sheet'!Q28</f>
        <v>0</v>
      </c>
      <c r="Q28" s="287">
        <f>'Input Data Sheet'!R28</f>
        <v>0</v>
      </c>
      <c r="R28" s="341">
        <f>'Input Data Sheet'!S28</f>
        <v>0</v>
      </c>
      <c r="S28" s="341">
        <f>'Input Data Sheet'!T28</f>
        <v>0</v>
      </c>
      <c r="T28" s="341">
        <f>'Input Data Sheet'!U28</f>
        <v>50000</v>
      </c>
      <c r="U28" s="341">
        <f>'Input Data Sheet'!V28</f>
        <v>4217000</v>
      </c>
      <c r="V28" s="341">
        <f>'Input Data Sheet'!W28</f>
        <v>1548000</v>
      </c>
      <c r="W28" s="287">
        <f>'Input Data Sheet'!X28</f>
        <v>0</v>
      </c>
      <c r="X28" s="321">
        <f>'Input Data Sheet'!Y28</f>
        <v>0</v>
      </c>
      <c r="Y28" s="287">
        <f t="shared" si="10"/>
        <v>0</v>
      </c>
      <c r="Z28" s="287">
        <f t="shared" si="1"/>
        <v>0</v>
      </c>
      <c r="AA28" s="341">
        <f t="shared" si="2"/>
        <v>0</v>
      </c>
      <c r="AB28" s="341">
        <f t="shared" si="3"/>
        <v>0</v>
      </c>
      <c r="AC28" s="341">
        <f t="shared" si="4"/>
        <v>0</v>
      </c>
      <c r="AD28" s="341">
        <f t="shared" si="5"/>
        <v>0</v>
      </c>
      <c r="AE28" s="341">
        <f t="shared" si="6"/>
        <v>5815000</v>
      </c>
      <c r="AF28" s="287">
        <f t="shared" si="7"/>
        <v>0</v>
      </c>
      <c r="AG28" s="287">
        <f t="shared" si="8"/>
        <v>0</v>
      </c>
      <c r="AH28" s="322">
        <f>IF($H28,0,IFERROR(IF(VALUE(LEFT(D28,4))&gt;VALUE(LEFT(Parameters!$B$66,4))+1,O28-SUM(R28:X28),0),0))</f>
        <v>0</v>
      </c>
      <c r="AI28" s="330">
        <f>IF('Input Data Sheet'!$P28=0,0,'Input Data Sheet'!Z28/'Input Data Sheet'!$P28)</f>
        <v>0</v>
      </c>
      <c r="AJ28" s="331">
        <f>IF('Input Data Sheet'!$P28=0,0,'Input Data Sheet'!AA28/'Input Data Sheet'!$P28)</f>
        <v>0</v>
      </c>
      <c r="AK28" s="331">
        <f>IF('Input Data Sheet'!$P28=0,0,'Input Data Sheet'!AB28/'Input Data Sheet'!$P28)</f>
        <v>0</v>
      </c>
      <c r="AL28" s="331">
        <f>IF('Input Data Sheet'!$P28=0,0,'Input Data Sheet'!AC28/'Input Data Sheet'!$P28)</f>
        <v>0.13</v>
      </c>
      <c r="AM28" s="331">
        <f>IF('Input Data Sheet'!$P28=0,0,'Input Data Sheet'!AD28/'Input Data Sheet'!$P28)</f>
        <v>0.85</v>
      </c>
      <c r="AN28" s="331">
        <f>IF('Input Data Sheet'!$P28=0,0,'Input Data Sheet'!AE28/'Input Data Sheet'!$P28)</f>
        <v>0</v>
      </c>
      <c r="AO28" s="331">
        <f>IF('Input Data Sheet'!$P28=0,0,'Input Data Sheet'!AF28/'Input Data Sheet'!$P28)</f>
        <v>0.02</v>
      </c>
      <c r="AP28" s="331">
        <f>IF('Input Data Sheet'!$P28=0,0,'Input Data Sheet'!AG28/'Input Data Sheet'!$P28)</f>
        <v>0</v>
      </c>
      <c r="AQ28" s="331">
        <f>IF('Input Data Sheet'!$P28=0,0,'Input Data Sheet'!AH28/'Input Data Sheet'!$P28)</f>
        <v>0</v>
      </c>
      <c r="AR28" s="331">
        <f>IF('Input Data Sheet'!$P28=0,0,'Input Data Sheet'!AI28/'Input Data Sheet'!$P28)</f>
        <v>0</v>
      </c>
      <c r="AS28" s="331">
        <f>IF('Input Data Sheet'!$P28=0,0,'Input Data Sheet'!AJ28/'Input Data Sheet'!$P28)</f>
        <v>0</v>
      </c>
      <c r="AT28" s="331">
        <f>IF('Input Data Sheet'!$P28=0,0,'Input Data Sheet'!AK28/'Input Data Sheet'!$P28)</f>
        <v>0</v>
      </c>
      <c r="AU28" s="331">
        <f>IF('Input Data Sheet'!$P28=0,0,'Input Data Sheet'!AL28/'Input Data Sheet'!$P28)</f>
        <v>0</v>
      </c>
      <c r="AV28" s="331">
        <f>IF('Input Data Sheet'!$P28=0,0,'Input Data Sheet'!AM28/'Input Data Sheet'!$P28)</f>
        <v>0</v>
      </c>
      <c r="AW28" s="331">
        <f>IF('Input Data Sheet'!$P28=0,0,'Input Data Sheet'!AN28/'Input Data Sheet'!$P28)</f>
        <v>0</v>
      </c>
      <c r="AX28" s="331">
        <f>IF('Input Data Sheet'!$P28=0,0,'Input Data Sheet'!AO28/'Input Data Sheet'!$P28)</f>
        <v>0</v>
      </c>
      <c r="AY28" s="331">
        <f>IF('Input Data Sheet'!$P28=0,0,'Input Data Sheet'!AP28/'Input Data Sheet'!$P28)</f>
        <v>0</v>
      </c>
      <c r="AZ28" s="331">
        <f>IF('Input Data Sheet'!$P28=0,0,'Input Data Sheet'!AQ28/'Input Data Sheet'!$P28)</f>
        <v>0</v>
      </c>
      <c r="BA28" s="331">
        <f>IF('Input Data Sheet'!$P28=0,0,'Input Data Sheet'!AR28/'Input Data Sheet'!$P28)</f>
        <v>0</v>
      </c>
      <c r="BB28" s="331">
        <f>IF('Input Data Sheet'!$P28=0,0,'Input Data Sheet'!AS28/'Input Data Sheet'!$P28)</f>
        <v>0</v>
      </c>
      <c r="BC28" s="331">
        <f>IF('Input Data Sheet'!$P28=0,0,'Input Data Sheet'!AT28/'Input Data Sheet'!$P28)</f>
        <v>0</v>
      </c>
      <c r="BD28" s="331">
        <f>IF('Input Data Sheet'!$P28=0,0,'Input Data Sheet'!AU28/'Input Data Sheet'!$P28)</f>
        <v>0</v>
      </c>
      <c r="BE28" s="331">
        <f>IF('Input Data Sheet'!$P28=0,0,'Input Data Sheet'!AV28/'Input Data Sheet'!$P28)</f>
        <v>0</v>
      </c>
      <c r="BF28" s="332">
        <f>IF('Input Data Sheet'!$P28=0,0,'Input Data Sheet'!AW28/'Input Data Sheet'!$P28)</f>
        <v>0</v>
      </c>
      <c r="BG28" s="328">
        <f t="shared" si="11"/>
        <v>1</v>
      </c>
    </row>
    <row r="29" spans="1:59" ht="12.75" x14ac:dyDescent="0.2">
      <c r="A29" s="409" t="str">
        <f>'Input Data Sheet'!B29</f>
        <v>ND0949</v>
      </c>
      <c r="B29" s="314" t="str">
        <f>'Input Data Sheet'!C29</f>
        <v>Meadowbank Substation 110 kV redevelopment</v>
      </c>
      <c r="C29" s="314" t="str">
        <f>'Input Data Sheet'!D29</f>
        <v>Asset Renewal</v>
      </c>
      <c r="D29" s="333" t="str">
        <f>'Input Data Sheet'!E29</f>
        <v>2014/15</v>
      </c>
      <c r="E29" s="333">
        <f>'Input Data Sheet'!F29</f>
        <v>0</v>
      </c>
      <c r="F29" s="315"/>
      <c r="G29" s="315"/>
      <c r="H29" s="316">
        <f>'Input Data Sheet'!J29</f>
        <v>0</v>
      </c>
      <c r="I29" s="316"/>
      <c r="J29" s="316">
        <f>'Input Data Sheet'!K29</f>
        <v>0</v>
      </c>
      <c r="K29" s="496"/>
      <c r="L29" s="496"/>
      <c r="M29" s="496"/>
      <c r="N29" s="316"/>
      <c r="O29" s="287">
        <f t="shared" si="9"/>
        <v>6108067.4916959293</v>
      </c>
      <c r="P29" s="320">
        <f>'Input Data Sheet'!Q29</f>
        <v>0</v>
      </c>
      <c r="Q29" s="287">
        <f>'Input Data Sheet'!R29</f>
        <v>2014288.6969725729</v>
      </c>
      <c r="R29" s="341">
        <f>'Input Data Sheet'!S29</f>
        <v>4093778.7947233561</v>
      </c>
      <c r="S29" s="341">
        <f>'Input Data Sheet'!T29</f>
        <v>0</v>
      </c>
      <c r="T29" s="341">
        <f>'Input Data Sheet'!U29</f>
        <v>0</v>
      </c>
      <c r="U29" s="341">
        <f>'Input Data Sheet'!V29</f>
        <v>0</v>
      </c>
      <c r="V29" s="341">
        <f>'Input Data Sheet'!W29</f>
        <v>0</v>
      </c>
      <c r="W29" s="287">
        <f>'Input Data Sheet'!X29</f>
        <v>0</v>
      </c>
      <c r="X29" s="321">
        <f>'Input Data Sheet'!Y29</f>
        <v>0</v>
      </c>
      <c r="Y29" s="287">
        <f t="shared" si="10"/>
        <v>0</v>
      </c>
      <c r="Z29" s="287">
        <f t="shared" si="1"/>
        <v>0</v>
      </c>
      <c r="AA29" s="341">
        <f t="shared" si="2"/>
        <v>6108067.4916959293</v>
      </c>
      <c r="AB29" s="341">
        <f t="shared" si="3"/>
        <v>0</v>
      </c>
      <c r="AC29" s="341">
        <f t="shared" si="4"/>
        <v>0</v>
      </c>
      <c r="AD29" s="341">
        <f t="shared" si="5"/>
        <v>0</v>
      </c>
      <c r="AE29" s="341">
        <f t="shared" si="6"/>
        <v>0</v>
      </c>
      <c r="AF29" s="287">
        <f t="shared" si="7"/>
        <v>0</v>
      </c>
      <c r="AG29" s="287">
        <f t="shared" si="8"/>
        <v>0</v>
      </c>
      <c r="AH29" s="322">
        <f>IF($H29,0,IFERROR(IF(VALUE(LEFT(D29,4))&gt;VALUE(LEFT(Parameters!$B$66,4))+1,O29-SUM(R29:X29),0),0))</f>
        <v>2014288.6969725732</v>
      </c>
      <c r="AI29" s="330">
        <f>IF('Input Data Sheet'!$P29=0,0,'Input Data Sheet'!Z29/'Input Data Sheet'!$P29)</f>
        <v>0</v>
      </c>
      <c r="AJ29" s="331">
        <f>IF('Input Data Sheet'!$P29=0,0,'Input Data Sheet'!AA29/'Input Data Sheet'!$P29)</f>
        <v>0</v>
      </c>
      <c r="AK29" s="331">
        <f>IF('Input Data Sheet'!$P29=0,0,'Input Data Sheet'!AB29/'Input Data Sheet'!$P29)</f>
        <v>0</v>
      </c>
      <c r="AL29" s="331">
        <f>IF('Input Data Sheet'!$P29=0,0,'Input Data Sheet'!AC29/'Input Data Sheet'!$P29)</f>
        <v>0.27999999999999997</v>
      </c>
      <c r="AM29" s="331">
        <f>IF('Input Data Sheet'!$P29=0,0,'Input Data Sheet'!AD29/'Input Data Sheet'!$P29)</f>
        <v>0.45</v>
      </c>
      <c r="AN29" s="331">
        <f>IF('Input Data Sheet'!$P29=0,0,'Input Data Sheet'!AE29/'Input Data Sheet'!$P29)</f>
        <v>0.06</v>
      </c>
      <c r="AO29" s="331">
        <f>IF('Input Data Sheet'!$P29=0,0,'Input Data Sheet'!AF29/'Input Data Sheet'!$P29)</f>
        <v>0.20999999999999996</v>
      </c>
      <c r="AP29" s="331">
        <f>IF('Input Data Sheet'!$P29=0,0,'Input Data Sheet'!AG29/'Input Data Sheet'!$P29)</f>
        <v>0</v>
      </c>
      <c r="AQ29" s="331">
        <f>IF('Input Data Sheet'!$P29=0,0,'Input Data Sheet'!AH29/'Input Data Sheet'!$P29)</f>
        <v>0</v>
      </c>
      <c r="AR29" s="331">
        <f>IF('Input Data Sheet'!$P29=0,0,'Input Data Sheet'!AI29/'Input Data Sheet'!$P29)</f>
        <v>0</v>
      </c>
      <c r="AS29" s="331">
        <f>IF('Input Data Sheet'!$P29=0,0,'Input Data Sheet'!AJ29/'Input Data Sheet'!$P29)</f>
        <v>0</v>
      </c>
      <c r="AT29" s="331">
        <f>IF('Input Data Sheet'!$P29=0,0,'Input Data Sheet'!AK29/'Input Data Sheet'!$P29)</f>
        <v>0</v>
      </c>
      <c r="AU29" s="331">
        <f>IF('Input Data Sheet'!$P29=0,0,'Input Data Sheet'!AL29/'Input Data Sheet'!$P29)</f>
        <v>0</v>
      </c>
      <c r="AV29" s="331">
        <f>IF('Input Data Sheet'!$P29=0,0,'Input Data Sheet'!AM29/'Input Data Sheet'!$P29)</f>
        <v>0</v>
      </c>
      <c r="AW29" s="331">
        <f>IF('Input Data Sheet'!$P29=0,0,'Input Data Sheet'!AN29/'Input Data Sheet'!$P29)</f>
        <v>0</v>
      </c>
      <c r="AX29" s="331">
        <f>IF('Input Data Sheet'!$P29=0,0,'Input Data Sheet'!AO29/'Input Data Sheet'!$P29)</f>
        <v>0</v>
      </c>
      <c r="AY29" s="331">
        <f>IF('Input Data Sheet'!$P29=0,0,'Input Data Sheet'!AP29/'Input Data Sheet'!$P29)</f>
        <v>0</v>
      </c>
      <c r="AZ29" s="331">
        <f>IF('Input Data Sheet'!$P29=0,0,'Input Data Sheet'!AQ29/'Input Data Sheet'!$P29)</f>
        <v>0</v>
      </c>
      <c r="BA29" s="331">
        <f>IF('Input Data Sheet'!$P29=0,0,'Input Data Sheet'!AR29/'Input Data Sheet'!$P29)</f>
        <v>0</v>
      </c>
      <c r="BB29" s="331">
        <f>IF('Input Data Sheet'!$P29=0,0,'Input Data Sheet'!AS29/'Input Data Sheet'!$P29)</f>
        <v>0</v>
      </c>
      <c r="BC29" s="331">
        <f>IF('Input Data Sheet'!$P29=0,0,'Input Data Sheet'!AT29/'Input Data Sheet'!$P29)</f>
        <v>0</v>
      </c>
      <c r="BD29" s="331">
        <f>IF('Input Data Sheet'!$P29=0,0,'Input Data Sheet'!AU29/'Input Data Sheet'!$P29)</f>
        <v>0</v>
      </c>
      <c r="BE29" s="331">
        <f>IF('Input Data Sheet'!$P29=0,0,'Input Data Sheet'!AV29/'Input Data Sheet'!$P29)</f>
        <v>0</v>
      </c>
      <c r="BF29" s="332">
        <f>IF('Input Data Sheet'!$P29=0,0,'Input Data Sheet'!AW29/'Input Data Sheet'!$P29)</f>
        <v>0</v>
      </c>
      <c r="BG29" s="328">
        <f t="shared" si="11"/>
        <v>1</v>
      </c>
    </row>
    <row r="30" spans="1:59" ht="12.75" x14ac:dyDescent="0.2">
      <c r="A30" s="409" t="str">
        <f>'Input Data Sheet'!B30</f>
        <v>ND1232</v>
      </c>
      <c r="B30" s="314" t="str">
        <f>'Input Data Sheet'!C30</f>
        <v>Network Modelling Enhancement program</v>
      </c>
      <c r="C30" s="314" t="str">
        <f>'Input Data Sheet'!D30</f>
        <v>Operational Support Systems</v>
      </c>
      <c r="D30" s="333" t="str">
        <f>'Input Data Sheet'!E30</f>
        <v>2018/19</v>
      </c>
      <c r="E30" s="333">
        <f>'Input Data Sheet'!F30</f>
        <v>18</v>
      </c>
      <c r="F30" s="315"/>
      <c r="G30" s="315"/>
      <c r="H30" s="316">
        <f>'Input Data Sheet'!J30</f>
        <v>1</v>
      </c>
      <c r="I30" s="316"/>
      <c r="J30" s="316">
        <f>'Input Data Sheet'!K30</f>
        <v>0</v>
      </c>
      <c r="K30" s="496"/>
      <c r="L30" s="496"/>
      <c r="M30" s="496"/>
      <c r="N30" s="316"/>
      <c r="O30" s="287">
        <f t="shared" si="9"/>
        <v>770000</v>
      </c>
      <c r="P30" s="320">
        <f>'Input Data Sheet'!Q30</f>
        <v>0</v>
      </c>
      <c r="Q30" s="287">
        <f>'Input Data Sheet'!R30</f>
        <v>0</v>
      </c>
      <c r="R30" s="341">
        <f>'Input Data Sheet'!S30</f>
        <v>323400</v>
      </c>
      <c r="S30" s="341">
        <f>'Input Data Sheet'!T30</f>
        <v>100100</v>
      </c>
      <c r="T30" s="341">
        <f>'Input Data Sheet'!U30</f>
        <v>223300</v>
      </c>
      <c r="U30" s="341">
        <f>'Input Data Sheet'!V30</f>
        <v>100100</v>
      </c>
      <c r="V30" s="341">
        <f>'Input Data Sheet'!W30</f>
        <v>23100</v>
      </c>
      <c r="W30" s="287">
        <f>'Input Data Sheet'!X30</f>
        <v>0</v>
      </c>
      <c r="X30" s="321">
        <f>'Input Data Sheet'!Y30</f>
        <v>0</v>
      </c>
      <c r="Y30" s="287">
        <f t="shared" si="10"/>
        <v>0</v>
      </c>
      <c r="Z30" s="287">
        <f t="shared" si="1"/>
        <v>0</v>
      </c>
      <c r="AA30" s="341">
        <f t="shared" si="2"/>
        <v>323400</v>
      </c>
      <c r="AB30" s="341">
        <f t="shared" si="3"/>
        <v>100100</v>
      </c>
      <c r="AC30" s="341">
        <f t="shared" si="4"/>
        <v>223300</v>
      </c>
      <c r="AD30" s="341">
        <f t="shared" si="5"/>
        <v>100100</v>
      </c>
      <c r="AE30" s="341">
        <f t="shared" si="6"/>
        <v>23100</v>
      </c>
      <c r="AF30" s="287">
        <f t="shared" si="7"/>
        <v>0</v>
      </c>
      <c r="AG30" s="287">
        <f t="shared" si="8"/>
        <v>0</v>
      </c>
      <c r="AH30" s="322">
        <f>IF($H30,0,IFERROR(IF(VALUE(LEFT(D30,4))&gt;VALUE(LEFT(Parameters!$B$66,4))+1,O30-SUM(R30:X30),0),0))</f>
        <v>0</v>
      </c>
      <c r="AI30" s="330">
        <f>IF('Input Data Sheet'!$P30=0,0,'Input Data Sheet'!Z30/'Input Data Sheet'!$P30)</f>
        <v>0</v>
      </c>
      <c r="AJ30" s="331">
        <f>IF('Input Data Sheet'!$P30=0,0,'Input Data Sheet'!AA30/'Input Data Sheet'!$P30)</f>
        <v>0</v>
      </c>
      <c r="AK30" s="331">
        <f>IF('Input Data Sheet'!$P30=0,0,'Input Data Sheet'!AB30/'Input Data Sheet'!$P30)</f>
        <v>0</v>
      </c>
      <c r="AL30" s="331">
        <f>IF('Input Data Sheet'!$P30=0,0,'Input Data Sheet'!AC30/'Input Data Sheet'!$P30)</f>
        <v>0</v>
      </c>
      <c r="AM30" s="331">
        <f>IF('Input Data Sheet'!$P30=0,0,'Input Data Sheet'!AD30/'Input Data Sheet'!$P30)</f>
        <v>0</v>
      </c>
      <c r="AN30" s="331">
        <f>IF('Input Data Sheet'!$P30=0,0,'Input Data Sheet'!AE30/'Input Data Sheet'!$P30)</f>
        <v>0</v>
      </c>
      <c r="AO30" s="331">
        <f>IF('Input Data Sheet'!$P30=0,0,'Input Data Sheet'!AF30/'Input Data Sheet'!$P30)</f>
        <v>0</v>
      </c>
      <c r="AP30" s="331">
        <f>IF('Input Data Sheet'!$P30=0,0,'Input Data Sheet'!AG30/'Input Data Sheet'!$P30)</f>
        <v>0</v>
      </c>
      <c r="AQ30" s="331">
        <f>IF('Input Data Sheet'!$P30=0,0,'Input Data Sheet'!AH30/'Input Data Sheet'!$P30)</f>
        <v>1</v>
      </c>
      <c r="AR30" s="331">
        <f>IF('Input Data Sheet'!$P30=0,0,'Input Data Sheet'!AI30/'Input Data Sheet'!$P30)</f>
        <v>0</v>
      </c>
      <c r="AS30" s="331">
        <f>IF('Input Data Sheet'!$P30=0,0,'Input Data Sheet'!AJ30/'Input Data Sheet'!$P30)</f>
        <v>0</v>
      </c>
      <c r="AT30" s="331">
        <f>IF('Input Data Sheet'!$P30=0,0,'Input Data Sheet'!AK30/'Input Data Sheet'!$P30)</f>
        <v>0</v>
      </c>
      <c r="AU30" s="331">
        <f>IF('Input Data Sheet'!$P30=0,0,'Input Data Sheet'!AL30/'Input Data Sheet'!$P30)</f>
        <v>0</v>
      </c>
      <c r="AV30" s="331">
        <f>IF('Input Data Sheet'!$P30=0,0,'Input Data Sheet'!AM30/'Input Data Sheet'!$P30)</f>
        <v>0</v>
      </c>
      <c r="AW30" s="331">
        <f>IF('Input Data Sheet'!$P30=0,0,'Input Data Sheet'!AN30/'Input Data Sheet'!$P30)</f>
        <v>0</v>
      </c>
      <c r="AX30" s="331">
        <f>IF('Input Data Sheet'!$P30=0,0,'Input Data Sheet'!AO30/'Input Data Sheet'!$P30)</f>
        <v>0</v>
      </c>
      <c r="AY30" s="331">
        <f>IF('Input Data Sheet'!$P30=0,0,'Input Data Sheet'!AP30/'Input Data Sheet'!$P30)</f>
        <v>0</v>
      </c>
      <c r="AZ30" s="331">
        <f>IF('Input Data Sheet'!$P30=0,0,'Input Data Sheet'!AQ30/'Input Data Sheet'!$P30)</f>
        <v>0</v>
      </c>
      <c r="BA30" s="331">
        <f>IF('Input Data Sheet'!$P30=0,0,'Input Data Sheet'!AR30/'Input Data Sheet'!$P30)</f>
        <v>0</v>
      </c>
      <c r="BB30" s="331">
        <f>IF('Input Data Sheet'!$P30=0,0,'Input Data Sheet'!AS30/'Input Data Sheet'!$P30)</f>
        <v>0</v>
      </c>
      <c r="BC30" s="331">
        <f>IF('Input Data Sheet'!$P30=0,0,'Input Data Sheet'!AT30/'Input Data Sheet'!$P30)</f>
        <v>0</v>
      </c>
      <c r="BD30" s="331">
        <f>IF('Input Data Sheet'!$P30=0,0,'Input Data Sheet'!AU30/'Input Data Sheet'!$P30)</f>
        <v>0</v>
      </c>
      <c r="BE30" s="331">
        <f>IF('Input Data Sheet'!$P30=0,0,'Input Data Sheet'!AV30/'Input Data Sheet'!$P30)</f>
        <v>0</v>
      </c>
      <c r="BF30" s="332">
        <f>IF('Input Data Sheet'!$P30=0,0,'Input Data Sheet'!AW30/'Input Data Sheet'!$P30)</f>
        <v>0</v>
      </c>
      <c r="BG30" s="328">
        <f t="shared" si="11"/>
        <v>1</v>
      </c>
    </row>
    <row r="31" spans="1:59" ht="12.75" x14ac:dyDescent="0.2">
      <c r="A31" s="409" t="str">
        <f>'Input Data Sheet'!B31</f>
        <v>ND1233</v>
      </c>
      <c r="B31" s="314" t="str">
        <f>'Input Data Sheet'!C31</f>
        <v>Network Operations and Control System enhancement program</v>
      </c>
      <c r="C31" s="314" t="str">
        <f>'Input Data Sheet'!D31</f>
        <v>Operational Support Systems</v>
      </c>
      <c r="D31" s="333" t="str">
        <f>'Input Data Sheet'!E31</f>
        <v>2018/19</v>
      </c>
      <c r="E31" s="333">
        <f>'Input Data Sheet'!F31</f>
        <v>18</v>
      </c>
      <c r="F31" s="315"/>
      <c r="G31" s="315"/>
      <c r="H31" s="316">
        <f>'Input Data Sheet'!J31</f>
        <v>1</v>
      </c>
      <c r="I31" s="316"/>
      <c r="J31" s="316">
        <f>'Input Data Sheet'!K31</f>
        <v>0</v>
      </c>
      <c r="K31" s="496"/>
      <c r="L31" s="496"/>
      <c r="M31" s="496"/>
      <c r="N31" s="316"/>
      <c r="O31" s="287">
        <f t="shared" si="9"/>
        <v>3601000</v>
      </c>
      <c r="P31" s="320">
        <f>'Input Data Sheet'!Q31</f>
        <v>0</v>
      </c>
      <c r="Q31" s="287">
        <f>'Input Data Sheet'!R31</f>
        <v>0</v>
      </c>
      <c r="R31" s="341">
        <f>'Input Data Sheet'!S31</f>
        <v>580000</v>
      </c>
      <c r="S31" s="341">
        <f>'Input Data Sheet'!T31</f>
        <v>385250</v>
      </c>
      <c r="T31" s="341">
        <f>'Input Data Sheet'!U31</f>
        <v>1215250</v>
      </c>
      <c r="U31" s="341">
        <f>'Input Data Sheet'!V31</f>
        <v>835250</v>
      </c>
      <c r="V31" s="341">
        <f>'Input Data Sheet'!W31</f>
        <v>585250</v>
      </c>
      <c r="W31" s="287">
        <f>'Input Data Sheet'!X31</f>
        <v>0</v>
      </c>
      <c r="X31" s="321">
        <f>'Input Data Sheet'!Y31</f>
        <v>0</v>
      </c>
      <c r="Y31" s="287">
        <f t="shared" si="10"/>
        <v>0</v>
      </c>
      <c r="Z31" s="287">
        <f t="shared" si="1"/>
        <v>0</v>
      </c>
      <c r="AA31" s="341">
        <f t="shared" si="2"/>
        <v>580000</v>
      </c>
      <c r="AB31" s="341">
        <f t="shared" si="3"/>
        <v>385250</v>
      </c>
      <c r="AC31" s="341">
        <f t="shared" si="4"/>
        <v>1215250</v>
      </c>
      <c r="AD31" s="341">
        <f t="shared" si="5"/>
        <v>835250</v>
      </c>
      <c r="AE31" s="341">
        <f t="shared" si="6"/>
        <v>585250</v>
      </c>
      <c r="AF31" s="287">
        <f t="shared" si="7"/>
        <v>0</v>
      </c>
      <c r="AG31" s="287">
        <f t="shared" si="8"/>
        <v>0</v>
      </c>
      <c r="AH31" s="322">
        <f>IF($H31,0,IFERROR(IF(VALUE(LEFT(D31,4))&gt;VALUE(LEFT(Parameters!$B$66,4))+1,O31-SUM(R31:X31),0),0))</f>
        <v>0</v>
      </c>
      <c r="AI31" s="330">
        <f>IF('Input Data Sheet'!$P31=0,0,'Input Data Sheet'!Z31/'Input Data Sheet'!$P31)</f>
        <v>0</v>
      </c>
      <c r="AJ31" s="331">
        <f>IF('Input Data Sheet'!$P31=0,0,'Input Data Sheet'!AA31/'Input Data Sheet'!$P31)</f>
        <v>0</v>
      </c>
      <c r="AK31" s="331">
        <f>IF('Input Data Sheet'!$P31=0,0,'Input Data Sheet'!AB31/'Input Data Sheet'!$P31)</f>
        <v>0</v>
      </c>
      <c r="AL31" s="331">
        <f>IF('Input Data Sheet'!$P31=0,0,'Input Data Sheet'!AC31/'Input Data Sheet'!$P31)</f>
        <v>0</v>
      </c>
      <c r="AM31" s="331">
        <f>IF('Input Data Sheet'!$P31=0,0,'Input Data Sheet'!AD31/'Input Data Sheet'!$P31)</f>
        <v>0</v>
      </c>
      <c r="AN31" s="331">
        <f>IF('Input Data Sheet'!$P31=0,0,'Input Data Sheet'!AE31/'Input Data Sheet'!$P31)</f>
        <v>0</v>
      </c>
      <c r="AO31" s="331">
        <f>IF('Input Data Sheet'!$P31=0,0,'Input Data Sheet'!AF31/'Input Data Sheet'!$P31)</f>
        <v>0</v>
      </c>
      <c r="AP31" s="331">
        <f>IF('Input Data Sheet'!$P31=0,0,'Input Data Sheet'!AG31/'Input Data Sheet'!$P31)</f>
        <v>0</v>
      </c>
      <c r="AQ31" s="331">
        <f>IF('Input Data Sheet'!$P31=0,0,'Input Data Sheet'!AH31/'Input Data Sheet'!$P31)</f>
        <v>1</v>
      </c>
      <c r="AR31" s="331">
        <f>IF('Input Data Sheet'!$P31=0,0,'Input Data Sheet'!AI31/'Input Data Sheet'!$P31)</f>
        <v>0</v>
      </c>
      <c r="AS31" s="331">
        <f>IF('Input Data Sheet'!$P31=0,0,'Input Data Sheet'!AJ31/'Input Data Sheet'!$P31)</f>
        <v>0</v>
      </c>
      <c r="AT31" s="331">
        <f>IF('Input Data Sheet'!$P31=0,0,'Input Data Sheet'!AK31/'Input Data Sheet'!$P31)</f>
        <v>0</v>
      </c>
      <c r="AU31" s="331">
        <f>IF('Input Data Sheet'!$P31=0,0,'Input Data Sheet'!AL31/'Input Data Sheet'!$P31)</f>
        <v>0</v>
      </c>
      <c r="AV31" s="331">
        <f>IF('Input Data Sheet'!$P31=0,0,'Input Data Sheet'!AM31/'Input Data Sheet'!$P31)</f>
        <v>0</v>
      </c>
      <c r="AW31" s="331">
        <f>IF('Input Data Sheet'!$P31=0,0,'Input Data Sheet'!AN31/'Input Data Sheet'!$P31)</f>
        <v>0</v>
      </c>
      <c r="AX31" s="331">
        <f>IF('Input Data Sheet'!$P31=0,0,'Input Data Sheet'!AO31/'Input Data Sheet'!$P31)</f>
        <v>0</v>
      </c>
      <c r="AY31" s="331">
        <f>IF('Input Data Sheet'!$P31=0,0,'Input Data Sheet'!AP31/'Input Data Sheet'!$P31)</f>
        <v>0</v>
      </c>
      <c r="AZ31" s="331">
        <f>IF('Input Data Sheet'!$P31=0,0,'Input Data Sheet'!AQ31/'Input Data Sheet'!$P31)</f>
        <v>0</v>
      </c>
      <c r="BA31" s="331">
        <f>IF('Input Data Sheet'!$P31=0,0,'Input Data Sheet'!AR31/'Input Data Sheet'!$P31)</f>
        <v>0</v>
      </c>
      <c r="BB31" s="331">
        <f>IF('Input Data Sheet'!$P31=0,0,'Input Data Sheet'!AS31/'Input Data Sheet'!$P31)</f>
        <v>0</v>
      </c>
      <c r="BC31" s="331">
        <f>IF('Input Data Sheet'!$P31=0,0,'Input Data Sheet'!AT31/'Input Data Sheet'!$P31)</f>
        <v>0</v>
      </c>
      <c r="BD31" s="331">
        <f>IF('Input Data Sheet'!$P31=0,0,'Input Data Sheet'!AU31/'Input Data Sheet'!$P31)</f>
        <v>0</v>
      </c>
      <c r="BE31" s="331">
        <f>IF('Input Data Sheet'!$P31=0,0,'Input Data Sheet'!AV31/'Input Data Sheet'!$P31)</f>
        <v>0</v>
      </c>
      <c r="BF31" s="332">
        <f>IF('Input Data Sheet'!$P31=0,0,'Input Data Sheet'!AW31/'Input Data Sheet'!$P31)</f>
        <v>0</v>
      </c>
      <c r="BG31" s="328">
        <f t="shared" si="11"/>
        <v>1</v>
      </c>
    </row>
    <row r="32" spans="1:59" ht="12.75" x14ac:dyDescent="0.2">
      <c r="A32" s="409" t="str">
        <f>'Input Data Sheet'!B32</f>
        <v>ND1219</v>
      </c>
      <c r="B32" s="314" t="str">
        <f>'Input Data Sheet'!C32</f>
        <v>Newton - Queenstown Security Augmentation</v>
      </c>
      <c r="C32" s="314" t="str">
        <f>'Input Data Sheet'!D32</f>
        <v>Augmentation</v>
      </c>
      <c r="D32" s="333" t="str">
        <f>'Input Data Sheet'!E32</f>
        <v>2016/17</v>
      </c>
      <c r="E32" s="333">
        <f>'Input Data Sheet'!F32</f>
        <v>2</v>
      </c>
      <c r="F32" s="315"/>
      <c r="G32" s="315"/>
      <c r="H32" s="316">
        <f>'Input Data Sheet'!J32</f>
        <v>0</v>
      </c>
      <c r="I32" s="316"/>
      <c r="J32" s="316">
        <f>'Input Data Sheet'!K32</f>
        <v>1</v>
      </c>
      <c r="K32" s="496"/>
      <c r="L32" s="496"/>
      <c r="M32" s="496"/>
      <c r="N32" s="316"/>
      <c r="O32" s="287">
        <f t="shared" si="9"/>
        <v>12518788</v>
      </c>
      <c r="P32" s="320">
        <f>'Input Data Sheet'!Q32</f>
        <v>0</v>
      </c>
      <c r="Q32" s="287">
        <f>'Input Data Sheet'!R32</f>
        <v>0</v>
      </c>
      <c r="R32" s="341">
        <f>'Input Data Sheet'!S32</f>
        <v>341282</v>
      </c>
      <c r="S32" s="341">
        <f>'Input Data Sheet'!T32</f>
        <v>3873222</v>
      </c>
      <c r="T32" s="341">
        <f>'Input Data Sheet'!U32</f>
        <v>8304284</v>
      </c>
      <c r="U32" s="341">
        <f>'Input Data Sheet'!V32</f>
        <v>0</v>
      </c>
      <c r="V32" s="341">
        <f>'Input Data Sheet'!W32</f>
        <v>0</v>
      </c>
      <c r="W32" s="287">
        <f>'Input Data Sheet'!X32</f>
        <v>0</v>
      </c>
      <c r="X32" s="321">
        <f>'Input Data Sheet'!Y32</f>
        <v>0</v>
      </c>
      <c r="Y32" s="287">
        <f t="shared" si="10"/>
        <v>0</v>
      </c>
      <c r="Z32" s="287">
        <f t="shared" si="1"/>
        <v>0</v>
      </c>
      <c r="AA32" s="341">
        <f t="shared" si="2"/>
        <v>0</v>
      </c>
      <c r="AB32" s="341">
        <f t="shared" si="3"/>
        <v>0</v>
      </c>
      <c r="AC32" s="341">
        <f t="shared" si="4"/>
        <v>12518788</v>
      </c>
      <c r="AD32" s="341">
        <f t="shared" si="5"/>
        <v>0</v>
      </c>
      <c r="AE32" s="341">
        <f t="shared" si="6"/>
        <v>0</v>
      </c>
      <c r="AF32" s="287">
        <f t="shared" si="7"/>
        <v>0</v>
      </c>
      <c r="AG32" s="287">
        <f t="shared" si="8"/>
        <v>0</v>
      </c>
      <c r="AH32" s="322">
        <f>IF($H32,0,IFERROR(IF(VALUE(LEFT(D32,4))&gt;VALUE(LEFT(Parameters!$B$66,4))+1,O32-SUM(R32:X32),0),0))</f>
        <v>0</v>
      </c>
      <c r="AI32" s="330">
        <f>IF('Input Data Sheet'!$P32=0,0,'Input Data Sheet'!Z32/'Input Data Sheet'!$P32)</f>
        <v>0.18900336038920063</v>
      </c>
      <c r="AJ32" s="331">
        <f>IF('Input Data Sheet'!$P32=0,0,'Input Data Sheet'!AA32/'Input Data Sheet'!$P32)</f>
        <v>1.538399723679321E-2</v>
      </c>
      <c r="AK32" s="331">
        <f>IF('Input Data Sheet'!$P32=0,0,'Input Data Sheet'!AB32/'Input Data Sheet'!$P32)</f>
        <v>1.538399723679321E-2</v>
      </c>
      <c r="AL32" s="331">
        <f>IF('Input Data Sheet'!$P32=0,0,'Input Data Sheet'!AC32/'Input Data Sheet'!$P32)</f>
        <v>0.21558436807141393</v>
      </c>
      <c r="AM32" s="331">
        <f>IF('Input Data Sheet'!$P32=0,0,'Input Data Sheet'!AD32/'Input Data Sheet'!$P32)</f>
        <v>0.34647483446480604</v>
      </c>
      <c r="AN32" s="331">
        <f>IF('Input Data Sheet'!$P32=0,0,'Input Data Sheet'!AE32/'Input Data Sheet'!$P32)</f>
        <v>4.6196644595307472E-2</v>
      </c>
      <c r="AO32" s="331">
        <f>IF('Input Data Sheet'!$P32=0,0,'Input Data Sheet'!AF32/'Input Data Sheet'!$P32)</f>
        <v>0.16168825608357615</v>
      </c>
      <c r="AP32" s="331">
        <f>IF('Input Data Sheet'!$P32=0,0,'Input Data Sheet'!AG32/'Input Data Sheet'!$P32)</f>
        <v>0</v>
      </c>
      <c r="AQ32" s="331">
        <f>IF('Input Data Sheet'!$P32=0,0,'Input Data Sheet'!AH32/'Input Data Sheet'!$P32)</f>
        <v>0</v>
      </c>
      <c r="AR32" s="331">
        <f>IF('Input Data Sheet'!$P32=0,0,'Input Data Sheet'!AI32/'Input Data Sheet'!$P32)</f>
        <v>0</v>
      </c>
      <c r="AS32" s="331">
        <f>IF('Input Data Sheet'!$P32=0,0,'Input Data Sheet'!AJ32/'Input Data Sheet'!$P32)</f>
        <v>0</v>
      </c>
      <c r="AT32" s="331">
        <f>IF('Input Data Sheet'!$P32=0,0,'Input Data Sheet'!AK32/'Input Data Sheet'!$P32)</f>
        <v>0</v>
      </c>
      <c r="AU32" s="331">
        <f>IF('Input Data Sheet'!$P32=0,0,'Input Data Sheet'!AL32/'Input Data Sheet'!$P32)</f>
        <v>0</v>
      </c>
      <c r="AV32" s="331">
        <f>IF('Input Data Sheet'!$P32=0,0,'Input Data Sheet'!AM32/'Input Data Sheet'!$P32)</f>
        <v>0</v>
      </c>
      <c r="AW32" s="331">
        <f>IF('Input Data Sheet'!$P32=0,0,'Input Data Sheet'!AN32/'Input Data Sheet'!$P32)</f>
        <v>0</v>
      </c>
      <c r="AX32" s="331">
        <f>IF('Input Data Sheet'!$P32=0,0,'Input Data Sheet'!AO32/'Input Data Sheet'!$P32)</f>
        <v>0</v>
      </c>
      <c r="AY32" s="331">
        <f>IF('Input Data Sheet'!$P32=0,0,'Input Data Sheet'!AP32/'Input Data Sheet'!$P32)</f>
        <v>1.0284541922109394E-2</v>
      </c>
      <c r="AZ32" s="331">
        <f>IF('Input Data Sheet'!$P32=0,0,'Input Data Sheet'!AQ32/'Input Data Sheet'!$P32)</f>
        <v>0</v>
      </c>
      <c r="BA32" s="331">
        <f>IF('Input Data Sheet'!$P32=0,0,'Input Data Sheet'!AR32/'Input Data Sheet'!$P32)</f>
        <v>0</v>
      </c>
      <c r="BB32" s="331">
        <f>IF('Input Data Sheet'!$P32=0,0,'Input Data Sheet'!AS32/'Input Data Sheet'!$P32)</f>
        <v>0</v>
      </c>
      <c r="BC32" s="331">
        <f>IF('Input Data Sheet'!$P32=0,0,'Input Data Sheet'!AT32/'Input Data Sheet'!$P32)</f>
        <v>0</v>
      </c>
      <c r="BD32" s="331">
        <f>IF('Input Data Sheet'!$P32=0,0,'Input Data Sheet'!AU32/'Input Data Sheet'!$P32)</f>
        <v>0</v>
      </c>
      <c r="BE32" s="331">
        <f>IF('Input Data Sheet'!$P32=0,0,'Input Data Sheet'!AV32/'Input Data Sheet'!$P32)</f>
        <v>0</v>
      </c>
      <c r="BF32" s="332">
        <f>IF('Input Data Sheet'!$P32=0,0,'Input Data Sheet'!AW32/'Input Data Sheet'!$P32)</f>
        <v>0</v>
      </c>
      <c r="BG32" s="328">
        <f t="shared" si="11"/>
        <v>1</v>
      </c>
    </row>
    <row r="33" spans="1:59" ht="12.75" x14ac:dyDescent="0.2">
      <c r="A33" s="409" t="str">
        <f>'Input Data Sheet'!B33</f>
        <v>ND1220</v>
      </c>
      <c r="B33" s="314" t="str">
        <f>'Input Data Sheet'!C33</f>
        <v>North Hobart Substation 11 kV connection point</v>
      </c>
      <c r="C33" s="314" t="str">
        <f>'Input Data Sheet'!D33</f>
        <v>Connection</v>
      </c>
      <c r="D33" s="333" t="str">
        <f>'Input Data Sheet'!E33</f>
        <v>2016/17</v>
      </c>
      <c r="E33" s="333">
        <f>'Input Data Sheet'!F33</f>
        <v>9</v>
      </c>
      <c r="F33" s="315"/>
      <c r="G33" s="315"/>
      <c r="H33" s="316">
        <f>'Input Data Sheet'!J33</f>
        <v>0</v>
      </c>
      <c r="I33" s="316"/>
      <c r="J33" s="316">
        <f>'Input Data Sheet'!K33</f>
        <v>0</v>
      </c>
      <c r="K33" s="496"/>
      <c r="L33" s="496"/>
      <c r="M33" s="496"/>
      <c r="N33" s="316"/>
      <c r="O33" s="287">
        <f t="shared" si="9"/>
        <v>4268527</v>
      </c>
      <c r="P33" s="320">
        <f>'Input Data Sheet'!Q33</f>
        <v>0</v>
      </c>
      <c r="Q33" s="287">
        <f>'Input Data Sheet'!R33</f>
        <v>0</v>
      </c>
      <c r="R33" s="341">
        <f>'Input Data Sheet'!S33</f>
        <v>575103</v>
      </c>
      <c r="S33" s="341">
        <f>'Input Data Sheet'!T33</f>
        <v>2563021</v>
      </c>
      <c r="T33" s="341">
        <f>'Input Data Sheet'!U33</f>
        <v>1130403</v>
      </c>
      <c r="U33" s="341">
        <f>'Input Data Sheet'!V33</f>
        <v>0</v>
      </c>
      <c r="V33" s="341">
        <f>'Input Data Sheet'!W33</f>
        <v>0</v>
      </c>
      <c r="W33" s="287">
        <f>'Input Data Sheet'!X33</f>
        <v>0</v>
      </c>
      <c r="X33" s="321">
        <f>'Input Data Sheet'!Y33</f>
        <v>0</v>
      </c>
      <c r="Y33" s="287">
        <f t="shared" si="10"/>
        <v>0</v>
      </c>
      <c r="Z33" s="287">
        <f t="shared" si="1"/>
        <v>0</v>
      </c>
      <c r="AA33" s="341">
        <f t="shared" si="2"/>
        <v>0</v>
      </c>
      <c r="AB33" s="341">
        <f t="shared" si="3"/>
        <v>0</v>
      </c>
      <c r="AC33" s="341">
        <f t="shared" si="4"/>
        <v>4268527</v>
      </c>
      <c r="AD33" s="341">
        <f t="shared" si="5"/>
        <v>0</v>
      </c>
      <c r="AE33" s="341">
        <f t="shared" si="6"/>
        <v>0</v>
      </c>
      <c r="AF33" s="287">
        <f t="shared" si="7"/>
        <v>0</v>
      </c>
      <c r="AG33" s="287">
        <f t="shared" si="8"/>
        <v>0</v>
      </c>
      <c r="AH33" s="322">
        <f>IF($H33,0,IFERROR(IF(VALUE(LEFT(D33,4))&gt;VALUE(LEFT(Parameters!$B$66,4))+1,O33-SUM(R33:X33),0),0))</f>
        <v>0</v>
      </c>
      <c r="AI33" s="330">
        <f>IF('Input Data Sheet'!$P33=0,0,'Input Data Sheet'!Z33/'Input Data Sheet'!$P33)</f>
        <v>0</v>
      </c>
      <c r="AJ33" s="331">
        <f>IF('Input Data Sheet'!$P33=0,0,'Input Data Sheet'!AA33/'Input Data Sheet'!$P33)</f>
        <v>0</v>
      </c>
      <c r="AK33" s="331">
        <f>IF('Input Data Sheet'!$P33=0,0,'Input Data Sheet'!AB33/'Input Data Sheet'!$P33)</f>
        <v>0</v>
      </c>
      <c r="AL33" s="331">
        <f>IF('Input Data Sheet'!$P33=0,0,'Input Data Sheet'!AC33/'Input Data Sheet'!$P33)</f>
        <v>0.28000003748364777</v>
      </c>
      <c r="AM33" s="331">
        <f>IF('Input Data Sheet'!$P33=0,0,'Input Data Sheet'!AD33/'Input Data Sheet'!$P33)</f>
        <v>0.45000009370911942</v>
      </c>
      <c r="AN33" s="331">
        <f>IF('Input Data Sheet'!$P33=0,0,'Input Data Sheet'!AE33/'Input Data Sheet'!$P33)</f>
        <v>6.0000074967295515E-2</v>
      </c>
      <c r="AO33" s="331">
        <f>IF('Input Data Sheet'!$P33=0,0,'Input Data Sheet'!AF33/'Input Data Sheet'!$P33)</f>
        <v>0.21000002811273583</v>
      </c>
      <c r="AP33" s="331">
        <f>IF('Input Data Sheet'!$P33=0,0,'Input Data Sheet'!AG33/'Input Data Sheet'!$P33)</f>
        <v>0</v>
      </c>
      <c r="AQ33" s="331">
        <f>IF('Input Data Sheet'!$P33=0,0,'Input Data Sheet'!AH33/'Input Data Sheet'!$P33)</f>
        <v>0</v>
      </c>
      <c r="AR33" s="331">
        <f>IF('Input Data Sheet'!$P33=0,0,'Input Data Sheet'!AI33/'Input Data Sheet'!$P33)</f>
        <v>0</v>
      </c>
      <c r="AS33" s="331">
        <f>IF('Input Data Sheet'!$P33=0,0,'Input Data Sheet'!AJ33/'Input Data Sheet'!$P33)</f>
        <v>0</v>
      </c>
      <c r="AT33" s="331">
        <f>IF('Input Data Sheet'!$P33=0,0,'Input Data Sheet'!AK33/'Input Data Sheet'!$P33)</f>
        <v>0</v>
      </c>
      <c r="AU33" s="331">
        <f>IF('Input Data Sheet'!$P33=0,0,'Input Data Sheet'!AL33/'Input Data Sheet'!$P33)</f>
        <v>0</v>
      </c>
      <c r="AV33" s="331">
        <f>IF('Input Data Sheet'!$P33=0,0,'Input Data Sheet'!AM33/'Input Data Sheet'!$P33)</f>
        <v>0</v>
      </c>
      <c r="AW33" s="331">
        <f>IF('Input Data Sheet'!$P33=0,0,'Input Data Sheet'!AN33/'Input Data Sheet'!$P33)</f>
        <v>0</v>
      </c>
      <c r="AX33" s="331">
        <f>IF('Input Data Sheet'!$P33=0,0,'Input Data Sheet'!AO33/'Input Data Sheet'!$P33)</f>
        <v>0</v>
      </c>
      <c r="AY33" s="331">
        <f>IF('Input Data Sheet'!$P33=0,0,'Input Data Sheet'!AP33/'Input Data Sheet'!$P33)</f>
        <v>0</v>
      </c>
      <c r="AZ33" s="331">
        <f>IF('Input Data Sheet'!$P33=0,0,'Input Data Sheet'!AQ33/'Input Data Sheet'!$P33)</f>
        <v>0</v>
      </c>
      <c r="BA33" s="331">
        <f>IF('Input Data Sheet'!$P33=0,0,'Input Data Sheet'!AR33/'Input Data Sheet'!$P33)</f>
        <v>0</v>
      </c>
      <c r="BB33" s="331">
        <f>IF('Input Data Sheet'!$P33=0,0,'Input Data Sheet'!AS33/'Input Data Sheet'!$P33)</f>
        <v>0</v>
      </c>
      <c r="BC33" s="331">
        <f>IF('Input Data Sheet'!$P33=0,0,'Input Data Sheet'!AT33/'Input Data Sheet'!$P33)</f>
        <v>0</v>
      </c>
      <c r="BD33" s="331">
        <f>IF('Input Data Sheet'!$P33=0,0,'Input Data Sheet'!AU33/'Input Data Sheet'!$P33)</f>
        <v>0</v>
      </c>
      <c r="BE33" s="331">
        <f>IF('Input Data Sheet'!$P33=0,0,'Input Data Sheet'!AV33/'Input Data Sheet'!$P33)</f>
        <v>0</v>
      </c>
      <c r="BF33" s="332">
        <f>IF('Input Data Sheet'!$P33=0,0,'Input Data Sheet'!AW33/'Input Data Sheet'!$P33)</f>
        <v>0</v>
      </c>
      <c r="BG33" s="328">
        <f t="shared" si="11"/>
        <v>1.0000002342727985</v>
      </c>
    </row>
    <row r="34" spans="1:59" ht="12.75" x14ac:dyDescent="0.2">
      <c r="A34" s="409" t="str">
        <f>'Input Data Sheet'!B34</f>
        <v>ND1031</v>
      </c>
      <c r="B34" s="314" t="str">
        <f>'Input Data Sheet'!C34</f>
        <v>Northern OPGW Program</v>
      </c>
      <c r="C34" s="314" t="str">
        <f>'Input Data Sheet'!D34</f>
        <v>Asset Renewal</v>
      </c>
      <c r="D34" s="333" t="str">
        <f>'Input Data Sheet'!E34</f>
        <v>2014/15</v>
      </c>
      <c r="E34" s="333">
        <f>'Input Data Sheet'!F34</f>
        <v>0</v>
      </c>
      <c r="F34" s="315"/>
      <c r="G34" s="315"/>
      <c r="H34" s="316">
        <f>'Input Data Sheet'!J34</f>
        <v>0</v>
      </c>
      <c r="I34" s="316"/>
      <c r="J34" s="316">
        <f>'Input Data Sheet'!K34</f>
        <v>0</v>
      </c>
      <c r="K34" s="496"/>
      <c r="L34" s="496"/>
      <c r="M34" s="496"/>
      <c r="N34" s="316"/>
      <c r="O34" s="287">
        <f t="shared" si="9"/>
        <v>130538.10382461803</v>
      </c>
      <c r="P34" s="320">
        <f>'Input Data Sheet'!Q34</f>
        <v>0</v>
      </c>
      <c r="Q34" s="287">
        <f>'Input Data Sheet'!R34</f>
        <v>0</v>
      </c>
      <c r="R34" s="341">
        <f>'Input Data Sheet'!S34</f>
        <v>130538.10382461803</v>
      </c>
      <c r="S34" s="341">
        <f>'Input Data Sheet'!T34</f>
        <v>0</v>
      </c>
      <c r="T34" s="341">
        <f>'Input Data Sheet'!U34</f>
        <v>0</v>
      </c>
      <c r="U34" s="341">
        <f>'Input Data Sheet'!V34</f>
        <v>0</v>
      </c>
      <c r="V34" s="341">
        <f>'Input Data Sheet'!W34</f>
        <v>0</v>
      </c>
      <c r="W34" s="287">
        <f>'Input Data Sheet'!X34</f>
        <v>0</v>
      </c>
      <c r="X34" s="321">
        <f>'Input Data Sheet'!Y34</f>
        <v>0</v>
      </c>
      <c r="Y34" s="287">
        <f t="shared" si="10"/>
        <v>0</v>
      </c>
      <c r="Z34" s="287">
        <f t="shared" si="1"/>
        <v>0</v>
      </c>
      <c r="AA34" s="341">
        <f t="shared" si="2"/>
        <v>130538.10382461803</v>
      </c>
      <c r="AB34" s="341">
        <f t="shared" si="3"/>
        <v>0</v>
      </c>
      <c r="AC34" s="341">
        <f t="shared" si="4"/>
        <v>0</v>
      </c>
      <c r="AD34" s="341">
        <f t="shared" si="5"/>
        <v>0</v>
      </c>
      <c r="AE34" s="341">
        <f t="shared" si="6"/>
        <v>0</v>
      </c>
      <c r="AF34" s="287">
        <f t="shared" si="7"/>
        <v>0</v>
      </c>
      <c r="AG34" s="287">
        <f t="shared" si="8"/>
        <v>0</v>
      </c>
      <c r="AH34" s="322">
        <f>IF($H34,0,IFERROR(IF(VALUE(LEFT(D34,4))&gt;VALUE(LEFT(Parameters!$B$66,4))+1,O34-SUM(R34:X34),0),0))</f>
        <v>0</v>
      </c>
      <c r="AI34" s="330">
        <f>IF('Input Data Sheet'!$P34=0,0,'Input Data Sheet'!Z34/'Input Data Sheet'!$P34)</f>
        <v>0.86</v>
      </c>
      <c r="AJ34" s="331">
        <f>IF('Input Data Sheet'!$P34=0,0,'Input Data Sheet'!AA34/'Input Data Sheet'!$P34)</f>
        <v>7.0000000000000021E-2</v>
      </c>
      <c r="AK34" s="331">
        <f>IF('Input Data Sheet'!$P34=0,0,'Input Data Sheet'!AB34/'Input Data Sheet'!$P34)</f>
        <v>7.0000000000000021E-2</v>
      </c>
      <c r="AL34" s="331">
        <f>IF('Input Data Sheet'!$P34=0,0,'Input Data Sheet'!AC34/'Input Data Sheet'!$P34)</f>
        <v>0</v>
      </c>
      <c r="AM34" s="331">
        <f>IF('Input Data Sheet'!$P34=0,0,'Input Data Sheet'!AD34/'Input Data Sheet'!$P34)</f>
        <v>0</v>
      </c>
      <c r="AN34" s="331">
        <f>IF('Input Data Sheet'!$P34=0,0,'Input Data Sheet'!AE34/'Input Data Sheet'!$P34)</f>
        <v>0</v>
      </c>
      <c r="AO34" s="331">
        <f>IF('Input Data Sheet'!$P34=0,0,'Input Data Sheet'!AF34/'Input Data Sheet'!$P34)</f>
        <v>0</v>
      </c>
      <c r="AP34" s="331">
        <f>IF('Input Data Sheet'!$P34=0,0,'Input Data Sheet'!AG34/'Input Data Sheet'!$P34)</f>
        <v>0</v>
      </c>
      <c r="AQ34" s="331">
        <f>IF('Input Data Sheet'!$P34=0,0,'Input Data Sheet'!AH34/'Input Data Sheet'!$P34)</f>
        <v>0</v>
      </c>
      <c r="AR34" s="331">
        <f>IF('Input Data Sheet'!$P34=0,0,'Input Data Sheet'!AI34/'Input Data Sheet'!$P34)</f>
        <v>0</v>
      </c>
      <c r="AS34" s="331">
        <f>IF('Input Data Sheet'!$P34=0,0,'Input Data Sheet'!AJ34/'Input Data Sheet'!$P34)</f>
        <v>0</v>
      </c>
      <c r="AT34" s="331">
        <f>IF('Input Data Sheet'!$P34=0,0,'Input Data Sheet'!AK34/'Input Data Sheet'!$P34)</f>
        <v>0</v>
      </c>
      <c r="AU34" s="331">
        <f>IF('Input Data Sheet'!$P34=0,0,'Input Data Sheet'!AL34/'Input Data Sheet'!$P34)</f>
        <v>0</v>
      </c>
      <c r="AV34" s="331">
        <f>IF('Input Data Sheet'!$P34=0,0,'Input Data Sheet'!AM34/'Input Data Sheet'!$P34)</f>
        <v>0</v>
      </c>
      <c r="AW34" s="331">
        <f>IF('Input Data Sheet'!$P34=0,0,'Input Data Sheet'!AN34/'Input Data Sheet'!$P34)</f>
        <v>0</v>
      </c>
      <c r="AX34" s="331">
        <f>IF('Input Data Sheet'!$P34=0,0,'Input Data Sheet'!AO34/'Input Data Sheet'!$P34)</f>
        <v>0</v>
      </c>
      <c r="AY34" s="331">
        <f>IF('Input Data Sheet'!$P34=0,0,'Input Data Sheet'!AP34/'Input Data Sheet'!$P34)</f>
        <v>0</v>
      </c>
      <c r="AZ34" s="331">
        <f>IF('Input Data Sheet'!$P34=0,0,'Input Data Sheet'!AQ34/'Input Data Sheet'!$P34)</f>
        <v>0</v>
      </c>
      <c r="BA34" s="331">
        <f>IF('Input Data Sheet'!$P34=0,0,'Input Data Sheet'!AR34/'Input Data Sheet'!$P34)</f>
        <v>0</v>
      </c>
      <c r="BB34" s="331">
        <f>IF('Input Data Sheet'!$P34=0,0,'Input Data Sheet'!AS34/'Input Data Sheet'!$P34)</f>
        <v>0</v>
      </c>
      <c r="BC34" s="331">
        <f>IF('Input Data Sheet'!$P34=0,0,'Input Data Sheet'!AT34/'Input Data Sheet'!$P34)</f>
        <v>0</v>
      </c>
      <c r="BD34" s="331">
        <f>IF('Input Data Sheet'!$P34=0,0,'Input Data Sheet'!AU34/'Input Data Sheet'!$P34)</f>
        <v>0</v>
      </c>
      <c r="BE34" s="331">
        <f>IF('Input Data Sheet'!$P34=0,0,'Input Data Sheet'!AV34/'Input Data Sheet'!$P34)</f>
        <v>0</v>
      </c>
      <c r="BF34" s="332">
        <f>IF('Input Data Sheet'!$P34=0,0,'Input Data Sheet'!AW34/'Input Data Sheet'!$P34)</f>
        <v>0</v>
      </c>
      <c r="BG34" s="328">
        <f t="shared" si="11"/>
        <v>1</v>
      </c>
    </row>
    <row r="35" spans="1:59" ht="12.75" x14ac:dyDescent="0.2">
      <c r="A35" s="409" t="str">
        <f>'Input Data Sheet'!B35</f>
        <v>ND0790</v>
      </c>
      <c r="B35" s="314" t="str">
        <f>'Input Data Sheet'!C35</f>
        <v>Office equipment and minor assets</v>
      </c>
      <c r="C35" s="314" t="str">
        <f>'Input Data Sheet'!D35</f>
        <v>Business support</v>
      </c>
      <c r="D35" s="333" t="str">
        <f>'Input Data Sheet'!E35</f>
        <v>2018/19</v>
      </c>
      <c r="E35" s="333">
        <f>'Input Data Sheet'!F35</f>
        <v>18</v>
      </c>
      <c r="F35" s="315"/>
      <c r="G35" s="315"/>
      <c r="H35" s="316">
        <f>'Input Data Sheet'!J35</f>
        <v>1</v>
      </c>
      <c r="I35" s="316"/>
      <c r="J35" s="316">
        <f>'Input Data Sheet'!K35</f>
        <v>0</v>
      </c>
      <c r="K35" s="496"/>
      <c r="L35" s="496"/>
      <c r="M35" s="496"/>
      <c r="N35" s="316"/>
      <c r="O35" s="287">
        <f t="shared" si="9"/>
        <v>400000</v>
      </c>
      <c r="P35" s="320">
        <f>'Input Data Sheet'!Q35</f>
        <v>0</v>
      </c>
      <c r="Q35" s="287">
        <f>'Input Data Sheet'!R35</f>
        <v>0</v>
      </c>
      <c r="R35" s="341">
        <f>'Input Data Sheet'!S35</f>
        <v>80000</v>
      </c>
      <c r="S35" s="341">
        <f>'Input Data Sheet'!T35</f>
        <v>80000</v>
      </c>
      <c r="T35" s="341">
        <f>'Input Data Sheet'!U35</f>
        <v>80000</v>
      </c>
      <c r="U35" s="341">
        <f>'Input Data Sheet'!V35</f>
        <v>80000</v>
      </c>
      <c r="V35" s="341">
        <f>'Input Data Sheet'!W35</f>
        <v>80000</v>
      </c>
      <c r="W35" s="287">
        <f>'Input Data Sheet'!X35</f>
        <v>0</v>
      </c>
      <c r="X35" s="321">
        <f>'Input Data Sheet'!Y35</f>
        <v>0</v>
      </c>
      <c r="Y35" s="287">
        <f t="shared" si="10"/>
        <v>0</v>
      </c>
      <c r="Z35" s="287">
        <f t="shared" si="1"/>
        <v>0</v>
      </c>
      <c r="AA35" s="341">
        <f t="shared" si="2"/>
        <v>80000</v>
      </c>
      <c r="AB35" s="341">
        <f t="shared" si="3"/>
        <v>80000</v>
      </c>
      <c r="AC35" s="341">
        <f t="shared" si="4"/>
        <v>80000</v>
      </c>
      <c r="AD35" s="341">
        <f t="shared" si="5"/>
        <v>80000</v>
      </c>
      <c r="AE35" s="341">
        <f t="shared" si="6"/>
        <v>80000</v>
      </c>
      <c r="AF35" s="287">
        <f t="shared" si="7"/>
        <v>0</v>
      </c>
      <c r="AG35" s="287">
        <f t="shared" si="8"/>
        <v>0</v>
      </c>
      <c r="AH35" s="322">
        <f>IF($H35,0,IFERROR(IF(VALUE(LEFT(D35,4))&gt;VALUE(LEFT(Parameters!$B$66,4))+1,O35-SUM(R35:X35),0),0))</f>
        <v>0</v>
      </c>
      <c r="AI35" s="330">
        <f>IF('Input Data Sheet'!$P35=0,0,'Input Data Sheet'!Z35/'Input Data Sheet'!$P35)</f>
        <v>0</v>
      </c>
      <c r="AJ35" s="331">
        <f>IF('Input Data Sheet'!$P35=0,0,'Input Data Sheet'!AA35/'Input Data Sheet'!$P35)</f>
        <v>0</v>
      </c>
      <c r="AK35" s="331">
        <f>IF('Input Data Sheet'!$P35=0,0,'Input Data Sheet'!AB35/'Input Data Sheet'!$P35)</f>
        <v>0</v>
      </c>
      <c r="AL35" s="331">
        <f>IF('Input Data Sheet'!$P35=0,0,'Input Data Sheet'!AC35/'Input Data Sheet'!$P35)</f>
        <v>0</v>
      </c>
      <c r="AM35" s="331">
        <f>IF('Input Data Sheet'!$P35=0,0,'Input Data Sheet'!AD35/'Input Data Sheet'!$P35)</f>
        <v>0</v>
      </c>
      <c r="AN35" s="331">
        <f>IF('Input Data Sheet'!$P35=0,0,'Input Data Sheet'!AE35/'Input Data Sheet'!$P35)</f>
        <v>0</v>
      </c>
      <c r="AO35" s="331">
        <f>IF('Input Data Sheet'!$P35=0,0,'Input Data Sheet'!AF35/'Input Data Sheet'!$P35)</f>
        <v>0</v>
      </c>
      <c r="AP35" s="331">
        <f>IF('Input Data Sheet'!$P35=0,0,'Input Data Sheet'!AG35/'Input Data Sheet'!$P35)</f>
        <v>0</v>
      </c>
      <c r="AQ35" s="331">
        <f>IF('Input Data Sheet'!$P35=0,0,'Input Data Sheet'!AH35/'Input Data Sheet'!$P35)</f>
        <v>0</v>
      </c>
      <c r="AR35" s="331">
        <f>IF('Input Data Sheet'!$P35=0,0,'Input Data Sheet'!AI35/'Input Data Sheet'!$P35)</f>
        <v>0</v>
      </c>
      <c r="AS35" s="331">
        <f>IF('Input Data Sheet'!$P35=0,0,'Input Data Sheet'!AJ35/'Input Data Sheet'!$P35)</f>
        <v>0</v>
      </c>
      <c r="AT35" s="331">
        <f>IF('Input Data Sheet'!$P35=0,0,'Input Data Sheet'!AK35/'Input Data Sheet'!$P35)</f>
        <v>1</v>
      </c>
      <c r="AU35" s="331">
        <f>IF('Input Data Sheet'!$P35=0,0,'Input Data Sheet'!AL35/'Input Data Sheet'!$P35)</f>
        <v>0</v>
      </c>
      <c r="AV35" s="331">
        <f>IF('Input Data Sheet'!$P35=0,0,'Input Data Sheet'!AM35/'Input Data Sheet'!$P35)</f>
        <v>0</v>
      </c>
      <c r="AW35" s="331">
        <f>IF('Input Data Sheet'!$P35=0,0,'Input Data Sheet'!AN35/'Input Data Sheet'!$P35)</f>
        <v>0</v>
      </c>
      <c r="AX35" s="331">
        <f>IF('Input Data Sheet'!$P35=0,0,'Input Data Sheet'!AO35/'Input Data Sheet'!$P35)</f>
        <v>0</v>
      </c>
      <c r="AY35" s="331">
        <f>IF('Input Data Sheet'!$P35=0,0,'Input Data Sheet'!AP35/'Input Data Sheet'!$P35)</f>
        <v>0</v>
      </c>
      <c r="AZ35" s="331">
        <f>IF('Input Data Sheet'!$P35=0,0,'Input Data Sheet'!AQ35/'Input Data Sheet'!$P35)</f>
        <v>0</v>
      </c>
      <c r="BA35" s="331">
        <f>IF('Input Data Sheet'!$P35=0,0,'Input Data Sheet'!AR35/'Input Data Sheet'!$P35)</f>
        <v>0</v>
      </c>
      <c r="BB35" s="331">
        <f>IF('Input Data Sheet'!$P35=0,0,'Input Data Sheet'!AS35/'Input Data Sheet'!$P35)</f>
        <v>0</v>
      </c>
      <c r="BC35" s="331">
        <f>IF('Input Data Sheet'!$P35=0,0,'Input Data Sheet'!AT35/'Input Data Sheet'!$P35)</f>
        <v>0</v>
      </c>
      <c r="BD35" s="331">
        <f>IF('Input Data Sheet'!$P35=0,0,'Input Data Sheet'!AU35/'Input Data Sheet'!$P35)</f>
        <v>0</v>
      </c>
      <c r="BE35" s="331">
        <f>IF('Input Data Sheet'!$P35=0,0,'Input Data Sheet'!AV35/'Input Data Sheet'!$P35)</f>
        <v>0</v>
      </c>
      <c r="BF35" s="332">
        <f>IF('Input Data Sheet'!$P35=0,0,'Input Data Sheet'!AW35/'Input Data Sheet'!$P35)</f>
        <v>0</v>
      </c>
      <c r="BG35" s="328">
        <f t="shared" si="11"/>
        <v>1</v>
      </c>
    </row>
    <row r="36" spans="1:59" ht="12.75" x14ac:dyDescent="0.2">
      <c r="A36" s="409" t="str">
        <f>'Input Data Sheet'!B36</f>
        <v>ND1348</v>
      </c>
      <c r="B36" s="314" t="str">
        <f>'Input Data Sheet'!C36</f>
        <v>Operations Building accommodation expansion</v>
      </c>
      <c r="C36" s="314" t="str">
        <f>'Input Data Sheet'!D36</f>
        <v>Business Support</v>
      </c>
      <c r="D36" s="333" t="str">
        <f>'Input Data Sheet'!E36</f>
        <v>2014/15</v>
      </c>
      <c r="E36" s="333">
        <f>'Input Data Sheet'!F36</f>
        <v>0</v>
      </c>
      <c r="F36" s="315"/>
      <c r="G36" s="315"/>
      <c r="H36" s="316">
        <f>'Input Data Sheet'!J36</f>
        <v>0</v>
      </c>
      <c r="I36" s="316"/>
      <c r="J36" s="316">
        <f>'Input Data Sheet'!K36</f>
        <v>0</v>
      </c>
      <c r="K36" s="496"/>
      <c r="L36" s="496"/>
      <c r="M36" s="496"/>
      <c r="N36" s="316"/>
      <c r="O36" s="287">
        <f t="shared" si="9"/>
        <v>400046.88241434947</v>
      </c>
      <c r="P36" s="320">
        <f>'Input Data Sheet'!Q36</f>
        <v>0</v>
      </c>
      <c r="Q36" s="287">
        <f>'Input Data Sheet'!R36</f>
        <v>157217.42431432096</v>
      </c>
      <c r="R36" s="341">
        <f>'Input Data Sheet'!S36</f>
        <v>242829.45810002848</v>
      </c>
      <c r="S36" s="341">
        <f>'Input Data Sheet'!T36</f>
        <v>0</v>
      </c>
      <c r="T36" s="341">
        <f>'Input Data Sheet'!U36</f>
        <v>0</v>
      </c>
      <c r="U36" s="341">
        <f>'Input Data Sheet'!V36</f>
        <v>0</v>
      </c>
      <c r="V36" s="341">
        <f>'Input Data Sheet'!W36</f>
        <v>0</v>
      </c>
      <c r="W36" s="287">
        <f>'Input Data Sheet'!X36</f>
        <v>0</v>
      </c>
      <c r="X36" s="321">
        <f>'Input Data Sheet'!Y36</f>
        <v>0</v>
      </c>
      <c r="Y36" s="287">
        <f t="shared" si="10"/>
        <v>0</v>
      </c>
      <c r="Z36" s="287">
        <f t="shared" si="1"/>
        <v>0</v>
      </c>
      <c r="AA36" s="341">
        <f t="shared" si="2"/>
        <v>400046.88241434947</v>
      </c>
      <c r="AB36" s="341">
        <f t="shared" si="3"/>
        <v>0</v>
      </c>
      <c r="AC36" s="341">
        <f t="shared" si="4"/>
        <v>0</v>
      </c>
      <c r="AD36" s="341">
        <f t="shared" si="5"/>
        <v>0</v>
      </c>
      <c r="AE36" s="341">
        <f t="shared" si="6"/>
        <v>0</v>
      </c>
      <c r="AF36" s="287">
        <f t="shared" si="7"/>
        <v>0</v>
      </c>
      <c r="AG36" s="287">
        <f t="shared" si="8"/>
        <v>0</v>
      </c>
      <c r="AH36" s="322">
        <f>IF($H36,0,IFERROR(IF(VALUE(LEFT(D36,4))&gt;VALUE(LEFT(Parameters!$B$66,4))+1,O36-SUM(R36:X36),0),0))</f>
        <v>157217.42431432099</v>
      </c>
      <c r="AI36" s="330">
        <f>IF('Input Data Sheet'!$P36=0,0,'Input Data Sheet'!Z36/'Input Data Sheet'!$P36)</f>
        <v>0</v>
      </c>
      <c r="AJ36" s="331">
        <f>IF('Input Data Sheet'!$P36=0,0,'Input Data Sheet'!AA36/'Input Data Sheet'!$P36)</f>
        <v>0</v>
      </c>
      <c r="AK36" s="331">
        <f>IF('Input Data Sheet'!$P36=0,0,'Input Data Sheet'!AB36/'Input Data Sheet'!$P36)</f>
        <v>0</v>
      </c>
      <c r="AL36" s="331">
        <f>IF('Input Data Sheet'!$P36=0,0,'Input Data Sheet'!AC36/'Input Data Sheet'!$P36)</f>
        <v>0</v>
      </c>
      <c r="AM36" s="331">
        <f>IF('Input Data Sheet'!$P36=0,0,'Input Data Sheet'!AD36/'Input Data Sheet'!$P36)</f>
        <v>0</v>
      </c>
      <c r="AN36" s="331">
        <f>IF('Input Data Sheet'!$P36=0,0,'Input Data Sheet'!AE36/'Input Data Sheet'!$P36)</f>
        <v>0</v>
      </c>
      <c r="AO36" s="331">
        <f>IF('Input Data Sheet'!$P36=0,0,'Input Data Sheet'!AF36/'Input Data Sheet'!$P36)</f>
        <v>0</v>
      </c>
      <c r="AP36" s="331">
        <f>IF('Input Data Sheet'!$P36=0,0,'Input Data Sheet'!AG36/'Input Data Sheet'!$P36)</f>
        <v>0</v>
      </c>
      <c r="AQ36" s="331">
        <f>IF('Input Data Sheet'!$P36=0,0,'Input Data Sheet'!AH36/'Input Data Sheet'!$P36)</f>
        <v>0</v>
      </c>
      <c r="AR36" s="331">
        <f>IF('Input Data Sheet'!$P36=0,0,'Input Data Sheet'!AI36/'Input Data Sheet'!$P36)</f>
        <v>0</v>
      </c>
      <c r="AS36" s="331">
        <f>IF('Input Data Sheet'!$P36=0,0,'Input Data Sheet'!AJ36/'Input Data Sheet'!$P36)</f>
        <v>9.9999999999999992E-2</v>
      </c>
      <c r="AT36" s="331">
        <f>IF('Input Data Sheet'!$P36=0,0,'Input Data Sheet'!AK36/'Input Data Sheet'!$P36)</f>
        <v>0.5</v>
      </c>
      <c r="AU36" s="331">
        <f>IF('Input Data Sheet'!$P36=0,0,'Input Data Sheet'!AL36/'Input Data Sheet'!$P36)</f>
        <v>0.39999999999999997</v>
      </c>
      <c r="AV36" s="331">
        <f>IF('Input Data Sheet'!$P36=0,0,'Input Data Sheet'!AM36/'Input Data Sheet'!$P36)</f>
        <v>0</v>
      </c>
      <c r="AW36" s="331">
        <f>IF('Input Data Sheet'!$P36=0,0,'Input Data Sheet'!AN36/'Input Data Sheet'!$P36)</f>
        <v>0</v>
      </c>
      <c r="AX36" s="331">
        <f>IF('Input Data Sheet'!$P36=0,0,'Input Data Sheet'!AO36/'Input Data Sheet'!$P36)</f>
        <v>0</v>
      </c>
      <c r="AY36" s="331">
        <f>IF('Input Data Sheet'!$P36=0,0,'Input Data Sheet'!AP36/'Input Data Sheet'!$P36)</f>
        <v>0</v>
      </c>
      <c r="AZ36" s="331">
        <f>IF('Input Data Sheet'!$P36=0,0,'Input Data Sheet'!AQ36/'Input Data Sheet'!$P36)</f>
        <v>0</v>
      </c>
      <c r="BA36" s="331">
        <f>IF('Input Data Sheet'!$P36=0,0,'Input Data Sheet'!AR36/'Input Data Sheet'!$P36)</f>
        <v>0</v>
      </c>
      <c r="BB36" s="331">
        <f>IF('Input Data Sheet'!$P36=0,0,'Input Data Sheet'!AS36/'Input Data Sheet'!$P36)</f>
        <v>0</v>
      </c>
      <c r="BC36" s="331">
        <f>IF('Input Data Sheet'!$P36=0,0,'Input Data Sheet'!AT36/'Input Data Sheet'!$P36)</f>
        <v>0</v>
      </c>
      <c r="BD36" s="331">
        <f>IF('Input Data Sheet'!$P36=0,0,'Input Data Sheet'!AU36/'Input Data Sheet'!$P36)</f>
        <v>0</v>
      </c>
      <c r="BE36" s="331">
        <f>IF('Input Data Sheet'!$P36=0,0,'Input Data Sheet'!AV36/'Input Data Sheet'!$P36)</f>
        <v>0</v>
      </c>
      <c r="BF36" s="332">
        <f>IF('Input Data Sheet'!$P36=0,0,'Input Data Sheet'!AW36/'Input Data Sheet'!$P36)</f>
        <v>0</v>
      </c>
      <c r="BG36" s="328">
        <f t="shared" si="11"/>
        <v>1</v>
      </c>
    </row>
    <row r="37" spans="1:59" ht="12.75" x14ac:dyDescent="0.2">
      <c r="A37" s="409" t="str">
        <f>'Input Data Sheet'!B37</f>
        <v>ND1221</v>
      </c>
      <c r="B37" s="314" t="str">
        <f>'Input Data Sheet'!C37</f>
        <v>Operations Building air conditioning renewal</v>
      </c>
      <c r="C37" s="314" t="str">
        <f>'Input Data Sheet'!D37</f>
        <v>Business support</v>
      </c>
      <c r="D37" s="333" t="str">
        <f>'Input Data Sheet'!E37</f>
        <v>2018/19</v>
      </c>
      <c r="E37" s="333">
        <f>'Input Data Sheet'!F37</f>
        <v>18</v>
      </c>
      <c r="F37" s="315"/>
      <c r="G37" s="315"/>
      <c r="H37" s="316">
        <f>'Input Data Sheet'!J37</f>
        <v>0</v>
      </c>
      <c r="I37" s="316"/>
      <c r="J37" s="316">
        <f>'Input Data Sheet'!K37</f>
        <v>0</v>
      </c>
      <c r="K37" s="496"/>
      <c r="L37" s="496"/>
      <c r="M37" s="496"/>
      <c r="N37" s="316"/>
      <c r="O37" s="287">
        <f t="shared" si="9"/>
        <v>346150</v>
      </c>
      <c r="P37" s="320">
        <f>'Input Data Sheet'!Q37</f>
        <v>0</v>
      </c>
      <c r="Q37" s="287">
        <f>'Input Data Sheet'!R37</f>
        <v>0</v>
      </c>
      <c r="R37" s="341">
        <f>'Input Data Sheet'!S37</f>
        <v>159850</v>
      </c>
      <c r="S37" s="341">
        <f>'Input Data Sheet'!T37</f>
        <v>46000</v>
      </c>
      <c r="T37" s="341">
        <f>'Input Data Sheet'!U37</f>
        <v>51750</v>
      </c>
      <c r="U37" s="341">
        <f>'Input Data Sheet'!V37</f>
        <v>56350</v>
      </c>
      <c r="V37" s="341">
        <f>'Input Data Sheet'!W37</f>
        <v>32200</v>
      </c>
      <c r="W37" s="287">
        <f>'Input Data Sheet'!X37</f>
        <v>0</v>
      </c>
      <c r="X37" s="321">
        <f>'Input Data Sheet'!Y37</f>
        <v>0</v>
      </c>
      <c r="Y37" s="287">
        <f t="shared" si="10"/>
        <v>0</v>
      </c>
      <c r="Z37" s="287">
        <f t="shared" si="1"/>
        <v>0</v>
      </c>
      <c r="AA37" s="341">
        <f t="shared" si="2"/>
        <v>0</v>
      </c>
      <c r="AB37" s="341">
        <f t="shared" si="3"/>
        <v>0</v>
      </c>
      <c r="AC37" s="341">
        <f t="shared" si="4"/>
        <v>0</v>
      </c>
      <c r="AD37" s="341">
        <f t="shared" si="5"/>
        <v>0</v>
      </c>
      <c r="AE37" s="341">
        <f t="shared" si="6"/>
        <v>346150</v>
      </c>
      <c r="AF37" s="287">
        <f t="shared" si="7"/>
        <v>0</v>
      </c>
      <c r="AG37" s="287">
        <f t="shared" si="8"/>
        <v>0</v>
      </c>
      <c r="AH37" s="322">
        <f>IF($H37,0,IFERROR(IF(VALUE(LEFT(D37,4))&gt;VALUE(LEFT(Parameters!$B$66,4))+1,O37-SUM(R37:X37),0),0))</f>
        <v>0</v>
      </c>
      <c r="AI37" s="330">
        <f>IF('Input Data Sheet'!$P37=0,0,'Input Data Sheet'!Z37/'Input Data Sheet'!$P37)</f>
        <v>0</v>
      </c>
      <c r="AJ37" s="331">
        <f>IF('Input Data Sheet'!$P37=0,0,'Input Data Sheet'!AA37/'Input Data Sheet'!$P37)</f>
        <v>0</v>
      </c>
      <c r="AK37" s="331">
        <f>IF('Input Data Sheet'!$P37=0,0,'Input Data Sheet'!AB37/'Input Data Sheet'!$P37)</f>
        <v>0</v>
      </c>
      <c r="AL37" s="331">
        <f>IF('Input Data Sheet'!$P37=0,0,'Input Data Sheet'!AC37/'Input Data Sheet'!$P37)</f>
        <v>0</v>
      </c>
      <c r="AM37" s="331">
        <f>IF('Input Data Sheet'!$P37=0,0,'Input Data Sheet'!AD37/'Input Data Sheet'!$P37)</f>
        <v>0</v>
      </c>
      <c r="AN37" s="331">
        <f>IF('Input Data Sheet'!$P37=0,0,'Input Data Sheet'!AE37/'Input Data Sheet'!$P37)</f>
        <v>0</v>
      </c>
      <c r="AO37" s="331">
        <f>IF('Input Data Sheet'!$P37=0,0,'Input Data Sheet'!AF37/'Input Data Sheet'!$P37)</f>
        <v>0</v>
      </c>
      <c r="AP37" s="331">
        <f>IF('Input Data Sheet'!$P37=0,0,'Input Data Sheet'!AG37/'Input Data Sheet'!$P37)</f>
        <v>0</v>
      </c>
      <c r="AQ37" s="331">
        <f>IF('Input Data Sheet'!$P37=0,0,'Input Data Sheet'!AH37/'Input Data Sheet'!$P37)</f>
        <v>0</v>
      </c>
      <c r="AR37" s="331">
        <f>IF('Input Data Sheet'!$P37=0,0,'Input Data Sheet'!AI37/'Input Data Sheet'!$P37)</f>
        <v>0</v>
      </c>
      <c r="AS37" s="331">
        <f>IF('Input Data Sheet'!$P37=0,0,'Input Data Sheet'!AJ37/'Input Data Sheet'!$P37)</f>
        <v>0</v>
      </c>
      <c r="AT37" s="331">
        <f>IF('Input Data Sheet'!$P37=0,0,'Input Data Sheet'!AK37/'Input Data Sheet'!$P37)</f>
        <v>1</v>
      </c>
      <c r="AU37" s="331">
        <f>IF('Input Data Sheet'!$P37=0,0,'Input Data Sheet'!AL37/'Input Data Sheet'!$P37)</f>
        <v>0</v>
      </c>
      <c r="AV37" s="331">
        <f>IF('Input Data Sheet'!$P37=0,0,'Input Data Sheet'!AM37/'Input Data Sheet'!$P37)</f>
        <v>0</v>
      </c>
      <c r="AW37" s="331">
        <f>IF('Input Data Sheet'!$P37=0,0,'Input Data Sheet'!AN37/'Input Data Sheet'!$P37)</f>
        <v>0</v>
      </c>
      <c r="AX37" s="331">
        <f>IF('Input Data Sheet'!$P37=0,0,'Input Data Sheet'!AO37/'Input Data Sheet'!$P37)</f>
        <v>0</v>
      </c>
      <c r="AY37" s="331">
        <f>IF('Input Data Sheet'!$P37=0,0,'Input Data Sheet'!AP37/'Input Data Sheet'!$P37)</f>
        <v>0</v>
      </c>
      <c r="AZ37" s="331">
        <f>IF('Input Data Sheet'!$P37=0,0,'Input Data Sheet'!AQ37/'Input Data Sheet'!$P37)</f>
        <v>0</v>
      </c>
      <c r="BA37" s="331">
        <f>IF('Input Data Sheet'!$P37=0,0,'Input Data Sheet'!AR37/'Input Data Sheet'!$P37)</f>
        <v>0</v>
      </c>
      <c r="BB37" s="331">
        <f>IF('Input Data Sheet'!$P37=0,0,'Input Data Sheet'!AS37/'Input Data Sheet'!$P37)</f>
        <v>0</v>
      </c>
      <c r="BC37" s="331">
        <f>IF('Input Data Sheet'!$P37=0,0,'Input Data Sheet'!AT37/'Input Data Sheet'!$P37)</f>
        <v>0</v>
      </c>
      <c r="BD37" s="331">
        <f>IF('Input Data Sheet'!$P37=0,0,'Input Data Sheet'!AU37/'Input Data Sheet'!$P37)</f>
        <v>0</v>
      </c>
      <c r="BE37" s="331">
        <f>IF('Input Data Sheet'!$P37=0,0,'Input Data Sheet'!AV37/'Input Data Sheet'!$P37)</f>
        <v>0</v>
      </c>
      <c r="BF37" s="332">
        <f>IF('Input Data Sheet'!$P37=0,0,'Input Data Sheet'!AW37/'Input Data Sheet'!$P37)</f>
        <v>0</v>
      </c>
      <c r="BG37" s="328">
        <f t="shared" si="11"/>
        <v>1</v>
      </c>
    </row>
    <row r="38" spans="1:59" ht="12.75" x14ac:dyDescent="0.2">
      <c r="A38" s="409" t="str">
        <f>'Input Data Sheet'!B38</f>
        <v>ND1275</v>
      </c>
      <c r="B38" s="314" t="str">
        <f>'Input Data Sheet'!C38</f>
        <v>Operations Building compliance program</v>
      </c>
      <c r="C38" s="314" t="str">
        <f>'Input Data Sheet'!D38</f>
        <v>Business support</v>
      </c>
      <c r="D38" s="333" t="str">
        <f>'Input Data Sheet'!E38</f>
        <v>2015/16</v>
      </c>
      <c r="E38" s="333">
        <f>'Input Data Sheet'!F38</f>
        <v>18</v>
      </c>
      <c r="F38" s="315"/>
      <c r="G38" s="315"/>
      <c r="H38" s="316">
        <f>'Input Data Sheet'!J38</f>
        <v>0</v>
      </c>
      <c r="I38" s="316"/>
      <c r="J38" s="316">
        <f>'Input Data Sheet'!K38</f>
        <v>0</v>
      </c>
      <c r="K38" s="496"/>
      <c r="L38" s="496"/>
      <c r="M38" s="496"/>
      <c r="N38" s="316"/>
      <c r="O38" s="287">
        <f t="shared" si="9"/>
        <v>700000</v>
      </c>
      <c r="P38" s="320">
        <f>'Input Data Sheet'!Q38</f>
        <v>0</v>
      </c>
      <c r="Q38" s="287">
        <f>'Input Data Sheet'!R38</f>
        <v>0</v>
      </c>
      <c r="R38" s="341">
        <f>'Input Data Sheet'!S38</f>
        <v>105000</v>
      </c>
      <c r="S38" s="341">
        <f>'Input Data Sheet'!T38</f>
        <v>595000</v>
      </c>
      <c r="T38" s="341">
        <f>'Input Data Sheet'!U38</f>
        <v>0</v>
      </c>
      <c r="U38" s="341">
        <f>'Input Data Sheet'!V38</f>
        <v>0</v>
      </c>
      <c r="V38" s="341">
        <f>'Input Data Sheet'!W38</f>
        <v>0</v>
      </c>
      <c r="W38" s="287">
        <f>'Input Data Sheet'!X38</f>
        <v>0</v>
      </c>
      <c r="X38" s="321">
        <f>'Input Data Sheet'!Y38</f>
        <v>0</v>
      </c>
      <c r="Y38" s="287">
        <f t="shared" si="10"/>
        <v>0</v>
      </c>
      <c r="Z38" s="287">
        <f t="shared" si="1"/>
        <v>0</v>
      </c>
      <c r="AA38" s="341">
        <f t="shared" si="2"/>
        <v>0</v>
      </c>
      <c r="AB38" s="341">
        <f t="shared" si="3"/>
        <v>700000</v>
      </c>
      <c r="AC38" s="341">
        <f t="shared" si="4"/>
        <v>0</v>
      </c>
      <c r="AD38" s="341">
        <f t="shared" si="5"/>
        <v>0</v>
      </c>
      <c r="AE38" s="341">
        <f t="shared" si="6"/>
        <v>0</v>
      </c>
      <c r="AF38" s="287">
        <f t="shared" si="7"/>
        <v>0</v>
      </c>
      <c r="AG38" s="287">
        <f t="shared" si="8"/>
        <v>0</v>
      </c>
      <c r="AH38" s="322">
        <f>IF($H38,0,IFERROR(IF(VALUE(LEFT(D38,4))&gt;VALUE(LEFT(Parameters!$B$66,4))+1,O38-SUM(R38:X38),0),0))</f>
        <v>0</v>
      </c>
      <c r="AI38" s="330">
        <f>IF('Input Data Sheet'!$P38=0,0,'Input Data Sheet'!Z38/'Input Data Sheet'!$P38)</f>
        <v>0</v>
      </c>
      <c r="AJ38" s="331">
        <f>IF('Input Data Sheet'!$P38=0,0,'Input Data Sheet'!AA38/'Input Data Sheet'!$P38)</f>
        <v>0</v>
      </c>
      <c r="AK38" s="331">
        <f>IF('Input Data Sheet'!$P38=0,0,'Input Data Sheet'!AB38/'Input Data Sheet'!$P38)</f>
        <v>0</v>
      </c>
      <c r="AL38" s="331">
        <f>IF('Input Data Sheet'!$P38=0,0,'Input Data Sheet'!AC38/'Input Data Sheet'!$P38)</f>
        <v>0</v>
      </c>
      <c r="AM38" s="331">
        <f>IF('Input Data Sheet'!$P38=0,0,'Input Data Sheet'!AD38/'Input Data Sheet'!$P38)</f>
        <v>0</v>
      </c>
      <c r="AN38" s="331">
        <f>IF('Input Data Sheet'!$P38=0,0,'Input Data Sheet'!AE38/'Input Data Sheet'!$P38)</f>
        <v>0</v>
      </c>
      <c r="AO38" s="331">
        <f>IF('Input Data Sheet'!$P38=0,0,'Input Data Sheet'!AF38/'Input Data Sheet'!$P38)</f>
        <v>0</v>
      </c>
      <c r="AP38" s="331">
        <f>IF('Input Data Sheet'!$P38=0,0,'Input Data Sheet'!AG38/'Input Data Sheet'!$P38)</f>
        <v>0</v>
      </c>
      <c r="AQ38" s="331">
        <f>IF('Input Data Sheet'!$P38=0,0,'Input Data Sheet'!AH38/'Input Data Sheet'!$P38)</f>
        <v>0</v>
      </c>
      <c r="AR38" s="331">
        <f>IF('Input Data Sheet'!$P38=0,0,'Input Data Sheet'!AI38/'Input Data Sheet'!$P38)</f>
        <v>0</v>
      </c>
      <c r="AS38" s="331">
        <f>IF('Input Data Sheet'!$P38=0,0,'Input Data Sheet'!AJ38/'Input Data Sheet'!$P38)</f>
        <v>1</v>
      </c>
      <c r="AT38" s="331">
        <f>IF('Input Data Sheet'!$P38=0,0,'Input Data Sheet'!AK38/'Input Data Sheet'!$P38)</f>
        <v>0</v>
      </c>
      <c r="AU38" s="331">
        <f>IF('Input Data Sheet'!$P38=0,0,'Input Data Sheet'!AL38/'Input Data Sheet'!$P38)</f>
        <v>0</v>
      </c>
      <c r="AV38" s="331">
        <f>IF('Input Data Sheet'!$P38=0,0,'Input Data Sheet'!AM38/'Input Data Sheet'!$P38)</f>
        <v>0</v>
      </c>
      <c r="AW38" s="331">
        <f>IF('Input Data Sheet'!$P38=0,0,'Input Data Sheet'!AN38/'Input Data Sheet'!$P38)</f>
        <v>0</v>
      </c>
      <c r="AX38" s="331">
        <f>IF('Input Data Sheet'!$P38=0,0,'Input Data Sheet'!AO38/'Input Data Sheet'!$P38)</f>
        <v>0</v>
      </c>
      <c r="AY38" s="331">
        <f>IF('Input Data Sheet'!$P38=0,0,'Input Data Sheet'!AP38/'Input Data Sheet'!$P38)</f>
        <v>0</v>
      </c>
      <c r="AZ38" s="331">
        <f>IF('Input Data Sheet'!$P38=0,0,'Input Data Sheet'!AQ38/'Input Data Sheet'!$P38)</f>
        <v>0</v>
      </c>
      <c r="BA38" s="331">
        <f>IF('Input Data Sheet'!$P38=0,0,'Input Data Sheet'!AR38/'Input Data Sheet'!$P38)</f>
        <v>0</v>
      </c>
      <c r="BB38" s="331">
        <f>IF('Input Data Sheet'!$P38=0,0,'Input Data Sheet'!AS38/'Input Data Sheet'!$P38)</f>
        <v>0</v>
      </c>
      <c r="BC38" s="331">
        <f>IF('Input Data Sheet'!$P38=0,0,'Input Data Sheet'!AT38/'Input Data Sheet'!$P38)</f>
        <v>0</v>
      </c>
      <c r="BD38" s="331">
        <f>IF('Input Data Sheet'!$P38=0,0,'Input Data Sheet'!AU38/'Input Data Sheet'!$P38)</f>
        <v>0</v>
      </c>
      <c r="BE38" s="331">
        <f>IF('Input Data Sheet'!$P38=0,0,'Input Data Sheet'!AV38/'Input Data Sheet'!$P38)</f>
        <v>0</v>
      </c>
      <c r="BF38" s="332">
        <f>IF('Input Data Sheet'!$P38=0,0,'Input Data Sheet'!AW38/'Input Data Sheet'!$P38)</f>
        <v>0</v>
      </c>
      <c r="BG38" s="328">
        <f t="shared" si="11"/>
        <v>1</v>
      </c>
    </row>
    <row r="39" spans="1:59" ht="12.75" x14ac:dyDescent="0.2">
      <c r="A39" s="409" t="str">
        <f>'Input Data Sheet'!B39</f>
        <v>ND1253</v>
      </c>
      <c r="B39" s="314" t="str">
        <f>'Input Data Sheet'!C39</f>
        <v>Port Latta Substation structure renewal</v>
      </c>
      <c r="C39" s="314" t="str">
        <f>'Input Data Sheet'!D39</f>
        <v>Asset Renewal</v>
      </c>
      <c r="D39" s="333" t="str">
        <f>'Input Data Sheet'!E39</f>
        <v>2014/15</v>
      </c>
      <c r="E39" s="333">
        <f>'Input Data Sheet'!F39</f>
        <v>9</v>
      </c>
      <c r="F39" s="315"/>
      <c r="G39" s="315"/>
      <c r="H39" s="316">
        <f>'Input Data Sheet'!J39</f>
        <v>0</v>
      </c>
      <c r="I39" s="316"/>
      <c r="J39" s="316">
        <f>'Input Data Sheet'!K39</f>
        <v>0</v>
      </c>
      <c r="K39" s="496"/>
      <c r="L39" s="496"/>
      <c r="M39" s="496"/>
      <c r="N39" s="316"/>
      <c r="O39" s="287">
        <f t="shared" si="9"/>
        <v>1452460</v>
      </c>
      <c r="P39" s="320">
        <f>'Input Data Sheet'!Q39</f>
        <v>0</v>
      </c>
      <c r="Q39" s="287">
        <f>'Input Data Sheet'!R39</f>
        <v>21898</v>
      </c>
      <c r="R39" s="341">
        <f>'Input Data Sheet'!S39</f>
        <v>1430562</v>
      </c>
      <c r="S39" s="341">
        <f>'Input Data Sheet'!T39</f>
        <v>0</v>
      </c>
      <c r="T39" s="341">
        <f>'Input Data Sheet'!U39</f>
        <v>0</v>
      </c>
      <c r="U39" s="341">
        <f>'Input Data Sheet'!V39</f>
        <v>0</v>
      </c>
      <c r="V39" s="341">
        <f>'Input Data Sheet'!W39</f>
        <v>0</v>
      </c>
      <c r="W39" s="287">
        <f>'Input Data Sheet'!X39</f>
        <v>0</v>
      </c>
      <c r="X39" s="321">
        <f>'Input Data Sheet'!Y39</f>
        <v>0</v>
      </c>
      <c r="Y39" s="287">
        <f t="shared" si="10"/>
        <v>0</v>
      </c>
      <c r="Z39" s="287">
        <f t="shared" si="1"/>
        <v>0</v>
      </c>
      <c r="AA39" s="341">
        <f t="shared" si="2"/>
        <v>1452460</v>
      </c>
      <c r="AB39" s="341">
        <f t="shared" si="3"/>
        <v>0</v>
      </c>
      <c r="AC39" s="341">
        <f t="shared" si="4"/>
        <v>0</v>
      </c>
      <c r="AD39" s="341">
        <f t="shared" si="5"/>
        <v>0</v>
      </c>
      <c r="AE39" s="341">
        <f t="shared" si="6"/>
        <v>0</v>
      </c>
      <c r="AF39" s="287">
        <f t="shared" si="7"/>
        <v>0</v>
      </c>
      <c r="AG39" s="287">
        <f t="shared" si="8"/>
        <v>0</v>
      </c>
      <c r="AH39" s="322">
        <f>IF($H39,0,IFERROR(IF(VALUE(LEFT(D39,4))&gt;VALUE(LEFT(Parameters!$B$66,4))+1,O39-SUM(R39:X39),0),0))</f>
        <v>21898</v>
      </c>
      <c r="AI39" s="330">
        <f>IF('Input Data Sheet'!$P39=0,0,'Input Data Sheet'!Z39/'Input Data Sheet'!$P39)</f>
        <v>0</v>
      </c>
      <c r="AJ39" s="331">
        <f>IF('Input Data Sheet'!$P39=0,0,'Input Data Sheet'!AA39/'Input Data Sheet'!$P39)</f>
        <v>0</v>
      </c>
      <c r="AK39" s="331">
        <f>IF('Input Data Sheet'!$P39=0,0,'Input Data Sheet'!AB39/'Input Data Sheet'!$P39)</f>
        <v>0</v>
      </c>
      <c r="AL39" s="331">
        <f>IF('Input Data Sheet'!$P39=0,0,'Input Data Sheet'!AC39/'Input Data Sheet'!$P39)</f>
        <v>0.28143150241658982</v>
      </c>
      <c r="AM39" s="331">
        <f>IF('Input Data Sheet'!$P39=0,0,'Input Data Sheet'!AD39/'Input Data Sheet'!$P39)</f>
        <v>0.44718821860842989</v>
      </c>
      <c r="AN39" s="331">
        <f>IF('Input Data Sheet'!$P39=0,0,'Input Data Sheet'!AE39/'Input Data Sheet'!$P39)</f>
        <v>6.0306652162538048E-2</v>
      </c>
      <c r="AO39" s="331">
        <f>IF('Input Data Sheet'!$P39=0,0,'Input Data Sheet'!AF39/'Input Data Sheet'!$P39)</f>
        <v>0.21107362681244238</v>
      </c>
      <c r="AP39" s="331">
        <f>IF('Input Data Sheet'!$P39=0,0,'Input Data Sheet'!AG39/'Input Data Sheet'!$P39)</f>
        <v>0</v>
      </c>
      <c r="AQ39" s="331">
        <f>IF('Input Data Sheet'!$P39=0,0,'Input Data Sheet'!AH39/'Input Data Sheet'!$P39)</f>
        <v>0</v>
      </c>
      <c r="AR39" s="331">
        <f>IF('Input Data Sheet'!$P39=0,0,'Input Data Sheet'!AI39/'Input Data Sheet'!$P39)</f>
        <v>0</v>
      </c>
      <c r="AS39" s="331">
        <f>IF('Input Data Sheet'!$P39=0,0,'Input Data Sheet'!AJ39/'Input Data Sheet'!$P39)</f>
        <v>0</v>
      </c>
      <c r="AT39" s="331">
        <f>IF('Input Data Sheet'!$P39=0,0,'Input Data Sheet'!AK39/'Input Data Sheet'!$P39)</f>
        <v>0</v>
      </c>
      <c r="AU39" s="331">
        <f>IF('Input Data Sheet'!$P39=0,0,'Input Data Sheet'!AL39/'Input Data Sheet'!$P39)</f>
        <v>0</v>
      </c>
      <c r="AV39" s="331">
        <f>IF('Input Data Sheet'!$P39=0,0,'Input Data Sheet'!AM39/'Input Data Sheet'!$P39)</f>
        <v>0</v>
      </c>
      <c r="AW39" s="331">
        <f>IF('Input Data Sheet'!$P39=0,0,'Input Data Sheet'!AN39/'Input Data Sheet'!$P39)</f>
        <v>0</v>
      </c>
      <c r="AX39" s="331">
        <f>IF('Input Data Sheet'!$P39=0,0,'Input Data Sheet'!AO39/'Input Data Sheet'!$P39)</f>
        <v>0</v>
      </c>
      <c r="AY39" s="331">
        <f>IF('Input Data Sheet'!$P39=0,0,'Input Data Sheet'!AP39/'Input Data Sheet'!$P39)</f>
        <v>0</v>
      </c>
      <c r="AZ39" s="331">
        <f>IF('Input Data Sheet'!$P39=0,0,'Input Data Sheet'!AQ39/'Input Data Sheet'!$P39)</f>
        <v>0</v>
      </c>
      <c r="BA39" s="331">
        <f>IF('Input Data Sheet'!$P39=0,0,'Input Data Sheet'!AR39/'Input Data Sheet'!$P39)</f>
        <v>0</v>
      </c>
      <c r="BB39" s="331">
        <f>IF('Input Data Sheet'!$P39=0,0,'Input Data Sheet'!AS39/'Input Data Sheet'!$P39)</f>
        <v>0</v>
      </c>
      <c r="BC39" s="331">
        <f>IF('Input Data Sheet'!$P39=0,0,'Input Data Sheet'!AT39/'Input Data Sheet'!$P39)</f>
        <v>0</v>
      </c>
      <c r="BD39" s="331">
        <f>IF('Input Data Sheet'!$P39=0,0,'Input Data Sheet'!AU39/'Input Data Sheet'!$P39)</f>
        <v>0</v>
      </c>
      <c r="BE39" s="331">
        <f>IF('Input Data Sheet'!$P39=0,0,'Input Data Sheet'!AV39/'Input Data Sheet'!$P39)</f>
        <v>0</v>
      </c>
      <c r="BF39" s="332">
        <f>IF('Input Data Sheet'!$P39=0,0,'Input Data Sheet'!AW39/'Input Data Sheet'!$P39)</f>
        <v>0</v>
      </c>
      <c r="BG39" s="328">
        <f t="shared" si="11"/>
        <v>1.0000000000000002</v>
      </c>
    </row>
    <row r="40" spans="1:59" ht="12.75" x14ac:dyDescent="0.2">
      <c r="A40" s="409" t="str">
        <f>'Input Data Sheet'!B40</f>
        <v>ND0958</v>
      </c>
      <c r="B40" s="314" t="str">
        <f>'Input Data Sheet'!C40</f>
        <v>Queenstown Substation Transformer T1 replacement</v>
      </c>
      <c r="C40" s="314" t="str">
        <f>'Input Data Sheet'!D40</f>
        <v>Asset Renewal</v>
      </c>
      <c r="D40" s="333" t="str">
        <f>'Input Data Sheet'!E40</f>
        <v>2014/15</v>
      </c>
      <c r="E40" s="333">
        <f>'Input Data Sheet'!F40</f>
        <v>0</v>
      </c>
      <c r="F40" s="315"/>
      <c r="G40" s="315"/>
      <c r="H40" s="316">
        <f>'Input Data Sheet'!J40</f>
        <v>0</v>
      </c>
      <c r="I40" s="316"/>
      <c r="J40" s="316">
        <f>'Input Data Sheet'!K40</f>
        <v>0</v>
      </c>
      <c r="K40" s="496"/>
      <c r="L40" s="496"/>
      <c r="M40" s="496"/>
      <c r="N40" s="316"/>
      <c r="O40" s="287">
        <f t="shared" si="9"/>
        <v>14292.493119483725</v>
      </c>
      <c r="P40" s="320">
        <f>'Input Data Sheet'!Q40</f>
        <v>0</v>
      </c>
      <c r="Q40" s="287">
        <f>'Input Data Sheet'!R40</f>
        <v>0</v>
      </c>
      <c r="R40" s="341">
        <f>'Input Data Sheet'!S40</f>
        <v>14292.493119483725</v>
      </c>
      <c r="S40" s="341">
        <f>'Input Data Sheet'!T40</f>
        <v>0</v>
      </c>
      <c r="T40" s="341">
        <f>'Input Data Sheet'!U40</f>
        <v>0</v>
      </c>
      <c r="U40" s="341">
        <f>'Input Data Sheet'!V40</f>
        <v>0</v>
      </c>
      <c r="V40" s="341">
        <f>'Input Data Sheet'!W40</f>
        <v>0</v>
      </c>
      <c r="W40" s="287">
        <f>'Input Data Sheet'!X40</f>
        <v>0</v>
      </c>
      <c r="X40" s="321">
        <f>'Input Data Sheet'!Y40</f>
        <v>0</v>
      </c>
      <c r="Y40" s="287">
        <f t="shared" si="10"/>
        <v>0</v>
      </c>
      <c r="Z40" s="287">
        <f t="shared" si="1"/>
        <v>0</v>
      </c>
      <c r="AA40" s="341">
        <f t="shared" si="2"/>
        <v>14292.493119483725</v>
      </c>
      <c r="AB40" s="341">
        <f t="shared" si="3"/>
        <v>0</v>
      </c>
      <c r="AC40" s="341">
        <f t="shared" si="4"/>
        <v>0</v>
      </c>
      <c r="AD40" s="341">
        <f t="shared" si="5"/>
        <v>0</v>
      </c>
      <c r="AE40" s="341">
        <f t="shared" si="6"/>
        <v>0</v>
      </c>
      <c r="AF40" s="287">
        <f t="shared" si="7"/>
        <v>0</v>
      </c>
      <c r="AG40" s="287">
        <f t="shared" si="8"/>
        <v>0</v>
      </c>
      <c r="AH40" s="322">
        <f>IF($H40,0,IFERROR(IF(VALUE(LEFT(D40,4))&gt;VALUE(LEFT(Parameters!$B$66,4))+1,O40-SUM(R40:X40),0),0))</f>
        <v>0</v>
      </c>
      <c r="AI40" s="330">
        <f>IF('Input Data Sheet'!$P40=0,0,'Input Data Sheet'!Z40/'Input Data Sheet'!$P40)</f>
        <v>0</v>
      </c>
      <c r="AJ40" s="331">
        <f>IF('Input Data Sheet'!$P40=0,0,'Input Data Sheet'!AA40/'Input Data Sheet'!$P40)</f>
        <v>0</v>
      </c>
      <c r="AK40" s="331">
        <f>IF('Input Data Sheet'!$P40=0,0,'Input Data Sheet'!AB40/'Input Data Sheet'!$P40)</f>
        <v>0</v>
      </c>
      <c r="AL40" s="331">
        <f>IF('Input Data Sheet'!$P40=0,0,'Input Data Sheet'!AC40/'Input Data Sheet'!$P40)</f>
        <v>0.13</v>
      </c>
      <c r="AM40" s="331">
        <f>IF('Input Data Sheet'!$P40=0,0,'Input Data Sheet'!AD40/'Input Data Sheet'!$P40)</f>
        <v>0.85</v>
      </c>
      <c r="AN40" s="331">
        <f>IF('Input Data Sheet'!$P40=0,0,'Input Data Sheet'!AE40/'Input Data Sheet'!$P40)</f>
        <v>0</v>
      </c>
      <c r="AO40" s="331">
        <f>IF('Input Data Sheet'!$P40=0,0,'Input Data Sheet'!AF40/'Input Data Sheet'!$P40)</f>
        <v>0.02</v>
      </c>
      <c r="AP40" s="331">
        <f>IF('Input Data Sheet'!$P40=0,0,'Input Data Sheet'!AG40/'Input Data Sheet'!$P40)</f>
        <v>0</v>
      </c>
      <c r="AQ40" s="331">
        <f>IF('Input Data Sheet'!$P40=0,0,'Input Data Sheet'!AH40/'Input Data Sheet'!$P40)</f>
        <v>0</v>
      </c>
      <c r="AR40" s="331">
        <f>IF('Input Data Sheet'!$P40=0,0,'Input Data Sheet'!AI40/'Input Data Sheet'!$P40)</f>
        <v>0</v>
      </c>
      <c r="AS40" s="331">
        <f>IF('Input Data Sheet'!$P40=0,0,'Input Data Sheet'!AJ40/'Input Data Sheet'!$P40)</f>
        <v>0</v>
      </c>
      <c r="AT40" s="331">
        <f>IF('Input Data Sheet'!$P40=0,0,'Input Data Sheet'!AK40/'Input Data Sheet'!$P40)</f>
        <v>0</v>
      </c>
      <c r="AU40" s="331">
        <f>IF('Input Data Sheet'!$P40=0,0,'Input Data Sheet'!AL40/'Input Data Sheet'!$P40)</f>
        <v>0</v>
      </c>
      <c r="AV40" s="331">
        <f>IF('Input Data Sheet'!$P40=0,0,'Input Data Sheet'!AM40/'Input Data Sheet'!$P40)</f>
        <v>0</v>
      </c>
      <c r="AW40" s="331">
        <f>IF('Input Data Sheet'!$P40=0,0,'Input Data Sheet'!AN40/'Input Data Sheet'!$P40)</f>
        <v>0</v>
      </c>
      <c r="AX40" s="331">
        <f>IF('Input Data Sheet'!$P40=0,0,'Input Data Sheet'!AO40/'Input Data Sheet'!$P40)</f>
        <v>0</v>
      </c>
      <c r="AY40" s="331">
        <f>IF('Input Data Sheet'!$P40=0,0,'Input Data Sheet'!AP40/'Input Data Sheet'!$P40)</f>
        <v>0</v>
      </c>
      <c r="AZ40" s="331">
        <f>IF('Input Data Sheet'!$P40=0,0,'Input Data Sheet'!AQ40/'Input Data Sheet'!$P40)</f>
        <v>0</v>
      </c>
      <c r="BA40" s="331">
        <f>IF('Input Data Sheet'!$P40=0,0,'Input Data Sheet'!AR40/'Input Data Sheet'!$P40)</f>
        <v>0</v>
      </c>
      <c r="BB40" s="331">
        <f>IF('Input Data Sheet'!$P40=0,0,'Input Data Sheet'!AS40/'Input Data Sheet'!$P40)</f>
        <v>0</v>
      </c>
      <c r="BC40" s="331">
        <f>IF('Input Data Sheet'!$P40=0,0,'Input Data Sheet'!AT40/'Input Data Sheet'!$P40)</f>
        <v>0</v>
      </c>
      <c r="BD40" s="331">
        <f>IF('Input Data Sheet'!$P40=0,0,'Input Data Sheet'!AU40/'Input Data Sheet'!$P40)</f>
        <v>0</v>
      </c>
      <c r="BE40" s="331">
        <f>IF('Input Data Sheet'!$P40=0,0,'Input Data Sheet'!AV40/'Input Data Sheet'!$P40)</f>
        <v>0</v>
      </c>
      <c r="BF40" s="332">
        <f>IF('Input Data Sheet'!$P40=0,0,'Input Data Sheet'!AW40/'Input Data Sheet'!$P40)</f>
        <v>0</v>
      </c>
      <c r="BG40" s="328">
        <f t="shared" si="11"/>
        <v>1</v>
      </c>
    </row>
    <row r="41" spans="1:59" ht="12.75" x14ac:dyDescent="0.2">
      <c r="A41" s="409" t="str">
        <f>'Input Data Sheet'!B41</f>
        <v>ND1254</v>
      </c>
      <c r="B41" s="314" t="str">
        <f>'Input Data Sheet'!C41</f>
        <v>Railton Substation 110 kV post insulator and busbar renewal</v>
      </c>
      <c r="C41" s="314" t="str">
        <f>'Input Data Sheet'!D41</f>
        <v>Asset Renewal</v>
      </c>
      <c r="D41" s="333" t="str">
        <f>'Input Data Sheet'!E41</f>
        <v>2015/16</v>
      </c>
      <c r="E41" s="333">
        <f>'Input Data Sheet'!F41</f>
        <v>9</v>
      </c>
      <c r="F41" s="315"/>
      <c r="G41" s="315"/>
      <c r="H41" s="316">
        <f>'Input Data Sheet'!J41</f>
        <v>0</v>
      </c>
      <c r="I41" s="316"/>
      <c r="J41" s="316">
        <f>'Input Data Sheet'!K41</f>
        <v>0</v>
      </c>
      <c r="K41" s="496"/>
      <c r="L41" s="496"/>
      <c r="M41" s="496"/>
      <c r="N41" s="316"/>
      <c r="O41" s="287">
        <f t="shared" si="9"/>
        <v>983803</v>
      </c>
      <c r="P41" s="320">
        <f>'Input Data Sheet'!Q41</f>
        <v>0</v>
      </c>
      <c r="Q41" s="287">
        <f>'Input Data Sheet'!R41</f>
        <v>132549</v>
      </c>
      <c r="R41" s="341">
        <f>'Input Data Sheet'!S41</f>
        <v>590721</v>
      </c>
      <c r="S41" s="341">
        <f>'Input Data Sheet'!T41</f>
        <v>260533</v>
      </c>
      <c r="T41" s="341">
        <f>'Input Data Sheet'!U41</f>
        <v>0</v>
      </c>
      <c r="U41" s="341">
        <f>'Input Data Sheet'!V41</f>
        <v>0</v>
      </c>
      <c r="V41" s="341">
        <f>'Input Data Sheet'!W41</f>
        <v>0</v>
      </c>
      <c r="W41" s="287">
        <f>'Input Data Sheet'!X41</f>
        <v>0</v>
      </c>
      <c r="X41" s="321">
        <f>'Input Data Sheet'!Y41</f>
        <v>0</v>
      </c>
      <c r="Y41" s="287">
        <f t="shared" si="10"/>
        <v>0</v>
      </c>
      <c r="Z41" s="287">
        <f t="shared" si="1"/>
        <v>0</v>
      </c>
      <c r="AA41" s="341">
        <f t="shared" si="2"/>
        <v>0</v>
      </c>
      <c r="AB41" s="341">
        <f t="shared" si="3"/>
        <v>983803</v>
      </c>
      <c r="AC41" s="341">
        <f t="shared" si="4"/>
        <v>0</v>
      </c>
      <c r="AD41" s="341">
        <f t="shared" si="5"/>
        <v>0</v>
      </c>
      <c r="AE41" s="341">
        <f t="shared" si="6"/>
        <v>0</v>
      </c>
      <c r="AF41" s="287">
        <f t="shared" si="7"/>
        <v>0</v>
      </c>
      <c r="AG41" s="287">
        <f t="shared" si="8"/>
        <v>0</v>
      </c>
      <c r="AH41" s="322">
        <f>IF($H41,0,IFERROR(IF(VALUE(LEFT(D41,4))&gt;VALUE(LEFT(Parameters!$B$66,4))+1,O41-SUM(R41:X41),0),0))</f>
        <v>132549</v>
      </c>
      <c r="AI41" s="330">
        <f>IF('Input Data Sheet'!$P41=0,0,'Input Data Sheet'!Z41/'Input Data Sheet'!$P41)</f>
        <v>0</v>
      </c>
      <c r="AJ41" s="331">
        <f>IF('Input Data Sheet'!$P41=0,0,'Input Data Sheet'!AA41/'Input Data Sheet'!$P41)</f>
        <v>0</v>
      </c>
      <c r="AK41" s="331">
        <f>IF('Input Data Sheet'!$P41=0,0,'Input Data Sheet'!AB41/'Input Data Sheet'!$P41)</f>
        <v>0</v>
      </c>
      <c r="AL41" s="331">
        <f>IF('Input Data Sheet'!$P41=0,0,'Input Data Sheet'!AC41/'Input Data Sheet'!$P41)</f>
        <v>0.28000016263418592</v>
      </c>
      <c r="AM41" s="331">
        <f>IF('Input Data Sheet'!$P41=0,0,'Input Data Sheet'!AD41/'Input Data Sheet'!$P41)</f>
        <v>0.45000066070138023</v>
      </c>
      <c r="AN41" s="331">
        <f>IF('Input Data Sheet'!$P41=0,0,'Input Data Sheet'!AE41/'Input Data Sheet'!$P41)</f>
        <v>5.9999817036540851E-2</v>
      </c>
      <c r="AO41" s="331">
        <f>IF('Input Data Sheet'!$P41=0,0,'Input Data Sheet'!AF41/'Input Data Sheet'!$P41)</f>
        <v>0.21000037609155492</v>
      </c>
      <c r="AP41" s="331">
        <f>IF('Input Data Sheet'!$P41=0,0,'Input Data Sheet'!AG41/'Input Data Sheet'!$P41)</f>
        <v>0</v>
      </c>
      <c r="AQ41" s="331">
        <f>IF('Input Data Sheet'!$P41=0,0,'Input Data Sheet'!AH41/'Input Data Sheet'!$P41)</f>
        <v>0</v>
      </c>
      <c r="AR41" s="331">
        <f>IF('Input Data Sheet'!$P41=0,0,'Input Data Sheet'!AI41/'Input Data Sheet'!$P41)</f>
        <v>0</v>
      </c>
      <c r="AS41" s="331">
        <f>IF('Input Data Sheet'!$P41=0,0,'Input Data Sheet'!AJ41/'Input Data Sheet'!$P41)</f>
        <v>0</v>
      </c>
      <c r="AT41" s="331">
        <f>IF('Input Data Sheet'!$P41=0,0,'Input Data Sheet'!AK41/'Input Data Sheet'!$P41)</f>
        <v>0</v>
      </c>
      <c r="AU41" s="331">
        <f>IF('Input Data Sheet'!$P41=0,0,'Input Data Sheet'!AL41/'Input Data Sheet'!$P41)</f>
        <v>0</v>
      </c>
      <c r="AV41" s="331">
        <f>IF('Input Data Sheet'!$P41=0,0,'Input Data Sheet'!AM41/'Input Data Sheet'!$P41)</f>
        <v>0</v>
      </c>
      <c r="AW41" s="331">
        <f>IF('Input Data Sheet'!$P41=0,0,'Input Data Sheet'!AN41/'Input Data Sheet'!$P41)</f>
        <v>0</v>
      </c>
      <c r="AX41" s="331">
        <f>IF('Input Data Sheet'!$P41=0,0,'Input Data Sheet'!AO41/'Input Data Sheet'!$P41)</f>
        <v>0</v>
      </c>
      <c r="AY41" s="331">
        <f>IF('Input Data Sheet'!$P41=0,0,'Input Data Sheet'!AP41/'Input Data Sheet'!$P41)</f>
        <v>0</v>
      </c>
      <c r="AZ41" s="331">
        <f>IF('Input Data Sheet'!$P41=0,0,'Input Data Sheet'!AQ41/'Input Data Sheet'!$P41)</f>
        <v>0</v>
      </c>
      <c r="BA41" s="331">
        <f>IF('Input Data Sheet'!$P41=0,0,'Input Data Sheet'!AR41/'Input Data Sheet'!$P41)</f>
        <v>0</v>
      </c>
      <c r="BB41" s="331">
        <f>IF('Input Data Sheet'!$P41=0,0,'Input Data Sheet'!AS41/'Input Data Sheet'!$P41)</f>
        <v>0</v>
      </c>
      <c r="BC41" s="331">
        <f>IF('Input Data Sheet'!$P41=0,0,'Input Data Sheet'!AT41/'Input Data Sheet'!$P41)</f>
        <v>0</v>
      </c>
      <c r="BD41" s="331">
        <f>IF('Input Data Sheet'!$P41=0,0,'Input Data Sheet'!AU41/'Input Data Sheet'!$P41)</f>
        <v>0</v>
      </c>
      <c r="BE41" s="331">
        <f>IF('Input Data Sheet'!$P41=0,0,'Input Data Sheet'!AV41/'Input Data Sheet'!$P41)</f>
        <v>0</v>
      </c>
      <c r="BF41" s="332">
        <f>IF('Input Data Sheet'!$P41=0,0,'Input Data Sheet'!AW41/'Input Data Sheet'!$P41)</f>
        <v>0</v>
      </c>
      <c r="BG41" s="328">
        <f t="shared" si="11"/>
        <v>1.0000010164636619</v>
      </c>
    </row>
    <row r="42" spans="1:59" ht="12.75" x14ac:dyDescent="0.2">
      <c r="A42" s="409" t="str">
        <f>'Input Data Sheet'!B42</f>
        <v>ND1308</v>
      </c>
      <c r="B42" s="314" t="str">
        <f>'Input Data Sheet'!C42</f>
        <v>Reyrolle Type LMT Switchgear renewal program</v>
      </c>
      <c r="C42" s="314" t="str">
        <f>'Input Data Sheet'!D42</f>
        <v>Asset Renewal</v>
      </c>
      <c r="D42" s="333" t="str">
        <f>'Input Data Sheet'!E42</f>
        <v>2016/17</v>
      </c>
      <c r="E42" s="333">
        <f>'Input Data Sheet'!F42</f>
        <v>9</v>
      </c>
      <c r="F42" s="315"/>
      <c r="G42" s="315"/>
      <c r="H42" s="316">
        <f>'Input Data Sheet'!J42</f>
        <v>1</v>
      </c>
      <c r="I42" s="316"/>
      <c r="J42" s="316">
        <f>'Input Data Sheet'!K42</f>
        <v>0</v>
      </c>
      <c r="K42" s="496"/>
      <c r="L42" s="496"/>
      <c r="M42" s="496"/>
      <c r="N42" s="316"/>
      <c r="O42" s="287">
        <f t="shared" si="9"/>
        <v>3256900</v>
      </c>
      <c r="P42" s="320">
        <f>'Input Data Sheet'!Q42</f>
        <v>0</v>
      </c>
      <c r="Q42" s="287">
        <f>'Input Data Sheet'!R42</f>
        <v>0</v>
      </c>
      <c r="R42" s="341">
        <f>'Input Data Sheet'!S42</f>
        <v>438806</v>
      </c>
      <c r="S42" s="341">
        <f>'Input Data Sheet'!T42</f>
        <v>1955593</v>
      </c>
      <c r="T42" s="341">
        <f>'Input Data Sheet'!U42</f>
        <v>862501</v>
      </c>
      <c r="U42" s="341">
        <f>'Input Data Sheet'!V42</f>
        <v>0</v>
      </c>
      <c r="V42" s="341">
        <f>'Input Data Sheet'!W42</f>
        <v>0</v>
      </c>
      <c r="W42" s="287">
        <f>'Input Data Sheet'!X42</f>
        <v>0</v>
      </c>
      <c r="X42" s="321">
        <f>'Input Data Sheet'!Y42</f>
        <v>0</v>
      </c>
      <c r="Y42" s="287">
        <f t="shared" si="10"/>
        <v>0</v>
      </c>
      <c r="Z42" s="287">
        <f t="shared" si="1"/>
        <v>0</v>
      </c>
      <c r="AA42" s="341">
        <f t="shared" si="2"/>
        <v>438806</v>
      </c>
      <c r="AB42" s="341">
        <f t="shared" si="3"/>
        <v>1955593</v>
      </c>
      <c r="AC42" s="341">
        <f t="shared" si="4"/>
        <v>862501</v>
      </c>
      <c r="AD42" s="341">
        <f t="shared" si="5"/>
        <v>0</v>
      </c>
      <c r="AE42" s="341">
        <f t="shared" si="6"/>
        <v>0</v>
      </c>
      <c r="AF42" s="287">
        <f t="shared" si="7"/>
        <v>0</v>
      </c>
      <c r="AG42" s="287">
        <f t="shared" si="8"/>
        <v>0</v>
      </c>
      <c r="AH42" s="322">
        <f>IF($H42,0,IFERROR(IF(VALUE(LEFT(D42,4))&gt;VALUE(LEFT(Parameters!$B$66,4))+1,O42-SUM(R42:X42),0),0))</f>
        <v>0</v>
      </c>
      <c r="AI42" s="330">
        <f>IF('Input Data Sheet'!$P42=0,0,'Input Data Sheet'!Z42/'Input Data Sheet'!$P42)</f>
        <v>0</v>
      </c>
      <c r="AJ42" s="331">
        <f>IF('Input Data Sheet'!$P42=0,0,'Input Data Sheet'!AA42/'Input Data Sheet'!$P42)</f>
        <v>0</v>
      </c>
      <c r="AK42" s="331">
        <f>IF('Input Data Sheet'!$P42=0,0,'Input Data Sheet'!AB42/'Input Data Sheet'!$P42)</f>
        <v>0</v>
      </c>
      <c r="AL42" s="331">
        <f>IF('Input Data Sheet'!$P42=0,0,'Input Data Sheet'!AC42/'Input Data Sheet'!$P42)</f>
        <v>0.28000000000000003</v>
      </c>
      <c r="AM42" s="331">
        <f>IF('Input Data Sheet'!$P42=0,0,'Input Data Sheet'!AD42/'Input Data Sheet'!$P42)</f>
        <v>0.45</v>
      </c>
      <c r="AN42" s="331">
        <f>IF('Input Data Sheet'!$P42=0,0,'Input Data Sheet'!AE42/'Input Data Sheet'!$P42)</f>
        <v>0.06</v>
      </c>
      <c r="AO42" s="331">
        <f>IF('Input Data Sheet'!$P42=0,0,'Input Data Sheet'!AF42/'Input Data Sheet'!$P42)</f>
        <v>0.21</v>
      </c>
      <c r="AP42" s="331">
        <f>IF('Input Data Sheet'!$P42=0,0,'Input Data Sheet'!AG42/'Input Data Sheet'!$P42)</f>
        <v>0</v>
      </c>
      <c r="AQ42" s="331">
        <f>IF('Input Data Sheet'!$P42=0,0,'Input Data Sheet'!AH42/'Input Data Sheet'!$P42)</f>
        <v>0</v>
      </c>
      <c r="AR42" s="331">
        <f>IF('Input Data Sheet'!$P42=0,0,'Input Data Sheet'!AI42/'Input Data Sheet'!$P42)</f>
        <v>0</v>
      </c>
      <c r="AS42" s="331">
        <f>IF('Input Data Sheet'!$P42=0,0,'Input Data Sheet'!AJ42/'Input Data Sheet'!$P42)</f>
        <v>0</v>
      </c>
      <c r="AT42" s="331">
        <f>IF('Input Data Sheet'!$P42=0,0,'Input Data Sheet'!AK42/'Input Data Sheet'!$P42)</f>
        <v>0</v>
      </c>
      <c r="AU42" s="331">
        <f>IF('Input Data Sheet'!$P42=0,0,'Input Data Sheet'!AL42/'Input Data Sheet'!$P42)</f>
        <v>0</v>
      </c>
      <c r="AV42" s="331">
        <f>IF('Input Data Sheet'!$P42=0,0,'Input Data Sheet'!AM42/'Input Data Sheet'!$P42)</f>
        <v>0</v>
      </c>
      <c r="AW42" s="331">
        <f>IF('Input Data Sheet'!$P42=0,0,'Input Data Sheet'!AN42/'Input Data Sheet'!$P42)</f>
        <v>0</v>
      </c>
      <c r="AX42" s="331">
        <f>IF('Input Data Sheet'!$P42=0,0,'Input Data Sheet'!AO42/'Input Data Sheet'!$P42)</f>
        <v>0</v>
      </c>
      <c r="AY42" s="331">
        <f>IF('Input Data Sheet'!$P42=0,0,'Input Data Sheet'!AP42/'Input Data Sheet'!$P42)</f>
        <v>0</v>
      </c>
      <c r="AZ42" s="331">
        <f>IF('Input Data Sheet'!$P42=0,0,'Input Data Sheet'!AQ42/'Input Data Sheet'!$P42)</f>
        <v>0</v>
      </c>
      <c r="BA42" s="331">
        <f>IF('Input Data Sheet'!$P42=0,0,'Input Data Sheet'!AR42/'Input Data Sheet'!$P42)</f>
        <v>0</v>
      </c>
      <c r="BB42" s="331">
        <f>IF('Input Data Sheet'!$P42=0,0,'Input Data Sheet'!AS42/'Input Data Sheet'!$P42)</f>
        <v>0</v>
      </c>
      <c r="BC42" s="331">
        <f>IF('Input Data Sheet'!$P42=0,0,'Input Data Sheet'!AT42/'Input Data Sheet'!$P42)</f>
        <v>0</v>
      </c>
      <c r="BD42" s="331">
        <f>IF('Input Data Sheet'!$P42=0,0,'Input Data Sheet'!AU42/'Input Data Sheet'!$P42)</f>
        <v>0</v>
      </c>
      <c r="BE42" s="331">
        <f>IF('Input Data Sheet'!$P42=0,0,'Input Data Sheet'!AV42/'Input Data Sheet'!$P42)</f>
        <v>0</v>
      </c>
      <c r="BF42" s="332">
        <f>IF('Input Data Sheet'!$P42=0,0,'Input Data Sheet'!AW42/'Input Data Sheet'!$P42)</f>
        <v>0</v>
      </c>
      <c r="BG42" s="328">
        <f t="shared" si="11"/>
        <v>1</v>
      </c>
    </row>
    <row r="43" spans="1:59" ht="12.75" x14ac:dyDescent="0.2">
      <c r="A43" s="409" t="str">
        <f>'Input Data Sheet'!B43</f>
        <v>ND1313</v>
      </c>
      <c r="B43" s="314" t="str">
        <f>'Input Data Sheet'!C43</f>
        <v>Rosebery Substation transformer capacity augmentation</v>
      </c>
      <c r="C43" s="314" t="str">
        <f>'Input Data Sheet'!D43</f>
        <v>Connection</v>
      </c>
      <c r="D43" s="333" t="str">
        <f>'Input Data Sheet'!E43</f>
        <v>2016/17</v>
      </c>
      <c r="E43" s="333">
        <f>'Input Data Sheet'!F43</f>
        <v>11</v>
      </c>
      <c r="F43" s="315"/>
      <c r="G43" s="315"/>
      <c r="H43" s="316">
        <f>'Input Data Sheet'!J43</f>
        <v>0</v>
      </c>
      <c r="I43" s="316"/>
      <c r="J43" s="316">
        <f>'Input Data Sheet'!K43</f>
        <v>0</v>
      </c>
      <c r="K43" s="496"/>
      <c r="L43" s="496"/>
      <c r="M43" s="496"/>
      <c r="N43" s="316"/>
      <c r="O43" s="287">
        <f t="shared" si="9"/>
        <v>5505488</v>
      </c>
      <c r="P43" s="320">
        <f>'Input Data Sheet'!Q43</f>
        <v>0</v>
      </c>
      <c r="Q43" s="287">
        <f>'Input Data Sheet'!R43</f>
        <v>0</v>
      </c>
      <c r="R43" s="341">
        <f>'Input Data Sheet'!S43</f>
        <v>631674</v>
      </c>
      <c r="S43" s="341">
        <f>'Input Data Sheet'!T43</f>
        <v>4768049</v>
      </c>
      <c r="T43" s="341">
        <f>'Input Data Sheet'!U43</f>
        <v>105765</v>
      </c>
      <c r="U43" s="341">
        <f>'Input Data Sheet'!V43</f>
        <v>0</v>
      </c>
      <c r="V43" s="341">
        <f>'Input Data Sheet'!W43</f>
        <v>0</v>
      </c>
      <c r="W43" s="287">
        <f>'Input Data Sheet'!X43</f>
        <v>0</v>
      </c>
      <c r="X43" s="321">
        <f>'Input Data Sheet'!Y43</f>
        <v>0</v>
      </c>
      <c r="Y43" s="287">
        <f t="shared" si="10"/>
        <v>0</v>
      </c>
      <c r="Z43" s="287">
        <f t="shared" si="1"/>
        <v>0</v>
      </c>
      <c r="AA43" s="341">
        <f t="shared" si="2"/>
        <v>0</v>
      </c>
      <c r="AB43" s="341">
        <f t="shared" si="3"/>
        <v>0</v>
      </c>
      <c r="AC43" s="341">
        <f t="shared" si="4"/>
        <v>5505488</v>
      </c>
      <c r="AD43" s="341">
        <f t="shared" si="5"/>
        <v>0</v>
      </c>
      <c r="AE43" s="341">
        <f t="shared" si="6"/>
        <v>0</v>
      </c>
      <c r="AF43" s="287">
        <f t="shared" si="7"/>
        <v>0</v>
      </c>
      <c r="AG43" s="287">
        <f t="shared" si="8"/>
        <v>0</v>
      </c>
      <c r="AH43" s="322">
        <f>IF($H43,0,IFERROR(IF(VALUE(LEFT(D43,4))&gt;VALUE(LEFT(Parameters!$B$66,4))+1,O43-SUM(R43:X43),0),0))</f>
        <v>0</v>
      </c>
      <c r="AI43" s="330">
        <f>IF('Input Data Sheet'!$P43=0,0,'Input Data Sheet'!Z43/'Input Data Sheet'!$P43)</f>
        <v>0</v>
      </c>
      <c r="AJ43" s="331">
        <f>IF('Input Data Sheet'!$P43=0,0,'Input Data Sheet'!AA43/'Input Data Sheet'!$P43)</f>
        <v>0</v>
      </c>
      <c r="AK43" s="331">
        <f>IF('Input Data Sheet'!$P43=0,0,'Input Data Sheet'!AB43/'Input Data Sheet'!$P43)</f>
        <v>0</v>
      </c>
      <c r="AL43" s="331">
        <f>IF('Input Data Sheet'!$P43=0,0,'Input Data Sheet'!AC43/'Input Data Sheet'!$P43)</f>
        <v>0.17210772233088148</v>
      </c>
      <c r="AM43" s="331">
        <f>IF('Input Data Sheet'!$P43=0,0,'Input Data Sheet'!AD43/'Input Data Sheet'!$P43)</f>
        <v>0.73771298747722269</v>
      </c>
      <c r="AN43" s="331">
        <f>IF('Input Data Sheet'!$P43=0,0,'Input Data Sheet'!AE43/'Input Data Sheet'!$P43)</f>
        <v>1.6843011918289533E-2</v>
      </c>
      <c r="AO43" s="331">
        <f>IF('Input Data Sheet'!$P43=0,0,'Input Data Sheet'!AF43/'Input Data Sheet'!$P43)</f>
        <v>7.3336459910547436E-2</v>
      </c>
      <c r="AP43" s="331">
        <f>IF('Input Data Sheet'!$P43=0,0,'Input Data Sheet'!AG43/'Input Data Sheet'!$P43)</f>
        <v>0</v>
      </c>
      <c r="AQ43" s="331">
        <f>IF('Input Data Sheet'!$P43=0,0,'Input Data Sheet'!AH43/'Input Data Sheet'!$P43)</f>
        <v>0</v>
      </c>
      <c r="AR43" s="331">
        <f>IF('Input Data Sheet'!$P43=0,0,'Input Data Sheet'!AI43/'Input Data Sheet'!$P43)</f>
        <v>0</v>
      </c>
      <c r="AS43" s="331">
        <f>IF('Input Data Sheet'!$P43=0,0,'Input Data Sheet'!AJ43/'Input Data Sheet'!$P43)</f>
        <v>0</v>
      </c>
      <c r="AT43" s="331">
        <f>IF('Input Data Sheet'!$P43=0,0,'Input Data Sheet'!AK43/'Input Data Sheet'!$P43)</f>
        <v>0</v>
      </c>
      <c r="AU43" s="331">
        <f>IF('Input Data Sheet'!$P43=0,0,'Input Data Sheet'!AL43/'Input Data Sheet'!$P43)</f>
        <v>0</v>
      </c>
      <c r="AV43" s="331">
        <f>IF('Input Data Sheet'!$P43=0,0,'Input Data Sheet'!AM43/'Input Data Sheet'!$P43)</f>
        <v>0</v>
      </c>
      <c r="AW43" s="331">
        <f>IF('Input Data Sheet'!$P43=0,0,'Input Data Sheet'!AN43/'Input Data Sheet'!$P43)</f>
        <v>0</v>
      </c>
      <c r="AX43" s="331">
        <f>IF('Input Data Sheet'!$P43=0,0,'Input Data Sheet'!AO43/'Input Data Sheet'!$P43)</f>
        <v>0</v>
      </c>
      <c r="AY43" s="331">
        <f>IF('Input Data Sheet'!$P43=0,0,'Input Data Sheet'!AP43/'Input Data Sheet'!$P43)</f>
        <v>0</v>
      </c>
      <c r="AZ43" s="331">
        <f>IF('Input Data Sheet'!$P43=0,0,'Input Data Sheet'!AQ43/'Input Data Sheet'!$P43)</f>
        <v>0</v>
      </c>
      <c r="BA43" s="331">
        <f>IF('Input Data Sheet'!$P43=0,0,'Input Data Sheet'!AR43/'Input Data Sheet'!$P43)</f>
        <v>0</v>
      </c>
      <c r="BB43" s="331">
        <f>IF('Input Data Sheet'!$P43=0,0,'Input Data Sheet'!AS43/'Input Data Sheet'!$P43)</f>
        <v>0</v>
      </c>
      <c r="BC43" s="331">
        <f>IF('Input Data Sheet'!$P43=0,0,'Input Data Sheet'!AT43/'Input Data Sheet'!$P43)</f>
        <v>0</v>
      </c>
      <c r="BD43" s="331">
        <f>IF('Input Data Sheet'!$P43=0,0,'Input Data Sheet'!AU43/'Input Data Sheet'!$P43)</f>
        <v>0</v>
      </c>
      <c r="BE43" s="331">
        <f>IF('Input Data Sheet'!$P43=0,0,'Input Data Sheet'!AV43/'Input Data Sheet'!$P43)</f>
        <v>0</v>
      </c>
      <c r="BF43" s="332">
        <f>IF('Input Data Sheet'!$P43=0,0,'Input Data Sheet'!AW43/'Input Data Sheet'!$P43)</f>
        <v>0</v>
      </c>
      <c r="BG43" s="328">
        <f t="shared" si="11"/>
        <v>1.000000181636941</v>
      </c>
    </row>
    <row r="44" spans="1:59" ht="12.75" x14ac:dyDescent="0.2">
      <c r="A44" s="409" t="str">
        <f>'Input Data Sheet'!B44</f>
        <v>ND1224</v>
      </c>
      <c r="B44" s="314" t="str">
        <f>'Input Data Sheet'!C44</f>
        <v>SCADA System renewal program</v>
      </c>
      <c r="C44" s="314" t="str">
        <f>'Input Data Sheet'!D44</f>
        <v>Asset Renewal</v>
      </c>
      <c r="D44" s="333" t="str">
        <f>'Input Data Sheet'!E44</f>
        <v>2016/17</v>
      </c>
      <c r="E44" s="333">
        <f>'Input Data Sheet'!F44</f>
        <v>13</v>
      </c>
      <c r="F44" s="315"/>
      <c r="G44" s="315"/>
      <c r="H44" s="316">
        <f>'Input Data Sheet'!J44</f>
        <v>1</v>
      </c>
      <c r="I44" s="316"/>
      <c r="J44" s="316">
        <f>'Input Data Sheet'!K44</f>
        <v>0</v>
      </c>
      <c r="K44" s="496"/>
      <c r="L44" s="496"/>
      <c r="M44" s="496"/>
      <c r="N44" s="316"/>
      <c r="O44" s="287">
        <f t="shared" si="9"/>
        <v>3299153</v>
      </c>
      <c r="P44" s="320">
        <f>'Input Data Sheet'!Q44</f>
        <v>0</v>
      </c>
      <c r="Q44" s="287">
        <f>'Input Data Sheet'!R44</f>
        <v>0</v>
      </c>
      <c r="R44" s="341">
        <f>'Input Data Sheet'!S44</f>
        <v>428890</v>
      </c>
      <c r="S44" s="341">
        <f>'Input Data Sheet'!T44</f>
        <v>2837271</v>
      </c>
      <c r="T44" s="341">
        <f>'Input Data Sheet'!U44</f>
        <v>32992</v>
      </c>
      <c r="U44" s="341">
        <f>'Input Data Sheet'!V44</f>
        <v>0</v>
      </c>
      <c r="V44" s="341">
        <f>'Input Data Sheet'!W44</f>
        <v>0</v>
      </c>
      <c r="W44" s="287">
        <f>'Input Data Sheet'!X44</f>
        <v>0</v>
      </c>
      <c r="X44" s="321">
        <f>'Input Data Sheet'!Y44</f>
        <v>0</v>
      </c>
      <c r="Y44" s="287">
        <f t="shared" si="10"/>
        <v>0</v>
      </c>
      <c r="Z44" s="287">
        <f t="shared" si="1"/>
        <v>0</v>
      </c>
      <c r="AA44" s="341">
        <f t="shared" si="2"/>
        <v>428890</v>
      </c>
      <c r="AB44" s="341">
        <f t="shared" si="3"/>
        <v>2837271</v>
      </c>
      <c r="AC44" s="341">
        <f t="shared" si="4"/>
        <v>32992</v>
      </c>
      <c r="AD44" s="341">
        <f t="shared" si="5"/>
        <v>0</v>
      </c>
      <c r="AE44" s="341">
        <f t="shared" si="6"/>
        <v>0</v>
      </c>
      <c r="AF44" s="287">
        <f t="shared" si="7"/>
        <v>0</v>
      </c>
      <c r="AG44" s="287">
        <f t="shared" si="8"/>
        <v>0</v>
      </c>
      <c r="AH44" s="322">
        <f>IF($H44,0,IFERROR(IF(VALUE(LEFT(D44,4))&gt;VALUE(LEFT(Parameters!$B$66,4))+1,O44-SUM(R44:X44),0),0))</f>
        <v>0</v>
      </c>
      <c r="AI44" s="330">
        <f>IF('Input Data Sheet'!$P44=0,0,'Input Data Sheet'!Z44/'Input Data Sheet'!$P44)</f>
        <v>0</v>
      </c>
      <c r="AJ44" s="331">
        <f>IF('Input Data Sheet'!$P44=0,0,'Input Data Sheet'!AA44/'Input Data Sheet'!$P44)</f>
        <v>0</v>
      </c>
      <c r="AK44" s="331">
        <f>IF('Input Data Sheet'!$P44=0,0,'Input Data Sheet'!AB44/'Input Data Sheet'!$P44)</f>
        <v>0</v>
      </c>
      <c r="AL44" s="331">
        <f>IF('Input Data Sheet'!$P44=0,0,'Input Data Sheet'!AC44/'Input Data Sheet'!$P44)</f>
        <v>0</v>
      </c>
      <c r="AM44" s="331">
        <f>IF('Input Data Sheet'!$P44=0,0,'Input Data Sheet'!AD44/'Input Data Sheet'!$P44)</f>
        <v>0</v>
      </c>
      <c r="AN44" s="331">
        <f>IF('Input Data Sheet'!$P44=0,0,'Input Data Sheet'!AE44/'Input Data Sheet'!$P44)</f>
        <v>0</v>
      </c>
      <c r="AO44" s="331">
        <f>IF('Input Data Sheet'!$P44=0,0,'Input Data Sheet'!AF44/'Input Data Sheet'!$P44)</f>
        <v>1</v>
      </c>
      <c r="AP44" s="331">
        <f>IF('Input Data Sheet'!$P44=0,0,'Input Data Sheet'!AG44/'Input Data Sheet'!$P44)</f>
        <v>0</v>
      </c>
      <c r="AQ44" s="331">
        <f>IF('Input Data Sheet'!$P44=0,0,'Input Data Sheet'!AH44/'Input Data Sheet'!$P44)</f>
        <v>0</v>
      </c>
      <c r="AR44" s="331">
        <f>IF('Input Data Sheet'!$P44=0,0,'Input Data Sheet'!AI44/'Input Data Sheet'!$P44)</f>
        <v>0</v>
      </c>
      <c r="AS44" s="331">
        <f>IF('Input Data Sheet'!$P44=0,0,'Input Data Sheet'!AJ44/'Input Data Sheet'!$P44)</f>
        <v>0</v>
      </c>
      <c r="AT44" s="331">
        <f>IF('Input Data Sheet'!$P44=0,0,'Input Data Sheet'!AK44/'Input Data Sheet'!$P44)</f>
        <v>0</v>
      </c>
      <c r="AU44" s="331">
        <f>IF('Input Data Sheet'!$P44=0,0,'Input Data Sheet'!AL44/'Input Data Sheet'!$P44)</f>
        <v>0</v>
      </c>
      <c r="AV44" s="331">
        <f>IF('Input Data Sheet'!$P44=0,0,'Input Data Sheet'!AM44/'Input Data Sheet'!$P44)</f>
        <v>0</v>
      </c>
      <c r="AW44" s="331">
        <f>IF('Input Data Sheet'!$P44=0,0,'Input Data Sheet'!AN44/'Input Data Sheet'!$P44)</f>
        <v>0</v>
      </c>
      <c r="AX44" s="331">
        <f>IF('Input Data Sheet'!$P44=0,0,'Input Data Sheet'!AO44/'Input Data Sheet'!$P44)</f>
        <v>0</v>
      </c>
      <c r="AY44" s="331">
        <f>IF('Input Data Sheet'!$P44=0,0,'Input Data Sheet'!AP44/'Input Data Sheet'!$P44)</f>
        <v>0</v>
      </c>
      <c r="AZ44" s="331">
        <f>IF('Input Data Sheet'!$P44=0,0,'Input Data Sheet'!AQ44/'Input Data Sheet'!$P44)</f>
        <v>0</v>
      </c>
      <c r="BA44" s="331">
        <f>IF('Input Data Sheet'!$P44=0,0,'Input Data Sheet'!AR44/'Input Data Sheet'!$P44)</f>
        <v>0</v>
      </c>
      <c r="BB44" s="331">
        <f>IF('Input Data Sheet'!$P44=0,0,'Input Data Sheet'!AS44/'Input Data Sheet'!$P44)</f>
        <v>0</v>
      </c>
      <c r="BC44" s="331">
        <f>IF('Input Data Sheet'!$P44=0,0,'Input Data Sheet'!AT44/'Input Data Sheet'!$P44)</f>
        <v>0</v>
      </c>
      <c r="BD44" s="331">
        <f>IF('Input Data Sheet'!$P44=0,0,'Input Data Sheet'!AU44/'Input Data Sheet'!$P44)</f>
        <v>0</v>
      </c>
      <c r="BE44" s="331">
        <f>IF('Input Data Sheet'!$P44=0,0,'Input Data Sheet'!AV44/'Input Data Sheet'!$P44)</f>
        <v>0</v>
      </c>
      <c r="BF44" s="332">
        <f>IF('Input Data Sheet'!$P44=0,0,'Input Data Sheet'!AW44/'Input Data Sheet'!$P44)</f>
        <v>0</v>
      </c>
      <c r="BG44" s="328">
        <f t="shared" si="11"/>
        <v>1</v>
      </c>
    </row>
    <row r="45" spans="1:59" ht="12.75" x14ac:dyDescent="0.2">
      <c r="A45" s="409" t="str">
        <f>'Input Data Sheet'!B45</f>
        <v>ND1192</v>
      </c>
      <c r="B45" s="314" t="str">
        <f>'Input Data Sheet'!C45</f>
        <v>Smart Transmission Grid Development program</v>
      </c>
      <c r="C45" s="314" t="str">
        <f>'Input Data Sheet'!D45</f>
        <v>Operational Support Systems</v>
      </c>
      <c r="D45" s="333" t="str">
        <f>'Input Data Sheet'!E45</f>
        <v>2018/19</v>
      </c>
      <c r="E45" s="333">
        <f>'Input Data Sheet'!F45</f>
        <v>18</v>
      </c>
      <c r="F45" s="315"/>
      <c r="G45" s="315"/>
      <c r="H45" s="316">
        <f>'Input Data Sheet'!J45</f>
        <v>1</v>
      </c>
      <c r="I45" s="316"/>
      <c r="J45" s="316">
        <f>'Input Data Sheet'!K45</f>
        <v>0</v>
      </c>
      <c r="K45" s="496"/>
      <c r="L45" s="496"/>
      <c r="M45" s="496"/>
      <c r="N45" s="316"/>
      <c r="O45" s="287">
        <f t="shared" si="9"/>
        <v>1500000</v>
      </c>
      <c r="P45" s="320">
        <f>'Input Data Sheet'!Q45</f>
        <v>0</v>
      </c>
      <c r="Q45" s="287">
        <f>'Input Data Sheet'!R45</f>
        <v>0</v>
      </c>
      <c r="R45" s="341">
        <f>'Input Data Sheet'!S45</f>
        <v>300000</v>
      </c>
      <c r="S45" s="341">
        <f>'Input Data Sheet'!T45</f>
        <v>300000</v>
      </c>
      <c r="T45" s="341">
        <f>'Input Data Sheet'!U45</f>
        <v>300000</v>
      </c>
      <c r="U45" s="341">
        <f>'Input Data Sheet'!V45</f>
        <v>300000</v>
      </c>
      <c r="V45" s="341">
        <f>'Input Data Sheet'!W45</f>
        <v>300000</v>
      </c>
      <c r="W45" s="287">
        <f>'Input Data Sheet'!X45</f>
        <v>0</v>
      </c>
      <c r="X45" s="321">
        <f>'Input Data Sheet'!Y45</f>
        <v>0</v>
      </c>
      <c r="Y45" s="287">
        <f t="shared" si="10"/>
        <v>0</v>
      </c>
      <c r="Z45" s="287">
        <f t="shared" si="1"/>
        <v>0</v>
      </c>
      <c r="AA45" s="341">
        <f t="shared" si="2"/>
        <v>300000</v>
      </c>
      <c r="AB45" s="341">
        <f t="shared" si="3"/>
        <v>300000</v>
      </c>
      <c r="AC45" s="341">
        <f t="shared" si="4"/>
        <v>300000</v>
      </c>
      <c r="AD45" s="341">
        <f t="shared" si="5"/>
        <v>300000</v>
      </c>
      <c r="AE45" s="341">
        <f t="shared" si="6"/>
        <v>300000</v>
      </c>
      <c r="AF45" s="287">
        <f t="shared" si="7"/>
        <v>0</v>
      </c>
      <c r="AG45" s="287">
        <f t="shared" si="8"/>
        <v>0</v>
      </c>
      <c r="AH45" s="322">
        <f>IF($H45,0,IFERROR(IF(VALUE(LEFT(D45,4))&gt;VALUE(LEFT(Parameters!$B$66,4))+1,O45-SUM(R45:X45),0),0))</f>
        <v>0</v>
      </c>
      <c r="AI45" s="330">
        <f>IF('Input Data Sheet'!$P45=0,0,'Input Data Sheet'!Z45/'Input Data Sheet'!$P45)</f>
        <v>0</v>
      </c>
      <c r="AJ45" s="331">
        <f>IF('Input Data Sheet'!$P45=0,0,'Input Data Sheet'!AA45/'Input Data Sheet'!$P45)</f>
        <v>0</v>
      </c>
      <c r="AK45" s="331">
        <f>IF('Input Data Sheet'!$P45=0,0,'Input Data Sheet'!AB45/'Input Data Sheet'!$P45)</f>
        <v>0</v>
      </c>
      <c r="AL45" s="331">
        <f>IF('Input Data Sheet'!$P45=0,0,'Input Data Sheet'!AC45/'Input Data Sheet'!$P45)</f>
        <v>0</v>
      </c>
      <c r="AM45" s="331">
        <f>IF('Input Data Sheet'!$P45=0,0,'Input Data Sheet'!AD45/'Input Data Sheet'!$P45)</f>
        <v>0</v>
      </c>
      <c r="AN45" s="331">
        <f>IF('Input Data Sheet'!$P45=0,0,'Input Data Sheet'!AE45/'Input Data Sheet'!$P45)</f>
        <v>0</v>
      </c>
      <c r="AO45" s="331">
        <f>IF('Input Data Sheet'!$P45=0,0,'Input Data Sheet'!AF45/'Input Data Sheet'!$P45)</f>
        <v>0</v>
      </c>
      <c r="AP45" s="331">
        <f>IF('Input Data Sheet'!$P45=0,0,'Input Data Sheet'!AG45/'Input Data Sheet'!$P45)</f>
        <v>0</v>
      </c>
      <c r="AQ45" s="331">
        <f>IF('Input Data Sheet'!$P45=0,0,'Input Data Sheet'!AH45/'Input Data Sheet'!$P45)</f>
        <v>0</v>
      </c>
      <c r="AR45" s="331">
        <f>IF('Input Data Sheet'!$P45=0,0,'Input Data Sheet'!AI45/'Input Data Sheet'!$P45)</f>
        <v>0</v>
      </c>
      <c r="AS45" s="331">
        <f>IF('Input Data Sheet'!$P45=0,0,'Input Data Sheet'!AJ45/'Input Data Sheet'!$P45)</f>
        <v>0</v>
      </c>
      <c r="AT45" s="331">
        <f>IF('Input Data Sheet'!$P45=0,0,'Input Data Sheet'!AK45/'Input Data Sheet'!$P45)</f>
        <v>0</v>
      </c>
      <c r="AU45" s="331">
        <f>IF('Input Data Sheet'!$P45=0,0,'Input Data Sheet'!AL45/'Input Data Sheet'!$P45)</f>
        <v>1</v>
      </c>
      <c r="AV45" s="331">
        <f>IF('Input Data Sheet'!$P45=0,0,'Input Data Sheet'!AM45/'Input Data Sheet'!$P45)</f>
        <v>0</v>
      </c>
      <c r="AW45" s="331">
        <f>IF('Input Data Sheet'!$P45=0,0,'Input Data Sheet'!AN45/'Input Data Sheet'!$P45)</f>
        <v>0</v>
      </c>
      <c r="AX45" s="331">
        <f>IF('Input Data Sheet'!$P45=0,0,'Input Data Sheet'!AO45/'Input Data Sheet'!$P45)</f>
        <v>0</v>
      </c>
      <c r="AY45" s="331">
        <f>IF('Input Data Sheet'!$P45=0,0,'Input Data Sheet'!AP45/'Input Data Sheet'!$P45)</f>
        <v>0</v>
      </c>
      <c r="AZ45" s="331">
        <f>IF('Input Data Sheet'!$P45=0,0,'Input Data Sheet'!AQ45/'Input Data Sheet'!$P45)</f>
        <v>0</v>
      </c>
      <c r="BA45" s="331">
        <f>IF('Input Data Sheet'!$P45=0,0,'Input Data Sheet'!AR45/'Input Data Sheet'!$P45)</f>
        <v>0</v>
      </c>
      <c r="BB45" s="331">
        <f>IF('Input Data Sheet'!$P45=0,0,'Input Data Sheet'!AS45/'Input Data Sheet'!$P45)</f>
        <v>0</v>
      </c>
      <c r="BC45" s="331">
        <f>IF('Input Data Sheet'!$P45=0,0,'Input Data Sheet'!AT45/'Input Data Sheet'!$P45)</f>
        <v>0</v>
      </c>
      <c r="BD45" s="331">
        <f>IF('Input Data Sheet'!$P45=0,0,'Input Data Sheet'!AU45/'Input Data Sheet'!$P45)</f>
        <v>0</v>
      </c>
      <c r="BE45" s="331">
        <f>IF('Input Data Sheet'!$P45=0,0,'Input Data Sheet'!AV45/'Input Data Sheet'!$P45)</f>
        <v>0</v>
      </c>
      <c r="BF45" s="332">
        <f>IF('Input Data Sheet'!$P45=0,0,'Input Data Sheet'!AW45/'Input Data Sheet'!$P45)</f>
        <v>0</v>
      </c>
      <c r="BG45" s="328">
        <f t="shared" si="11"/>
        <v>1</v>
      </c>
    </row>
    <row r="46" spans="1:59" ht="12.75" x14ac:dyDescent="0.2">
      <c r="A46" s="409" t="str">
        <f>'Input Data Sheet'!B46</f>
        <v>ND1312</v>
      </c>
      <c r="B46" s="314" t="str">
        <f>'Input Data Sheet'!C46</f>
        <v>Southern transmission system rationalisation program</v>
      </c>
      <c r="C46" s="314" t="str">
        <f>'Input Data Sheet'!D46</f>
        <v>Asset Renewal</v>
      </c>
      <c r="D46" s="333" t="str">
        <f>'Input Data Sheet'!E46</f>
        <v>2020/21</v>
      </c>
      <c r="E46" s="333">
        <f>'Input Data Sheet'!F46</f>
        <v>10</v>
      </c>
      <c r="F46" s="315"/>
      <c r="G46" s="315"/>
      <c r="H46" s="316">
        <f>'Input Data Sheet'!J46</f>
        <v>0</v>
      </c>
      <c r="I46" s="316"/>
      <c r="J46" s="316">
        <f>'Input Data Sheet'!K46</f>
        <v>0</v>
      </c>
      <c r="K46" s="496"/>
      <c r="L46" s="496"/>
      <c r="M46" s="496"/>
      <c r="N46" s="316"/>
      <c r="O46" s="287">
        <f t="shared" si="9"/>
        <v>8241905</v>
      </c>
      <c r="P46" s="320">
        <f>'Input Data Sheet'!Q46</f>
        <v>0</v>
      </c>
      <c r="Q46" s="287">
        <f>'Input Data Sheet'!R46</f>
        <v>0</v>
      </c>
      <c r="R46" s="341">
        <f>'Input Data Sheet'!S46</f>
        <v>0</v>
      </c>
      <c r="S46" s="341">
        <f>'Input Data Sheet'!T46</f>
        <v>0</v>
      </c>
      <c r="T46" s="341">
        <f>'Input Data Sheet'!U46</f>
        <v>0</v>
      </c>
      <c r="U46" s="341">
        <f>'Input Data Sheet'!V46</f>
        <v>0</v>
      </c>
      <c r="V46" s="341">
        <f>'Input Data Sheet'!W46</f>
        <v>2514411</v>
      </c>
      <c r="W46" s="287">
        <f>'Input Data Sheet'!X46</f>
        <v>5727494</v>
      </c>
      <c r="X46" s="321">
        <f>'Input Data Sheet'!Y46</f>
        <v>0</v>
      </c>
      <c r="Y46" s="287">
        <f t="shared" si="10"/>
        <v>0</v>
      </c>
      <c r="Z46" s="287">
        <f t="shared" si="1"/>
        <v>0</v>
      </c>
      <c r="AA46" s="341">
        <f t="shared" si="2"/>
        <v>0</v>
      </c>
      <c r="AB46" s="341">
        <f t="shared" si="3"/>
        <v>0</v>
      </c>
      <c r="AC46" s="341">
        <f t="shared" si="4"/>
        <v>0</v>
      </c>
      <c r="AD46" s="341">
        <f t="shared" si="5"/>
        <v>0</v>
      </c>
      <c r="AE46" s="341">
        <f t="shared" si="6"/>
        <v>0</v>
      </c>
      <c r="AF46" s="287">
        <f t="shared" si="7"/>
        <v>0</v>
      </c>
      <c r="AG46" s="287">
        <f t="shared" si="8"/>
        <v>8241905</v>
      </c>
      <c r="AH46" s="322">
        <f>IF($H46,0,IFERROR(IF(VALUE(LEFT(D46,4))&gt;VALUE(LEFT(Parameters!$B$66,4))+1,O46-SUM(R46:X46),0),0))</f>
        <v>0</v>
      </c>
      <c r="AI46" s="330">
        <f>IF('Input Data Sheet'!$P46=0,0,'Input Data Sheet'!Z46/'Input Data Sheet'!$P46)</f>
        <v>0.42464471801661363</v>
      </c>
      <c r="AJ46" s="331">
        <f>IF('Input Data Sheet'!$P46=0,0,'Input Data Sheet'!AA46/'Input Data Sheet'!$P46)</f>
        <v>0.46239085046367928</v>
      </c>
      <c r="AK46" s="331">
        <f>IF('Input Data Sheet'!$P46=0,0,'Input Data Sheet'!AB46/'Input Data Sheet'!$P46)</f>
        <v>5.6619320001785996E-2</v>
      </c>
      <c r="AL46" s="331">
        <f>IF('Input Data Sheet'!$P46=0,0,'Input Data Sheet'!AC46/'Input Data Sheet'!$P46)</f>
        <v>4.9427899184460288E-3</v>
      </c>
      <c r="AM46" s="331">
        <f>IF('Input Data Sheet'!$P46=0,0,'Input Data Sheet'!AD46/'Input Data Sheet'!$P46)</f>
        <v>7.9436741801409E-3</v>
      </c>
      <c r="AN46" s="331">
        <f>IF('Input Data Sheet'!$P46=0,0,'Input Data Sheet'!AE46/'Input Data Sheet'!$P46)</f>
        <v>1.0592212673188137E-3</v>
      </c>
      <c r="AO46" s="331">
        <f>IF('Input Data Sheet'!$P46=0,0,'Input Data Sheet'!AF46/'Input Data Sheet'!$P46)</f>
        <v>3.7070317732407461E-3</v>
      </c>
      <c r="AP46" s="331">
        <f>IF('Input Data Sheet'!$P46=0,0,'Input Data Sheet'!AG46/'Input Data Sheet'!$P46)</f>
        <v>0</v>
      </c>
      <c r="AQ46" s="331">
        <f>IF('Input Data Sheet'!$P46=0,0,'Input Data Sheet'!AH46/'Input Data Sheet'!$P46)</f>
        <v>0</v>
      </c>
      <c r="AR46" s="331">
        <f>IF('Input Data Sheet'!$P46=0,0,'Input Data Sheet'!AI46/'Input Data Sheet'!$P46)</f>
        <v>0</v>
      </c>
      <c r="AS46" s="331">
        <f>IF('Input Data Sheet'!$P46=0,0,'Input Data Sheet'!AJ46/'Input Data Sheet'!$P46)</f>
        <v>0</v>
      </c>
      <c r="AT46" s="331">
        <f>IF('Input Data Sheet'!$P46=0,0,'Input Data Sheet'!AK46/'Input Data Sheet'!$P46)</f>
        <v>0</v>
      </c>
      <c r="AU46" s="331">
        <f>IF('Input Data Sheet'!$P46=0,0,'Input Data Sheet'!AL46/'Input Data Sheet'!$P46)</f>
        <v>0</v>
      </c>
      <c r="AV46" s="331">
        <f>IF('Input Data Sheet'!$P46=0,0,'Input Data Sheet'!AM46/'Input Data Sheet'!$P46)</f>
        <v>0</v>
      </c>
      <c r="AW46" s="331">
        <f>IF('Input Data Sheet'!$P46=0,0,'Input Data Sheet'!AN46/'Input Data Sheet'!$P46)</f>
        <v>0</v>
      </c>
      <c r="AX46" s="331">
        <f>IF('Input Data Sheet'!$P46=0,0,'Input Data Sheet'!AO46/'Input Data Sheet'!$P46)</f>
        <v>0</v>
      </c>
      <c r="AY46" s="331">
        <f>IF('Input Data Sheet'!$P46=0,0,'Input Data Sheet'!AP46/'Input Data Sheet'!$P46)</f>
        <v>3.8692515709962162E-2</v>
      </c>
      <c r="AZ46" s="331">
        <f>IF('Input Data Sheet'!$P46=0,0,'Input Data Sheet'!AQ46/'Input Data Sheet'!$P46)</f>
        <v>0</v>
      </c>
      <c r="BA46" s="331">
        <f>IF('Input Data Sheet'!$P46=0,0,'Input Data Sheet'!AR46/'Input Data Sheet'!$P46)</f>
        <v>0</v>
      </c>
      <c r="BB46" s="331">
        <f>IF('Input Data Sheet'!$P46=0,0,'Input Data Sheet'!AS46/'Input Data Sheet'!$P46)</f>
        <v>0</v>
      </c>
      <c r="BC46" s="331">
        <f>IF('Input Data Sheet'!$P46=0,0,'Input Data Sheet'!AT46/'Input Data Sheet'!$P46)</f>
        <v>0</v>
      </c>
      <c r="BD46" s="331">
        <f>IF('Input Data Sheet'!$P46=0,0,'Input Data Sheet'!AU46/'Input Data Sheet'!$P46)</f>
        <v>0</v>
      </c>
      <c r="BE46" s="331">
        <f>IF('Input Data Sheet'!$P46=0,0,'Input Data Sheet'!AV46/'Input Data Sheet'!$P46)</f>
        <v>0</v>
      </c>
      <c r="BF46" s="332">
        <f>IF('Input Data Sheet'!$P46=0,0,'Input Data Sheet'!AW46/'Input Data Sheet'!$P46)</f>
        <v>0</v>
      </c>
      <c r="BG46" s="328">
        <f t="shared" si="11"/>
        <v>1.0000001213311875</v>
      </c>
    </row>
    <row r="47" spans="1:59" ht="12.75" x14ac:dyDescent="0.2">
      <c r="A47" s="409" t="str">
        <f>'Input Data Sheet'!B47</f>
        <v>ND0941</v>
      </c>
      <c r="B47" s="314" t="str">
        <f>'Input Data Sheet'!C47</f>
        <v>St Marys Substation transformer capacity augmentation</v>
      </c>
      <c r="C47" s="314" t="str">
        <f>'Input Data Sheet'!D47</f>
        <v>Connection</v>
      </c>
      <c r="D47" s="333" t="str">
        <f>'Input Data Sheet'!E47</f>
        <v>2017/18</v>
      </c>
      <c r="E47" s="333">
        <f>'Input Data Sheet'!F47</f>
        <v>11</v>
      </c>
      <c r="F47" s="315"/>
      <c r="G47" s="315"/>
      <c r="H47" s="316">
        <f>'Input Data Sheet'!J47</f>
        <v>0</v>
      </c>
      <c r="I47" s="316"/>
      <c r="J47" s="316">
        <f>'Input Data Sheet'!K47</f>
        <v>0</v>
      </c>
      <c r="K47" s="496"/>
      <c r="L47" s="496"/>
      <c r="M47" s="496"/>
      <c r="N47" s="316"/>
      <c r="O47" s="287">
        <f t="shared" si="9"/>
        <v>3271971</v>
      </c>
      <c r="P47" s="320">
        <f>'Input Data Sheet'!Q47</f>
        <v>0</v>
      </c>
      <c r="Q47" s="287">
        <f>'Input Data Sheet'!R47</f>
        <v>0</v>
      </c>
      <c r="R47" s="341">
        <f>'Input Data Sheet'!S47</f>
        <v>0</v>
      </c>
      <c r="S47" s="341">
        <f>'Input Data Sheet'!T47</f>
        <v>196585</v>
      </c>
      <c r="T47" s="341">
        <f>'Input Data Sheet'!U47</f>
        <v>2110612</v>
      </c>
      <c r="U47" s="341">
        <f>'Input Data Sheet'!V47</f>
        <v>964774</v>
      </c>
      <c r="V47" s="341">
        <f>'Input Data Sheet'!W47</f>
        <v>0</v>
      </c>
      <c r="W47" s="287">
        <f>'Input Data Sheet'!X47</f>
        <v>0</v>
      </c>
      <c r="X47" s="321">
        <f>'Input Data Sheet'!Y47</f>
        <v>0</v>
      </c>
      <c r="Y47" s="287">
        <f t="shared" si="10"/>
        <v>0</v>
      </c>
      <c r="Z47" s="287">
        <f t="shared" si="1"/>
        <v>0</v>
      </c>
      <c r="AA47" s="341">
        <f t="shared" si="2"/>
        <v>0</v>
      </c>
      <c r="AB47" s="341">
        <f t="shared" si="3"/>
        <v>0</v>
      </c>
      <c r="AC47" s="341">
        <f t="shared" si="4"/>
        <v>0</v>
      </c>
      <c r="AD47" s="341">
        <f t="shared" si="5"/>
        <v>3271971</v>
      </c>
      <c r="AE47" s="341">
        <f t="shared" si="6"/>
        <v>0</v>
      </c>
      <c r="AF47" s="287">
        <f t="shared" si="7"/>
        <v>0</v>
      </c>
      <c r="AG47" s="287">
        <f t="shared" si="8"/>
        <v>0</v>
      </c>
      <c r="AH47" s="322">
        <f>IF($H47,0,IFERROR(IF(VALUE(LEFT(D47,4))&gt;VALUE(LEFT(Parameters!$B$66,4))+1,O47-SUM(R47:X47),0),0))</f>
        <v>0</v>
      </c>
      <c r="AI47" s="330">
        <f>IF('Input Data Sheet'!$P47=0,0,'Input Data Sheet'!Z47/'Input Data Sheet'!$P47)</f>
        <v>0</v>
      </c>
      <c r="AJ47" s="331">
        <f>IF('Input Data Sheet'!$P47=0,0,'Input Data Sheet'!AA47/'Input Data Sheet'!$P47)</f>
        <v>0</v>
      </c>
      <c r="AK47" s="331">
        <f>IF('Input Data Sheet'!$P47=0,0,'Input Data Sheet'!AB47/'Input Data Sheet'!$P47)</f>
        <v>0</v>
      </c>
      <c r="AL47" s="331">
        <f>IF('Input Data Sheet'!$P47=0,0,'Input Data Sheet'!AC47/'Input Data Sheet'!$P47)</f>
        <v>0.18647848238217343</v>
      </c>
      <c r="AM47" s="331">
        <f>IF('Input Data Sheet'!$P47=0,0,'Input Data Sheet'!AD47/'Input Data Sheet'!$P47)</f>
        <v>0.69939119246203363</v>
      </c>
      <c r="AN47" s="331">
        <f>IF('Input Data Sheet'!$P47=0,0,'Input Data Sheet'!AE47/'Input Data Sheet'!$P47)</f>
        <v>2.2591282927410705E-2</v>
      </c>
      <c r="AO47" s="331">
        <f>IF('Input Data Sheet'!$P47=0,0,'Input Data Sheet'!AF47/'Input Data Sheet'!$P47)</f>
        <v>9.1539347854656367E-2</v>
      </c>
      <c r="AP47" s="331">
        <f>IF('Input Data Sheet'!$P47=0,0,'Input Data Sheet'!AG47/'Input Data Sheet'!$P47)</f>
        <v>0</v>
      </c>
      <c r="AQ47" s="331">
        <f>IF('Input Data Sheet'!$P47=0,0,'Input Data Sheet'!AH47/'Input Data Sheet'!$P47)</f>
        <v>0</v>
      </c>
      <c r="AR47" s="331">
        <f>IF('Input Data Sheet'!$P47=0,0,'Input Data Sheet'!AI47/'Input Data Sheet'!$P47)</f>
        <v>0</v>
      </c>
      <c r="AS47" s="331">
        <f>IF('Input Data Sheet'!$P47=0,0,'Input Data Sheet'!AJ47/'Input Data Sheet'!$P47)</f>
        <v>0</v>
      </c>
      <c r="AT47" s="331">
        <f>IF('Input Data Sheet'!$P47=0,0,'Input Data Sheet'!AK47/'Input Data Sheet'!$P47)</f>
        <v>0</v>
      </c>
      <c r="AU47" s="331">
        <f>IF('Input Data Sheet'!$P47=0,0,'Input Data Sheet'!AL47/'Input Data Sheet'!$P47)</f>
        <v>0</v>
      </c>
      <c r="AV47" s="331">
        <f>IF('Input Data Sheet'!$P47=0,0,'Input Data Sheet'!AM47/'Input Data Sheet'!$P47)</f>
        <v>0</v>
      </c>
      <c r="AW47" s="331">
        <f>IF('Input Data Sheet'!$P47=0,0,'Input Data Sheet'!AN47/'Input Data Sheet'!$P47)</f>
        <v>0</v>
      </c>
      <c r="AX47" s="331">
        <f>IF('Input Data Sheet'!$P47=0,0,'Input Data Sheet'!AO47/'Input Data Sheet'!$P47)</f>
        <v>0</v>
      </c>
      <c r="AY47" s="331">
        <f>IF('Input Data Sheet'!$P47=0,0,'Input Data Sheet'!AP47/'Input Data Sheet'!$P47)</f>
        <v>0</v>
      </c>
      <c r="AZ47" s="331">
        <f>IF('Input Data Sheet'!$P47=0,0,'Input Data Sheet'!AQ47/'Input Data Sheet'!$P47)</f>
        <v>0</v>
      </c>
      <c r="BA47" s="331">
        <f>IF('Input Data Sheet'!$P47=0,0,'Input Data Sheet'!AR47/'Input Data Sheet'!$P47)</f>
        <v>0</v>
      </c>
      <c r="BB47" s="331">
        <f>IF('Input Data Sheet'!$P47=0,0,'Input Data Sheet'!AS47/'Input Data Sheet'!$P47)</f>
        <v>0</v>
      </c>
      <c r="BC47" s="331">
        <f>IF('Input Data Sheet'!$P47=0,0,'Input Data Sheet'!AT47/'Input Data Sheet'!$P47)</f>
        <v>0</v>
      </c>
      <c r="BD47" s="331">
        <f>IF('Input Data Sheet'!$P47=0,0,'Input Data Sheet'!AU47/'Input Data Sheet'!$P47)</f>
        <v>0</v>
      </c>
      <c r="BE47" s="331">
        <f>IF('Input Data Sheet'!$P47=0,0,'Input Data Sheet'!AV47/'Input Data Sheet'!$P47)</f>
        <v>0</v>
      </c>
      <c r="BF47" s="332">
        <f>IF('Input Data Sheet'!$P47=0,0,'Input Data Sheet'!AW47/'Input Data Sheet'!$P47)</f>
        <v>0</v>
      </c>
      <c r="BG47" s="328">
        <f t="shared" si="11"/>
        <v>1.0000003056262743</v>
      </c>
    </row>
    <row r="48" spans="1:59" ht="12.75" x14ac:dyDescent="0.2">
      <c r="A48" s="409" t="str">
        <f>'Input Data Sheet'!B48</f>
        <v>ND1261</v>
      </c>
      <c r="B48" s="314" t="str">
        <f>'Input Data Sheet'!C48</f>
        <v>Strategic Easement and Land Acquisition</v>
      </c>
      <c r="C48" s="314" t="str">
        <f>'Input Data Sheet'!D48</f>
        <v>Physical Security / Compliance</v>
      </c>
      <c r="D48" s="333" t="str">
        <f>'Input Data Sheet'!E48</f>
        <v>2018/19</v>
      </c>
      <c r="E48" s="333">
        <f>'Input Data Sheet'!F48</f>
        <v>15</v>
      </c>
      <c r="F48" s="315"/>
      <c r="G48" s="315"/>
      <c r="H48" s="316">
        <f>'Input Data Sheet'!J48</f>
        <v>1</v>
      </c>
      <c r="I48" s="316"/>
      <c r="J48" s="316">
        <f>'Input Data Sheet'!K48</f>
        <v>1</v>
      </c>
      <c r="K48" s="496"/>
      <c r="L48" s="496"/>
      <c r="M48" s="496"/>
      <c r="N48" s="316"/>
      <c r="O48" s="287">
        <f t="shared" si="9"/>
        <v>1835410</v>
      </c>
      <c r="P48" s="320">
        <f>'Input Data Sheet'!Q48</f>
        <v>0</v>
      </c>
      <c r="Q48" s="287">
        <f>'Input Data Sheet'!R48</f>
        <v>0</v>
      </c>
      <c r="R48" s="341">
        <f>'Input Data Sheet'!S48</f>
        <v>367082</v>
      </c>
      <c r="S48" s="341">
        <f>'Input Data Sheet'!T48</f>
        <v>367082</v>
      </c>
      <c r="T48" s="341">
        <f>'Input Data Sheet'!U48</f>
        <v>367082</v>
      </c>
      <c r="U48" s="341">
        <f>'Input Data Sheet'!V48</f>
        <v>367082</v>
      </c>
      <c r="V48" s="341">
        <f>'Input Data Sheet'!W48</f>
        <v>367082</v>
      </c>
      <c r="W48" s="287">
        <f>'Input Data Sheet'!X48</f>
        <v>0</v>
      </c>
      <c r="X48" s="321">
        <f>'Input Data Sheet'!Y48</f>
        <v>0</v>
      </c>
      <c r="Y48" s="287">
        <f t="shared" si="10"/>
        <v>0</v>
      </c>
      <c r="Z48" s="287">
        <f t="shared" si="1"/>
        <v>0</v>
      </c>
      <c r="AA48" s="341">
        <f t="shared" si="2"/>
        <v>367082</v>
      </c>
      <c r="AB48" s="341">
        <f t="shared" si="3"/>
        <v>367082</v>
      </c>
      <c r="AC48" s="341">
        <f t="shared" si="4"/>
        <v>367082</v>
      </c>
      <c r="AD48" s="341">
        <f t="shared" si="5"/>
        <v>367082</v>
      </c>
      <c r="AE48" s="341">
        <f t="shared" si="6"/>
        <v>367082</v>
      </c>
      <c r="AF48" s="287">
        <f t="shared" si="7"/>
        <v>0</v>
      </c>
      <c r="AG48" s="287">
        <f t="shared" si="8"/>
        <v>0</v>
      </c>
      <c r="AH48" s="322">
        <f>IF($H48,0,IFERROR(IF(VALUE(LEFT(D48,4))&gt;VALUE(LEFT(Parameters!$B$66,4))+1,O48-SUM(R48:X48),0),0))</f>
        <v>0</v>
      </c>
      <c r="AI48" s="330">
        <f>IF('Input Data Sheet'!$P48=0,0,'Input Data Sheet'!Z48/'Input Data Sheet'!$P48)</f>
        <v>0</v>
      </c>
      <c r="AJ48" s="331">
        <f>IF('Input Data Sheet'!$P48=0,0,'Input Data Sheet'!AA48/'Input Data Sheet'!$P48)</f>
        <v>0</v>
      </c>
      <c r="AK48" s="331">
        <f>IF('Input Data Sheet'!$P48=0,0,'Input Data Sheet'!AB48/'Input Data Sheet'!$P48)</f>
        <v>0</v>
      </c>
      <c r="AL48" s="331">
        <f>IF('Input Data Sheet'!$P48=0,0,'Input Data Sheet'!AC48/'Input Data Sheet'!$P48)</f>
        <v>0</v>
      </c>
      <c r="AM48" s="331">
        <f>IF('Input Data Sheet'!$P48=0,0,'Input Data Sheet'!AD48/'Input Data Sheet'!$P48)</f>
        <v>0</v>
      </c>
      <c r="AN48" s="331">
        <f>IF('Input Data Sheet'!$P48=0,0,'Input Data Sheet'!AE48/'Input Data Sheet'!$P48)</f>
        <v>0</v>
      </c>
      <c r="AO48" s="331">
        <f>IF('Input Data Sheet'!$P48=0,0,'Input Data Sheet'!AF48/'Input Data Sheet'!$P48)</f>
        <v>0</v>
      </c>
      <c r="AP48" s="331">
        <f>IF('Input Data Sheet'!$P48=0,0,'Input Data Sheet'!AG48/'Input Data Sheet'!$P48)</f>
        <v>0</v>
      </c>
      <c r="AQ48" s="331">
        <f>IF('Input Data Sheet'!$P48=0,0,'Input Data Sheet'!AH48/'Input Data Sheet'!$P48)</f>
        <v>0</v>
      </c>
      <c r="AR48" s="331">
        <f>IF('Input Data Sheet'!$P48=0,0,'Input Data Sheet'!AI48/'Input Data Sheet'!$P48)</f>
        <v>0</v>
      </c>
      <c r="AS48" s="331">
        <f>IF('Input Data Sheet'!$P48=0,0,'Input Data Sheet'!AJ48/'Input Data Sheet'!$P48)</f>
        <v>0</v>
      </c>
      <c r="AT48" s="331">
        <f>IF('Input Data Sheet'!$P48=0,0,'Input Data Sheet'!AK48/'Input Data Sheet'!$P48)</f>
        <v>0</v>
      </c>
      <c r="AU48" s="331">
        <f>IF('Input Data Sheet'!$P48=0,0,'Input Data Sheet'!AL48/'Input Data Sheet'!$P48)</f>
        <v>0</v>
      </c>
      <c r="AV48" s="331">
        <f>IF('Input Data Sheet'!$P48=0,0,'Input Data Sheet'!AM48/'Input Data Sheet'!$P48)</f>
        <v>0</v>
      </c>
      <c r="AW48" s="331">
        <f>IF('Input Data Sheet'!$P48=0,0,'Input Data Sheet'!AN48/'Input Data Sheet'!$P48)</f>
        <v>0</v>
      </c>
      <c r="AX48" s="331">
        <f>IF('Input Data Sheet'!$P48=0,0,'Input Data Sheet'!AO48/'Input Data Sheet'!$P48)</f>
        <v>0</v>
      </c>
      <c r="AY48" s="331">
        <f>IF('Input Data Sheet'!$P48=0,0,'Input Data Sheet'!AP48/'Input Data Sheet'!$P48)</f>
        <v>1</v>
      </c>
      <c r="AZ48" s="331">
        <f>IF('Input Data Sheet'!$P48=0,0,'Input Data Sheet'!AQ48/'Input Data Sheet'!$P48)</f>
        <v>0</v>
      </c>
      <c r="BA48" s="331">
        <f>IF('Input Data Sheet'!$P48=0,0,'Input Data Sheet'!AR48/'Input Data Sheet'!$P48)</f>
        <v>0</v>
      </c>
      <c r="BB48" s="331">
        <f>IF('Input Data Sheet'!$P48=0,0,'Input Data Sheet'!AS48/'Input Data Sheet'!$P48)</f>
        <v>0</v>
      </c>
      <c r="BC48" s="331">
        <f>IF('Input Data Sheet'!$P48=0,0,'Input Data Sheet'!AT48/'Input Data Sheet'!$P48)</f>
        <v>0</v>
      </c>
      <c r="BD48" s="331">
        <f>IF('Input Data Sheet'!$P48=0,0,'Input Data Sheet'!AU48/'Input Data Sheet'!$P48)</f>
        <v>0</v>
      </c>
      <c r="BE48" s="331">
        <f>IF('Input Data Sheet'!$P48=0,0,'Input Data Sheet'!AV48/'Input Data Sheet'!$P48)</f>
        <v>0</v>
      </c>
      <c r="BF48" s="332">
        <f>IF('Input Data Sheet'!$P48=0,0,'Input Data Sheet'!AW48/'Input Data Sheet'!$P48)</f>
        <v>0</v>
      </c>
      <c r="BG48" s="328">
        <f t="shared" si="11"/>
        <v>1</v>
      </c>
    </row>
    <row r="49" spans="1:59" ht="12.75" x14ac:dyDescent="0.2">
      <c r="A49" s="409" t="str">
        <f>'Input Data Sheet'!B49</f>
        <v>ND1341</v>
      </c>
      <c r="B49" s="314" t="str">
        <f>'Input Data Sheet'!C49</f>
        <v>Strategic spare 110/22/11 kV 17/25 MVA supply transformer</v>
      </c>
      <c r="C49" s="314" t="str">
        <f>'Input Data Sheet'!D49</f>
        <v>Inventory / Spares</v>
      </c>
      <c r="D49" s="333" t="str">
        <f>'Input Data Sheet'!E49</f>
        <v>2016/17</v>
      </c>
      <c r="E49" s="333">
        <f>'Input Data Sheet'!F49</f>
        <v>11</v>
      </c>
      <c r="F49" s="315"/>
      <c r="G49" s="315"/>
      <c r="H49" s="316">
        <f>'Input Data Sheet'!J49</f>
        <v>0</v>
      </c>
      <c r="I49" s="316"/>
      <c r="J49" s="316">
        <f>'Input Data Sheet'!K49</f>
        <v>0</v>
      </c>
      <c r="K49" s="496"/>
      <c r="L49" s="496"/>
      <c r="M49" s="496"/>
      <c r="N49" s="316"/>
      <c r="O49" s="287">
        <f t="shared" si="9"/>
        <v>1453793</v>
      </c>
      <c r="P49" s="320">
        <f>'Input Data Sheet'!Q49</f>
        <v>0</v>
      </c>
      <c r="Q49" s="287">
        <f>'Input Data Sheet'!R49</f>
        <v>0</v>
      </c>
      <c r="R49" s="341">
        <f>'Input Data Sheet'!S49</f>
        <v>180690</v>
      </c>
      <c r="S49" s="341">
        <f>'Input Data Sheet'!T49</f>
        <v>1247489</v>
      </c>
      <c r="T49" s="341">
        <f>'Input Data Sheet'!U49</f>
        <v>25614</v>
      </c>
      <c r="U49" s="341">
        <f>'Input Data Sheet'!V49</f>
        <v>0</v>
      </c>
      <c r="V49" s="341">
        <f>'Input Data Sheet'!W49</f>
        <v>0</v>
      </c>
      <c r="W49" s="287">
        <f>'Input Data Sheet'!X49</f>
        <v>0</v>
      </c>
      <c r="X49" s="321">
        <f>'Input Data Sheet'!Y49</f>
        <v>0</v>
      </c>
      <c r="Y49" s="287">
        <f t="shared" si="10"/>
        <v>0</v>
      </c>
      <c r="Z49" s="287">
        <f t="shared" si="1"/>
        <v>0</v>
      </c>
      <c r="AA49" s="341">
        <f t="shared" si="2"/>
        <v>0</v>
      </c>
      <c r="AB49" s="341">
        <f t="shared" si="3"/>
        <v>0</v>
      </c>
      <c r="AC49" s="341">
        <f t="shared" si="4"/>
        <v>1453793</v>
      </c>
      <c r="AD49" s="341">
        <f t="shared" si="5"/>
        <v>0</v>
      </c>
      <c r="AE49" s="341">
        <f t="shared" si="6"/>
        <v>0</v>
      </c>
      <c r="AF49" s="287">
        <f t="shared" si="7"/>
        <v>0</v>
      </c>
      <c r="AG49" s="287">
        <f t="shared" si="8"/>
        <v>0</v>
      </c>
      <c r="AH49" s="322">
        <f>IF($H49,0,IFERROR(IF(VALUE(LEFT(D49,4))&gt;VALUE(LEFT(Parameters!$B$66,4))+1,O49-SUM(R49:X49),0),0))</f>
        <v>0</v>
      </c>
      <c r="AI49" s="330">
        <f>IF('Input Data Sheet'!$P49=0,0,'Input Data Sheet'!Z49/'Input Data Sheet'!$P49)</f>
        <v>0</v>
      </c>
      <c r="AJ49" s="331">
        <f>IF('Input Data Sheet'!$P49=0,0,'Input Data Sheet'!AA49/'Input Data Sheet'!$P49)</f>
        <v>0</v>
      </c>
      <c r="AK49" s="331">
        <f>IF('Input Data Sheet'!$P49=0,0,'Input Data Sheet'!AB49/'Input Data Sheet'!$P49)</f>
        <v>0</v>
      </c>
      <c r="AL49" s="331">
        <f>IF('Input Data Sheet'!$P49=0,0,'Input Data Sheet'!AC49/'Input Data Sheet'!$P49)</f>
        <v>0.15618602936321013</v>
      </c>
      <c r="AM49" s="331">
        <f>IF('Input Data Sheet'!$P49=0,0,'Input Data Sheet'!AD49/'Input Data Sheet'!$P49)</f>
        <v>0.7801707534502873</v>
      </c>
      <c r="AN49" s="331">
        <f>IF('Input Data Sheet'!$P49=0,0,'Input Data Sheet'!AE49/'Input Data Sheet'!$P49)</f>
        <v>1.0474675882106932E-2</v>
      </c>
      <c r="AO49" s="331">
        <f>IF('Input Data Sheet'!$P49=0,0,'Input Data Sheet'!AF49/'Input Data Sheet'!$P49)</f>
        <v>5.3168541304395675E-2</v>
      </c>
      <c r="AP49" s="331">
        <f>IF('Input Data Sheet'!$P49=0,0,'Input Data Sheet'!AG49/'Input Data Sheet'!$P49)</f>
        <v>0</v>
      </c>
      <c r="AQ49" s="331">
        <f>IF('Input Data Sheet'!$P49=0,0,'Input Data Sheet'!AH49/'Input Data Sheet'!$P49)</f>
        <v>0</v>
      </c>
      <c r="AR49" s="331">
        <f>IF('Input Data Sheet'!$P49=0,0,'Input Data Sheet'!AI49/'Input Data Sheet'!$P49)</f>
        <v>0</v>
      </c>
      <c r="AS49" s="331">
        <f>IF('Input Data Sheet'!$P49=0,0,'Input Data Sheet'!AJ49/'Input Data Sheet'!$P49)</f>
        <v>0</v>
      </c>
      <c r="AT49" s="331">
        <f>IF('Input Data Sheet'!$P49=0,0,'Input Data Sheet'!AK49/'Input Data Sheet'!$P49)</f>
        <v>0</v>
      </c>
      <c r="AU49" s="331">
        <f>IF('Input Data Sheet'!$P49=0,0,'Input Data Sheet'!AL49/'Input Data Sheet'!$P49)</f>
        <v>0</v>
      </c>
      <c r="AV49" s="331">
        <f>IF('Input Data Sheet'!$P49=0,0,'Input Data Sheet'!AM49/'Input Data Sheet'!$P49)</f>
        <v>0</v>
      </c>
      <c r="AW49" s="331">
        <f>IF('Input Data Sheet'!$P49=0,0,'Input Data Sheet'!AN49/'Input Data Sheet'!$P49)</f>
        <v>0</v>
      </c>
      <c r="AX49" s="331">
        <f>IF('Input Data Sheet'!$P49=0,0,'Input Data Sheet'!AO49/'Input Data Sheet'!$P49)</f>
        <v>0</v>
      </c>
      <c r="AY49" s="331">
        <f>IF('Input Data Sheet'!$P49=0,0,'Input Data Sheet'!AP49/'Input Data Sheet'!$P49)</f>
        <v>0</v>
      </c>
      <c r="AZ49" s="331">
        <f>IF('Input Data Sheet'!$P49=0,0,'Input Data Sheet'!AQ49/'Input Data Sheet'!$P49)</f>
        <v>0</v>
      </c>
      <c r="BA49" s="331">
        <f>IF('Input Data Sheet'!$P49=0,0,'Input Data Sheet'!AR49/'Input Data Sheet'!$P49)</f>
        <v>0</v>
      </c>
      <c r="BB49" s="331">
        <f>IF('Input Data Sheet'!$P49=0,0,'Input Data Sheet'!AS49/'Input Data Sheet'!$P49)</f>
        <v>0</v>
      </c>
      <c r="BC49" s="331">
        <f>IF('Input Data Sheet'!$P49=0,0,'Input Data Sheet'!AT49/'Input Data Sheet'!$P49)</f>
        <v>0</v>
      </c>
      <c r="BD49" s="331">
        <f>IF('Input Data Sheet'!$P49=0,0,'Input Data Sheet'!AU49/'Input Data Sheet'!$P49)</f>
        <v>0</v>
      </c>
      <c r="BE49" s="331">
        <f>IF('Input Data Sheet'!$P49=0,0,'Input Data Sheet'!AV49/'Input Data Sheet'!$P49)</f>
        <v>0</v>
      </c>
      <c r="BF49" s="332">
        <f>IF('Input Data Sheet'!$P49=0,0,'Input Data Sheet'!AW49/'Input Data Sheet'!$P49)</f>
        <v>0</v>
      </c>
      <c r="BG49" s="328">
        <f t="shared" si="11"/>
        <v>1</v>
      </c>
    </row>
    <row r="50" spans="1:59" ht="12.75" x14ac:dyDescent="0.2">
      <c r="A50" s="409" t="str">
        <f>'Input Data Sheet'!B50</f>
        <v>ND1342</v>
      </c>
      <c r="B50" s="314" t="str">
        <f>'Input Data Sheet'!C50</f>
        <v>Strategic spare 110/33/22/11 kV 30/60 MVA supply transformer</v>
      </c>
      <c r="C50" s="314" t="str">
        <f>'Input Data Sheet'!D50</f>
        <v>Inventory / Spares</v>
      </c>
      <c r="D50" s="333" t="str">
        <f>'Input Data Sheet'!E50</f>
        <v>2016/17</v>
      </c>
      <c r="E50" s="333">
        <f>'Input Data Sheet'!F50</f>
        <v>11</v>
      </c>
      <c r="F50" s="315"/>
      <c r="G50" s="315"/>
      <c r="H50" s="316">
        <f>'Input Data Sheet'!J50</f>
        <v>0</v>
      </c>
      <c r="I50" s="316"/>
      <c r="J50" s="316">
        <f>'Input Data Sheet'!K50</f>
        <v>0</v>
      </c>
      <c r="K50" s="496"/>
      <c r="L50" s="496"/>
      <c r="M50" s="496"/>
      <c r="N50" s="316"/>
      <c r="O50" s="287">
        <f t="shared" si="9"/>
        <v>2000000</v>
      </c>
      <c r="P50" s="320">
        <f>'Input Data Sheet'!Q50</f>
        <v>0</v>
      </c>
      <c r="Q50" s="287">
        <f>'Input Data Sheet'!R50</f>
        <v>0</v>
      </c>
      <c r="R50" s="341">
        <f>'Input Data Sheet'!S50</f>
        <v>280000</v>
      </c>
      <c r="S50" s="341">
        <f>'Input Data Sheet'!T50</f>
        <v>1690000</v>
      </c>
      <c r="T50" s="341">
        <f>'Input Data Sheet'!U50</f>
        <v>30000</v>
      </c>
      <c r="U50" s="341">
        <f>'Input Data Sheet'!V50</f>
        <v>0</v>
      </c>
      <c r="V50" s="341">
        <f>'Input Data Sheet'!W50</f>
        <v>0</v>
      </c>
      <c r="W50" s="287">
        <f>'Input Data Sheet'!X50</f>
        <v>0</v>
      </c>
      <c r="X50" s="321">
        <f>'Input Data Sheet'!Y50</f>
        <v>0</v>
      </c>
      <c r="Y50" s="287">
        <f t="shared" si="10"/>
        <v>0</v>
      </c>
      <c r="Z50" s="287">
        <f t="shared" si="1"/>
        <v>0</v>
      </c>
      <c r="AA50" s="341">
        <f t="shared" si="2"/>
        <v>0</v>
      </c>
      <c r="AB50" s="341">
        <f t="shared" si="3"/>
        <v>0</v>
      </c>
      <c r="AC50" s="341">
        <f t="shared" si="4"/>
        <v>2000000</v>
      </c>
      <c r="AD50" s="341">
        <f t="shared" si="5"/>
        <v>0</v>
      </c>
      <c r="AE50" s="341">
        <f t="shared" si="6"/>
        <v>0</v>
      </c>
      <c r="AF50" s="287">
        <f t="shared" si="7"/>
        <v>0</v>
      </c>
      <c r="AG50" s="287">
        <f t="shared" si="8"/>
        <v>0</v>
      </c>
      <c r="AH50" s="322">
        <f>IF($H50,0,IFERROR(IF(VALUE(LEFT(D50,4))&gt;VALUE(LEFT(Parameters!$B$66,4))+1,O50-SUM(R50:X50),0),0))</f>
        <v>0</v>
      </c>
      <c r="AI50" s="330">
        <f>IF('Input Data Sheet'!$P50=0,0,'Input Data Sheet'!Z50/'Input Data Sheet'!$P50)</f>
        <v>0</v>
      </c>
      <c r="AJ50" s="331">
        <f>IF('Input Data Sheet'!$P50=0,0,'Input Data Sheet'!AA50/'Input Data Sheet'!$P50)</f>
        <v>0</v>
      </c>
      <c r="AK50" s="331">
        <f>IF('Input Data Sheet'!$P50=0,0,'Input Data Sheet'!AB50/'Input Data Sheet'!$P50)</f>
        <v>0</v>
      </c>
      <c r="AL50" s="331">
        <f>IF('Input Data Sheet'!$P50=0,0,'Input Data Sheet'!AC50/'Input Data Sheet'!$P50)</f>
        <v>0.13</v>
      </c>
      <c r="AM50" s="331">
        <f>IF('Input Data Sheet'!$P50=0,0,'Input Data Sheet'!AD50/'Input Data Sheet'!$P50)</f>
        <v>0.85</v>
      </c>
      <c r="AN50" s="331">
        <f>IF('Input Data Sheet'!$P50=0,0,'Input Data Sheet'!AE50/'Input Data Sheet'!$P50)</f>
        <v>0</v>
      </c>
      <c r="AO50" s="331">
        <f>IF('Input Data Sheet'!$P50=0,0,'Input Data Sheet'!AF50/'Input Data Sheet'!$P50)</f>
        <v>0.02</v>
      </c>
      <c r="AP50" s="331">
        <f>IF('Input Data Sheet'!$P50=0,0,'Input Data Sheet'!AG50/'Input Data Sheet'!$P50)</f>
        <v>0</v>
      </c>
      <c r="AQ50" s="331">
        <f>IF('Input Data Sheet'!$P50=0,0,'Input Data Sheet'!AH50/'Input Data Sheet'!$P50)</f>
        <v>0</v>
      </c>
      <c r="AR50" s="331">
        <f>IF('Input Data Sheet'!$P50=0,0,'Input Data Sheet'!AI50/'Input Data Sheet'!$P50)</f>
        <v>0</v>
      </c>
      <c r="AS50" s="331">
        <f>IF('Input Data Sheet'!$P50=0,0,'Input Data Sheet'!AJ50/'Input Data Sheet'!$P50)</f>
        <v>0</v>
      </c>
      <c r="AT50" s="331">
        <f>IF('Input Data Sheet'!$P50=0,0,'Input Data Sheet'!AK50/'Input Data Sheet'!$P50)</f>
        <v>0</v>
      </c>
      <c r="AU50" s="331">
        <f>IF('Input Data Sheet'!$P50=0,0,'Input Data Sheet'!AL50/'Input Data Sheet'!$P50)</f>
        <v>0</v>
      </c>
      <c r="AV50" s="331">
        <f>IF('Input Data Sheet'!$P50=0,0,'Input Data Sheet'!AM50/'Input Data Sheet'!$P50)</f>
        <v>0</v>
      </c>
      <c r="AW50" s="331">
        <f>IF('Input Data Sheet'!$P50=0,0,'Input Data Sheet'!AN50/'Input Data Sheet'!$P50)</f>
        <v>0</v>
      </c>
      <c r="AX50" s="331">
        <f>IF('Input Data Sheet'!$P50=0,0,'Input Data Sheet'!AO50/'Input Data Sheet'!$P50)</f>
        <v>0</v>
      </c>
      <c r="AY50" s="331">
        <f>IF('Input Data Sheet'!$P50=0,0,'Input Data Sheet'!AP50/'Input Data Sheet'!$P50)</f>
        <v>0</v>
      </c>
      <c r="AZ50" s="331">
        <f>IF('Input Data Sheet'!$P50=0,0,'Input Data Sheet'!AQ50/'Input Data Sheet'!$P50)</f>
        <v>0</v>
      </c>
      <c r="BA50" s="331">
        <f>IF('Input Data Sheet'!$P50=0,0,'Input Data Sheet'!AR50/'Input Data Sheet'!$P50)</f>
        <v>0</v>
      </c>
      <c r="BB50" s="331">
        <f>IF('Input Data Sheet'!$P50=0,0,'Input Data Sheet'!AS50/'Input Data Sheet'!$P50)</f>
        <v>0</v>
      </c>
      <c r="BC50" s="331">
        <f>IF('Input Data Sheet'!$P50=0,0,'Input Data Sheet'!AT50/'Input Data Sheet'!$P50)</f>
        <v>0</v>
      </c>
      <c r="BD50" s="331">
        <f>IF('Input Data Sheet'!$P50=0,0,'Input Data Sheet'!AU50/'Input Data Sheet'!$P50)</f>
        <v>0</v>
      </c>
      <c r="BE50" s="331">
        <f>IF('Input Data Sheet'!$P50=0,0,'Input Data Sheet'!AV50/'Input Data Sheet'!$P50)</f>
        <v>0</v>
      </c>
      <c r="BF50" s="332">
        <f>IF('Input Data Sheet'!$P50=0,0,'Input Data Sheet'!AW50/'Input Data Sheet'!$P50)</f>
        <v>0</v>
      </c>
      <c r="BG50" s="328">
        <f t="shared" si="11"/>
        <v>1</v>
      </c>
    </row>
    <row r="51" spans="1:59" ht="12.75" x14ac:dyDescent="0.2">
      <c r="A51" s="409" t="str">
        <f>'Input Data Sheet'!B51</f>
        <v>ND1340</v>
      </c>
      <c r="B51" s="314" t="str">
        <f>'Input Data Sheet'!C51</f>
        <v>Strategic spare 33 kV switchgear</v>
      </c>
      <c r="C51" s="314" t="str">
        <f>'Input Data Sheet'!D51</f>
        <v>Inventory / Spares</v>
      </c>
      <c r="D51" s="333" t="str">
        <f>'Input Data Sheet'!E51</f>
        <v>2015/16</v>
      </c>
      <c r="E51" s="333">
        <f>'Input Data Sheet'!F51</f>
        <v>8</v>
      </c>
      <c r="F51" s="315"/>
      <c r="G51" s="315"/>
      <c r="H51" s="316">
        <f>'Input Data Sheet'!J51</f>
        <v>0</v>
      </c>
      <c r="I51" s="316"/>
      <c r="J51" s="316">
        <f>'Input Data Sheet'!K51</f>
        <v>0</v>
      </c>
      <c r="K51" s="496"/>
      <c r="L51" s="496"/>
      <c r="M51" s="496"/>
      <c r="N51" s="316"/>
      <c r="O51" s="287">
        <f t="shared" si="9"/>
        <v>650000</v>
      </c>
      <c r="P51" s="320">
        <f>'Input Data Sheet'!Q51</f>
        <v>0</v>
      </c>
      <c r="Q51" s="287">
        <f>'Input Data Sheet'!R51</f>
        <v>0</v>
      </c>
      <c r="R51" s="341">
        <f>'Input Data Sheet'!S51</f>
        <v>226000</v>
      </c>
      <c r="S51" s="341">
        <f>'Input Data Sheet'!T51</f>
        <v>424000</v>
      </c>
      <c r="T51" s="341">
        <f>'Input Data Sheet'!U51</f>
        <v>0</v>
      </c>
      <c r="U51" s="341">
        <f>'Input Data Sheet'!V51</f>
        <v>0</v>
      </c>
      <c r="V51" s="341">
        <f>'Input Data Sheet'!W51</f>
        <v>0</v>
      </c>
      <c r="W51" s="287">
        <f>'Input Data Sheet'!X51</f>
        <v>0</v>
      </c>
      <c r="X51" s="321">
        <f>'Input Data Sheet'!Y51</f>
        <v>0</v>
      </c>
      <c r="Y51" s="287">
        <f t="shared" si="10"/>
        <v>0</v>
      </c>
      <c r="Z51" s="287">
        <f t="shared" si="1"/>
        <v>0</v>
      </c>
      <c r="AA51" s="341">
        <f t="shared" si="2"/>
        <v>0</v>
      </c>
      <c r="AB51" s="341">
        <f t="shared" si="3"/>
        <v>650000</v>
      </c>
      <c r="AC51" s="341">
        <f t="shared" si="4"/>
        <v>0</v>
      </c>
      <c r="AD51" s="341">
        <f t="shared" si="5"/>
        <v>0</v>
      </c>
      <c r="AE51" s="341">
        <f t="shared" si="6"/>
        <v>0</v>
      </c>
      <c r="AF51" s="287">
        <f t="shared" si="7"/>
        <v>0</v>
      </c>
      <c r="AG51" s="287">
        <f t="shared" si="8"/>
        <v>0</v>
      </c>
      <c r="AH51" s="322">
        <f>IF($H51,0,IFERROR(IF(VALUE(LEFT(D51,4))&gt;VALUE(LEFT(Parameters!$B$66,4))+1,O51-SUM(R51:X51),0),0))</f>
        <v>0</v>
      </c>
      <c r="AI51" s="330">
        <f>IF('Input Data Sheet'!$P51=0,0,'Input Data Sheet'!Z51/'Input Data Sheet'!$P51)</f>
        <v>0</v>
      </c>
      <c r="AJ51" s="331">
        <f>IF('Input Data Sheet'!$P51=0,0,'Input Data Sheet'!AA51/'Input Data Sheet'!$P51)</f>
        <v>0</v>
      </c>
      <c r="AK51" s="331">
        <f>IF('Input Data Sheet'!$P51=0,0,'Input Data Sheet'!AB51/'Input Data Sheet'!$P51)</f>
        <v>0</v>
      </c>
      <c r="AL51" s="331">
        <f>IF('Input Data Sheet'!$P51=0,0,'Input Data Sheet'!AC51/'Input Data Sheet'!$P51)</f>
        <v>0.28000000000000003</v>
      </c>
      <c r="AM51" s="331">
        <f>IF('Input Data Sheet'!$P51=0,0,'Input Data Sheet'!AD51/'Input Data Sheet'!$P51)</f>
        <v>0.45</v>
      </c>
      <c r="AN51" s="331">
        <f>IF('Input Data Sheet'!$P51=0,0,'Input Data Sheet'!AE51/'Input Data Sheet'!$P51)</f>
        <v>0.06</v>
      </c>
      <c r="AO51" s="331">
        <f>IF('Input Data Sheet'!$P51=0,0,'Input Data Sheet'!AF51/'Input Data Sheet'!$P51)</f>
        <v>0.21</v>
      </c>
      <c r="AP51" s="331">
        <f>IF('Input Data Sheet'!$P51=0,0,'Input Data Sheet'!AG51/'Input Data Sheet'!$P51)</f>
        <v>0</v>
      </c>
      <c r="AQ51" s="331">
        <f>IF('Input Data Sheet'!$P51=0,0,'Input Data Sheet'!AH51/'Input Data Sheet'!$P51)</f>
        <v>0</v>
      </c>
      <c r="AR51" s="331">
        <f>IF('Input Data Sheet'!$P51=0,0,'Input Data Sheet'!AI51/'Input Data Sheet'!$P51)</f>
        <v>0</v>
      </c>
      <c r="AS51" s="331">
        <f>IF('Input Data Sheet'!$P51=0,0,'Input Data Sheet'!AJ51/'Input Data Sheet'!$P51)</f>
        <v>0</v>
      </c>
      <c r="AT51" s="331">
        <f>IF('Input Data Sheet'!$P51=0,0,'Input Data Sheet'!AK51/'Input Data Sheet'!$P51)</f>
        <v>0</v>
      </c>
      <c r="AU51" s="331">
        <f>IF('Input Data Sheet'!$P51=0,0,'Input Data Sheet'!AL51/'Input Data Sheet'!$P51)</f>
        <v>0</v>
      </c>
      <c r="AV51" s="331">
        <f>IF('Input Data Sheet'!$P51=0,0,'Input Data Sheet'!AM51/'Input Data Sheet'!$P51)</f>
        <v>0</v>
      </c>
      <c r="AW51" s="331">
        <f>IF('Input Data Sheet'!$P51=0,0,'Input Data Sheet'!AN51/'Input Data Sheet'!$P51)</f>
        <v>0</v>
      </c>
      <c r="AX51" s="331">
        <f>IF('Input Data Sheet'!$P51=0,0,'Input Data Sheet'!AO51/'Input Data Sheet'!$P51)</f>
        <v>0</v>
      </c>
      <c r="AY51" s="331">
        <f>IF('Input Data Sheet'!$P51=0,0,'Input Data Sheet'!AP51/'Input Data Sheet'!$P51)</f>
        <v>0</v>
      </c>
      <c r="AZ51" s="331">
        <f>IF('Input Data Sheet'!$P51=0,0,'Input Data Sheet'!AQ51/'Input Data Sheet'!$P51)</f>
        <v>0</v>
      </c>
      <c r="BA51" s="331">
        <f>IF('Input Data Sheet'!$P51=0,0,'Input Data Sheet'!AR51/'Input Data Sheet'!$P51)</f>
        <v>0</v>
      </c>
      <c r="BB51" s="331">
        <f>IF('Input Data Sheet'!$P51=0,0,'Input Data Sheet'!AS51/'Input Data Sheet'!$P51)</f>
        <v>0</v>
      </c>
      <c r="BC51" s="331">
        <f>IF('Input Data Sheet'!$P51=0,0,'Input Data Sheet'!AT51/'Input Data Sheet'!$P51)</f>
        <v>0</v>
      </c>
      <c r="BD51" s="331">
        <f>IF('Input Data Sheet'!$P51=0,0,'Input Data Sheet'!AU51/'Input Data Sheet'!$P51)</f>
        <v>0</v>
      </c>
      <c r="BE51" s="331">
        <f>IF('Input Data Sheet'!$P51=0,0,'Input Data Sheet'!AV51/'Input Data Sheet'!$P51)</f>
        <v>0</v>
      </c>
      <c r="BF51" s="332">
        <f>IF('Input Data Sheet'!$P51=0,0,'Input Data Sheet'!AW51/'Input Data Sheet'!$P51)</f>
        <v>0</v>
      </c>
      <c r="BG51" s="328">
        <f t="shared" si="11"/>
        <v>1</v>
      </c>
    </row>
    <row r="52" spans="1:59" ht="12.75" x14ac:dyDescent="0.2">
      <c r="A52" s="409" t="str">
        <f>'Input Data Sheet'!B52</f>
        <v>ND1118</v>
      </c>
      <c r="B52" s="314" t="str">
        <f>'Input Data Sheet'!C52</f>
        <v>Strategic spare dual secondary winding 110/11-6.6 kV 45-45 MVA supply transformer</v>
      </c>
      <c r="C52" s="314" t="str">
        <f>'Input Data Sheet'!D52</f>
        <v>Inventory / Spares</v>
      </c>
      <c r="D52" s="333" t="str">
        <f>'Input Data Sheet'!E52</f>
        <v>2016/17</v>
      </c>
      <c r="E52" s="333">
        <f>'Input Data Sheet'!F52</f>
        <v>11</v>
      </c>
      <c r="F52" s="315"/>
      <c r="G52" s="315"/>
      <c r="H52" s="316">
        <f>'Input Data Sheet'!J52</f>
        <v>0</v>
      </c>
      <c r="I52" s="316"/>
      <c r="J52" s="316">
        <f>'Input Data Sheet'!K52</f>
        <v>0</v>
      </c>
      <c r="K52" s="496"/>
      <c r="L52" s="496"/>
      <c r="M52" s="496"/>
      <c r="N52" s="316"/>
      <c r="O52" s="287">
        <f t="shared" si="9"/>
        <v>2250000</v>
      </c>
      <c r="P52" s="320">
        <f>'Input Data Sheet'!Q52</f>
        <v>0</v>
      </c>
      <c r="Q52" s="287">
        <f>'Input Data Sheet'!R52</f>
        <v>0</v>
      </c>
      <c r="R52" s="341">
        <f>'Input Data Sheet'!S52</f>
        <v>315000</v>
      </c>
      <c r="S52" s="341">
        <f>'Input Data Sheet'!T52</f>
        <v>1822500</v>
      </c>
      <c r="T52" s="341">
        <f>'Input Data Sheet'!U52</f>
        <v>112500</v>
      </c>
      <c r="U52" s="341">
        <f>'Input Data Sheet'!V52</f>
        <v>0</v>
      </c>
      <c r="V52" s="341">
        <f>'Input Data Sheet'!W52</f>
        <v>0</v>
      </c>
      <c r="W52" s="287">
        <f>'Input Data Sheet'!X52</f>
        <v>0</v>
      </c>
      <c r="X52" s="321">
        <f>'Input Data Sheet'!Y52</f>
        <v>0</v>
      </c>
      <c r="Y52" s="287">
        <f t="shared" si="10"/>
        <v>0</v>
      </c>
      <c r="Z52" s="287">
        <f t="shared" si="1"/>
        <v>0</v>
      </c>
      <c r="AA52" s="341">
        <f t="shared" si="2"/>
        <v>0</v>
      </c>
      <c r="AB52" s="341">
        <f t="shared" si="3"/>
        <v>0</v>
      </c>
      <c r="AC52" s="341">
        <f t="shared" si="4"/>
        <v>2250000</v>
      </c>
      <c r="AD52" s="341">
        <f t="shared" si="5"/>
        <v>0</v>
      </c>
      <c r="AE52" s="341">
        <f t="shared" si="6"/>
        <v>0</v>
      </c>
      <c r="AF52" s="287">
        <f t="shared" si="7"/>
        <v>0</v>
      </c>
      <c r="AG52" s="287">
        <f t="shared" si="8"/>
        <v>0</v>
      </c>
      <c r="AH52" s="322">
        <f>IF($H52,0,IFERROR(IF(VALUE(LEFT(D52,4))&gt;VALUE(LEFT(Parameters!$B$66,4))+1,O52-SUM(R52:X52),0),0))</f>
        <v>0</v>
      </c>
      <c r="AI52" s="330">
        <f>IF('Input Data Sheet'!$P52=0,0,'Input Data Sheet'!Z52/'Input Data Sheet'!$P52)</f>
        <v>0</v>
      </c>
      <c r="AJ52" s="331">
        <f>IF('Input Data Sheet'!$P52=0,0,'Input Data Sheet'!AA52/'Input Data Sheet'!$P52)</f>
        <v>0</v>
      </c>
      <c r="AK52" s="331">
        <f>IF('Input Data Sheet'!$P52=0,0,'Input Data Sheet'!AB52/'Input Data Sheet'!$P52)</f>
        <v>0</v>
      </c>
      <c r="AL52" s="331">
        <f>IF('Input Data Sheet'!$P52=0,0,'Input Data Sheet'!AC52/'Input Data Sheet'!$P52)</f>
        <v>0.14000000000000001</v>
      </c>
      <c r="AM52" s="331">
        <f>IF('Input Data Sheet'!$P52=0,0,'Input Data Sheet'!AD52/'Input Data Sheet'!$P52)</f>
        <v>0.84</v>
      </c>
      <c r="AN52" s="331">
        <f>IF('Input Data Sheet'!$P52=0,0,'Input Data Sheet'!AE52/'Input Data Sheet'!$P52)</f>
        <v>0</v>
      </c>
      <c r="AO52" s="331">
        <f>IF('Input Data Sheet'!$P52=0,0,'Input Data Sheet'!AF52/'Input Data Sheet'!$P52)</f>
        <v>0.02</v>
      </c>
      <c r="AP52" s="331">
        <f>IF('Input Data Sheet'!$P52=0,0,'Input Data Sheet'!AG52/'Input Data Sheet'!$P52)</f>
        <v>0</v>
      </c>
      <c r="AQ52" s="331">
        <f>IF('Input Data Sheet'!$P52=0,0,'Input Data Sheet'!AH52/'Input Data Sheet'!$P52)</f>
        <v>0</v>
      </c>
      <c r="AR52" s="331">
        <f>IF('Input Data Sheet'!$P52=0,0,'Input Data Sheet'!AI52/'Input Data Sheet'!$P52)</f>
        <v>0</v>
      </c>
      <c r="AS52" s="331">
        <f>IF('Input Data Sheet'!$P52=0,0,'Input Data Sheet'!AJ52/'Input Data Sheet'!$P52)</f>
        <v>0</v>
      </c>
      <c r="AT52" s="331">
        <f>IF('Input Data Sheet'!$P52=0,0,'Input Data Sheet'!AK52/'Input Data Sheet'!$P52)</f>
        <v>0</v>
      </c>
      <c r="AU52" s="331">
        <f>IF('Input Data Sheet'!$P52=0,0,'Input Data Sheet'!AL52/'Input Data Sheet'!$P52)</f>
        <v>0</v>
      </c>
      <c r="AV52" s="331">
        <f>IF('Input Data Sheet'!$P52=0,0,'Input Data Sheet'!AM52/'Input Data Sheet'!$P52)</f>
        <v>0</v>
      </c>
      <c r="AW52" s="331">
        <f>IF('Input Data Sheet'!$P52=0,0,'Input Data Sheet'!AN52/'Input Data Sheet'!$P52)</f>
        <v>0</v>
      </c>
      <c r="AX52" s="331">
        <f>IF('Input Data Sheet'!$P52=0,0,'Input Data Sheet'!AO52/'Input Data Sheet'!$P52)</f>
        <v>0</v>
      </c>
      <c r="AY52" s="331">
        <f>IF('Input Data Sheet'!$P52=0,0,'Input Data Sheet'!AP52/'Input Data Sheet'!$P52)</f>
        <v>0</v>
      </c>
      <c r="AZ52" s="331">
        <f>IF('Input Data Sheet'!$P52=0,0,'Input Data Sheet'!AQ52/'Input Data Sheet'!$P52)</f>
        <v>0</v>
      </c>
      <c r="BA52" s="331">
        <f>IF('Input Data Sheet'!$P52=0,0,'Input Data Sheet'!AR52/'Input Data Sheet'!$P52)</f>
        <v>0</v>
      </c>
      <c r="BB52" s="331">
        <f>IF('Input Data Sheet'!$P52=0,0,'Input Data Sheet'!AS52/'Input Data Sheet'!$P52)</f>
        <v>0</v>
      </c>
      <c r="BC52" s="331">
        <f>IF('Input Data Sheet'!$P52=0,0,'Input Data Sheet'!AT52/'Input Data Sheet'!$P52)</f>
        <v>0</v>
      </c>
      <c r="BD52" s="331">
        <f>IF('Input Data Sheet'!$P52=0,0,'Input Data Sheet'!AU52/'Input Data Sheet'!$P52)</f>
        <v>0</v>
      </c>
      <c r="BE52" s="331">
        <f>IF('Input Data Sheet'!$P52=0,0,'Input Data Sheet'!AV52/'Input Data Sheet'!$P52)</f>
        <v>0</v>
      </c>
      <c r="BF52" s="332">
        <f>IF('Input Data Sheet'!$P52=0,0,'Input Data Sheet'!AW52/'Input Data Sheet'!$P52)</f>
        <v>0</v>
      </c>
      <c r="BG52" s="328">
        <f t="shared" si="11"/>
        <v>1</v>
      </c>
    </row>
    <row r="53" spans="1:59" ht="12.75" x14ac:dyDescent="0.2">
      <c r="A53" s="409" t="str">
        <f>'Input Data Sheet'!B53</f>
        <v>ND1343</v>
      </c>
      <c r="B53" s="314" t="str">
        <f>'Input Data Sheet'!C53</f>
        <v>Strategic spare mobile 110/33/22/11 kV substation</v>
      </c>
      <c r="C53" s="314" t="str">
        <f>'Input Data Sheet'!D53</f>
        <v>Inventory / Spares</v>
      </c>
      <c r="D53" s="333" t="str">
        <f>'Input Data Sheet'!E53</f>
        <v>2016/17</v>
      </c>
      <c r="E53" s="333" t="str">
        <f>'Input Data Sheet'!F53</f>
        <v>7a</v>
      </c>
      <c r="F53" s="315"/>
      <c r="G53" s="315"/>
      <c r="H53" s="316">
        <f>'Input Data Sheet'!J53</f>
        <v>0</v>
      </c>
      <c r="I53" s="316"/>
      <c r="J53" s="316">
        <f>'Input Data Sheet'!K53</f>
        <v>0</v>
      </c>
      <c r="K53" s="496"/>
      <c r="L53" s="496"/>
      <c r="M53" s="496"/>
      <c r="N53" s="316"/>
      <c r="O53" s="287">
        <f t="shared" si="9"/>
        <v>6400000</v>
      </c>
      <c r="P53" s="320">
        <f>'Input Data Sheet'!Q53</f>
        <v>0</v>
      </c>
      <c r="Q53" s="287">
        <f>'Input Data Sheet'!R53</f>
        <v>0</v>
      </c>
      <c r="R53" s="341">
        <f>'Input Data Sheet'!S53</f>
        <v>256600</v>
      </c>
      <c r="S53" s="341">
        <f>'Input Data Sheet'!T53</f>
        <v>2471683</v>
      </c>
      <c r="T53" s="341">
        <f>'Input Data Sheet'!U53</f>
        <v>3671717</v>
      </c>
      <c r="U53" s="341">
        <f>'Input Data Sheet'!V53</f>
        <v>0</v>
      </c>
      <c r="V53" s="341">
        <f>'Input Data Sheet'!W53</f>
        <v>0</v>
      </c>
      <c r="W53" s="287">
        <f>'Input Data Sheet'!X53</f>
        <v>0</v>
      </c>
      <c r="X53" s="321">
        <f>'Input Data Sheet'!Y53</f>
        <v>0</v>
      </c>
      <c r="Y53" s="287">
        <f t="shared" si="10"/>
        <v>0</v>
      </c>
      <c r="Z53" s="287">
        <f t="shared" si="1"/>
        <v>0</v>
      </c>
      <c r="AA53" s="341">
        <f t="shared" si="2"/>
        <v>0</v>
      </c>
      <c r="AB53" s="341">
        <f t="shared" si="3"/>
        <v>0</v>
      </c>
      <c r="AC53" s="341">
        <f t="shared" si="4"/>
        <v>6400000</v>
      </c>
      <c r="AD53" s="341">
        <f t="shared" si="5"/>
        <v>0</v>
      </c>
      <c r="AE53" s="341">
        <f t="shared" si="6"/>
        <v>0</v>
      </c>
      <c r="AF53" s="287">
        <f t="shared" si="7"/>
        <v>0</v>
      </c>
      <c r="AG53" s="287">
        <f t="shared" si="8"/>
        <v>0</v>
      </c>
      <c r="AH53" s="322">
        <f>IF($H53,0,IFERROR(IF(VALUE(LEFT(D53,4))&gt;VALUE(LEFT(Parameters!$B$66,4))+1,O53-SUM(R53:X53),0),0))</f>
        <v>0</v>
      </c>
      <c r="AI53" s="330">
        <f>IF('Input Data Sheet'!$P53=0,0,'Input Data Sheet'!Z53/'Input Data Sheet'!$P53)</f>
        <v>0</v>
      </c>
      <c r="AJ53" s="331">
        <f>IF('Input Data Sheet'!$P53=0,0,'Input Data Sheet'!AA53/'Input Data Sheet'!$P53)</f>
        <v>0</v>
      </c>
      <c r="AK53" s="331">
        <f>IF('Input Data Sheet'!$P53=0,0,'Input Data Sheet'!AB53/'Input Data Sheet'!$P53)</f>
        <v>0</v>
      </c>
      <c r="AL53" s="331">
        <f>IF('Input Data Sheet'!$P53=0,0,'Input Data Sheet'!AC53/'Input Data Sheet'!$P53)</f>
        <v>0.19843749999999999</v>
      </c>
      <c r="AM53" s="331">
        <f>IF('Input Data Sheet'!$P53=0,0,'Input Data Sheet'!AD53/'Input Data Sheet'!$P53)</f>
        <v>0.69125000000000003</v>
      </c>
      <c r="AN53" s="331">
        <f>IF('Input Data Sheet'!$P53=0,0,'Input Data Sheet'!AE53/'Input Data Sheet'!$P53)</f>
        <v>1.0625000000000001E-2</v>
      </c>
      <c r="AO53" s="331">
        <f>IF('Input Data Sheet'!$P53=0,0,'Input Data Sheet'!AF53/'Input Data Sheet'!$P53)</f>
        <v>9.9687499999999998E-2</v>
      </c>
      <c r="AP53" s="331">
        <f>IF('Input Data Sheet'!$P53=0,0,'Input Data Sheet'!AG53/'Input Data Sheet'!$P53)</f>
        <v>0</v>
      </c>
      <c r="AQ53" s="331">
        <f>IF('Input Data Sheet'!$P53=0,0,'Input Data Sheet'!AH53/'Input Data Sheet'!$P53)</f>
        <v>0</v>
      </c>
      <c r="AR53" s="331">
        <f>IF('Input Data Sheet'!$P53=0,0,'Input Data Sheet'!AI53/'Input Data Sheet'!$P53)</f>
        <v>0</v>
      </c>
      <c r="AS53" s="331">
        <f>IF('Input Data Sheet'!$P53=0,0,'Input Data Sheet'!AJ53/'Input Data Sheet'!$P53)</f>
        <v>0</v>
      </c>
      <c r="AT53" s="331">
        <f>IF('Input Data Sheet'!$P53=0,0,'Input Data Sheet'!AK53/'Input Data Sheet'!$P53)</f>
        <v>0</v>
      </c>
      <c r="AU53" s="331">
        <f>IF('Input Data Sheet'!$P53=0,0,'Input Data Sheet'!AL53/'Input Data Sheet'!$P53)</f>
        <v>0</v>
      </c>
      <c r="AV53" s="331">
        <f>IF('Input Data Sheet'!$P53=0,0,'Input Data Sheet'!AM53/'Input Data Sheet'!$P53)</f>
        <v>0</v>
      </c>
      <c r="AW53" s="331">
        <f>IF('Input Data Sheet'!$P53=0,0,'Input Data Sheet'!AN53/'Input Data Sheet'!$P53)</f>
        <v>0</v>
      </c>
      <c r="AX53" s="331">
        <f>IF('Input Data Sheet'!$P53=0,0,'Input Data Sheet'!AO53/'Input Data Sheet'!$P53)</f>
        <v>0</v>
      </c>
      <c r="AY53" s="331">
        <f>IF('Input Data Sheet'!$P53=0,0,'Input Data Sheet'!AP53/'Input Data Sheet'!$P53)</f>
        <v>0</v>
      </c>
      <c r="AZ53" s="331">
        <f>IF('Input Data Sheet'!$P53=0,0,'Input Data Sheet'!AQ53/'Input Data Sheet'!$P53)</f>
        <v>0</v>
      </c>
      <c r="BA53" s="331">
        <f>IF('Input Data Sheet'!$P53=0,0,'Input Data Sheet'!AR53/'Input Data Sheet'!$P53)</f>
        <v>0</v>
      </c>
      <c r="BB53" s="331">
        <f>IF('Input Data Sheet'!$P53=0,0,'Input Data Sheet'!AS53/'Input Data Sheet'!$P53)</f>
        <v>0</v>
      </c>
      <c r="BC53" s="331">
        <f>IF('Input Data Sheet'!$P53=0,0,'Input Data Sheet'!AT53/'Input Data Sheet'!$P53)</f>
        <v>0</v>
      </c>
      <c r="BD53" s="331">
        <f>IF('Input Data Sheet'!$P53=0,0,'Input Data Sheet'!AU53/'Input Data Sheet'!$P53)</f>
        <v>0</v>
      </c>
      <c r="BE53" s="331">
        <f>IF('Input Data Sheet'!$P53=0,0,'Input Data Sheet'!AV53/'Input Data Sheet'!$P53)</f>
        <v>0</v>
      </c>
      <c r="BF53" s="332">
        <f>IF('Input Data Sheet'!$P53=0,0,'Input Data Sheet'!AW53/'Input Data Sheet'!$P53)</f>
        <v>0</v>
      </c>
      <c r="BG53" s="328">
        <f t="shared" si="11"/>
        <v>1</v>
      </c>
    </row>
    <row r="54" spans="1:59" ht="12.75" x14ac:dyDescent="0.2">
      <c r="A54" s="409" t="str">
        <f>'Input Data Sheet'!B54</f>
        <v>ND1204</v>
      </c>
      <c r="B54" s="314" t="str">
        <f>'Input Data Sheet'!C54</f>
        <v>Substation AC distribution system renewal program</v>
      </c>
      <c r="C54" s="314" t="str">
        <f>'Input Data Sheet'!D54</f>
        <v>Asset Renewal</v>
      </c>
      <c r="D54" s="333" t="str">
        <f>'Input Data Sheet'!E54</f>
        <v>2017/18</v>
      </c>
      <c r="E54" s="333">
        <f>'Input Data Sheet'!F54</f>
        <v>8</v>
      </c>
      <c r="F54" s="315"/>
      <c r="G54" s="315"/>
      <c r="H54" s="316">
        <f>'Input Data Sheet'!J54</f>
        <v>1</v>
      </c>
      <c r="I54" s="316"/>
      <c r="J54" s="316">
        <f>'Input Data Sheet'!K54</f>
        <v>0</v>
      </c>
      <c r="K54" s="496"/>
      <c r="L54" s="496"/>
      <c r="M54" s="496"/>
      <c r="N54" s="316"/>
      <c r="O54" s="287">
        <f t="shared" si="9"/>
        <v>2091600</v>
      </c>
      <c r="P54" s="320">
        <f>'Input Data Sheet'!Q54</f>
        <v>0</v>
      </c>
      <c r="Q54" s="287">
        <f>'Input Data Sheet'!R54</f>
        <v>0</v>
      </c>
      <c r="R54" s="341">
        <f>'Input Data Sheet'!S54</f>
        <v>0</v>
      </c>
      <c r="S54" s="341">
        <f>'Input Data Sheet'!T54</f>
        <v>0</v>
      </c>
      <c r="T54" s="341">
        <f>'Input Data Sheet'!U54</f>
        <v>172348</v>
      </c>
      <c r="U54" s="341">
        <f>'Input Data Sheet'!V54</f>
        <v>808711</v>
      </c>
      <c r="V54" s="341">
        <f>'Input Data Sheet'!W54</f>
        <v>1110541</v>
      </c>
      <c r="W54" s="287">
        <f>'Input Data Sheet'!X54</f>
        <v>0</v>
      </c>
      <c r="X54" s="321">
        <f>'Input Data Sheet'!Y54</f>
        <v>0</v>
      </c>
      <c r="Y54" s="287">
        <f t="shared" si="10"/>
        <v>0</v>
      </c>
      <c r="Z54" s="287">
        <f t="shared" si="1"/>
        <v>0</v>
      </c>
      <c r="AA54" s="341">
        <f t="shared" si="2"/>
        <v>0</v>
      </c>
      <c r="AB54" s="341">
        <f t="shared" si="3"/>
        <v>0</v>
      </c>
      <c r="AC54" s="341">
        <f t="shared" si="4"/>
        <v>172348</v>
      </c>
      <c r="AD54" s="341">
        <f t="shared" si="5"/>
        <v>808711</v>
      </c>
      <c r="AE54" s="341">
        <f t="shared" si="6"/>
        <v>1110541</v>
      </c>
      <c r="AF54" s="287">
        <f t="shared" si="7"/>
        <v>0</v>
      </c>
      <c r="AG54" s="287">
        <f t="shared" si="8"/>
        <v>0</v>
      </c>
      <c r="AH54" s="322">
        <f>IF($H54,0,IFERROR(IF(VALUE(LEFT(D54,4))&gt;VALUE(LEFT(Parameters!$B$66,4))+1,O54-SUM(R54:X54),0),0))</f>
        <v>0</v>
      </c>
      <c r="AI54" s="330">
        <f>IF('Input Data Sheet'!$P54=0,0,'Input Data Sheet'!Z54/'Input Data Sheet'!$P54)</f>
        <v>0</v>
      </c>
      <c r="AJ54" s="331">
        <f>IF('Input Data Sheet'!$P54=0,0,'Input Data Sheet'!AA54/'Input Data Sheet'!$P54)</f>
        <v>0</v>
      </c>
      <c r="AK54" s="331">
        <f>IF('Input Data Sheet'!$P54=0,0,'Input Data Sheet'!AB54/'Input Data Sheet'!$P54)</f>
        <v>0</v>
      </c>
      <c r="AL54" s="331">
        <f>IF('Input Data Sheet'!$P54=0,0,'Input Data Sheet'!AC54/'Input Data Sheet'!$P54)</f>
        <v>0.17124497991967871</v>
      </c>
      <c r="AM54" s="331">
        <f>IF('Input Data Sheet'!$P54=0,0,'Input Data Sheet'!AD54/'Input Data Sheet'!$P54)</f>
        <v>0.27521514629948363</v>
      </c>
      <c r="AN54" s="331">
        <f>IF('Input Data Sheet'!$P54=0,0,'Input Data Sheet'!AE54/'Input Data Sheet'!$P54)</f>
        <v>3.6695352839931153E-2</v>
      </c>
      <c r="AO54" s="331">
        <f>IF('Input Data Sheet'!$P54=0,0,'Input Data Sheet'!AF54/'Input Data Sheet'!$P54)</f>
        <v>0.51684452094090649</v>
      </c>
      <c r="AP54" s="331">
        <f>IF('Input Data Sheet'!$P54=0,0,'Input Data Sheet'!AG54/'Input Data Sheet'!$P54)</f>
        <v>0</v>
      </c>
      <c r="AQ54" s="331">
        <f>IF('Input Data Sheet'!$P54=0,0,'Input Data Sheet'!AH54/'Input Data Sheet'!$P54)</f>
        <v>0</v>
      </c>
      <c r="AR54" s="331">
        <f>IF('Input Data Sheet'!$P54=0,0,'Input Data Sheet'!AI54/'Input Data Sheet'!$P54)</f>
        <v>0</v>
      </c>
      <c r="AS54" s="331">
        <f>IF('Input Data Sheet'!$P54=0,0,'Input Data Sheet'!AJ54/'Input Data Sheet'!$P54)</f>
        <v>0</v>
      </c>
      <c r="AT54" s="331">
        <f>IF('Input Data Sheet'!$P54=0,0,'Input Data Sheet'!AK54/'Input Data Sheet'!$P54)</f>
        <v>0</v>
      </c>
      <c r="AU54" s="331">
        <f>IF('Input Data Sheet'!$P54=0,0,'Input Data Sheet'!AL54/'Input Data Sheet'!$P54)</f>
        <v>0</v>
      </c>
      <c r="AV54" s="331">
        <f>IF('Input Data Sheet'!$P54=0,0,'Input Data Sheet'!AM54/'Input Data Sheet'!$P54)</f>
        <v>0</v>
      </c>
      <c r="AW54" s="331">
        <f>IF('Input Data Sheet'!$P54=0,0,'Input Data Sheet'!AN54/'Input Data Sheet'!$P54)</f>
        <v>0</v>
      </c>
      <c r="AX54" s="331">
        <f>IF('Input Data Sheet'!$P54=0,0,'Input Data Sheet'!AO54/'Input Data Sheet'!$P54)</f>
        <v>0</v>
      </c>
      <c r="AY54" s="331">
        <f>IF('Input Data Sheet'!$P54=0,0,'Input Data Sheet'!AP54/'Input Data Sheet'!$P54)</f>
        <v>0</v>
      </c>
      <c r="AZ54" s="331">
        <f>IF('Input Data Sheet'!$P54=0,0,'Input Data Sheet'!AQ54/'Input Data Sheet'!$P54)</f>
        <v>0</v>
      </c>
      <c r="BA54" s="331">
        <f>IF('Input Data Sheet'!$P54=0,0,'Input Data Sheet'!AR54/'Input Data Sheet'!$P54)</f>
        <v>0</v>
      </c>
      <c r="BB54" s="331">
        <f>IF('Input Data Sheet'!$P54=0,0,'Input Data Sheet'!AS54/'Input Data Sheet'!$P54)</f>
        <v>0</v>
      </c>
      <c r="BC54" s="331">
        <f>IF('Input Data Sheet'!$P54=0,0,'Input Data Sheet'!AT54/'Input Data Sheet'!$P54)</f>
        <v>0</v>
      </c>
      <c r="BD54" s="331">
        <f>IF('Input Data Sheet'!$P54=0,0,'Input Data Sheet'!AU54/'Input Data Sheet'!$P54)</f>
        <v>0</v>
      </c>
      <c r="BE54" s="331">
        <f>IF('Input Data Sheet'!$P54=0,0,'Input Data Sheet'!AV54/'Input Data Sheet'!$P54)</f>
        <v>0</v>
      </c>
      <c r="BF54" s="332">
        <f>IF('Input Data Sheet'!$P54=0,0,'Input Data Sheet'!AW54/'Input Data Sheet'!$P54)</f>
        <v>0</v>
      </c>
      <c r="BG54" s="328">
        <f t="shared" si="11"/>
        <v>1</v>
      </c>
    </row>
    <row r="55" spans="1:59" ht="12.75" x14ac:dyDescent="0.2">
      <c r="A55" s="409" t="str">
        <f>'Input Data Sheet'!B55</f>
        <v>ND0989</v>
      </c>
      <c r="B55" s="314" t="str">
        <f>'Input Data Sheet'!C55</f>
        <v>Substation AC supply replacement program</v>
      </c>
      <c r="C55" s="314" t="str">
        <f>'Input Data Sheet'!D55</f>
        <v>Asset Renewal</v>
      </c>
      <c r="D55" s="333" t="str">
        <f>'Input Data Sheet'!E55</f>
        <v>2014/15</v>
      </c>
      <c r="E55" s="333">
        <f>'Input Data Sheet'!F55</f>
        <v>0</v>
      </c>
      <c r="F55" s="315"/>
      <c r="G55" s="315"/>
      <c r="H55" s="316">
        <f>'Input Data Sheet'!J55</f>
        <v>0</v>
      </c>
      <c r="I55" s="316"/>
      <c r="J55" s="316">
        <f>'Input Data Sheet'!K55</f>
        <v>0</v>
      </c>
      <c r="K55" s="496"/>
      <c r="L55" s="496"/>
      <c r="M55" s="496"/>
      <c r="N55" s="316"/>
      <c r="O55" s="287">
        <f t="shared" si="9"/>
        <v>323963.17737496441</v>
      </c>
      <c r="P55" s="320">
        <f>'Input Data Sheet'!Q55</f>
        <v>0</v>
      </c>
      <c r="Q55" s="287">
        <f>'Input Data Sheet'!R55</f>
        <v>0</v>
      </c>
      <c r="R55" s="341">
        <f>'Input Data Sheet'!S55</f>
        <v>323963.17737496441</v>
      </c>
      <c r="S55" s="341">
        <f>'Input Data Sheet'!T55</f>
        <v>0</v>
      </c>
      <c r="T55" s="341">
        <f>'Input Data Sheet'!U55</f>
        <v>0</v>
      </c>
      <c r="U55" s="341">
        <f>'Input Data Sheet'!V55</f>
        <v>0</v>
      </c>
      <c r="V55" s="341">
        <f>'Input Data Sheet'!W55</f>
        <v>0</v>
      </c>
      <c r="W55" s="287">
        <f>'Input Data Sheet'!X55</f>
        <v>0</v>
      </c>
      <c r="X55" s="321">
        <f>'Input Data Sheet'!Y55</f>
        <v>0</v>
      </c>
      <c r="Y55" s="287">
        <f t="shared" si="10"/>
        <v>0</v>
      </c>
      <c r="Z55" s="287">
        <f t="shared" si="1"/>
        <v>0</v>
      </c>
      <c r="AA55" s="341">
        <f t="shared" si="2"/>
        <v>323963.17737496441</v>
      </c>
      <c r="AB55" s="341">
        <f t="shared" si="3"/>
        <v>0</v>
      </c>
      <c r="AC55" s="341">
        <f t="shared" si="4"/>
        <v>0</v>
      </c>
      <c r="AD55" s="341">
        <f t="shared" si="5"/>
        <v>0</v>
      </c>
      <c r="AE55" s="341">
        <f t="shared" si="6"/>
        <v>0</v>
      </c>
      <c r="AF55" s="287">
        <f t="shared" si="7"/>
        <v>0</v>
      </c>
      <c r="AG55" s="287">
        <f t="shared" si="8"/>
        <v>0</v>
      </c>
      <c r="AH55" s="322">
        <f>IF($H55,0,IFERROR(IF(VALUE(LEFT(D55,4))&gt;VALUE(LEFT(Parameters!$B$66,4))+1,O55-SUM(R55:X55),0),0))</f>
        <v>0</v>
      </c>
      <c r="AI55" s="330">
        <f>IF('Input Data Sheet'!$P55=0,0,'Input Data Sheet'!Z55/'Input Data Sheet'!$P55)</f>
        <v>0</v>
      </c>
      <c r="AJ55" s="331">
        <f>IF('Input Data Sheet'!$P55=0,0,'Input Data Sheet'!AA55/'Input Data Sheet'!$P55)</f>
        <v>0</v>
      </c>
      <c r="AK55" s="331">
        <f>IF('Input Data Sheet'!$P55=0,0,'Input Data Sheet'!AB55/'Input Data Sheet'!$P55)</f>
        <v>0</v>
      </c>
      <c r="AL55" s="331">
        <f>IF('Input Data Sheet'!$P55=0,0,'Input Data Sheet'!AC55/'Input Data Sheet'!$P55)</f>
        <v>0.28000000000000008</v>
      </c>
      <c r="AM55" s="331">
        <f>IF('Input Data Sheet'!$P55=0,0,'Input Data Sheet'!AD55/'Input Data Sheet'!$P55)</f>
        <v>0.45000000000000007</v>
      </c>
      <c r="AN55" s="331">
        <f>IF('Input Data Sheet'!$P55=0,0,'Input Data Sheet'!AE55/'Input Data Sheet'!$P55)</f>
        <v>0.06</v>
      </c>
      <c r="AO55" s="331">
        <f>IF('Input Data Sheet'!$P55=0,0,'Input Data Sheet'!AF55/'Input Data Sheet'!$P55)</f>
        <v>0.21000000000000002</v>
      </c>
      <c r="AP55" s="331">
        <f>IF('Input Data Sheet'!$P55=0,0,'Input Data Sheet'!AG55/'Input Data Sheet'!$P55)</f>
        <v>0</v>
      </c>
      <c r="AQ55" s="331">
        <f>IF('Input Data Sheet'!$P55=0,0,'Input Data Sheet'!AH55/'Input Data Sheet'!$P55)</f>
        <v>0</v>
      </c>
      <c r="AR55" s="331">
        <f>IF('Input Data Sheet'!$P55=0,0,'Input Data Sheet'!AI55/'Input Data Sheet'!$P55)</f>
        <v>0</v>
      </c>
      <c r="AS55" s="331">
        <f>IF('Input Data Sheet'!$P55=0,0,'Input Data Sheet'!AJ55/'Input Data Sheet'!$P55)</f>
        <v>0</v>
      </c>
      <c r="AT55" s="331">
        <f>IF('Input Data Sheet'!$P55=0,0,'Input Data Sheet'!AK55/'Input Data Sheet'!$P55)</f>
        <v>0</v>
      </c>
      <c r="AU55" s="331">
        <f>IF('Input Data Sheet'!$P55=0,0,'Input Data Sheet'!AL55/'Input Data Sheet'!$P55)</f>
        <v>0</v>
      </c>
      <c r="AV55" s="331">
        <f>IF('Input Data Sheet'!$P55=0,0,'Input Data Sheet'!AM55/'Input Data Sheet'!$P55)</f>
        <v>0</v>
      </c>
      <c r="AW55" s="331">
        <f>IF('Input Data Sheet'!$P55=0,0,'Input Data Sheet'!AN55/'Input Data Sheet'!$P55)</f>
        <v>0</v>
      </c>
      <c r="AX55" s="331">
        <f>IF('Input Data Sheet'!$P55=0,0,'Input Data Sheet'!AO55/'Input Data Sheet'!$P55)</f>
        <v>0</v>
      </c>
      <c r="AY55" s="331">
        <f>IF('Input Data Sheet'!$P55=0,0,'Input Data Sheet'!AP55/'Input Data Sheet'!$P55)</f>
        <v>0</v>
      </c>
      <c r="AZ55" s="331">
        <f>IF('Input Data Sheet'!$P55=0,0,'Input Data Sheet'!AQ55/'Input Data Sheet'!$P55)</f>
        <v>0</v>
      </c>
      <c r="BA55" s="331">
        <f>IF('Input Data Sheet'!$P55=0,0,'Input Data Sheet'!AR55/'Input Data Sheet'!$P55)</f>
        <v>0</v>
      </c>
      <c r="BB55" s="331">
        <f>IF('Input Data Sheet'!$P55=0,0,'Input Data Sheet'!AS55/'Input Data Sheet'!$P55)</f>
        <v>0</v>
      </c>
      <c r="BC55" s="331">
        <f>IF('Input Data Sheet'!$P55=0,0,'Input Data Sheet'!AT55/'Input Data Sheet'!$P55)</f>
        <v>0</v>
      </c>
      <c r="BD55" s="331">
        <f>IF('Input Data Sheet'!$P55=0,0,'Input Data Sheet'!AU55/'Input Data Sheet'!$P55)</f>
        <v>0</v>
      </c>
      <c r="BE55" s="331">
        <f>IF('Input Data Sheet'!$P55=0,0,'Input Data Sheet'!AV55/'Input Data Sheet'!$P55)</f>
        <v>0</v>
      </c>
      <c r="BF55" s="332">
        <f>IF('Input Data Sheet'!$P55=0,0,'Input Data Sheet'!AW55/'Input Data Sheet'!$P55)</f>
        <v>0</v>
      </c>
      <c r="BG55" s="328">
        <f t="shared" si="11"/>
        <v>1.0000000000000002</v>
      </c>
    </row>
    <row r="56" spans="1:59" ht="12.75" x14ac:dyDescent="0.2">
      <c r="A56" s="409" t="str">
        <f>'Input Data Sheet'!B56</f>
        <v>ND1002</v>
      </c>
      <c r="B56" s="314" t="str">
        <f>'Input Data Sheet'!C56</f>
        <v>Substation condition based monitoring program</v>
      </c>
      <c r="C56" s="314" t="str">
        <f>'Input Data Sheet'!D56</f>
        <v>Operational Support Systems</v>
      </c>
      <c r="D56" s="333" t="str">
        <f>'Input Data Sheet'!E56</f>
        <v>2018/19</v>
      </c>
      <c r="E56" s="333">
        <f>'Input Data Sheet'!F56</f>
        <v>8</v>
      </c>
      <c r="F56" s="315"/>
      <c r="G56" s="315"/>
      <c r="H56" s="316">
        <f>'Input Data Sheet'!J56</f>
        <v>1</v>
      </c>
      <c r="I56" s="316"/>
      <c r="J56" s="316">
        <f>'Input Data Sheet'!K56</f>
        <v>0</v>
      </c>
      <c r="K56" s="496"/>
      <c r="L56" s="496"/>
      <c r="M56" s="496"/>
      <c r="N56" s="316"/>
      <c r="O56" s="287">
        <f t="shared" si="9"/>
        <v>1480000</v>
      </c>
      <c r="P56" s="320">
        <f>'Input Data Sheet'!Q56</f>
        <v>0</v>
      </c>
      <c r="Q56" s="287">
        <f>'Input Data Sheet'!R56</f>
        <v>0</v>
      </c>
      <c r="R56" s="341">
        <f>'Input Data Sheet'!S56</f>
        <v>296000</v>
      </c>
      <c r="S56" s="341">
        <f>'Input Data Sheet'!T56</f>
        <v>296000</v>
      </c>
      <c r="T56" s="341">
        <f>'Input Data Sheet'!U56</f>
        <v>296000</v>
      </c>
      <c r="U56" s="341">
        <f>'Input Data Sheet'!V56</f>
        <v>296000</v>
      </c>
      <c r="V56" s="341">
        <f>'Input Data Sheet'!W56</f>
        <v>296000</v>
      </c>
      <c r="W56" s="287">
        <f>'Input Data Sheet'!X56</f>
        <v>0</v>
      </c>
      <c r="X56" s="321">
        <f>'Input Data Sheet'!Y56</f>
        <v>0</v>
      </c>
      <c r="Y56" s="287">
        <f t="shared" si="10"/>
        <v>0</v>
      </c>
      <c r="Z56" s="287">
        <f t="shared" si="1"/>
        <v>0</v>
      </c>
      <c r="AA56" s="341">
        <f t="shared" si="2"/>
        <v>296000</v>
      </c>
      <c r="AB56" s="341">
        <f t="shared" si="3"/>
        <v>296000</v>
      </c>
      <c r="AC56" s="341">
        <f t="shared" si="4"/>
        <v>296000</v>
      </c>
      <c r="AD56" s="341">
        <f t="shared" si="5"/>
        <v>296000</v>
      </c>
      <c r="AE56" s="341">
        <f t="shared" si="6"/>
        <v>296000</v>
      </c>
      <c r="AF56" s="287">
        <f t="shared" si="7"/>
        <v>0</v>
      </c>
      <c r="AG56" s="287">
        <f t="shared" si="8"/>
        <v>0</v>
      </c>
      <c r="AH56" s="322">
        <f>IF($H56,0,IFERROR(IF(VALUE(LEFT(D56,4))&gt;VALUE(LEFT(Parameters!$B$66,4))+1,O56-SUM(R56:X56),0),0))</f>
        <v>0</v>
      </c>
      <c r="AI56" s="330">
        <f>IF('Input Data Sheet'!$P56=0,0,'Input Data Sheet'!Z56/'Input Data Sheet'!$P56)</f>
        <v>0</v>
      </c>
      <c r="AJ56" s="331">
        <f>IF('Input Data Sheet'!$P56=0,0,'Input Data Sheet'!AA56/'Input Data Sheet'!$P56)</f>
        <v>0</v>
      </c>
      <c r="AK56" s="331">
        <f>IF('Input Data Sheet'!$P56=0,0,'Input Data Sheet'!AB56/'Input Data Sheet'!$P56)</f>
        <v>0</v>
      </c>
      <c r="AL56" s="331">
        <f>IF('Input Data Sheet'!$P56=0,0,'Input Data Sheet'!AC56/'Input Data Sheet'!$P56)</f>
        <v>0</v>
      </c>
      <c r="AM56" s="331">
        <f>IF('Input Data Sheet'!$P56=0,0,'Input Data Sheet'!AD56/'Input Data Sheet'!$P56)</f>
        <v>0</v>
      </c>
      <c r="AN56" s="331">
        <f>IF('Input Data Sheet'!$P56=0,0,'Input Data Sheet'!AE56/'Input Data Sheet'!$P56)</f>
        <v>0</v>
      </c>
      <c r="AO56" s="331">
        <f>IF('Input Data Sheet'!$P56=0,0,'Input Data Sheet'!AF56/'Input Data Sheet'!$P56)</f>
        <v>0</v>
      </c>
      <c r="AP56" s="331">
        <f>IF('Input Data Sheet'!$P56=0,0,'Input Data Sheet'!AG56/'Input Data Sheet'!$P56)</f>
        <v>0</v>
      </c>
      <c r="AQ56" s="331">
        <f>IF('Input Data Sheet'!$P56=0,0,'Input Data Sheet'!AH56/'Input Data Sheet'!$P56)</f>
        <v>0</v>
      </c>
      <c r="AR56" s="331">
        <f>IF('Input Data Sheet'!$P56=0,0,'Input Data Sheet'!AI56/'Input Data Sheet'!$P56)</f>
        <v>0</v>
      </c>
      <c r="AS56" s="331">
        <f>IF('Input Data Sheet'!$P56=0,0,'Input Data Sheet'!AJ56/'Input Data Sheet'!$P56)</f>
        <v>0</v>
      </c>
      <c r="AT56" s="331">
        <f>IF('Input Data Sheet'!$P56=0,0,'Input Data Sheet'!AK56/'Input Data Sheet'!$P56)</f>
        <v>0</v>
      </c>
      <c r="AU56" s="331">
        <f>IF('Input Data Sheet'!$P56=0,0,'Input Data Sheet'!AL56/'Input Data Sheet'!$P56)</f>
        <v>1</v>
      </c>
      <c r="AV56" s="331">
        <f>IF('Input Data Sheet'!$P56=0,0,'Input Data Sheet'!AM56/'Input Data Sheet'!$P56)</f>
        <v>0</v>
      </c>
      <c r="AW56" s="331">
        <f>IF('Input Data Sheet'!$P56=0,0,'Input Data Sheet'!AN56/'Input Data Sheet'!$P56)</f>
        <v>0</v>
      </c>
      <c r="AX56" s="331">
        <f>IF('Input Data Sheet'!$P56=0,0,'Input Data Sheet'!AO56/'Input Data Sheet'!$P56)</f>
        <v>0</v>
      </c>
      <c r="AY56" s="331">
        <f>IF('Input Data Sheet'!$P56=0,0,'Input Data Sheet'!AP56/'Input Data Sheet'!$P56)</f>
        <v>0</v>
      </c>
      <c r="AZ56" s="331">
        <f>IF('Input Data Sheet'!$P56=0,0,'Input Data Sheet'!AQ56/'Input Data Sheet'!$P56)</f>
        <v>0</v>
      </c>
      <c r="BA56" s="331">
        <f>IF('Input Data Sheet'!$P56=0,0,'Input Data Sheet'!AR56/'Input Data Sheet'!$P56)</f>
        <v>0</v>
      </c>
      <c r="BB56" s="331">
        <f>IF('Input Data Sheet'!$P56=0,0,'Input Data Sheet'!AS56/'Input Data Sheet'!$P56)</f>
        <v>0</v>
      </c>
      <c r="BC56" s="331">
        <f>IF('Input Data Sheet'!$P56=0,0,'Input Data Sheet'!AT56/'Input Data Sheet'!$P56)</f>
        <v>0</v>
      </c>
      <c r="BD56" s="331">
        <f>IF('Input Data Sheet'!$P56=0,0,'Input Data Sheet'!AU56/'Input Data Sheet'!$P56)</f>
        <v>0</v>
      </c>
      <c r="BE56" s="331">
        <f>IF('Input Data Sheet'!$P56=0,0,'Input Data Sheet'!AV56/'Input Data Sheet'!$P56)</f>
        <v>0</v>
      </c>
      <c r="BF56" s="332">
        <f>IF('Input Data Sheet'!$P56=0,0,'Input Data Sheet'!AW56/'Input Data Sheet'!$P56)</f>
        <v>0</v>
      </c>
      <c r="BG56" s="328">
        <f t="shared" si="11"/>
        <v>1</v>
      </c>
    </row>
    <row r="57" spans="1:59" ht="12.75" x14ac:dyDescent="0.2">
      <c r="A57" s="409" t="str">
        <f>'Input Data Sheet'!B57</f>
        <v>ND0981</v>
      </c>
      <c r="B57" s="314" t="str">
        <f>'Input Data Sheet'!C57</f>
        <v>Substation DC distribution system renewal program</v>
      </c>
      <c r="C57" s="314" t="str">
        <f>'Input Data Sheet'!D57</f>
        <v>Asset Renewal</v>
      </c>
      <c r="D57" s="333" t="str">
        <f>'Input Data Sheet'!E57</f>
        <v>2018/19</v>
      </c>
      <c r="E57" s="333">
        <f>'Input Data Sheet'!F57</f>
        <v>9</v>
      </c>
      <c r="F57" s="315"/>
      <c r="G57" s="315"/>
      <c r="H57" s="316">
        <f>'Input Data Sheet'!J57</f>
        <v>1</v>
      </c>
      <c r="I57" s="316"/>
      <c r="J57" s="316">
        <f>'Input Data Sheet'!K57</f>
        <v>0</v>
      </c>
      <c r="K57" s="496"/>
      <c r="L57" s="496"/>
      <c r="M57" s="496"/>
      <c r="N57" s="316"/>
      <c r="O57" s="287">
        <f t="shared" si="9"/>
        <v>3310120</v>
      </c>
      <c r="P57" s="320">
        <f>'Input Data Sheet'!Q57</f>
        <v>0</v>
      </c>
      <c r="Q57" s="287">
        <f>'Input Data Sheet'!R57</f>
        <v>0</v>
      </c>
      <c r="R57" s="341">
        <f>'Input Data Sheet'!S57</f>
        <v>0</v>
      </c>
      <c r="S57" s="341">
        <f>'Input Data Sheet'!T57</f>
        <v>0</v>
      </c>
      <c r="T57" s="341">
        <f>'Input Data Sheet'!U57</f>
        <v>445976</v>
      </c>
      <c r="U57" s="341">
        <f>'Input Data Sheet'!V57</f>
        <v>1987549</v>
      </c>
      <c r="V57" s="341">
        <f>'Input Data Sheet'!W57</f>
        <v>876595</v>
      </c>
      <c r="W57" s="287">
        <f>'Input Data Sheet'!X57</f>
        <v>0</v>
      </c>
      <c r="X57" s="321">
        <f>'Input Data Sheet'!Y57</f>
        <v>0</v>
      </c>
      <c r="Y57" s="287">
        <f t="shared" si="10"/>
        <v>0</v>
      </c>
      <c r="Z57" s="287">
        <f t="shared" si="1"/>
        <v>0</v>
      </c>
      <c r="AA57" s="341">
        <f t="shared" si="2"/>
        <v>0</v>
      </c>
      <c r="AB57" s="341">
        <f t="shared" si="3"/>
        <v>0</v>
      </c>
      <c r="AC57" s="341">
        <f t="shared" si="4"/>
        <v>445976</v>
      </c>
      <c r="AD57" s="341">
        <f t="shared" si="5"/>
        <v>1987549</v>
      </c>
      <c r="AE57" s="341">
        <f t="shared" si="6"/>
        <v>876595</v>
      </c>
      <c r="AF57" s="287">
        <f t="shared" si="7"/>
        <v>0</v>
      </c>
      <c r="AG57" s="287">
        <f t="shared" si="8"/>
        <v>0</v>
      </c>
      <c r="AH57" s="322">
        <f>IF($H57,0,IFERROR(IF(VALUE(LEFT(D57,4))&gt;VALUE(LEFT(Parameters!$B$66,4))+1,O57-SUM(R57:X57),0),0))</f>
        <v>0</v>
      </c>
      <c r="AI57" s="330">
        <f>IF('Input Data Sheet'!$P57=0,0,'Input Data Sheet'!Z57/'Input Data Sheet'!$P57)</f>
        <v>0</v>
      </c>
      <c r="AJ57" s="331">
        <f>IF('Input Data Sheet'!$P57=0,0,'Input Data Sheet'!AA57/'Input Data Sheet'!$P57)</f>
        <v>0</v>
      </c>
      <c r="AK57" s="331">
        <f>IF('Input Data Sheet'!$P57=0,0,'Input Data Sheet'!AB57/'Input Data Sheet'!$P57)</f>
        <v>0</v>
      </c>
      <c r="AL57" s="331">
        <f>IF('Input Data Sheet'!$P57=0,0,'Input Data Sheet'!AC57/'Input Data Sheet'!$P57)</f>
        <v>0.28000003625245118</v>
      </c>
      <c r="AM57" s="331">
        <f>IF('Input Data Sheet'!$P57=0,0,'Input Data Sheet'!AD57/'Input Data Sheet'!$P57)</f>
        <v>0.449999864053308</v>
      </c>
      <c r="AN57" s="331">
        <f>IF('Input Data Sheet'!$P57=0,0,'Input Data Sheet'!AE57/'Input Data Sheet'!$P57)</f>
        <v>5.9999921453022409E-2</v>
      </c>
      <c r="AO57" s="331">
        <f>IF('Input Data Sheet'!$P57=0,0,'Input Data Sheet'!AF57/'Input Data Sheet'!$P57)</f>
        <v>0.20999987613745841</v>
      </c>
      <c r="AP57" s="331">
        <f>IF('Input Data Sheet'!$P57=0,0,'Input Data Sheet'!AG57/'Input Data Sheet'!$P57)</f>
        <v>0</v>
      </c>
      <c r="AQ57" s="331">
        <f>IF('Input Data Sheet'!$P57=0,0,'Input Data Sheet'!AH57/'Input Data Sheet'!$P57)</f>
        <v>0</v>
      </c>
      <c r="AR57" s="331">
        <f>IF('Input Data Sheet'!$P57=0,0,'Input Data Sheet'!AI57/'Input Data Sheet'!$P57)</f>
        <v>0</v>
      </c>
      <c r="AS57" s="331">
        <f>IF('Input Data Sheet'!$P57=0,0,'Input Data Sheet'!AJ57/'Input Data Sheet'!$P57)</f>
        <v>0</v>
      </c>
      <c r="AT57" s="331">
        <f>IF('Input Data Sheet'!$P57=0,0,'Input Data Sheet'!AK57/'Input Data Sheet'!$P57)</f>
        <v>0</v>
      </c>
      <c r="AU57" s="331">
        <f>IF('Input Data Sheet'!$P57=0,0,'Input Data Sheet'!AL57/'Input Data Sheet'!$P57)</f>
        <v>0</v>
      </c>
      <c r="AV57" s="331">
        <f>IF('Input Data Sheet'!$P57=0,0,'Input Data Sheet'!AM57/'Input Data Sheet'!$P57)</f>
        <v>0</v>
      </c>
      <c r="AW57" s="331">
        <f>IF('Input Data Sheet'!$P57=0,0,'Input Data Sheet'!AN57/'Input Data Sheet'!$P57)</f>
        <v>0</v>
      </c>
      <c r="AX57" s="331">
        <f>IF('Input Data Sheet'!$P57=0,0,'Input Data Sheet'!AO57/'Input Data Sheet'!$P57)</f>
        <v>0</v>
      </c>
      <c r="AY57" s="331">
        <f>IF('Input Data Sheet'!$P57=0,0,'Input Data Sheet'!AP57/'Input Data Sheet'!$P57)</f>
        <v>0</v>
      </c>
      <c r="AZ57" s="331">
        <f>IF('Input Data Sheet'!$P57=0,0,'Input Data Sheet'!AQ57/'Input Data Sheet'!$P57)</f>
        <v>0</v>
      </c>
      <c r="BA57" s="331">
        <f>IF('Input Data Sheet'!$P57=0,0,'Input Data Sheet'!AR57/'Input Data Sheet'!$P57)</f>
        <v>0</v>
      </c>
      <c r="BB57" s="331">
        <f>IF('Input Data Sheet'!$P57=0,0,'Input Data Sheet'!AS57/'Input Data Sheet'!$P57)</f>
        <v>0</v>
      </c>
      <c r="BC57" s="331">
        <f>IF('Input Data Sheet'!$P57=0,0,'Input Data Sheet'!AT57/'Input Data Sheet'!$P57)</f>
        <v>0</v>
      </c>
      <c r="BD57" s="331">
        <f>IF('Input Data Sheet'!$P57=0,0,'Input Data Sheet'!AU57/'Input Data Sheet'!$P57)</f>
        <v>0</v>
      </c>
      <c r="BE57" s="331">
        <f>IF('Input Data Sheet'!$P57=0,0,'Input Data Sheet'!AV57/'Input Data Sheet'!$P57)</f>
        <v>0</v>
      </c>
      <c r="BF57" s="332">
        <f>IF('Input Data Sheet'!$P57=0,0,'Input Data Sheet'!AW57/'Input Data Sheet'!$P57)</f>
        <v>0</v>
      </c>
      <c r="BG57" s="328">
        <f t="shared" si="11"/>
        <v>0.99999969789623999</v>
      </c>
    </row>
    <row r="58" spans="1:59" ht="12.75" x14ac:dyDescent="0.2">
      <c r="A58" s="409" t="str">
        <f>'Input Data Sheet'!B58</f>
        <v>ND1259</v>
      </c>
      <c r="B58" s="314" t="str">
        <f>'Input Data Sheet'!C58</f>
        <v>Substation Disconnector and Earth Switch renewal program</v>
      </c>
      <c r="C58" s="314" t="str">
        <f>'Input Data Sheet'!D58</f>
        <v>Asset Renewal</v>
      </c>
      <c r="D58" s="333" t="str">
        <f>'Input Data Sheet'!E58</f>
        <v>2017/18</v>
      </c>
      <c r="E58" s="333">
        <f>'Input Data Sheet'!F58</f>
        <v>9</v>
      </c>
      <c r="F58" s="315"/>
      <c r="G58" s="315"/>
      <c r="H58" s="316">
        <f>'Input Data Sheet'!J58</f>
        <v>1</v>
      </c>
      <c r="I58" s="316"/>
      <c r="J58" s="316">
        <f>'Input Data Sheet'!K58</f>
        <v>0</v>
      </c>
      <c r="K58" s="496"/>
      <c r="L58" s="496"/>
      <c r="M58" s="496"/>
      <c r="N58" s="316"/>
      <c r="O58" s="287">
        <f t="shared" si="9"/>
        <v>7713662</v>
      </c>
      <c r="P58" s="320">
        <f>'Input Data Sheet'!Q58</f>
        <v>0</v>
      </c>
      <c r="Q58" s="287">
        <f>'Input Data Sheet'!R58</f>
        <v>0</v>
      </c>
      <c r="R58" s="341">
        <f>'Input Data Sheet'!S58</f>
        <v>0</v>
      </c>
      <c r="S58" s="341">
        <f>'Input Data Sheet'!T58</f>
        <v>1039270</v>
      </c>
      <c r="T58" s="341">
        <f>'Input Data Sheet'!U58</f>
        <v>4631639</v>
      </c>
      <c r="U58" s="341">
        <f>'Input Data Sheet'!V58</f>
        <v>2042753</v>
      </c>
      <c r="V58" s="341">
        <f>'Input Data Sheet'!W58</f>
        <v>0</v>
      </c>
      <c r="W58" s="287">
        <f>'Input Data Sheet'!X58</f>
        <v>0</v>
      </c>
      <c r="X58" s="321">
        <f>'Input Data Sheet'!Y58</f>
        <v>0</v>
      </c>
      <c r="Y58" s="287">
        <f t="shared" si="10"/>
        <v>0</v>
      </c>
      <c r="Z58" s="287">
        <f t="shared" si="1"/>
        <v>0</v>
      </c>
      <c r="AA58" s="341">
        <f t="shared" si="2"/>
        <v>0</v>
      </c>
      <c r="AB58" s="341">
        <f t="shared" si="3"/>
        <v>1039270</v>
      </c>
      <c r="AC58" s="341">
        <f t="shared" si="4"/>
        <v>4631639</v>
      </c>
      <c r="AD58" s="341">
        <f t="shared" si="5"/>
        <v>2042753</v>
      </c>
      <c r="AE58" s="341">
        <f t="shared" si="6"/>
        <v>0</v>
      </c>
      <c r="AF58" s="287">
        <f t="shared" si="7"/>
        <v>0</v>
      </c>
      <c r="AG58" s="287">
        <f t="shared" si="8"/>
        <v>0</v>
      </c>
      <c r="AH58" s="322">
        <f>IF($H58,0,IFERROR(IF(VALUE(LEFT(D58,4))&gt;VALUE(LEFT(Parameters!$B$66,4))+1,O58-SUM(R58:X58),0),0))</f>
        <v>0</v>
      </c>
      <c r="AI58" s="330">
        <f>IF('Input Data Sheet'!$P58=0,0,'Input Data Sheet'!Z58/'Input Data Sheet'!$P58)</f>
        <v>0</v>
      </c>
      <c r="AJ58" s="331">
        <f>IF('Input Data Sheet'!$P58=0,0,'Input Data Sheet'!AA58/'Input Data Sheet'!$P58)</f>
        <v>0</v>
      </c>
      <c r="AK58" s="331">
        <f>IF('Input Data Sheet'!$P58=0,0,'Input Data Sheet'!AB58/'Input Data Sheet'!$P58)</f>
        <v>0</v>
      </c>
      <c r="AL58" s="331">
        <f>IF('Input Data Sheet'!$P58=0,0,'Input Data Sheet'!AC58/'Input Data Sheet'!$P58)</f>
        <v>0.27999995332955996</v>
      </c>
      <c r="AM58" s="331">
        <f>IF('Input Data Sheet'!$P58=0,0,'Input Data Sheet'!AD58/'Input Data Sheet'!$P58)</f>
        <v>0.45000001296401115</v>
      </c>
      <c r="AN58" s="331">
        <f>IF('Input Data Sheet'!$P58=0,0,'Input Data Sheet'!AE58/'Input Data Sheet'!$P58)</f>
        <v>6.0000036299231153E-2</v>
      </c>
      <c r="AO58" s="331">
        <f>IF('Input Data Sheet'!$P58=0,0,'Input Data Sheet'!AF58/'Input Data Sheet'!$P58)</f>
        <v>0.20999999740719777</v>
      </c>
      <c r="AP58" s="331">
        <f>IF('Input Data Sheet'!$P58=0,0,'Input Data Sheet'!AG58/'Input Data Sheet'!$P58)</f>
        <v>0</v>
      </c>
      <c r="AQ58" s="331">
        <f>IF('Input Data Sheet'!$P58=0,0,'Input Data Sheet'!AH58/'Input Data Sheet'!$P58)</f>
        <v>0</v>
      </c>
      <c r="AR58" s="331">
        <f>IF('Input Data Sheet'!$P58=0,0,'Input Data Sheet'!AI58/'Input Data Sheet'!$P58)</f>
        <v>0</v>
      </c>
      <c r="AS58" s="331">
        <f>IF('Input Data Sheet'!$P58=0,0,'Input Data Sheet'!AJ58/'Input Data Sheet'!$P58)</f>
        <v>0</v>
      </c>
      <c r="AT58" s="331">
        <f>IF('Input Data Sheet'!$P58=0,0,'Input Data Sheet'!AK58/'Input Data Sheet'!$P58)</f>
        <v>0</v>
      </c>
      <c r="AU58" s="331">
        <f>IF('Input Data Sheet'!$P58=0,0,'Input Data Sheet'!AL58/'Input Data Sheet'!$P58)</f>
        <v>0</v>
      </c>
      <c r="AV58" s="331">
        <f>IF('Input Data Sheet'!$P58=0,0,'Input Data Sheet'!AM58/'Input Data Sheet'!$P58)</f>
        <v>0</v>
      </c>
      <c r="AW58" s="331">
        <f>IF('Input Data Sheet'!$P58=0,0,'Input Data Sheet'!AN58/'Input Data Sheet'!$P58)</f>
        <v>0</v>
      </c>
      <c r="AX58" s="331">
        <f>IF('Input Data Sheet'!$P58=0,0,'Input Data Sheet'!AO58/'Input Data Sheet'!$P58)</f>
        <v>0</v>
      </c>
      <c r="AY58" s="331">
        <f>IF('Input Data Sheet'!$P58=0,0,'Input Data Sheet'!AP58/'Input Data Sheet'!$P58)</f>
        <v>0</v>
      </c>
      <c r="AZ58" s="331">
        <f>IF('Input Data Sheet'!$P58=0,0,'Input Data Sheet'!AQ58/'Input Data Sheet'!$P58)</f>
        <v>0</v>
      </c>
      <c r="BA58" s="331">
        <f>IF('Input Data Sheet'!$P58=0,0,'Input Data Sheet'!AR58/'Input Data Sheet'!$P58)</f>
        <v>0</v>
      </c>
      <c r="BB58" s="331">
        <f>IF('Input Data Sheet'!$P58=0,0,'Input Data Sheet'!AS58/'Input Data Sheet'!$P58)</f>
        <v>0</v>
      </c>
      <c r="BC58" s="331">
        <f>IF('Input Data Sheet'!$P58=0,0,'Input Data Sheet'!AT58/'Input Data Sheet'!$P58)</f>
        <v>0</v>
      </c>
      <c r="BD58" s="331">
        <f>IF('Input Data Sheet'!$P58=0,0,'Input Data Sheet'!AU58/'Input Data Sheet'!$P58)</f>
        <v>0</v>
      </c>
      <c r="BE58" s="331">
        <f>IF('Input Data Sheet'!$P58=0,0,'Input Data Sheet'!AV58/'Input Data Sheet'!$P58)</f>
        <v>0</v>
      </c>
      <c r="BF58" s="332">
        <f>IF('Input Data Sheet'!$P58=0,0,'Input Data Sheet'!AW58/'Input Data Sheet'!$P58)</f>
        <v>0</v>
      </c>
      <c r="BG58" s="328">
        <f t="shared" si="11"/>
        <v>1</v>
      </c>
    </row>
    <row r="59" spans="1:59" x14ac:dyDescent="0.3">
      <c r="A59" s="409" t="str">
        <f>'Input Data Sheet'!B59</f>
        <v>ND1209</v>
      </c>
      <c r="B59" s="314" t="str">
        <f>'Input Data Sheet'!C59</f>
        <v>Substation EHV Bus Bar protection renewal program</v>
      </c>
      <c r="C59" s="314" t="str">
        <f>'Input Data Sheet'!D59</f>
        <v>Asset Renewal</v>
      </c>
      <c r="D59" s="333" t="str">
        <f>'Input Data Sheet'!E59</f>
        <v>2019/20</v>
      </c>
      <c r="E59" s="333">
        <f>'Input Data Sheet'!F59</f>
        <v>13</v>
      </c>
      <c r="F59" s="315"/>
      <c r="G59" s="315"/>
      <c r="H59" s="316">
        <f>'Input Data Sheet'!J59</f>
        <v>1</v>
      </c>
      <c r="I59" s="316"/>
      <c r="J59" s="316">
        <f>'Input Data Sheet'!K59</f>
        <v>0</v>
      </c>
      <c r="K59" s="496"/>
      <c r="L59" s="496"/>
      <c r="M59" s="496"/>
      <c r="N59" s="316"/>
      <c r="O59" s="287">
        <f t="shared" si="9"/>
        <v>3810340</v>
      </c>
      <c r="P59" s="320">
        <f>'Input Data Sheet'!Q59</f>
        <v>0</v>
      </c>
      <c r="Q59" s="287">
        <f>'Input Data Sheet'!R59</f>
        <v>0</v>
      </c>
      <c r="R59" s="341">
        <f>'Input Data Sheet'!S59</f>
        <v>0</v>
      </c>
      <c r="S59" s="341">
        <f>'Input Data Sheet'!T59</f>
        <v>0</v>
      </c>
      <c r="T59" s="341">
        <f>'Input Data Sheet'!U59</f>
        <v>0</v>
      </c>
      <c r="U59" s="341">
        <f>'Input Data Sheet'!V59</f>
        <v>495344</v>
      </c>
      <c r="V59" s="341">
        <f>'Input Data Sheet'!W59</f>
        <v>3276893</v>
      </c>
      <c r="W59" s="287">
        <f>'Input Data Sheet'!X59</f>
        <v>38103</v>
      </c>
      <c r="X59" s="321">
        <f>'Input Data Sheet'!Y59</f>
        <v>0</v>
      </c>
      <c r="Y59" s="287">
        <f t="shared" si="10"/>
        <v>0</v>
      </c>
      <c r="Z59" s="287">
        <f t="shared" si="1"/>
        <v>0</v>
      </c>
      <c r="AA59" s="341">
        <f t="shared" si="2"/>
        <v>0</v>
      </c>
      <c r="AB59" s="341">
        <f t="shared" si="3"/>
        <v>0</v>
      </c>
      <c r="AC59" s="341">
        <f t="shared" si="4"/>
        <v>0</v>
      </c>
      <c r="AD59" s="341">
        <f t="shared" si="5"/>
        <v>495344</v>
      </c>
      <c r="AE59" s="341">
        <f t="shared" si="6"/>
        <v>3276893</v>
      </c>
      <c r="AF59" s="287">
        <f t="shared" si="7"/>
        <v>38103</v>
      </c>
      <c r="AG59" s="287">
        <f t="shared" si="8"/>
        <v>0</v>
      </c>
      <c r="AH59" s="322">
        <f>IF($H59,0,IFERROR(IF(VALUE(LEFT(D59,4))&gt;VALUE(LEFT(Parameters!$B$66,4))+1,O59-SUM(R59:X59),0),0))</f>
        <v>0</v>
      </c>
      <c r="AI59" s="330">
        <f>IF('Input Data Sheet'!$P59=0,0,'Input Data Sheet'!Z59/'Input Data Sheet'!$P59)</f>
        <v>0</v>
      </c>
      <c r="AJ59" s="331">
        <f>IF('Input Data Sheet'!$P59=0,0,'Input Data Sheet'!AA59/'Input Data Sheet'!$P59)</f>
        <v>0</v>
      </c>
      <c r="AK59" s="331">
        <f>IF('Input Data Sheet'!$P59=0,0,'Input Data Sheet'!AB59/'Input Data Sheet'!$P59)</f>
        <v>0</v>
      </c>
      <c r="AL59" s="331">
        <f>IF('Input Data Sheet'!$P59=0,0,'Input Data Sheet'!AC59/'Input Data Sheet'!$P59)</f>
        <v>0</v>
      </c>
      <c r="AM59" s="331">
        <f>IF('Input Data Sheet'!$P59=0,0,'Input Data Sheet'!AD59/'Input Data Sheet'!$P59)</f>
        <v>0</v>
      </c>
      <c r="AN59" s="331">
        <f>IF('Input Data Sheet'!$P59=0,0,'Input Data Sheet'!AE59/'Input Data Sheet'!$P59)</f>
        <v>0</v>
      </c>
      <c r="AO59" s="331">
        <f>IF('Input Data Sheet'!$P59=0,0,'Input Data Sheet'!AF59/'Input Data Sheet'!$P59)</f>
        <v>1</v>
      </c>
      <c r="AP59" s="331">
        <f>IF('Input Data Sheet'!$P59=0,0,'Input Data Sheet'!AG59/'Input Data Sheet'!$P59)</f>
        <v>0</v>
      </c>
      <c r="AQ59" s="331">
        <f>IF('Input Data Sheet'!$P59=0,0,'Input Data Sheet'!AH59/'Input Data Sheet'!$P59)</f>
        <v>0</v>
      </c>
      <c r="AR59" s="331">
        <f>IF('Input Data Sheet'!$P59=0,0,'Input Data Sheet'!AI59/'Input Data Sheet'!$P59)</f>
        <v>0</v>
      </c>
      <c r="AS59" s="331">
        <f>IF('Input Data Sheet'!$P59=0,0,'Input Data Sheet'!AJ59/'Input Data Sheet'!$P59)</f>
        <v>0</v>
      </c>
      <c r="AT59" s="331">
        <f>IF('Input Data Sheet'!$P59=0,0,'Input Data Sheet'!AK59/'Input Data Sheet'!$P59)</f>
        <v>0</v>
      </c>
      <c r="AU59" s="331">
        <f>IF('Input Data Sheet'!$P59=0,0,'Input Data Sheet'!AL59/'Input Data Sheet'!$P59)</f>
        <v>0</v>
      </c>
      <c r="AV59" s="331">
        <f>IF('Input Data Sheet'!$P59=0,0,'Input Data Sheet'!AM59/'Input Data Sheet'!$P59)</f>
        <v>0</v>
      </c>
      <c r="AW59" s="331">
        <f>IF('Input Data Sheet'!$P59=0,0,'Input Data Sheet'!AN59/'Input Data Sheet'!$P59)</f>
        <v>0</v>
      </c>
      <c r="AX59" s="331">
        <f>IF('Input Data Sheet'!$P59=0,0,'Input Data Sheet'!AO59/'Input Data Sheet'!$P59)</f>
        <v>0</v>
      </c>
      <c r="AY59" s="331">
        <f>IF('Input Data Sheet'!$P59=0,0,'Input Data Sheet'!AP59/'Input Data Sheet'!$P59)</f>
        <v>0</v>
      </c>
      <c r="AZ59" s="331">
        <f>IF('Input Data Sheet'!$P59=0,0,'Input Data Sheet'!AQ59/'Input Data Sheet'!$P59)</f>
        <v>0</v>
      </c>
      <c r="BA59" s="331">
        <f>IF('Input Data Sheet'!$P59=0,0,'Input Data Sheet'!AR59/'Input Data Sheet'!$P59)</f>
        <v>0</v>
      </c>
      <c r="BB59" s="331">
        <f>IF('Input Data Sheet'!$P59=0,0,'Input Data Sheet'!AS59/'Input Data Sheet'!$P59)</f>
        <v>0</v>
      </c>
      <c r="BC59" s="331">
        <f>IF('Input Data Sheet'!$P59=0,0,'Input Data Sheet'!AT59/'Input Data Sheet'!$P59)</f>
        <v>0</v>
      </c>
      <c r="BD59" s="331">
        <f>IF('Input Data Sheet'!$P59=0,0,'Input Data Sheet'!AU59/'Input Data Sheet'!$P59)</f>
        <v>0</v>
      </c>
      <c r="BE59" s="331">
        <f>IF('Input Data Sheet'!$P59=0,0,'Input Data Sheet'!AV59/'Input Data Sheet'!$P59)</f>
        <v>0</v>
      </c>
      <c r="BF59" s="332">
        <f>IF('Input Data Sheet'!$P59=0,0,'Input Data Sheet'!AW59/'Input Data Sheet'!$P59)</f>
        <v>0</v>
      </c>
      <c r="BG59" s="328">
        <f t="shared" si="11"/>
        <v>1</v>
      </c>
    </row>
    <row r="60" spans="1:59" x14ac:dyDescent="0.3">
      <c r="A60" s="409" t="str">
        <f>'Input Data Sheet'!B60</f>
        <v>ND1098</v>
      </c>
      <c r="B60" s="314" t="str">
        <f>'Input Data Sheet'!C60</f>
        <v>Substation fire suppression renewal program</v>
      </c>
      <c r="C60" s="314" t="str">
        <f>'Input Data Sheet'!D60</f>
        <v>Physical Security / Compliance</v>
      </c>
      <c r="D60" s="333" t="str">
        <f>'Input Data Sheet'!E60</f>
        <v>2018/19</v>
      </c>
      <c r="E60" s="333">
        <f>'Input Data Sheet'!F60</f>
        <v>9</v>
      </c>
      <c r="F60" s="315"/>
      <c r="G60" s="315"/>
      <c r="H60" s="316">
        <f>'Input Data Sheet'!J60</f>
        <v>1</v>
      </c>
      <c r="I60" s="316"/>
      <c r="J60" s="316">
        <f>'Input Data Sheet'!K60</f>
        <v>0</v>
      </c>
      <c r="K60" s="496"/>
      <c r="L60" s="496"/>
      <c r="M60" s="496"/>
      <c r="N60" s="316"/>
      <c r="O60" s="287">
        <f t="shared" si="9"/>
        <v>4168085</v>
      </c>
      <c r="P60" s="320">
        <f>'Input Data Sheet'!Q60</f>
        <v>0</v>
      </c>
      <c r="Q60" s="287">
        <f>'Input Data Sheet'!R60</f>
        <v>0</v>
      </c>
      <c r="R60" s="341">
        <f>'Input Data Sheet'!S60</f>
        <v>833617</v>
      </c>
      <c r="S60" s="341">
        <f>'Input Data Sheet'!T60</f>
        <v>833617</v>
      </c>
      <c r="T60" s="341">
        <f>'Input Data Sheet'!U60</f>
        <v>833617</v>
      </c>
      <c r="U60" s="341">
        <f>'Input Data Sheet'!V60</f>
        <v>833617</v>
      </c>
      <c r="V60" s="341">
        <f>'Input Data Sheet'!W60</f>
        <v>833617</v>
      </c>
      <c r="W60" s="287">
        <f>'Input Data Sheet'!X60</f>
        <v>0</v>
      </c>
      <c r="X60" s="321">
        <f>'Input Data Sheet'!Y60</f>
        <v>0</v>
      </c>
      <c r="Y60" s="287">
        <f t="shared" si="10"/>
        <v>0</v>
      </c>
      <c r="Z60" s="287">
        <f t="shared" si="1"/>
        <v>0</v>
      </c>
      <c r="AA60" s="341">
        <f t="shared" si="2"/>
        <v>833617</v>
      </c>
      <c r="AB60" s="341">
        <f t="shared" si="3"/>
        <v>833617</v>
      </c>
      <c r="AC60" s="341">
        <f t="shared" si="4"/>
        <v>833617</v>
      </c>
      <c r="AD60" s="341">
        <f t="shared" si="5"/>
        <v>833617</v>
      </c>
      <c r="AE60" s="341">
        <f t="shared" si="6"/>
        <v>833617</v>
      </c>
      <c r="AF60" s="287">
        <f t="shared" si="7"/>
        <v>0</v>
      </c>
      <c r="AG60" s="287">
        <f t="shared" si="8"/>
        <v>0</v>
      </c>
      <c r="AH60" s="322">
        <f>IF($H60,0,IFERROR(IF(VALUE(LEFT(D60,4))&gt;VALUE(LEFT(Parameters!$B$66,4))+1,O60-SUM(R60:X60),0),0))</f>
        <v>0</v>
      </c>
      <c r="AI60" s="330">
        <f>IF('Input Data Sheet'!$P60=0,0,'Input Data Sheet'!Z60/'Input Data Sheet'!$P60)</f>
        <v>0</v>
      </c>
      <c r="AJ60" s="331">
        <f>IF('Input Data Sheet'!$P60=0,0,'Input Data Sheet'!AA60/'Input Data Sheet'!$P60)</f>
        <v>0</v>
      </c>
      <c r="AK60" s="331">
        <f>IF('Input Data Sheet'!$P60=0,0,'Input Data Sheet'!AB60/'Input Data Sheet'!$P60)</f>
        <v>0</v>
      </c>
      <c r="AL60" s="331">
        <f>IF('Input Data Sheet'!$P60=0,0,'Input Data Sheet'!AC60/'Input Data Sheet'!$P60)</f>
        <v>0</v>
      </c>
      <c r="AM60" s="331">
        <f>IF('Input Data Sheet'!$P60=0,0,'Input Data Sheet'!AD60/'Input Data Sheet'!$P60)</f>
        <v>0</v>
      </c>
      <c r="AN60" s="331">
        <f>IF('Input Data Sheet'!$P60=0,0,'Input Data Sheet'!AE60/'Input Data Sheet'!$P60)</f>
        <v>1</v>
      </c>
      <c r="AO60" s="331">
        <f>IF('Input Data Sheet'!$P60=0,0,'Input Data Sheet'!AF60/'Input Data Sheet'!$P60)</f>
        <v>0</v>
      </c>
      <c r="AP60" s="331">
        <f>IF('Input Data Sheet'!$P60=0,0,'Input Data Sheet'!AG60/'Input Data Sheet'!$P60)</f>
        <v>0</v>
      </c>
      <c r="AQ60" s="331">
        <f>IF('Input Data Sheet'!$P60=0,0,'Input Data Sheet'!AH60/'Input Data Sheet'!$P60)</f>
        <v>0</v>
      </c>
      <c r="AR60" s="331">
        <f>IF('Input Data Sheet'!$P60=0,0,'Input Data Sheet'!AI60/'Input Data Sheet'!$P60)</f>
        <v>0</v>
      </c>
      <c r="AS60" s="331">
        <f>IF('Input Data Sheet'!$P60=0,0,'Input Data Sheet'!AJ60/'Input Data Sheet'!$P60)</f>
        <v>0</v>
      </c>
      <c r="AT60" s="331">
        <f>IF('Input Data Sheet'!$P60=0,0,'Input Data Sheet'!AK60/'Input Data Sheet'!$P60)</f>
        <v>0</v>
      </c>
      <c r="AU60" s="331">
        <f>IF('Input Data Sheet'!$P60=0,0,'Input Data Sheet'!AL60/'Input Data Sheet'!$P60)</f>
        <v>0</v>
      </c>
      <c r="AV60" s="331">
        <f>IF('Input Data Sheet'!$P60=0,0,'Input Data Sheet'!AM60/'Input Data Sheet'!$P60)</f>
        <v>0</v>
      </c>
      <c r="AW60" s="331">
        <f>IF('Input Data Sheet'!$P60=0,0,'Input Data Sheet'!AN60/'Input Data Sheet'!$P60)</f>
        <v>0</v>
      </c>
      <c r="AX60" s="331">
        <f>IF('Input Data Sheet'!$P60=0,0,'Input Data Sheet'!AO60/'Input Data Sheet'!$P60)</f>
        <v>0</v>
      </c>
      <c r="AY60" s="331">
        <f>IF('Input Data Sheet'!$P60=0,0,'Input Data Sheet'!AP60/'Input Data Sheet'!$P60)</f>
        <v>0</v>
      </c>
      <c r="AZ60" s="331">
        <f>IF('Input Data Sheet'!$P60=0,0,'Input Data Sheet'!AQ60/'Input Data Sheet'!$P60)</f>
        <v>0</v>
      </c>
      <c r="BA60" s="331">
        <f>IF('Input Data Sheet'!$P60=0,0,'Input Data Sheet'!AR60/'Input Data Sheet'!$P60)</f>
        <v>0</v>
      </c>
      <c r="BB60" s="331">
        <f>IF('Input Data Sheet'!$P60=0,0,'Input Data Sheet'!AS60/'Input Data Sheet'!$P60)</f>
        <v>0</v>
      </c>
      <c r="BC60" s="331">
        <f>IF('Input Data Sheet'!$P60=0,0,'Input Data Sheet'!AT60/'Input Data Sheet'!$P60)</f>
        <v>0</v>
      </c>
      <c r="BD60" s="331">
        <f>IF('Input Data Sheet'!$P60=0,0,'Input Data Sheet'!AU60/'Input Data Sheet'!$P60)</f>
        <v>0</v>
      </c>
      <c r="BE60" s="331">
        <f>IF('Input Data Sheet'!$P60=0,0,'Input Data Sheet'!AV60/'Input Data Sheet'!$P60)</f>
        <v>0</v>
      </c>
      <c r="BF60" s="332">
        <f>IF('Input Data Sheet'!$P60=0,0,'Input Data Sheet'!AW60/'Input Data Sheet'!$P60)</f>
        <v>0</v>
      </c>
      <c r="BG60" s="328">
        <f t="shared" si="11"/>
        <v>1</v>
      </c>
    </row>
    <row r="61" spans="1:59" x14ac:dyDescent="0.3">
      <c r="A61" s="409" t="str">
        <f>'Input Data Sheet'!B61</f>
        <v>ND1339</v>
      </c>
      <c r="B61" s="314" t="str">
        <f>'Input Data Sheet'!C61</f>
        <v>Substation HV switchgear replacement program</v>
      </c>
      <c r="C61" s="314" t="str">
        <f>'Input Data Sheet'!D61</f>
        <v>Asset Renewal</v>
      </c>
      <c r="D61" s="333" t="str">
        <f>'Input Data Sheet'!E61</f>
        <v>2016/17</v>
      </c>
      <c r="E61" s="333">
        <f>'Input Data Sheet'!F61</f>
        <v>9</v>
      </c>
      <c r="F61" s="315"/>
      <c r="G61" s="315"/>
      <c r="H61" s="316">
        <f>'Input Data Sheet'!J61</f>
        <v>1</v>
      </c>
      <c r="I61" s="316"/>
      <c r="J61" s="316">
        <f>'Input Data Sheet'!K61</f>
        <v>0</v>
      </c>
      <c r="K61" s="496"/>
      <c r="L61" s="496"/>
      <c r="M61" s="496"/>
      <c r="N61" s="316"/>
      <c r="O61" s="287">
        <f t="shared" si="9"/>
        <v>3557482</v>
      </c>
      <c r="P61" s="320">
        <f>'Input Data Sheet'!Q61</f>
        <v>0</v>
      </c>
      <c r="Q61" s="287">
        <f>'Input Data Sheet'!R61</f>
        <v>0</v>
      </c>
      <c r="R61" s="341">
        <f>'Input Data Sheet'!S61</f>
        <v>479303</v>
      </c>
      <c r="S61" s="341">
        <f>'Input Data Sheet'!T61</f>
        <v>2136077</v>
      </c>
      <c r="T61" s="341">
        <f>'Input Data Sheet'!U61</f>
        <v>942102</v>
      </c>
      <c r="U61" s="341">
        <f>'Input Data Sheet'!V61</f>
        <v>0</v>
      </c>
      <c r="V61" s="341">
        <f>'Input Data Sheet'!W61</f>
        <v>0</v>
      </c>
      <c r="W61" s="287">
        <f>'Input Data Sheet'!X61</f>
        <v>0</v>
      </c>
      <c r="X61" s="321">
        <f>'Input Data Sheet'!Y61</f>
        <v>0</v>
      </c>
      <c r="Y61" s="287">
        <f t="shared" si="10"/>
        <v>0</v>
      </c>
      <c r="Z61" s="287">
        <f t="shared" si="1"/>
        <v>0</v>
      </c>
      <c r="AA61" s="341">
        <f t="shared" si="2"/>
        <v>479303</v>
      </c>
      <c r="AB61" s="341">
        <f t="shared" si="3"/>
        <v>2136077</v>
      </c>
      <c r="AC61" s="341">
        <f t="shared" si="4"/>
        <v>942102</v>
      </c>
      <c r="AD61" s="341">
        <f t="shared" si="5"/>
        <v>0</v>
      </c>
      <c r="AE61" s="341">
        <f t="shared" si="6"/>
        <v>0</v>
      </c>
      <c r="AF61" s="287">
        <f t="shared" si="7"/>
        <v>0</v>
      </c>
      <c r="AG61" s="287">
        <f t="shared" si="8"/>
        <v>0</v>
      </c>
      <c r="AH61" s="322">
        <f>IF($H61,0,IFERROR(IF(VALUE(LEFT(D61,4))&gt;VALUE(LEFT(Parameters!$B$66,4))+1,O61-SUM(R61:X61),0),0))</f>
        <v>0</v>
      </c>
      <c r="AI61" s="330">
        <f>IF('Input Data Sheet'!$P61=0,0,'Input Data Sheet'!Z61/'Input Data Sheet'!$P61)</f>
        <v>0</v>
      </c>
      <c r="AJ61" s="331">
        <f>IF('Input Data Sheet'!$P61=0,0,'Input Data Sheet'!AA61/'Input Data Sheet'!$P61)</f>
        <v>0</v>
      </c>
      <c r="AK61" s="331">
        <f>IF('Input Data Sheet'!$P61=0,0,'Input Data Sheet'!AB61/'Input Data Sheet'!$P61)</f>
        <v>0</v>
      </c>
      <c r="AL61" s="331">
        <f>IF('Input Data Sheet'!$P61=0,0,'Input Data Sheet'!AC61/'Input Data Sheet'!$P61)</f>
        <v>0.27999993253657152</v>
      </c>
      <c r="AM61" s="331">
        <f>IF('Input Data Sheet'!$P61=0,0,'Input Data Sheet'!AD61/'Input Data Sheet'!$P61)</f>
        <v>0.44999990161583342</v>
      </c>
      <c r="AN61" s="331">
        <f>IF('Input Data Sheet'!$P61=0,0,'Input Data Sheet'!AE61/'Input Data Sheet'!$P61)</f>
        <v>6.0000005621952374E-2</v>
      </c>
      <c r="AO61" s="331">
        <f>IF('Input Data Sheet'!$P61=0,0,'Input Data Sheet'!AF61/'Input Data Sheet'!$P61)</f>
        <v>0.20999987912802395</v>
      </c>
      <c r="AP61" s="331">
        <f>IF('Input Data Sheet'!$P61=0,0,'Input Data Sheet'!AG61/'Input Data Sheet'!$P61)</f>
        <v>0</v>
      </c>
      <c r="AQ61" s="331">
        <f>IF('Input Data Sheet'!$P61=0,0,'Input Data Sheet'!AH61/'Input Data Sheet'!$P61)</f>
        <v>0</v>
      </c>
      <c r="AR61" s="331">
        <f>IF('Input Data Sheet'!$P61=0,0,'Input Data Sheet'!AI61/'Input Data Sheet'!$P61)</f>
        <v>0</v>
      </c>
      <c r="AS61" s="331">
        <f>IF('Input Data Sheet'!$P61=0,0,'Input Data Sheet'!AJ61/'Input Data Sheet'!$P61)</f>
        <v>0</v>
      </c>
      <c r="AT61" s="331">
        <f>IF('Input Data Sheet'!$P61=0,0,'Input Data Sheet'!AK61/'Input Data Sheet'!$P61)</f>
        <v>0</v>
      </c>
      <c r="AU61" s="331">
        <f>IF('Input Data Sheet'!$P61=0,0,'Input Data Sheet'!AL61/'Input Data Sheet'!$P61)</f>
        <v>0</v>
      </c>
      <c r="AV61" s="331">
        <f>IF('Input Data Sheet'!$P61=0,0,'Input Data Sheet'!AM61/'Input Data Sheet'!$P61)</f>
        <v>0</v>
      </c>
      <c r="AW61" s="331">
        <f>IF('Input Data Sheet'!$P61=0,0,'Input Data Sheet'!AN61/'Input Data Sheet'!$P61)</f>
        <v>0</v>
      </c>
      <c r="AX61" s="331">
        <f>IF('Input Data Sheet'!$P61=0,0,'Input Data Sheet'!AO61/'Input Data Sheet'!$P61)</f>
        <v>0</v>
      </c>
      <c r="AY61" s="331">
        <f>IF('Input Data Sheet'!$P61=0,0,'Input Data Sheet'!AP61/'Input Data Sheet'!$P61)</f>
        <v>0</v>
      </c>
      <c r="AZ61" s="331">
        <f>IF('Input Data Sheet'!$P61=0,0,'Input Data Sheet'!AQ61/'Input Data Sheet'!$P61)</f>
        <v>0</v>
      </c>
      <c r="BA61" s="331">
        <f>IF('Input Data Sheet'!$P61=0,0,'Input Data Sheet'!AR61/'Input Data Sheet'!$P61)</f>
        <v>0</v>
      </c>
      <c r="BB61" s="331">
        <f>IF('Input Data Sheet'!$P61=0,0,'Input Data Sheet'!AS61/'Input Data Sheet'!$P61)</f>
        <v>0</v>
      </c>
      <c r="BC61" s="331">
        <f>IF('Input Data Sheet'!$P61=0,0,'Input Data Sheet'!AT61/'Input Data Sheet'!$P61)</f>
        <v>0</v>
      </c>
      <c r="BD61" s="331">
        <f>IF('Input Data Sheet'!$P61=0,0,'Input Data Sheet'!AU61/'Input Data Sheet'!$P61)</f>
        <v>0</v>
      </c>
      <c r="BE61" s="331">
        <f>IF('Input Data Sheet'!$P61=0,0,'Input Data Sheet'!AV61/'Input Data Sheet'!$P61)</f>
        <v>0</v>
      </c>
      <c r="BF61" s="332">
        <f>IF('Input Data Sheet'!$P61=0,0,'Input Data Sheet'!AW61/'Input Data Sheet'!$P61)</f>
        <v>0</v>
      </c>
      <c r="BG61" s="328">
        <f t="shared" si="11"/>
        <v>0.99999971890238137</v>
      </c>
    </row>
    <row r="62" spans="1:59" x14ac:dyDescent="0.3">
      <c r="A62" s="409" t="str">
        <f>'Input Data Sheet'!B62</f>
        <v>ND1309</v>
      </c>
      <c r="B62" s="314" t="str">
        <f>'Input Data Sheet'!C62</f>
        <v>Substation Lightning Protection enhancement program</v>
      </c>
      <c r="C62" s="314" t="str">
        <f>'Input Data Sheet'!D62</f>
        <v>Asset Renewal</v>
      </c>
      <c r="D62" s="333" t="str">
        <f>'Input Data Sheet'!E62</f>
        <v>2018/19</v>
      </c>
      <c r="E62" s="333">
        <f>'Input Data Sheet'!F62</f>
        <v>9</v>
      </c>
      <c r="F62" s="315"/>
      <c r="G62" s="315"/>
      <c r="H62" s="316">
        <f>'Input Data Sheet'!J62</f>
        <v>0</v>
      </c>
      <c r="I62" s="316"/>
      <c r="J62" s="316">
        <f>'Input Data Sheet'!K62</f>
        <v>0</v>
      </c>
      <c r="K62" s="496"/>
      <c r="L62" s="496"/>
      <c r="M62" s="496"/>
      <c r="N62" s="316"/>
      <c r="O62" s="287">
        <f t="shared" si="9"/>
        <v>2507260</v>
      </c>
      <c r="P62" s="320">
        <f>'Input Data Sheet'!Q62</f>
        <v>0</v>
      </c>
      <c r="Q62" s="287">
        <f>'Input Data Sheet'!R62</f>
        <v>0</v>
      </c>
      <c r="R62" s="341">
        <f>'Input Data Sheet'!S62</f>
        <v>0</v>
      </c>
      <c r="S62" s="341">
        <f>'Input Data Sheet'!T62</f>
        <v>0</v>
      </c>
      <c r="T62" s="341">
        <f>'Input Data Sheet'!U62</f>
        <v>337806</v>
      </c>
      <c r="U62" s="341">
        <f>'Input Data Sheet'!V62</f>
        <v>1505475</v>
      </c>
      <c r="V62" s="341">
        <f>'Input Data Sheet'!W62</f>
        <v>663979</v>
      </c>
      <c r="W62" s="287">
        <f>'Input Data Sheet'!X62</f>
        <v>0</v>
      </c>
      <c r="X62" s="321">
        <f>'Input Data Sheet'!Y62</f>
        <v>0</v>
      </c>
      <c r="Y62" s="287">
        <f t="shared" si="10"/>
        <v>0</v>
      </c>
      <c r="Z62" s="287">
        <f t="shared" si="1"/>
        <v>0</v>
      </c>
      <c r="AA62" s="341">
        <f t="shared" si="2"/>
        <v>0</v>
      </c>
      <c r="AB62" s="341">
        <f t="shared" si="3"/>
        <v>0</v>
      </c>
      <c r="AC62" s="341">
        <f t="shared" si="4"/>
        <v>0</v>
      </c>
      <c r="AD62" s="341">
        <f t="shared" si="5"/>
        <v>0</v>
      </c>
      <c r="AE62" s="341">
        <f t="shared" si="6"/>
        <v>2507260</v>
      </c>
      <c r="AF62" s="287">
        <f t="shared" si="7"/>
        <v>0</v>
      </c>
      <c r="AG62" s="287">
        <f t="shared" si="8"/>
        <v>0</v>
      </c>
      <c r="AH62" s="322">
        <f>IF($H62,0,IFERROR(IF(VALUE(LEFT(D62,4))&gt;VALUE(LEFT(Parameters!$B$66,4))+1,O62-SUM(R62:X62),0),0))</f>
        <v>0</v>
      </c>
      <c r="AI62" s="330">
        <f>IF('Input Data Sheet'!$P62=0,0,'Input Data Sheet'!Z62/'Input Data Sheet'!$P62)</f>
        <v>0</v>
      </c>
      <c r="AJ62" s="331">
        <f>IF('Input Data Sheet'!$P62=0,0,'Input Data Sheet'!AA62/'Input Data Sheet'!$P62)</f>
        <v>0</v>
      </c>
      <c r="AK62" s="331">
        <f>IF('Input Data Sheet'!$P62=0,0,'Input Data Sheet'!AB62/'Input Data Sheet'!$P62)</f>
        <v>0</v>
      </c>
      <c r="AL62" s="331">
        <f>IF('Input Data Sheet'!$P62=0,0,'Input Data Sheet'!AC62/'Input Data Sheet'!$P62)</f>
        <v>0.28000007976835273</v>
      </c>
      <c r="AM62" s="331">
        <f>IF('Input Data Sheet'!$P62=0,0,'Input Data Sheet'!AD62/'Input Data Sheet'!$P62)</f>
        <v>0.45</v>
      </c>
      <c r="AN62" s="331">
        <f>IF('Input Data Sheet'!$P62=0,0,'Input Data Sheet'!AE62/'Input Data Sheet'!$P62)</f>
        <v>6.0000159536705407E-2</v>
      </c>
      <c r="AO62" s="331">
        <f>IF('Input Data Sheet'!$P62=0,0,'Input Data Sheet'!AF62/'Input Data Sheet'!$P62)</f>
        <v>0.21000015953670539</v>
      </c>
      <c r="AP62" s="331">
        <f>IF('Input Data Sheet'!$P62=0,0,'Input Data Sheet'!AG62/'Input Data Sheet'!$P62)</f>
        <v>0</v>
      </c>
      <c r="AQ62" s="331">
        <f>IF('Input Data Sheet'!$P62=0,0,'Input Data Sheet'!AH62/'Input Data Sheet'!$P62)</f>
        <v>0</v>
      </c>
      <c r="AR62" s="331">
        <f>IF('Input Data Sheet'!$P62=0,0,'Input Data Sheet'!AI62/'Input Data Sheet'!$P62)</f>
        <v>0</v>
      </c>
      <c r="AS62" s="331">
        <f>IF('Input Data Sheet'!$P62=0,0,'Input Data Sheet'!AJ62/'Input Data Sheet'!$P62)</f>
        <v>0</v>
      </c>
      <c r="AT62" s="331">
        <f>IF('Input Data Sheet'!$P62=0,0,'Input Data Sheet'!AK62/'Input Data Sheet'!$P62)</f>
        <v>0</v>
      </c>
      <c r="AU62" s="331">
        <f>IF('Input Data Sheet'!$P62=0,0,'Input Data Sheet'!AL62/'Input Data Sheet'!$P62)</f>
        <v>0</v>
      </c>
      <c r="AV62" s="331">
        <f>IF('Input Data Sheet'!$P62=0,0,'Input Data Sheet'!AM62/'Input Data Sheet'!$P62)</f>
        <v>0</v>
      </c>
      <c r="AW62" s="331">
        <f>IF('Input Data Sheet'!$P62=0,0,'Input Data Sheet'!AN62/'Input Data Sheet'!$P62)</f>
        <v>0</v>
      </c>
      <c r="AX62" s="331">
        <f>IF('Input Data Sheet'!$P62=0,0,'Input Data Sheet'!AO62/'Input Data Sheet'!$P62)</f>
        <v>0</v>
      </c>
      <c r="AY62" s="331">
        <f>IF('Input Data Sheet'!$P62=0,0,'Input Data Sheet'!AP62/'Input Data Sheet'!$P62)</f>
        <v>0</v>
      </c>
      <c r="AZ62" s="331">
        <f>IF('Input Data Sheet'!$P62=0,0,'Input Data Sheet'!AQ62/'Input Data Sheet'!$P62)</f>
        <v>0</v>
      </c>
      <c r="BA62" s="331">
        <f>IF('Input Data Sheet'!$P62=0,0,'Input Data Sheet'!AR62/'Input Data Sheet'!$P62)</f>
        <v>0</v>
      </c>
      <c r="BB62" s="331">
        <f>IF('Input Data Sheet'!$P62=0,0,'Input Data Sheet'!AS62/'Input Data Sheet'!$P62)</f>
        <v>0</v>
      </c>
      <c r="BC62" s="331">
        <f>IF('Input Data Sheet'!$P62=0,0,'Input Data Sheet'!AT62/'Input Data Sheet'!$P62)</f>
        <v>0</v>
      </c>
      <c r="BD62" s="331">
        <f>IF('Input Data Sheet'!$P62=0,0,'Input Data Sheet'!AU62/'Input Data Sheet'!$P62)</f>
        <v>0</v>
      </c>
      <c r="BE62" s="331">
        <f>IF('Input Data Sheet'!$P62=0,0,'Input Data Sheet'!AV62/'Input Data Sheet'!$P62)</f>
        <v>0</v>
      </c>
      <c r="BF62" s="332">
        <f>IF('Input Data Sheet'!$P62=0,0,'Input Data Sheet'!AW62/'Input Data Sheet'!$P62)</f>
        <v>0</v>
      </c>
      <c r="BG62" s="328">
        <f t="shared" si="11"/>
        <v>1.0000003988417636</v>
      </c>
    </row>
    <row r="63" spans="1:59" x14ac:dyDescent="0.3">
      <c r="A63" s="409" t="str">
        <f>'Input Data Sheet'!B63</f>
        <v>ND1226</v>
      </c>
      <c r="B63" s="314" t="str">
        <f>'Input Data Sheet'!C63</f>
        <v>Substation Power transformer refurbishment program</v>
      </c>
      <c r="C63" s="314" t="str">
        <f>'Input Data Sheet'!D63</f>
        <v>Asset Renewal</v>
      </c>
      <c r="D63" s="333" t="str">
        <f>'Input Data Sheet'!E63</f>
        <v>2016/17</v>
      </c>
      <c r="E63" s="333">
        <f>'Input Data Sheet'!F63</f>
        <v>11</v>
      </c>
      <c r="F63" s="315"/>
      <c r="G63" s="315"/>
      <c r="H63" s="316">
        <f>'Input Data Sheet'!J63</f>
        <v>1</v>
      </c>
      <c r="I63" s="316"/>
      <c r="J63" s="316">
        <f>'Input Data Sheet'!K63</f>
        <v>0</v>
      </c>
      <c r="K63" s="496"/>
      <c r="L63" s="496"/>
      <c r="M63" s="496"/>
      <c r="N63" s="316"/>
      <c r="O63" s="287">
        <f t="shared" si="9"/>
        <v>1278908</v>
      </c>
      <c r="P63" s="320">
        <f>'Input Data Sheet'!Q63</f>
        <v>0</v>
      </c>
      <c r="Q63" s="287">
        <f>'Input Data Sheet'!R63</f>
        <v>0</v>
      </c>
      <c r="R63" s="341">
        <f>'Input Data Sheet'!S63</f>
        <v>179047</v>
      </c>
      <c r="S63" s="341">
        <f>'Input Data Sheet'!T63</f>
        <v>1080677</v>
      </c>
      <c r="T63" s="341">
        <f>'Input Data Sheet'!U63</f>
        <v>19184</v>
      </c>
      <c r="U63" s="341">
        <f>'Input Data Sheet'!V63</f>
        <v>0</v>
      </c>
      <c r="V63" s="341">
        <f>'Input Data Sheet'!W63</f>
        <v>0</v>
      </c>
      <c r="W63" s="287">
        <f>'Input Data Sheet'!X63</f>
        <v>0</v>
      </c>
      <c r="X63" s="321">
        <f>'Input Data Sheet'!Y63</f>
        <v>0</v>
      </c>
      <c r="Y63" s="287">
        <f t="shared" si="10"/>
        <v>0</v>
      </c>
      <c r="Z63" s="287">
        <f t="shared" si="1"/>
        <v>0</v>
      </c>
      <c r="AA63" s="341">
        <f t="shared" si="2"/>
        <v>179047</v>
      </c>
      <c r="AB63" s="341">
        <f t="shared" si="3"/>
        <v>1080677</v>
      </c>
      <c r="AC63" s="341">
        <f t="shared" si="4"/>
        <v>19184</v>
      </c>
      <c r="AD63" s="341">
        <f t="shared" si="5"/>
        <v>0</v>
      </c>
      <c r="AE63" s="341">
        <f t="shared" si="6"/>
        <v>0</v>
      </c>
      <c r="AF63" s="287">
        <f t="shared" si="7"/>
        <v>0</v>
      </c>
      <c r="AG63" s="287">
        <f t="shared" si="8"/>
        <v>0</v>
      </c>
      <c r="AH63" s="322">
        <f>IF($H63,0,IFERROR(IF(VALUE(LEFT(D63,4))&gt;VALUE(LEFT(Parameters!$B$66,4))+1,O63-SUM(R63:X63),0),0))</f>
        <v>0</v>
      </c>
      <c r="AI63" s="330">
        <f>IF('Input Data Sheet'!$P63=0,0,'Input Data Sheet'!Z63/'Input Data Sheet'!$P63)</f>
        <v>0</v>
      </c>
      <c r="AJ63" s="331">
        <f>IF('Input Data Sheet'!$P63=0,0,'Input Data Sheet'!AA63/'Input Data Sheet'!$P63)</f>
        <v>0</v>
      </c>
      <c r="AK63" s="331">
        <f>IF('Input Data Sheet'!$P63=0,0,'Input Data Sheet'!AB63/'Input Data Sheet'!$P63)</f>
        <v>0</v>
      </c>
      <c r="AL63" s="331">
        <f>IF('Input Data Sheet'!$P63=0,0,'Input Data Sheet'!AC63/'Input Data Sheet'!$P63)</f>
        <v>0.12999996872331707</v>
      </c>
      <c r="AM63" s="331">
        <f>IF('Input Data Sheet'!$P63=0,0,'Input Data Sheet'!AD63/'Input Data Sheet'!$P63)</f>
        <v>0.84999937446634144</v>
      </c>
      <c r="AN63" s="331">
        <f>IF('Input Data Sheet'!$P63=0,0,'Input Data Sheet'!AE63/'Input Data Sheet'!$P63)</f>
        <v>0</v>
      </c>
      <c r="AO63" s="331">
        <f>IF('Input Data Sheet'!$P63=0,0,'Input Data Sheet'!AF63/'Input Data Sheet'!$P63)</f>
        <v>1.9999874893268314E-2</v>
      </c>
      <c r="AP63" s="331">
        <f>IF('Input Data Sheet'!$P63=0,0,'Input Data Sheet'!AG63/'Input Data Sheet'!$P63)</f>
        <v>0</v>
      </c>
      <c r="AQ63" s="331">
        <f>IF('Input Data Sheet'!$P63=0,0,'Input Data Sheet'!AH63/'Input Data Sheet'!$P63)</f>
        <v>0</v>
      </c>
      <c r="AR63" s="331">
        <f>IF('Input Data Sheet'!$P63=0,0,'Input Data Sheet'!AI63/'Input Data Sheet'!$P63)</f>
        <v>0</v>
      </c>
      <c r="AS63" s="331">
        <f>IF('Input Data Sheet'!$P63=0,0,'Input Data Sheet'!AJ63/'Input Data Sheet'!$P63)</f>
        <v>0</v>
      </c>
      <c r="AT63" s="331">
        <f>IF('Input Data Sheet'!$P63=0,0,'Input Data Sheet'!AK63/'Input Data Sheet'!$P63)</f>
        <v>0</v>
      </c>
      <c r="AU63" s="331">
        <f>IF('Input Data Sheet'!$P63=0,0,'Input Data Sheet'!AL63/'Input Data Sheet'!$P63)</f>
        <v>0</v>
      </c>
      <c r="AV63" s="331">
        <f>IF('Input Data Sheet'!$P63=0,0,'Input Data Sheet'!AM63/'Input Data Sheet'!$P63)</f>
        <v>0</v>
      </c>
      <c r="AW63" s="331">
        <f>IF('Input Data Sheet'!$P63=0,0,'Input Data Sheet'!AN63/'Input Data Sheet'!$P63)</f>
        <v>0</v>
      </c>
      <c r="AX63" s="331">
        <f>IF('Input Data Sheet'!$P63=0,0,'Input Data Sheet'!AO63/'Input Data Sheet'!$P63)</f>
        <v>0</v>
      </c>
      <c r="AY63" s="331">
        <f>IF('Input Data Sheet'!$P63=0,0,'Input Data Sheet'!AP63/'Input Data Sheet'!$P63)</f>
        <v>0</v>
      </c>
      <c r="AZ63" s="331">
        <f>IF('Input Data Sheet'!$P63=0,0,'Input Data Sheet'!AQ63/'Input Data Sheet'!$P63)</f>
        <v>0</v>
      </c>
      <c r="BA63" s="331">
        <f>IF('Input Data Sheet'!$P63=0,0,'Input Data Sheet'!AR63/'Input Data Sheet'!$P63)</f>
        <v>0</v>
      </c>
      <c r="BB63" s="331">
        <f>IF('Input Data Sheet'!$P63=0,0,'Input Data Sheet'!AS63/'Input Data Sheet'!$P63)</f>
        <v>0</v>
      </c>
      <c r="BC63" s="331">
        <f>IF('Input Data Sheet'!$P63=0,0,'Input Data Sheet'!AT63/'Input Data Sheet'!$P63)</f>
        <v>0</v>
      </c>
      <c r="BD63" s="331">
        <f>IF('Input Data Sheet'!$P63=0,0,'Input Data Sheet'!AU63/'Input Data Sheet'!$P63)</f>
        <v>0</v>
      </c>
      <c r="BE63" s="331">
        <f>IF('Input Data Sheet'!$P63=0,0,'Input Data Sheet'!AV63/'Input Data Sheet'!$P63)</f>
        <v>0</v>
      </c>
      <c r="BF63" s="332">
        <f>IF('Input Data Sheet'!$P63=0,0,'Input Data Sheet'!AW63/'Input Data Sheet'!$P63)</f>
        <v>0</v>
      </c>
      <c r="BG63" s="328">
        <f t="shared" si="11"/>
        <v>0.9999992180829268</v>
      </c>
    </row>
    <row r="64" spans="1:59" x14ac:dyDescent="0.3">
      <c r="A64" s="409" t="str">
        <f>'Input Data Sheet'!B64</f>
        <v>ND1256</v>
      </c>
      <c r="B64" s="314" t="str">
        <f>'Input Data Sheet'!C64</f>
        <v>Substation site infrastructure program</v>
      </c>
      <c r="C64" s="314" t="str">
        <f>'Input Data Sheet'!D64</f>
        <v>Asset Renewal</v>
      </c>
      <c r="D64" s="333" t="str">
        <f>'Input Data Sheet'!E64</f>
        <v>2015/16</v>
      </c>
      <c r="E64" s="333">
        <f>'Input Data Sheet'!F64</f>
        <v>8</v>
      </c>
      <c r="F64" s="315"/>
      <c r="G64" s="315"/>
      <c r="H64" s="316">
        <f>'Input Data Sheet'!J64</f>
        <v>1</v>
      </c>
      <c r="I64" s="316"/>
      <c r="J64" s="316">
        <f>'Input Data Sheet'!K64</f>
        <v>0</v>
      </c>
      <c r="K64" s="496"/>
      <c r="L64" s="496"/>
      <c r="M64" s="496"/>
      <c r="N64" s="316"/>
      <c r="O64" s="287">
        <f t="shared" si="9"/>
        <v>3418758</v>
      </c>
      <c r="P64" s="320">
        <f>'Input Data Sheet'!Q64</f>
        <v>0</v>
      </c>
      <c r="Q64" s="287">
        <f>'Input Data Sheet'!R64</f>
        <v>0</v>
      </c>
      <c r="R64" s="341">
        <f>'Input Data Sheet'!S64</f>
        <v>1186309</v>
      </c>
      <c r="S64" s="341">
        <f>'Input Data Sheet'!T64</f>
        <v>2232449</v>
      </c>
      <c r="T64" s="341">
        <f>'Input Data Sheet'!U64</f>
        <v>0</v>
      </c>
      <c r="U64" s="341">
        <f>'Input Data Sheet'!V64</f>
        <v>0</v>
      </c>
      <c r="V64" s="341">
        <f>'Input Data Sheet'!W64</f>
        <v>0</v>
      </c>
      <c r="W64" s="287">
        <f>'Input Data Sheet'!X64</f>
        <v>0</v>
      </c>
      <c r="X64" s="321">
        <f>'Input Data Sheet'!Y64</f>
        <v>0</v>
      </c>
      <c r="Y64" s="287">
        <f t="shared" si="10"/>
        <v>0</v>
      </c>
      <c r="Z64" s="287">
        <f t="shared" si="1"/>
        <v>0</v>
      </c>
      <c r="AA64" s="341">
        <f t="shared" si="2"/>
        <v>1186309</v>
      </c>
      <c r="AB64" s="341">
        <f t="shared" si="3"/>
        <v>2232449</v>
      </c>
      <c r="AC64" s="341">
        <f t="shared" si="4"/>
        <v>0</v>
      </c>
      <c r="AD64" s="341">
        <f t="shared" si="5"/>
        <v>0</v>
      </c>
      <c r="AE64" s="341">
        <f t="shared" si="6"/>
        <v>0</v>
      </c>
      <c r="AF64" s="287">
        <f t="shared" si="7"/>
        <v>0</v>
      </c>
      <c r="AG64" s="287">
        <f t="shared" si="8"/>
        <v>0</v>
      </c>
      <c r="AH64" s="322">
        <f>IF($H64,0,IFERROR(IF(VALUE(LEFT(D64,4))&gt;VALUE(LEFT(Parameters!$B$66,4))+1,O64-SUM(R64:X64),0),0))</f>
        <v>0</v>
      </c>
      <c r="AI64" s="330">
        <f>IF('Input Data Sheet'!$P64=0,0,'Input Data Sheet'!Z64/'Input Data Sheet'!$P64)</f>
        <v>0</v>
      </c>
      <c r="AJ64" s="331">
        <f>IF('Input Data Sheet'!$P64=0,0,'Input Data Sheet'!AA64/'Input Data Sheet'!$P64)</f>
        <v>0</v>
      </c>
      <c r="AK64" s="331">
        <f>IF('Input Data Sheet'!$P64=0,0,'Input Data Sheet'!AB64/'Input Data Sheet'!$P64)</f>
        <v>0</v>
      </c>
      <c r="AL64" s="331">
        <f>IF('Input Data Sheet'!$P64=0,0,'Input Data Sheet'!AC64/'Input Data Sheet'!$P64)</f>
        <v>0.2799999297990674</v>
      </c>
      <c r="AM64" s="331">
        <f>IF('Input Data Sheet'!$P64=0,0,'Input Data Sheet'!AD64/'Input Data Sheet'!$P64)</f>
        <v>0.4499999707496114</v>
      </c>
      <c r="AN64" s="331">
        <f>IF('Input Data Sheet'!$P64=0,0,'Input Data Sheet'!AE64/'Input Data Sheet'!$P64)</f>
        <v>5.999985959813476E-2</v>
      </c>
      <c r="AO64" s="331">
        <f>IF('Input Data Sheet'!$P64=0,0,'Input Data Sheet'!AF64/'Input Data Sheet'!$P64)</f>
        <v>0.20999994734930053</v>
      </c>
      <c r="AP64" s="331">
        <f>IF('Input Data Sheet'!$P64=0,0,'Input Data Sheet'!AG64/'Input Data Sheet'!$P64)</f>
        <v>0</v>
      </c>
      <c r="AQ64" s="331">
        <f>IF('Input Data Sheet'!$P64=0,0,'Input Data Sheet'!AH64/'Input Data Sheet'!$P64)</f>
        <v>0</v>
      </c>
      <c r="AR64" s="331">
        <f>IF('Input Data Sheet'!$P64=0,0,'Input Data Sheet'!AI64/'Input Data Sheet'!$P64)</f>
        <v>0</v>
      </c>
      <c r="AS64" s="331">
        <f>IF('Input Data Sheet'!$P64=0,0,'Input Data Sheet'!AJ64/'Input Data Sheet'!$P64)</f>
        <v>0</v>
      </c>
      <c r="AT64" s="331">
        <f>IF('Input Data Sheet'!$P64=0,0,'Input Data Sheet'!AK64/'Input Data Sheet'!$P64)</f>
        <v>0</v>
      </c>
      <c r="AU64" s="331">
        <f>IF('Input Data Sheet'!$P64=0,0,'Input Data Sheet'!AL64/'Input Data Sheet'!$P64)</f>
        <v>0</v>
      </c>
      <c r="AV64" s="331">
        <f>IF('Input Data Sheet'!$P64=0,0,'Input Data Sheet'!AM64/'Input Data Sheet'!$P64)</f>
        <v>0</v>
      </c>
      <c r="AW64" s="331">
        <f>IF('Input Data Sheet'!$P64=0,0,'Input Data Sheet'!AN64/'Input Data Sheet'!$P64)</f>
        <v>0</v>
      </c>
      <c r="AX64" s="331">
        <f>IF('Input Data Sheet'!$P64=0,0,'Input Data Sheet'!AO64/'Input Data Sheet'!$P64)</f>
        <v>0</v>
      </c>
      <c r="AY64" s="331">
        <f>IF('Input Data Sheet'!$P64=0,0,'Input Data Sheet'!AP64/'Input Data Sheet'!$P64)</f>
        <v>0</v>
      </c>
      <c r="AZ64" s="331">
        <f>IF('Input Data Sheet'!$P64=0,0,'Input Data Sheet'!AQ64/'Input Data Sheet'!$P64)</f>
        <v>0</v>
      </c>
      <c r="BA64" s="331">
        <f>IF('Input Data Sheet'!$P64=0,0,'Input Data Sheet'!AR64/'Input Data Sheet'!$P64)</f>
        <v>0</v>
      </c>
      <c r="BB64" s="331">
        <f>IF('Input Data Sheet'!$P64=0,0,'Input Data Sheet'!AS64/'Input Data Sheet'!$P64)</f>
        <v>0</v>
      </c>
      <c r="BC64" s="331">
        <f>IF('Input Data Sheet'!$P64=0,0,'Input Data Sheet'!AT64/'Input Data Sheet'!$P64)</f>
        <v>0</v>
      </c>
      <c r="BD64" s="331">
        <f>IF('Input Data Sheet'!$P64=0,0,'Input Data Sheet'!AU64/'Input Data Sheet'!$P64)</f>
        <v>0</v>
      </c>
      <c r="BE64" s="331">
        <f>IF('Input Data Sheet'!$P64=0,0,'Input Data Sheet'!AV64/'Input Data Sheet'!$P64)</f>
        <v>0</v>
      </c>
      <c r="BF64" s="332">
        <f>IF('Input Data Sheet'!$P64=0,0,'Input Data Sheet'!AW64/'Input Data Sheet'!$P64)</f>
        <v>0</v>
      </c>
      <c r="BG64" s="328">
        <f t="shared" si="11"/>
        <v>0.99999970749611411</v>
      </c>
    </row>
    <row r="65" spans="1:59" x14ac:dyDescent="0.3">
      <c r="A65" s="409" t="str">
        <f>'Input Data Sheet'!B65</f>
        <v>ND0990</v>
      </c>
      <c r="B65" s="314" t="str">
        <f>'Input Data Sheet'!C65</f>
        <v>Substation VESDA and fire suppression program</v>
      </c>
      <c r="C65" s="314" t="str">
        <f>'Input Data Sheet'!D65</f>
        <v>Asset Renewal</v>
      </c>
      <c r="D65" s="333" t="str">
        <f>'Input Data Sheet'!E65</f>
        <v>2014/15</v>
      </c>
      <c r="E65" s="333">
        <f>'Input Data Sheet'!F65</f>
        <v>0</v>
      </c>
      <c r="F65" s="315"/>
      <c r="G65" s="315"/>
      <c r="H65" s="316">
        <f>'Input Data Sheet'!J65</f>
        <v>0</v>
      </c>
      <c r="I65" s="316"/>
      <c r="J65" s="316">
        <f>'Input Data Sheet'!K65</f>
        <v>0</v>
      </c>
      <c r="K65" s="496"/>
      <c r="L65" s="496"/>
      <c r="M65" s="496"/>
      <c r="N65" s="316"/>
      <c r="O65" s="287">
        <f t="shared" si="9"/>
        <v>2453544.6521780393</v>
      </c>
      <c r="P65" s="320">
        <f>'Input Data Sheet'!Q65</f>
        <v>0</v>
      </c>
      <c r="Q65" s="287">
        <f>'Input Data Sheet'!R65</f>
        <v>0</v>
      </c>
      <c r="R65" s="341">
        <f>'Input Data Sheet'!S65</f>
        <v>2453544.6521780393</v>
      </c>
      <c r="S65" s="341">
        <f>'Input Data Sheet'!T65</f>
        <v>0</v>
      </c>
      <c r="T65" s="341">
        <f>'Input Data Sheet'!U65</f>
        <v>0</v>
      </c>
      <c r="U65" s="341">
        <f>'Input Data Sheet'!V65</f>
        <v>0</v>
      </c>
      <c r="V65" s="341">
        <f>'Input Data Sheet'!W65</f>
        <v>0</v>
      </c>
      <c r="W65" s="287">
        <f>'Input Data Sheet'!X65</f>
        <v>0</v>
      </c>
      <c r="X65" s="321">
        <f>'Input Data Sheet'!Y65</f>
        <v>0</v>
      </c>
      <c r="Y65" s="287">
        <f t="shared" si="10"/>
        <v>0</v>
      </c>
      <c r="Z65" s="287">
        <f t="shared" si="1"/>
        <v>0</v>
      </c>
      <c r="AA65" s="341">
        <f t="shared" si="2"/>
        <v>2453544.6521780393</v>
      </c>
      <c r="AB65" s="341">
        <f t="shared" si="3"/>
        <v>0</v>
      </c>
      <c r="AC65" s="341">
        <f t="shared" si="4"/>
        <v>0</v>
      </c>
      <c r="AD65" s="341">
        <f t="shared" si="5"/>
        <v>0</v>
      </c>
      <c r="AE65" s="341">
        <f t="shared" si="6"/>
        <v>0</v>
      </c>
      <c r="AF65" s="287">
        <f t="shared" si="7"/>
        <v>0</v>
      </c>
      <c r="AG65" s="287">
        <f t="shared" si="8"/>
        <v>0</v>
      </c>
      <c r="AH65" s="322">
        <f>IF($H65,0,IFERROR(IF(VALUE(LEFT(D65,4))&gt;VALUE(LEFT(Parameters!$B$66,4))+1,O65-SUM(R65:X65),0),0))</f>
        <v>0</v>
      </c>
      <c r="AI65" s="330">
        <f>IF('Input Data Sheet'!$P65=0,0,'Input Data Sheet'!Z65/'Input Data Sheet'!$P65)</f>
        <v>0</v>
      </c>
      <c r="AJ65" s="331">
        <f>IF('Input Data Sheet'!$P65=0,0,'Input Data Sheet'!AA65/'Input Data Sheet'!$P65)</f>
        <v>0</v>
      </c>
      <c r="AK65" s="331">
        <f>IF('Input Data Sheet'!$P65=0,0,'Input Data Sheet'!AB65/'Input Data Sheet'!$P65)</f>
        <v>0</v>
      </c>
      <c r="AL65" s="331">
        <f>IF('Input Data Sheet'!$P65=0,0,'Input Data Sheet'!AC65/'Input Data Sheet'!$P65)</f>
        <v>0.28000000000000008</v>
      </c>
      <c r="AM65" s="331">
        <f>IF('Input Data Sheet'!$P65=0,0,'Input Data Sheet'!AD65/'Input Data Sheet'!$P65)</f>
        <v>0.45000000000000007</v>
      </c>
      <c r="AN65" s="331">
        <f>IF('Input Data Sheet'!$P65=0,0,'Input Data Sheet'!AE65/'Input Data Sheet'!$P65)</f>
        <v>6.0000000000000005E-2</v>
      </c>
      <c r="AO65" s="331">
        <f>IF('Input Data Sheet'!$P65=0,0,'Input Data Sheet'!AF65/'Input Data Sheet'!$P65)</f>
        <v>0.21000000000000002</v>
      </c>
      <c r="AP65" s="331">
        <f>IF('Input Data Sheet'!$P65=0,0,'Input Data Sheet'!AG65/'Input Data Sheet'!$P65)</f>
        <v>0</v>
      </c>
      <c r="AQ65" s="331">
        <f>IF('Input Data Sheet'!$P65=0,0,'Input Data Sheet'!AH65/'Input Data Sheet'!$P65)</f>
        <v>0</v>
      </c>
      <c r="AR65" s="331">
        <f>IF('Input Data Sheet'!$P65=0,0,'Input Data Sheet'!AI65/'Input Data Sheet'!$P65)</f>
        <v>0</v>
      </c>
      <c r="AS65" s="331">
        <f>IF('Input Data Sheet'!$P65=0,0,'Input Data Sheet'!AJ65/'Input Data Sheet'!$P65)</f>
        <v>0</v>
      </c>
      <c r="AT65" s="331">
        <f>IF('Input Data Sheet'!$P65=0,0,'Input Data Sheet'!AK65/'Input Data Sheet'!$P65)</f>
        <v>0</v>
      </c>
      <c r="AU65" s="331">
        <f>IF('Input Data Sheet'!$P65=0,0,'Input Data Sheet'!AL65/'Input Data Sheet'!$P65)</f>
        <v>0</v>
      </c>
      <c r="AV65" s="331">
        <f>IF('Input Data Sheet'!$P65=0,0,'Input Data Sheet'!AM65/'Input Data Sheet'!$P65)</f>
        <v>0</v>
      </c>
      <c r="AW65" s="331">
        <f>IF('Input Data Sheet'!$P65=0,0,'Input Data Sheet'!AN65/'Input Data Sheet'!$P65)</f>
        <v>0</v>
      </c>
      <c r="AX65" s="331">
        <f>IF('Input Data Sheet'!$P65=0,0,'Input Data Sheet'!AO65/'Input Data Sheet'!$P65)</f>
        <v>0</v>
      </c>
      <c r="AY65" s="331">
        <f>IF('Input Data Sheet'!$P65=0,0,'Input Data Sheet'!AP65/'Input Data Sheet'!$P65)</f>
        <v>0</v>
      </c>
      <c r="AZ65" s="331">
        <f>IF('Input Data Sheet'!$P65=0,0,'Input Data Sheet'!AQ65/'Input Data Sheet'!$P65)</f>
        <v>0</v>
      </c>
      <c r="BA65" s="331">
        <f>IF('Input Data Sheet'!$P65=0,0,'Input Data Sheet'!AR65/'Input Data Sheet'!$P65)</f>
        <v>0</v>
      </c>
      <c r="BB65" s="331">
        <f>IF('Input Data Sheet'!$P65=0,0,'Input Data Sheet'!AS65/'Input Data Sheet'!$P65)</f>
        <v>0</v>
      </c>
      <c r="BC65" s="331">
        <f>IF('Input Data Sheet'!$P65=0,0,'Input Data Sheet'!AT65/'Input Data Sheet'!$P65)</f>
        <v>0</v>
      </c>
      <c r="BD65" s="331">
        <f>IF('Input Data Sheet'!$P65=0,0,'Input Data Sheet'!AU65/'Input Data Sheet'!$P65)</f>
        <v>0</v>
      </c>
      <c r="BE65" s="331">
        <f>IF('Input Data Sheet'!$P65=0,0,'Input Data Sheet'!AV65/'Input Data Sheet'!$P65)</f>
        <v>0</v>
      </c>
      <c r="BF65" s="332">
        <f>IF('Input Data Sheet'!$P65=0,0,'Input Data Sheet'!AW65/'Input Data Sheet'!$P65)</f>
        <v>0</v>
      </c>
      <c r="BG65" s="328">
        <f t="shared" si="11"/>
        <v>1.0000000000000002</v>
      </c>
    </row>
    <row r="66" spans="1:59" x14ac:dyDescent="0.3">
      <c r="A66" s="409" t="str">
        <f>'Input Data Sheet'!B66</f>
        <v>ND1227</v>
      </c>
      <c r="B66" s="314" t="str">
        <f>'Input Data Sheet'!C66</f>
        <v>Telecommunications bearer system program</v>
      </c>
      <c r="C66" s="314" t="str">
        <f>'Input Data Sheet'!D66</f>
        <v>Asset Renewal</v>
      </c>
      <c r="D66" s="333" t="str">
        <f>'Input Data Sheet'!E66</f>
        <v>2018/19</v>
      </c>
      <c r="E66" s="333">
        <f>'Input Data Sheet'!F66</f>
        <v>13</v>
      </c>
      <c r="F66" s="315"/>
      <c r="G66" s="315"/>
      <c r="H66" s="316">
        <f>'Input Data Sheet'!J66</f>
        <v>1</v>
      </c>
      <c r="I66" s="316"/>
      <c r="J66" s="316">
        <f>'Input Data Sheet'!K66</f>
        <v>0</v>
      </c>
      <c r="K66" s="496"/>
      <c r="L66" s="496"/>
      <c r="M66" s="496"/>
      <c r="N66" s="316"/>
      <c r="O66" s="287">
        <f t="shared" si="9"/>
        <v>3751290</v>
      </c>
      <c r="P66" s="320">
        <f>'Input Data Sheet'!Q66</f>
        <v>0</v>
      </c>
      <c r="Q66" s="287">
        <f>'Input Data Sheet'!R66</f>
        <v>0</v>
      </c>
      <c r="R66" s="341">
        <f>'Input Data Sheet'!S66</f>
        <v>817279</v>
      </c>
      <c r="S66" s="341">
        <f>'Input Data Sheet'!T66</f>
        <v>636193</v>
      </c>
      <c r="T66" s="341">
        <f>'Input Data Sheet'!U66</f>
        <v>1058875</v>
      </c>
      <c r="U66" s="341">
        <f>'Input Data Sheet'!V66</f>
        <v>813314</v>
      </c>
      <c r="V66" s="341">
        <f>'Input Data Sheet'!W66</f>
        <v>425629</v>
      </c>
      <c r="W66" s="287">
        <f>'Input Data Sheet'!X66</f>
        <v>0</v>
      </c>
      <c r="X66" s="321">
        <f>'Input Data Sheet'!Y66</f>
        <v>0</v>
      </c>
      <c r="Y66" s="287">
        <f t="shared" si="10"/>
        <v>0</v>
      </c>
      <c r="Z66" s="287">
        <f t="shared" si="1"/>
        <v>0</v>
      </c>
      <c r="AA66" s="341">
        <f t="shared" si="2"/>
        <v>817279</v>
      </c>
      <c r="AB66" s="341">
        <f t="shared" si="3"/>
        <v>636193</v>
      </c>
      <c r="AC66" s="341">
        <f t="shared" si="4"/>
        <v>1058875</v>
      </c>
      <c r="AD66" s="341">
        <f t="shared" si="5"/>
        <v>813314</v>
      </c>
      <c r="AE66" s="341">
        <f t="shared" si="6"/>
        <v>425629</v>
      </c>
      <c r="AF66" s="287">
        <f t="shared" si="7"/>
        <v>0</v>
      </c>
      <c r="AG66" s="287">
        <f t="shared" si="8"/>
        <v>0</v>
      </c>
      <c r="AH66" s="322">
        <f>IF($H66,0,IFERROR(IF(VALUE(LEFT(D66,4))&gt;VALUE(LEFT(Parameters!$B$66,4))+1,O66-SUM(R66:X66),0),0))</f>
        <v>0</v>
      </c>
      <c r="AI66" s="330">
        <f>IF('Input Data Sheet'!$P66=0,0,'Input Data Sheet'!Z66/'Input Data Sheet'!$P66)</f>
        <v>0</v>
      </c>
      <c r="AJ66" s="331">
        <f>IF('Input Data Sheet'!$P66=0,0,'Input Data Sheet'!AA66/'Input Data Sheet'!$P66)</f>
        <v>0</v>
      </c>
      <c r="AK66" s="331">
        <f>IF('Input Data Sheet'!$P66=0,0,'Input Data Sheet'!AB66/'Input Data Sheet'!$P66)</f>
        <v>0</v>
      </c>
      <c r="AL66" s="331">
        <f>IF('Input Data Sheet'!$P66=0,0,'Input Data Sheet'!AC66/'Input Data Sheet'!$P66)</f>
        <v>0</v>
      </c>
      <c r="AM66" s="331">
        <f>IF('Input Data Sheet'!$P66=0,0,'Input Data Sheet'!AD66/'Input Data Sheet'!$P66)</f>
        <v>0</v>
      </c>
      <c r="AN66" s="331">
        <f>IF('Input Data Sheet'!$P66=0,0,'Input Data Sheet'!AE66/'Input Data Sheet'!$P66)</f>
        <v>0</v>
      </c>
      <c r="AO66" s="331">
        <f>IF('Input Data Sheet'!$P66=0,0,'Input Data Sheet'!AF66/'Input Data Sheet'!$P66)</f>
        <v>0</v>
      </c>
      <c r="AP66" s="331">
        <f>IF('Input Data Sheet'!$P66=0,0,'Input Data Sheet'!AG66/'Input Data Sheet'!$P66)</f>
        <v>0</v>
      </c>
      <c r="AQ66" s="331">
        <f>IF('Input Data Sheet'!$P66=0,0,'Input Data Sheet'!AH66/'Input Data Sheet'!$P66)</f>
        <v>0</v>
      </c>
      <c r="AR66" s="331">
        <f>IF('Input Data Sheet'!$P66=0,0,'Input Data Sheet'!AI66/'Input Data Sheet'!$P66)</f>
        <v>0</v>
      </c>
      <c r="AS66" s="331">
        <f>IF('Input Data Sheet'!$P66=0,0,'Input Data Sheet'!AJ66/'Input Data Sheet'!$P66)</f>
        <v>0</v>
      </c>
      <c r="AT66" s="331">
        <f>IF('Input Data Sheet'!$P66=0,0,'Input Data Sheet'!AK66/'Input Data Sheet'!$P66)</f>
        <v>0</v>
      </c>
      <c r="AU66" s="331">
        <f>IF('Input Data Sheet'!$P66=0,0,'Input Data Sheet'!AL66/'Input Data Sheet'!$P66)</f>
        <v>0</v>
      </c>
      <c r="AV66" s="331">
        <f>IF('Input Data Sheet'!$P66=0,0,'Input Data Sheet'!AM66/'Input Data Sheet'!$P66)</f>
        <v>0</v>
      </c>
      <c r="AW66" s="331">
        <f>IF('Input Data Sheet'!$P66=0,0,'Input Data Sheet'!AN66/'Input Data Sheet'!$P66)</f>
        <v>1</v>
      </c>
      <c r="AX66" s="331">
        <f>IF('Input Data Sheet'!$P66=0,0,'Input Data Sheet'!AO66/'Input Data Sheet'!$P66)</f>
        <v>0</v>
      </c>
      <c r="AY66" s="331">
        <f>IF('Input Data Sheet'!$P66=0,0,'Input Data Sheet'!AP66/'Input Data Sheet'!$P66)</f>
        <v>0</v>
      </c>
      <c r="AZ66" s="331">
        <f>IF('Input Data Sheet'!$P66=0,0,'Input Data Sheet'!AQ66/'Input Data Sheet'!$P66)</f>
        <v>0</v>
      </c>
      <c r="BA66" s="331">
        <f>IF('Input Data Sheet'!$P66=0,0,'Input Data Sheet'!AR66/'Input Data Sheet'!$P66)</f>
        <v>0</v>
      </c>
      <c r="BB66" s="331">
        <f>IF('Input Data Sheet'!$P66=0,0,'Input Data Sheet'!AS66/'Input Data Sheet'!$P66)</f>
        <v>0</v>
      </c>
      <c r="BC66" s="331">
        <f>IF('Input Data Sheet'!$P66=0,0,'Input Data Sheet'!AT66/'Input Data Sheet'!$P66)</f>
        <v>0</v>
      </c>
      <c r="BD66" s="331">
        <f>IF('Input Data Sheet'!$P66=0,0,'Input Data Sheet'!AU66/'Input Data Sheet'!$P66)</f>
        <v>0</v>
      </c>
      <c r="BE66" s="331">
        <f>IF('Input Data Sheet'!$P66=0,0,'Input Data Sheet'!AV66/'Input Data Sheet'!$P66)</f>
        <v>0</v>
      </c>
      <c r="BF66" s="332">
        <f>IF('Input Data Sheet'!$P66=0,0,'Input Data Sheet'!AW66/'Input Data Sheet'!$P66)</f>
        <v>0</v>
      </c>
      <c r="BG66" s="328">
        <f t="shared" si="11"/>
        <v>1</v>
      </c>
    </row>
    <row r="67" spans="1:59" x14ac:dyDescent="0.3">
      <c r="A67" s="409" t="str">
        <f>'Input Data Sheet'!B67</f>
        <v>ND1228</v>
      </c>
      <c r="B67" s="314" t="str">
        <f>'Input Data Sheet'!C67</f>
        <v>Telecommunications ethernet system program</v>
      </c>
      <c r="C67" s="314" t="str">
        <f>'Input Data Sheet'!D67</f>
        <v>Asset Renewal</v>
      </c>
      <c r="D67" s="333" t="str">
        <f>'Input Data Sheet'!E67</f>
        <v>2018/19</v>
      </c>
      <c r="E67" s="333">
        <f>'Input Data Sheet'!F67</f>
        <v>13</v>
      </c>
      <c r="F67" s="315"/>
      <c r="G67" s="315"/>
      <c r="H67" s="316">
        <f>'Input Data Sheet'!J67</f>
        <v>1</v>
      </c>
      <c r="I67" s="316"/>
      <c r="J67" s="316">
        <f>'Input Data Sheet'!K67</f>
        <v>0</v>
      </c>
      <c r="K67" s="496"/>
      <c r="L67" s="496"/>
      <c r="M67" s="496"/>
      <c r="N67" s="316"/>
      <c r="O67" s="287">
        <f t="shared" si="9"/>
        <v>3510856</v>
      </c>
      <c r="P67" s="320">
        <f>'Input Data Sheet'!Q67</f>
        <v>0</v>
      </c>
      <c r="Q67" s="287">
        <f>'Input Data Sheet'!R67</f>
        <v>0</v>
      </c>
      <c r="R67" s="341">
        <f>'Input Data Sheet'!S67</f>
        <v>1672483</v>
      </c>
      <c r="S67" s="341">
        <f>'Input Data Sheet'!T67</f>
        <v>473609</v>
      </c>
      <c r="T67" s="341">
        <f>'Input Data Sheet'!U67</f>
        <v>249532</v>
      </c>
      <c r="U67" s="341">
        <f>'Input Data Sheet'!V67</f>
        <v>340492</v>
      </c>
      <c r="V67" s="341">
        <f>'Input Data Sheet'!W67</f>
        <v>774740</v>
      </c>
      <c r="W67" s="287">
        <f>'Input Data Sheet'!X67</f>
        <v>0</v>
      </c>
      <c r="X67" s="321">
        <f>'Input Data Sheet'!Y67</f>
        <v>0</v>
      </c>
      <c r="Y67" s="287">
        <f t="shared" si="10"/>
        <v>0</v>
      </c>
      <c r="Z67" s="287">
        <f t="shared" si="1"/>
        <v>0</v>
      </c>
      <c r="AA67" s="341">
        <f t="shared" si="2"/>
        <v>1672483</v>
      </c>
      <c r="AB67" s="341">
        <f t="shared" si="3"/>
        <v>473609</v>
      </c>
      <c r="AC67" s="341">
        <f t="shared" si="4"/>
        <v>249532</v>
      </c>
      <c r="AD67" s="341">
        <f t="shared" si="5"/>
        <v>340492</v>
      </c>
      <c r="AE67" s="341">
        <f t="shared" si="6"/>
        <v>774740</v>
      </c>
      <c r="AF67" s="287">
        <f t="shared" si="7"/>
        <v>0</v>
      </c>
      <c r="AG67" s="287">
        <f t="shared" si="8"/>
        <v>0</v>
      </c>
      <c r="AH67" s="322">
        <f>IF($H67,0,IFERROR(IF(VALUE(LEFT(D67,4))&gt;VALUE(LEFT(Parameters!$B$66,4))+1,O67-SUM(R67:X67),0),0))</f>
        <v>0</v>
      </c>
      <c r="AI67" s="330">
        <f>IF('Input Data Sheet'!$P67=0,0,'Input Data Sheet'!Z67/'Input Data Sheet'!$P67)</f>
        <v>0</v>
      </c>
      <c r="AJ67" s="331">
        <f>IF('Input Data Sheet'!$P67=0,0,'Input Data Sheet'!AA67/'Input Data Sheet'!$P67)</f>
        <v>0</v>
      </c>
      <c r="AK67" s="331">
        <f>IF('Input Data Sheet'!$P67=0,0,'Input Data Sheet'!AB67/'Input Data Sheet'!$P67)</f>
        <v>0</v>
      </c>
      <c r="AL67" s="331">
        <f>IF('Input Data Sheet'!$P67=0,0,'Input Data Sheet'!AC67/'Input Data Sheet'!$P67)</f>
        <v>0</v>
      </c>
      <c r="AM67" s="331">
        <f>IF('Input Data Sheet'!$P67=0,0,'Input Data Sheet'!AD67/'Input Data Sheet'!$P67)</f>
        <v>0</v>
      </c>
      <c r="AN67" s="331">
        <f>IF('Input Data Sheet'!$P67=0,0,'Input Data Sheet'!AE67/'Input Data Sheet'!$P67)</f>
        <v>0</v>
      </c>
      <c r="AO67" s="331">
        <f>IF('Input Data Sheet'!$P67=0,0,'Input Data Sheet'!AF67/'Input Data Sheet'!$P67)</f>
        <v>0</v>
      </c>
      <c r="AP67" s="331">
        <f>IF('Input Data Sheet'!$P67=0,0,'Input Data Sheet'!AG67/'Input Data Sheet'!$P67)</f>
        <v>0</v>
      </c>
      <c r="AQ67" s="331">
        <f>IF('Input Data Sheet'!$P67=0,0,'Input Data Sheet'!AH67/'Input Data Sheet'!$P67)</f>
        <v>0</v>
      </c>
      <c r="AR67" s="331">
        <f>IF('Input Data Sheet'!$P67=0,0,'Input Data Sheet'!AI67/'Input Data Sheet'!$P67)</f>
        <v>0</v>
      </c>
      <c r="AS67" s="331">
        <f>IF('Input Data Sheet'!$P67=0,0,'Input Data Sheet'!AJ67/'Input Data Sheet'!$P67)</f>
        <v>0</v>
      </c>
      <c r="AT67" s="331">
        <f>IF('Input Data Sheet'!$P67=0,0,'Input Data Sheet'!AK67/'Input Data Sheet'!$P67)</f>
        <v>0</v>
      </c>
      <c r="AU67" s="331">
        <f>IF('Input Data Sheet'!$P67=0,0,'Input Data Sheet'!AL67/'Input Data Sheet'!$P67)</f>
        <v>0</v>
      </c>
      <c r="AV67" s="331">
        <f>IF('Input Data Sheet'!$P67=0,0,'Input Data Sheet'!AM67/'Input Data Sheet'!$P67)</f>
        <v>0</v>
      </c>
      <c r="AW67" s="331">
        <f>IF('Input Data Sheet'!$P67=0,0,'Input Data Sheet'!AN67/'Input Data Sheet'!$P67)</f>
        <v>4.8176611211007692E-2</v>
      </c>
      <c r="AX67" s="331">
        <f>IF('Input Data Sheet'!$P67=0,0,'Input Data Sheet'!AO67/'Input Data Sheet'!$P67)</f>
        <v>0.95182424328218795</v>
      </c>
      <c r="AY67" s="331">
        <f>IF('Input Data Sheet'!$P67=0,0,'Input Data Sheet'!AP67/'Input Data Sheet'!$P67)</f>
        <v>0</v>
      </c>
      <c r="AZ67" s="331">
        <f>IF('Input Data Sheet'!$P67=0,0,'Input Data Sheet'!AQ67/'Input Data Sheet'!$P67)</f>
        <v>0</v>
      </c>
      <c r="BA67" s="331">
        <f>IF('Input Data Sheet'!$P67=0,0,'Input Data Sheet'!AR67/'Input Data Sheet'!$P67)</f>
        <v>0</v>
      </c>
      <c r="BB67" s="331">
        <f>IF('Input Data Sheet'!$P67=0,0,'Input Data Sheet'!AS67/'Input Data Sheet'!$P67)</f>
        <v>0</v>
      </c>
      <c r="BC67" s="331">
        <f>IF('Input Data Sheet'!$P67=0,0,'Input Data Sheet'!AT67/'Input Data Sheet'!$P67)</f>
        <v>0</v>
      </c>
      <c r="BD67" s="331">
        <f>IF('Input Data Sheet'!$P67=0,0,'Input Data Sheet'!AU67/'Input Data Sheet'!$P67)</f>
        <v>0</v>
      </c>
      <c r="BE67" s="331">
        <f>IF('Input Data Sheet'!$P67=0,0,'Input Data Sheet'!AV67/'Input Data Sheet'!$P67)</f>
        <v>0</v>
      </c>
      <c r="BF67" s="332">
        <f>IF('Input Data Sheet'!$P67=0,0,'Input Data Sheet'!AW67/'Input Data Sheet'!$P67)</f>
        <v>0</v>
      </c>
      <c r="BG67" s="328">
        <f t="shared" si="11"/>
        <v>1.0000008544931958</v>
      </c>
    </row>
    <row r="68" spans="1:59" x14ac:dyDescent="0.3">
      <c r="A68" s="409" t="str">
        <f>'Input Data Sheet'!B68</f>
        <v>ND1229</v>
      </c>
      <c r="B68" s="314" t="str">
        <f>'Input Data Sheet'!C68</f>
        <v>Telecommunications multiplexer system program</v>
      </c>
      <c r="C68" s="314" t="str">
        <f>'Input Data Sheet'!D68</f>
        <v>Asset Renewal</v>
      </c>
      <c r="D68" s="333" t="str">
        <f>'Input Data Sheet'!E68</f>
        <v>2018/19</v>
      </c>
      <c r="E68" s="333">
        <f>'Input Data Sheet'!F68</f>
        <v>13</v>
      </c>
      <c r="F68" s="315"/>
      <c r="G68" s="315"/>
      <c r="H68" s="316">
        <f>'Input Data Sheet'!J68</f>
        <v>1</v>
      </c>
      <c r="I68" s="316"/>
      <c r="J68" s="316">
        <f>'Input Data Sheet'!K68</f>
        <v>0</v>
      </c>
      <c r="K68" s="496"/>
      <c r="L68" s="496"/>
      <c r="M68" s="496"/>
      <c r="N68" s="316"/>
      <c r="O68" s="287">
        <f t="shared" si="9"/>
        <v>5930144</v>
      </c>
      <c r="P68" s="320">
        <f>'Input Data Sheet'!Q68</f>
        <v>0</v>
      </c>
      <c r="Q68" s="287">
        <f>'Input Data Sheet'!R68</f>
        <v>0</v>
      </c>
      <c r="R68" s="341">
        <f>'Input Data Sheet'!S68</f>
        <v>0</v>
      </c>
      <c r="S68" s="341">
        <f>'Input Data Sheet'!T68</f>
        <v>98514</v>
      </c>
      <c r="T68" s="341">
        <f>'Input Data Sheet'!U68</f>
        <v>2088202</v>
      </c>
      <c r="U68" s="341">
        <f>'Input Data Sheet'!V68</f>
        <v>2982304</v>
      </c>
      <c r="V68" s="341">
        <f>'Input Data Sheet'!W68</f>
        <v>761124</v>
      </c>
      <c r="W68" s="287">
        <f>'Input Data Sheet'!X68</f>
        <v>0</v>
      </c>
      <c r="X68" s="321">
        <f>'Input Data Sheet'!Y68</f>
        <v>0</v>
      </c>
      <c r="Y68" s="287">
        <f t="shared" si="10"/>
        <v>0</v>
      </c>
      <c r="Z68" s="287">
        <f t="shared" ref="Z68:Z100" si="12">IF($H68,Q68,IF(Z$3=$D68,$O68,0))</f>
        <v>0</v>
      </c>
      <c r="AA68" s="341">
        <f t="shared" ref="AA68:AA100" si="13">IF($H68,R68,IF(AA$3=$D68,$O68,0))</f>
        <v>0</v>
      </c>
      <c r="AB68" s="341">
        <f t="shared" ref="AB68:AB100" si="14">IF($H68,S68,IF(AB$3=$D68,$O68,0))</f>
        <v>98514</v>
      </c>
      <c r="AC68" s="341">
        <f t="shared" ref="AC68:AC100" si="15">IF($H68,T68,IF(AC$3=$D68,$O68,0))</f>
        <v>2088202</v>
      </c>
      <c r="AD68" s="341">
        <f t="shared" ref="AD68:AD100" si="16">IF($H68,U68,IF(AD$3=$D68,$O68,0))</f>
        <v>2982304</v>
      </c>
      <c r="AE68" s="341">
        <f t="shared" ref="AE68:AE100" si="17">IF($H68,V68,IF(AE$3=$D68,$O68,0))</f>
        <v>761124</v>
      </c>
      <c r="AF68" s="287">
        <f t="shared" ref="AF68:AF100" si="18">IF($H68,W68,IF(AF$3=$D68,$O68,0))</f>
        <v>0</v>
      </c>
      <c r="AG68" s="287">
        <f t="shared" ref="AG68:AG100" si="19">IF($H68,X68,IF(AG$3=$D68,$O68,0))</f>
        <v>0</v>
      </c>
      <c r="AH68" s="322">
        <f>IF($H68,0,IFERROR(IF(VALUE(LEFT(D68,4))&gt;VALUE(LEFT(Parameters!$B$66,4))+1,O68-SUM(R68:X68),0),0))</f>
        <v>0</v>
      </c>
      <c r="AI68" s="330">
        <f>IF('Input Data Sheet'!$P68=0,0,'Input Data Sheet'!Z68/'Input Data Sheet'!$P68)</f>
        <v>0</v>
      </c>
      <c r="AJ68" s="331">
        <f>IF('Input Data Sheet'!$P68=0,0,'Input Data Sheet'!AA68/'Input Data Sheet'!$P68)</f>
        <v>0</v>
      </c>
      <c r="AK68" s="331">
        <f>IF('Input Data Sheet'!$P68=0,0,'Input Data Sheet'!AB68/'Input Data Sheet'!$P68)</f>
        <v>0</v>
      </c>
      <c r="AL68" s="331">
        <f>IF('Input Data Sheet'!$P68=0,0,'Input Data Sheet'!AC68/'Input Data Sheet'!$P68)</f>
        <v>0</v>
      </c>
      <c r="AM68" s="331">
        <f>IF('Input Data Sheet'!$P68=0,0,'Input Data Sheet'!AD68/'Input Data Sheet'!$P68)</f>
        <v>0</v>
      </c>
      <c r="AN68" s="331">
        <f>IF('Input Data Sheet'!$P68=0,0,'Input Data Sheet'!AE68/'Input Data Sheet'!$P68)</f>
        <v>0</v>
      </c>
      <c r="AO68" s="331">
        <f>IF('Input Data Sheet'!$P68=0,0,'Input Data Sheet'!AF68/'Input Data Sheet'!$P68)</f>
        <v>0</v>
      </c>
      <c r="AP68" s="331">
        <f>IF('Input Data Sheet'!$P68=0,0,'Input Data Sheet'!AG68/'Input Data Sheet'!$P68)</f>
        <v>0</v>
      </c>
      <c r="AQ68" s="331">
        <f>IF('Input Data Sheet'!$P68=0,0,'Input Data Sheet'!AH68/'Input Data Sheet'!$P68)</f>
        <v>0</v>
      </c>
      <c r="AR68" s="331">
        <f>IF('Input Data Sheet'!$P68=0,0,'Input Data Sheet'!AI68/'Input Data Sheet'!$P68)</f>
        <v>0</v>
      </c>
      <c r="AS68" s="331">
        <f>IF('Input Data Sheet'!$P68=0,0,'Input Data Sheet'!AJ68/'Input Data Sheet'!$P68)</f>
        <v>0</v>
      </c>
      <c r="AT68" s="331">
        <f>IF('Input Data Sheet'!$P68=0,0,'Input Data Sheet'!AK68/'Input Data Sheet'!$P68)</f>
        <v>0</v>
      </c>
      <c r="AU68" s="331">
        <f>IF('Input Data Sheet'!$P68=0,0,'Input Data Sheet'!AL68/'Input Data Sheet'!$P68)</f>
        <v>0</v>
      </c>
      <c r="AV68" s="331">
        <f>IF('Input Data Sheet'!$P68=0,0,'Input Data Sheet'!AM68/'Input Data Sheet'!$P68)</f>
        <v>0</v>
      </c>
      <c r="AW68" s="331">
        <f>IF('Input Data Sheet'!$P68=0,0,'Input Data Sheet'!AN68/'Input Data Sheet'!$P68)</f>
        <v>1</v>
      </c>
      <c r="AX68" s="331">
        <f>IF('Input Data Sheet'!$P68=0,0,'Input Data Sheet'!AO68/'Input Data Sheet'!$P68)</f>
        <v>0</v>
      </c>
      <c r="AY68" s="331">
        <f>IF('Input Data Sheet'!$P68=0,0,'Input Data Sheet'!AP68/'Input Data Sheet'!$P68)</f>
        <v>0</v>
      </c>
      <c r="AZ68" s="331">
        <f>IF('Input Data Sheet'!$P68=0,0,'Input Data Sheet'!AQ68/'Input Data Sheet'!$P68)</f>
        <v>0</v>
      </c>
      <c r="BA68" s="331">
        <f>IF('Input Data Sheet'!$P68=0,0,'Input Data Sheet'!AR68/'Input Data Sheet'!$P68)</f>
        <v>0</v>
      </c>
      <c r="BB68" s="331">
        <f>IF('Input Data Sheet'!$P68=0,0,'Input Data Sheet'!AS68/'Input Data Sheet'!$P68)</f>
        <v>0</v>
      </c>
      <c r="BC68" s="331">
        <f>IF('Input Data Sheet'!$P68=0,0,'Input Data Sheet'!AT68/'Input Data Sheet'!$P68)</f>
        <v>0</v>
      </c>
      <c r="BD68" s="331">
        <f>IF('Input Data Sheet'!$P68=0,0,'Input Data Sheet'!AU68/'Input Data Sheet'!$P68)</f>
        <v>0</v>
      </c>
      <c r="BE68" s="331">
        <f>IF('Input Data Sheet'!$P68=0,0,'Input Data Sheet'!AV68/'Input Data Sheet'!$P68)</f>
        <v>0</v>
      </c>
      <c r="BF68" s="332">
        <f>IF('Input Data Sheet'!$P68=0,0,'Input Data Sheet'!AW68/'Input Data Sheet'!$P68)</f>
        <v>0</v>
      </c>
      <c r="BG68" s="328">
        <f t="shared" si="11"/>
        <v>1</v>
      </c>
    </row>
    <row r="69" spans="1:59" x14ac:dyDescent="0.3">
      <c r="A69" s="409" t="str">
        <f>'Input Data Sheet'!B69</f>
        <v>ND1234</v>
      </c>
      <c r="B69" s="314" t="str">
        <f>'Input Data Sheet'!C69</f>
        <v>Telecommunications Network Operation and Control System enhancement program</v>
      </c>
      <c r="C69" s="314" t="str">
        <f>'Input Data Sheet'!D69</f>
        <v>Operational Support Systems</v>
      </c>
      <c r="D69" s="333" t="str">
        <f>'Input Data Sheet'!E69</f>
        <v>2018/19</v>
      </c>
      <c r="E69" s="333">
        <f>'Input Data Sheet'!F69</f>
        <v>18</v>
      </c>
      <c r="F69" s="315"/>
      <c r="G69" s="315"/>
      <c r="H69" s="316">
        <f>'Input Data Sheet'!J69</f>
        <v>1</v>
      </c>
      <c r="I69" s="316"/>
      <c r="J69" s="316">
        <f>'Input Data Sheet'!K69</f>
        <v>0</v>
      </c>
      <c r="K69" s="496"/>
      <c r="L69" s="496"/>
      <c r="M69" s="496"/>
      <c r="N69" s="316"/>
      <c r="O69" s="287">
        <f t="shared" ref="O69:O100" si="20">SUM(P69:X69)</f>
        <v>1200000</v>
      </c>
      <c r="P69" s="320">
        <f>'Input Data Sheet'!Q69</f>
        <v>0</v>
      </c>
      <c r="Q69" s="287">
        <f>'Input Data Sheet'!R69</f>
        <v>0</v>
      </c>
      <c r="R69" s="341">
        <f>'Input Data Sheet'!S69</f>
        <v>0</v>
      </c>
      <c r="S69" s="341">
        <f>'Input Data Sheet'!T69</f>
        <v>600000</v>
      </c>
      <c r="T69" s="341">
        <f>'Input Data Sheet'!U69</f>
        <v>0</v>
      </c>
      <c r="U69" s="341">
        <f>'Input Data Sheet'!V69</f>
        <v>0</v>
      </c>
      <c r="V69" s="341">
        <f>'Input Data Sheet'!W69</f>
        <v>600000</v>
      </c>
      <c r="W69" s="287">
        <f>'Input Data Sheet'!X69</f>
        <v>0</v>
      </c>
      <c r="X69" s="321">
        <f>'Input Data Sheet'!Y69</f>
        <v>0</v>
      </c>
      <c r="Y69" s="287">
        <f t="shared" ref="Y69:Y100" si="21">IF($H69,P69,IF(Y$3=$D69,$O69,0))</f>
        <v>0</v>
      </c>
      <c r="Z69" s="287">
        <f t="shared" si="12"/>
        <v>0</v>
      </c>
      <c r="AA69" s="341">
        <f t="shared" si="13"/>
        <v>0</v>
      </c>
      <c r="AB69" s="341">
        <f t="shared" si="14"/>
        <v>600000</v>
      </c>
      <c r="AC69" s="341">
        <f t="shared" si="15"/>
        <v>0</v>
      </c>
      <c r="AD69" s="341">
        <f t="shared" si="16"/>
        <v>0</v>
      </c>
      <c r="AE69" s="341">
        <f t="shared" si="17"/>
        <v>600000</v>
      </c>
      <c r="AF69" s="287">
        <f t="shared" si="18"/>
        <v>0</v>
      </c>
      <c r="AG69" s="287">
        <f t="shared" si="19"/>
        <v>0</v>
      </c>
      <c r="AH69" s="322">
        <f>IF($H69,0,IFERROR(IF(VALUE(LEFT(D69,4))&gt;VALUE(LEFT(Parameters!$B$66,4))+1,O69-SUM(R69:X69),0),0))</f>
        <v>0</v>
      </c>
      <c r="AI69" s="330">
        <f>IF('Input Data Sheet'!$P69=0,0,'Input Data Sheet'!Z69/'Input Data Sheet'!$P69)</f>
        <v>0</v>
      </c>
      <c r="AJ69" s="331">
        <f>IF('Input Data Sheet'!$P69=0,0,'Input Data Sheet'!AA69/'Input Data Sheet'!$P69)</f>
        <v>0</v>
      </c>
      <c r="AK69" s="331">
        <f>IF('Input Data Sheet'!$P69=0,0,'Input Data Sheet'!AB69/'Input Data Sheet'!$P69)</f>
        <v>0</v>
      </c>
      <c r="AL69" s="331">
        <f>IF('Input Data Sheet'!$P69=0,0,'Input Data Sheet'!AC69/'Input Data Sheet'!$P69)</f>
        <v>0</v>
      </c>
      <c r="AM69" s="331">
        <f>IF('Input Data Sheet'!$P69=0,0,'Input Data Sheet'!AD69/'Input Data Sheet'!$P69)</f>
        <v>0</v>
      </c>
      <c r="AN69" s="331">
        <f>IF('Input Data Sheet'!$P69=0,0,'Input Data Sheet'!AE69/'Input Data Sheet'!$P69)</f>
        <v>0</v>
      </c>
      <c r="AO69" s="331">
        <f>IF('Input Data Sheet'!$P69=0,0,'Input Data Sheet'!AF69/'Input Data Sheet'!$P69)</f>
        <v>0</v>
      </c>
      <c r="AP69" s="331">
        <f>IF('Input Data Sheet'!$P69=0,0,'Input Data Sheet'!AG69/'Input Data Sheet'!$P69)</f>
        <v>0</v>
      </c>
      <c r="AQ69" s="331">
        <f>IF('Input Data Sheet'!$P69=0,0,'Input Data Sheet'!AH69/'Input Data Sheet'!$P69)</f>
        <v>0</v>
      </c>
      <c r="AR69" s="331">
        <f>IF('Input Data Sheet'!$P69=0,0,'Input Data Sheet'!AI69/'Input Data Sheet'!$P69)</f>
        <v>1</v>
      </c>
      <c r="AS69" s="331">
        <f>IF('Input Data Sheet'!$P69=0,0,'Input Data Sheet'!AJ69/'Input Data Sheet'!$P69)</f>
        <v>0</v>
      </c>
      <c r="AT69" s="331">
        <f>IF('Input Data Sheet'!$P69=0,0,'Input Data Sheet'!AK69/'Input Data Sheet'!$P69)</f>
        <v>0</v>
      </c>
      <c r="AU69" s="331">
        <f>IF('Input Data Sheet'!$P69=0,0,'Input Data Sheet'!AL69/'Input Data Sheet'!$P69)</f>
        <v>0</v>
      </c>
      <c r="AV69" s="331">
        <f>IF('Input Data Sheet'!$P69=0,0,'Input Data Sheet'!AM69/'Input Data Sheet'!$P69)</f>
        <v>0</v>
      </c>
      <c r="AW69" s="331">
        <f>IF('Input Data Sheet'!$P69=0,0,'Input Data Sheet'!AN69/'Input Data Sheet'!$P69)</f>
        <v>0</v>
      </c>
      <c r="AX69" s="331">
        <f>IF('Input Data Sheet'!$P69=0,0,'Input Data Sheet'!AO69/'Input Data Sheet'!$P69)</f>
        <v>0</v>
      </c>
      <c r="AY69" s="331">
        <f>IF('Input Data Sheet'!$P69=0,0,'Input Data Sheet'!AP69/'Input Data Sheet'!$P69)</f>
        <v>0</v>
      </c>
      <c r="AZ69" s="331">
        <f>IF('Input Data Sheet'!$P69=0,0,'Input Data Sheet'!AQ69/'Input Data Sheet'!$P69)</f>
        <v>0</v>
      </c>
      <c r="BA69" s="331">
        <f>IF('Input Data Sheet'!$P69=0,0,'Input Data Sheet'!AR69/'Input Data Sheet'!$P69)</f>
        <v>0</v>
      </c>
      <c r="BB69" s="331">
        <f>IF('Input Data Sheet'!$P69=0,0,'Input Data Sheet'!AS69/'Input Data Sheet'!$P69)</f>
        <v>0</v>
      </c>
      <c r="BC69" s="331">
        <f>IF('Input Data Sheet'!$P69=0,0,'Input Data Sheet'!AT69/'Input Data Sheet'!$P69)</f>
        <v>0</v>
      </c>
      <c r="BD69" s="331">
        <f>IF('Input Data Sheet'!$P69=0,0,'Input Data Sheet'!AU69/'Input Data Sheet'!$P69)</f>
        <v>0</v>
      </c>
      <c r="BE69" s="331">
        <f>IF('Input Data Sheet'!$P69=0,0,'Input Data Sheet'!AV69/'Input Data Sheet'!$P69)</f>
        <v>0</v>
      </c>
      <c r="BF69" s="332">
        <f>IF('Input Data Sheet'!$P69=0,0,'Input Data Sheet'!AW69/'Input Data Sheet'!$P69)</f>
        <v>0</v>
      </c>
      <c r="BG69" s="328">
        <f t="shared" ref="BG69:BG100" si="22">SUM(AI69:BF69)</f>
        <v>1</v>
      </c>
    </row>
    <row r="70" spans="1:59" x14ac:dyDescent="0.3">
      <c r="A70" s="409" t="str">
        <f>'Input Data Sheet'!B70</f>
        <v>ND1230</v>
      </c>
      <c r="B70" s="314" t="str">
        <f>'Input Data Sheet'!C70</f>
        <v>Telecommunications site infrastructure program</v>
      </c>
      <c r="C70" s="314" t="str">
        <f>'Input Data Sheet'!D70</f>
        <v>Asset Renewal</v>
      </c>
      <c r="D70" s="333" t="str">
        <f>'Input Data Sheet'!E70</f>
        <v>2018/19</v>
      </c>
      <c r="E70" s="333">
        <f>'Input Data Sheet'!F70</f>
        <v>13</v>
      </c>
      <c r="F70" s="315"/>
      <c r="G70" s="315"/>
      <c r="H70" s="316">
        <f>'Input Data Sheet'!J70</f>
        <v>1</v>
      </c>
      <c r="I70" s="316"/>
      <c r="J70" s="316">
        <f>'Input Data Sheet'!K70</f>
        <v>0</v>
      </c>
      <c r="K70" s="496"/>
      <c r="L70" s="496"/>
      <c r="M70" s="496"/>
      <c r="N70" s="316"/>
      <c r="O70" s="287">
        <f t="shared" si="20"/>
        <v>1730622</v>
      </c>
      <c r="P70" s="320">
        <f>'Input Data Sheet'!Q70</f>
        <v>0</v>
      </c>
      <c r="Q70" s="287">
        <f>'Input Data Sheet'!R70</f>
        <v>0</v>
      </c>
      <c r="R70" s="341">
        <f>'Input Data Sheet'!S70</f>
        <v>450637</v>
      </c>
      <c r="S70" s="341">
        <f>'Input Data Sheet'!T70</f>
        <v>128826</v>
      </c>
      <c r="T70" s="341">
        <f>'Input Data Sheet'!U70</f>
        <v>681877</v>
      </c>
      <c r="U70" s="341">
        <f>'Input Data Sheet'!V70</f>
        <v>281049</v>
      </c>
      <c r="V70" s="341">
        <f>'Input Data Sheet'!W70</f>
        <v>188233</v>
      </c>
      <c r="W70" s="287">
        <f>'Input Data Sheet'!X70</f>
        <v>0</v>
      </c>
      <c r="X70" s="321">
        <f>'Input Data Sheet'!Y70</f>
        <v>0</v>
      </c>
      <c r="Y70" s="287">
        <f t="shared" si="21"/>
        <v>0</v>
      </c>
      <c r="Z70" s="287">
        <f t="shared" si="12"/>
        <v>0</v>
      </c>
      <c r="AA70" s="341">
        <f t="shared" si="13"/>
        <v>450637</v>
      </c>
      <c r="AB70" s="341">
        <f t="shared" si="14"/>
        <v>128826</v>
      </c>
      <c r="AC70" s="341">
        <f t="shared" si="15"/>
        <v>681877</v>
      </c>
      <c r="AD70" s="341">
        <f t="shared" si="16"/>
        <v>281049</v>
      </c>
      <c r="AE70" s="341">
        <f t="shared" si="17"/>
        <v>188233</v>
      </c>
      <c r="AF70" s="287">
        <f t="shared" si="18"/>
        <v>0</v>
      </c>
      <c r="AG70" s="287">
        <f t="shared" si="19"/>
        <v>0</v>
      </c>
      <c r="AH70" s="322">
        <f>IF($H70,0,IFERROR(IF(VALUE(LEFT(D70,4))&gt;VALUE(LEFT(Parameters!$B$66,4))+1,O70-SUM(R70:X70),0),0))</f>
        <v>0</v>
      </c>
      <c r="AI70" s="330">
        <f>IF('Input Data Sheet'!$P70=0,0,'Input Data Sheet'!Z70/'Input Data Sheet'!$P70)</f>
        <v>0</v>
      </c>
      <c r="AJ70" s="331">
        <f>IF('Input Data Sheet'!$P70=0,0,'Input Data Sheet'!AA70/'Input Data Sheet'!$P70)</f>
        <v>0</v>
      </c>
      <c r="AK70" s="331">
        <f>IF('Input Data Sheet'!$P70=0,0,'Input Data Sheet'!AB70/'Input Data Sheet'!$P70)</f>
        <v>0</v>
      </c>
      <c r="AL70" s="331">
        <f>IF('Input Data Sheet'!$P70=0,0,'Input Data Sheet'!AC70/'Input Data Sheet'!$P70)</f>
        <v>0</v>
      </c>
      <c r="AM70" s="331">
        <f>IF('Input Data Sheet'!$P70=0,0,'Input Data Sheet'!AD70/'Input Data Sheet'!$P70)</f>
        <v>0</v>
      </c>
      <c r="AN70" s="331">
        <f>IF('Input Data Sheet'!$P70=0,0,'Input Data Sheet'!AE70/'Input Data Sheet'!$P70)</f>
        <v>0</v>
      </c>
      <c r="AO70" s="331">
        <f>IF('Input Data Sheet'!$P70=0,0,'Input Data Sheet'!AF70/'Input Data Sheet'!$P70)</f>
        <v>0</v>
      </c>
      <c r="AP70" s="331">
        <f>IF('Input Data Sheet'!$P70=0,0,'Input Data Sheet'!AG70/'Input Data Sheet'!$P70)</f>
        <v>0</v>
      </c>
      <c r="AQ70" s="331">
        <f>IF('Input Data Sheet'!$P70=0,0,'Input Data Sheet'!AH70/'Input Data Sheet'!$P70)</f>
        <v>0</v>
      </c>
      <c r="AR70" s="331">
        <f>IF('Input Data Sheet'!$P70=0,0,'Input Data Sheet'!AI70/'Input Data Sheet'!$P70)</f>
        <v>0</v>
      </c>
      <c r="AS70" s="331">
        <f>IF('Input Data Sheet'!$P70=0,0,'Input Data Sheet'!AJ70/'Input Data Sheet'!$P70)</f>
        <v>0</v>
      </c>
      <c r="AT70" s="331">
        <f>IF('Input Data Sheet'!$P70=0,0,'Input Data Sheet'!AK70/'Input Data Sheet'!$P70)</f>
        <v>0</v>
      </c>
      <c r="AU70" s="331">
        <f>IF('Input Data Sheet'!$P70=0,0,'Input Data Sheet'!AL70/'Input Data Sheet'!$P70)</f>
        <v>0</v>
      </c>
      <c r="AV70" s="331">
        <f>IF('Input Data Sheet'!$P70=0,0,'Input Data Sheet'!AM70/'Input Data Sheet'!$P70)</f>
        <v>0.23397354594270386</v>
      </c>
      <c r="AW70" s="331">
        <f>IF('Input Data Sheet'!$P70=0,0,'Input Data Sheet'!AN70/'Input Data Sheet'!$P70)</f>
        <v>0.76602645405729608</v>
      </c>
      <c r="AX70" s="331">
        <f>IF('Input Data Sheet'!$P70=0,0,'Input Data Sheet'!AO70/'Input Data Sheet'!$P70)</f>
        <v>0</v>
      </c>
      <c r="AY70" s="331">
        <f>IF('Input Data Sheet'!$P70=0,0,'Input Data Sheet'!AP70/'Input Data Sheet'!$P70)</f>
        <v>0</v>
      </c>
      <c r="AZ70" s="331">
        <f>IF('Input Data Sheet'!$P70=0,0,'Input Data Sheet'!AQ70/'Input Data Sheet'!$P70)</f>
        <v>0</v>
      </c>
      <c r="BA70" s="331">
        <f>IF('Input Data Sheet'!$P70=0,0,'Input Data Sheet'!AR70/'Input Data Sheet'!$P70)</f>
        <v>0</v>
      </c>
      <c r="BB70" s="331">
        <f>IF('Input Data Sheet'!$P70=0,0,'Input Data Sheet'!AS70/'Input Data Sheet'!$P70)</f>
        <v>0</v>
      </c>
      <c r="BC70" s="331">
        <f>IF('Input Data Sheet'!$P70=0,0,'Input Data Sheet'!AT70/'Input Data Sheet'!$P70)</f>
        <v>0</v>
      </c>
      <c r="BD70" s="331">
        <f>IF('Input Data Sheet'!$P70=0,0,'Input Data Sheet'!AU70/'Input Data Sheet'!$P70)</f>
        <v>0</v>
      </c>
      <c r="BE70" s="331">
        <f>IF('Input Data Sheet'!$P70=0,0,'Input Data Sheet'!AV70/'Input Data Sheet'!$P70)</f>
        <v>0</v>
      </c>
      <c r="BF70" s="332">
        <f>IF('Input Data Sheet'!$P70=0,0,'Input Data Sheet'!AW70/'Input Data Sheet'!$P70)</f>
        <v>0</v>
      </c>
      <c r="BG70" s="328">
        <f t="shared" si="22"/>
        <v>1</v>
      </c>
    </row>
    <row r="71" spans="1:59" x14ac:dyDescent="0.3">
      <c r="A71" s="409" t="str">
        <f>'Input Data Sheet'!B71</f>
        <v>ND1231</v>
      </c>
      <c r="B71" s="314" t="str">
        <f>'Input Data Sheet'!C71</f>
        <v>Telecommunications telephone system program</v>
      </c>
      <c r="C71" s="314" t="str">
        <f>'Input Data Sheet'!D71</f>
        <v>Asset Renewal</v>
      </c>
      <c r="D71" s="333" t="str">
        <f>'Input Data Sheet'!E71</f>
        <v>2017/18</v>
      </c>
      <c r="E71" s="333">
        <f>'Input Data Sheet'!F71</f>
        <v>13</v>
      </c>
      <c r="F71" s="315"/>
      <c r="G71" s="315"/>
      <c r="H71" s="316">
        <f>'Input Data Sheet'!J71</f>
        <v>1</v>
      </c>
      <c r="I71" s="316"/>
      <c r="J71" s="316">
        <f>'Input Data Sheet'!K71</f>
        <v>0</v>
      </c>
      <c r="K71" s="496"/>
      <c r="L71" s="496"/>
      <c r="M71" s="496"/>
      <c r="N71" s="316"/>
      <c r="O71" s="287">
        <f t="shared" si="20"/>
        <v>1527760</v>
      </c>
      <c r="P71" s="320">
        <f>'Input Data Sheet'!Q71</f>
        <v>0</v>
      </c>
      <c r="Q71" s="287">
        <f>'Input Data Sheet'!R71</f>
        <v>0</v>
      </c>
      <c r="R71" s="341">
        <f>'Input Data Sheet'!S71</f>
        <v>0</v>
      </c>
      <c r="S71" s="341">
        <f>'Input Data Sheet'!T71</f>
        <v>414116</v>
      </c>
      <c r="T71" s="341">
        <f>'Input Data Sheet'!U71</f>
        <v>399629</v>
      </c>
      <c r="U71" s="341">
        <f>'Input Data Sheet'!V71</f>
        <v>714015</v>
      </c>
      <c r="V71" s="341">
        <f>'Input Data Sheet'!W71</f>
        <v>0</v>
      </c>
      <c r="W71" s="287">
        <f>'Input Data Sheet'!X71</f>
        <v>0</v>
      </c>
      <c r="X71" s="321">
        <f>'Input Data Sheet'!Y71</f>
        <v>0</v>
      </c>
      <c r="Y71" s="287">
        <f t="shared" si="21"/>
        <v>0</v>
      </c>
      <c r="Z71" s="287">
        <f t="shared" si="12"/>
        <v>0</v>
      </c>
      <c r="AA71" s="341">
        <f t="shared" si="13"/>
        <v>0</v>
      </c>
      <c r="AB71" s="341">
        <f t="shared" si="14"/>
        <v>414116</v>
      </c>
      <c r="AC71" s="341">
        <f t="shared" si="15"/>
        <v>399629</v>
      </c>
      <c r="AD71" s="341">
        <f t="shared" si="16"/>
        <v>714015</v>
      </c>
      <c r="AE71" s="341">
        <f t="shared" si="17"/>
        <v>0</v>
      </c>
      <c r="AF71" s="287">
        <f t="shared" si="18"/>
        <v>0</v>
      </c>
      <c r="AG71" s="287">
        <f t="shared" si="19"/>
        <v>0</v>
      </c>
      <c r="AH71" s="322">
        <f>IF($H71,0,IFERROR(IF(VALUE(LEFT(D71,4))&gt;VALUE(LEFT(Parameters!$B$66,4))+1,O71-SUM(R71:X71),0),0))</f>
        <v>0</v>
      </c>
      <c r="AI71" s="330">
        <f>IF('Input Data Sheet'!$P71=0,0,'Input Data Sheet'!Z71/'Input Data Sheet'!$P71)</f>
        <v>0</v>
      </c>
      <c r="AJ71" s="331">
        <f>IF('Input Data Sheet'!$P71=0,0,'Input Data Sheet'!AA71/'Input Data Sheet'!$P71)</f>
        <v>0</v>
      </c>
      <c r="AK71" s="331">
        <f>IF('Input Data Sheet'!$P71=0,0,'Input Data Sheet'!AB71/'Input Data Sheet'!$P71)</f>
        <v>0</v>
      </c>
      <c r="AL71" s="331">
        <f>IF('Input Data Sheet'!$P71=0,0,'Input Data Sheet'!AC71/'Input Data Sheet'!$P71)</f>
        <v>0</v>
      </c>
      <c r="AM71" s="331">
        <f>IF('Input Data Sheet'!$P71=0,0,'Input Data Sheet'!AD71/'Input Data Sheet'!$P71)</f>
        <v>0</v>
      </c>
      <c r="AN71" s="331">
        <f>IF('Input Data Sheet'!$P71=0,0,'Input Data Sheet'!AE71/'Input Data Sheet'!$P71)</f>
        <v>0</v>
      </c>
      <c r="AO71" s="331">
        <f>IF('Input Data Sheet'!$P71=0,0,'Input Data Sheet'!AF71/'Input Data Sheet'!$P71)</f>
        <v>0</v>
      </c>
      <c r="AP71" s="331">
        <f>IF('Input Data Sheet'!$P71=0,0,'Input Data Sheet'!AG71/'Input Data Sheet'!$P71)</f>
        <v>0</v>
      </c>
      <c r="AQ71" s="331">
        <f>IF('Input Data Sheet'!$P71=0,0,'Input Data Sheet'!AH71/'Input Data Sheet'!$P71)</f>
        <v>0</v>
      </c>
      <c r="AR71" s="331">
        <f>IF('Input Data Sheet'!$P71=0,0,'Input Data Sheet'!AI71/'Input Data Sheet'!$P71)</f>
        <v>0</v>
      </c>
      <c r="AS71" s="331">
        <f>IF('Input Data Sheet'!$P71=0,0,'Input Data Sheet'!AJ71/'Input Data Sheet'!$P71)</f>
        <v>0</v>
      </c>
      <c r="AT71" s="331">
        <f>IF('Input Data Sheet'!$P71=0,0,'Input Data Sheet'!AK71/'Input Data Sheet'!$P71)</f>
        <v>0</v>
      </c>
      <c r="AU71" s="331">
        <f>IF('Input Data Sheet'!$P71=0,0,'Input Data Sheet'!AL71/'Input Data Sheet'!$P71)</f>
        <v>0</v>
      </c>
      <c r="AV71" s="331">
        <f>IF('Input Data Sheet'!$P71=0,0,'Input Data Sheet'!AM71/'Input Data Sheet'!$P71)</f>
        <v>0</v>
      </c>
      <c r="AW71" s="331">
        <f>IF('Input Data Sheet'!$P71=0,0,'Input Data Sheet'!AN71/'Input Data Sheet'!$P71)</f>
        <v>0.3916616484264544</v>
      </c>
      <c r="AX71" s="331">
        <f>IF('Input Data Sheet'!$P71=0,0,'Input Data Sheet'!AO71/'Input Data Sheet'!$P71)</f>
        <v>0.60833835157354554</v>
      </c>
      <c r="AY71" s="331">
        <f>IF('Input Data Sheet'!$P71=0,0,'Input Data Sheet'!AP71/'Input Data Sheet'!$P71)</f>
        <v>0</v>
      </c>
      <c r="AZ71" s="331">
        <f>IF('Input Data Sheet'!$P71=0,0,'Input Data Sheet'!AQ71/'Input Data Sheet'!$P71)</f>
        <v>0</v>
      </c>
      <c r="BA71" s="331">
        <f>IF('Input Data Sheet'!$P71=0,0,'Input Data Sheet'!AR71/'Input Data Sheet'!$P71)</f>
        <v>0</v>
      </c>
      <c r="BB71" s="331">
        <f>IF('Input Data Sheet'!$P71=0,0,'Input Data Sheet'!AS71/'Input Data Sheet'!$P71)</f>
        <v>0</v>
      </c>
      <c r="BC71" s="331">
        <f>IF('Input Data Sheet'!$P71=0,0,'Input Data Sheet'!AT71/'Input Data Sheet'!$P71)</f>
        <v>0</v>
      </c>
      <c r="BD71" s="331">
        <f>IF('Input Data Sheet'!$P71=0,0,'Input Data Sheet'!AU71/'Input Data Sheet'!$P71)</f>
        <v>0</v>
      </c>
      <c r="BE71" s="331">
        <f>IF('Input Data Sheet'!$P71=0,0,'Input Data Sheet'!AV71/'Input Data Sheet'!$P71)</f>
        <v>0</v>
      </c>
      <c r="BF71" s="332">
        <f>IF('Input Data Sheet'!$P71=0,0,'Input Data Sheet'!AW71/'Input Data Sheet'!$P71)</f>
        <v>0</v>
      </c>
      <c r="BG71" s="328">
        <f t="shared" si="22"/>
        <v>1</v>
      </c>
    </row>
    <row r="72" spans="1:59" x14ac:dyDescent="0.3">
      <c r="A72" s="409" t="str">
        <f>'Input Data Sheet'!B72</f>
        <v>ND1310</v>
      </c>
      <c r="B72" s="314" t="str">
        <f>'Input Data Sheet'!C72</f>
        <v>Test equipment</v>
      </c>
      <c r="C72" s="314" t="str">
        <f>'Input Data Sheet'!D72</f>
        <v>Inventory / Spares</v>
      </c>
      <c r="D72" s="333" t="str">
        <f>'Input Data Sheet'!E72</f>
        <v>2018/19</v>
      </c>
      <c r="E72" s="333">
        <f>'Input Data Sheet'!F72</f>
        <v>9</v>
      </c>
      <c r="F72" s="315"/>
      <c r="G72" s="315"/>
      <c r="H72" s="316">
        <f>'Input Data Sheet'!J72</f>
        <v>1</v>
      </c>
      <c r="I72" s="316"/>
      <c r="J72" s="316">
        <f>'Input Data Sheet'!K72</f>
        <v>0</v>
      </c>
      <c r="K72" s="496"/>
      <c r="L72" s="496"/>
      <c r="M72" s="496"/>
      <c r="N72" s="316"/>
      <c r="O72" s="287">
        <f t="shared" si="20"/>
        <v>811100</v>
      </c>
      <c r="P72" s="320">
        <f>'Input Data Sheet'!Q72</f>
        <v>0</v>
      </c>
      <c r="Q72" s="287">
        <f>'Input Data Sheet'!R72</f>
        <v>0</v>
      </c>
      <c r="R72" s="341">
        <f>'Input Data Sheet'!S72</f>
        <v>162220</v>
      </c>
      <c r="S72" s="341">
        <f>'Input Data Sheet'!T72</f>
        <v>162220</v>
      </c>
      <c r="T72" s="341">
        <f>'Input Data Sheet'!U72</f>
        <v>162220</v>
      </c>
      <c r="U72" s="341">
        <f>'Input Data Sheet'!V72</f>
        <v>162220</v>
      </c>
      <c r="V72" s="341">
        <f>'Input Data Sheet'!W72</f>
        <v>162220</v>
      </c>
      <c r="W72" s="287">
        <f>'Input Data Sheet'!X72</f>
        <v>0</v>
      </c>
      <c r="X72" s="321">
        <f>'Input Data Sheet'!Y72</f>
        <v>0</v>
      </c>
      <c r="Y72" s="287">
        <f t="shared" si="21"/>
        <v>0</v>
      </c>
      <c r="Z72" s="287">
        <f t="shared" si="12"/>
        <v>0</v>
      </c>
      <c r="AA72" s="341">
        <f t="shared" si="13"/>
        <v>162220</v>
      </c>
      <c r="AB72" s="341">
        <f t="shared" si="14"/>
        <v>162220</v>
      </c>
      <c r="AC72" s="341">
        <f t="shared" si="15"/>
        <v>162220</v>
      </c>
      <c r="AD72" s="341">
        <f t="shared" si="16"/>
        <v>162220</v>
      </c>
      <c r="AE72" s="341">
        <f t="shared" si="17"/>
        <v>162220</v>
      </c>
      <c r="AF72" s="287">
        <f t="shared" si="18"/>
        <v>0</v>
      </c>
      <c r="AG72" s="287">
        <f t="shared" si="19"/>
        <v>0</v>
      </c>
      <c r="AH72" s="322">
        <f>IF($H72,0,IFERROR(IF(VALUE(LEFT(D72,4))&gt;VALUE(LEFT(Parameters!$B$66,4))+1,O72-SUM(R72:X72),0),0))</f>
        <v>0</v>
      </c>
      <c r="AI72" s="330">
        <f>IF('Input Data Sheet'!$P72=0,0,'Input Data Sheet'!Z72/'Input Data Sheet'!$P72)</f>
        <v>0</v>
      </c>
      <c r="AJ72" s="331">
        <f>IF('Input Data Sheet'!$P72=0,0,'Input Data Sheet'!AA72/'Input Data Sheet'!$P72)</f>
        <v>0</v>
      </c>
      <c r="AK72" s="331">
        <f>IF('Input Data Sheet'!$P72=0,0,'Input Data Sheet'!AB72/'Input Data Sheet'!$P72)</f>
        <v>0</v>
      </c>
      <c r="AL72" s="331">
        <f>IF('Input Data Sheet'!$P72=0,0,'Input Data Sheet'!AC72/'Input Data Sheet'!$P72)</f>
        <v>0</v>
      </c>
      <c r="AM72" s="331">
        <f>IF('Input Data Sheet'!$P72=0,0,'Input Data Sheet'!AD72/'Input Data Sheet'!$P72)</f>
        <v>0</v>
      </c>
      <c r="AN72" s="331">
        <f>IF('Input Data Sheet'!$P72=0,0,'Input Data Sheet'!AE72/'Input Data Sheet'!$P72)</f>
        <v>0</v>
      </c>
      <c r="AO72" s="331">
        <f>IF('Input Data Sheet'!$P72=0,0,'Input Data Sheet'!AF72/'Input Data Sheet'!$P72)</f>
        <v>0</v>
      </c>
      <c r="AP72" s="331">
        <f>IF('Input Data Sheet'!$P72=0,0,'Input Data Sheet'!AG72/'Input Data Sheet'!$P72)</f>
        <v>0</v>
      </c>
      <c r="AQ72" s="331">
        <f>IF('Input Data Sheet'!$P72=0,0,'Input Data Sheet'!AH72/'Input Data Sheet'!$P72)</f>
        <v>0</v>
      </c>
      <c r="AR72" s="331">
        <f>IF('Input Data Sheet'!$P72=0,0,'Input Data Sheet'!AI72/'Input Data Sheet'!$P72)</f>
        <v>0</v>
      </c>
      <c r="AS72" s="331">
        <f>IF('Input Data Sheet'!$P72=0,0,'Input Data Sheet'!AJ72/'Input Data Sheet'!$P72)</f>
        <v>0</v>
      </c>
      <c r="AT72" s="331">
        <f>IF('Input Data Sheet'!$P72=0,0,'Input Data Sheet'!AK72/'Input Data Sheet'!$P72)</f>
        <v>0</v>
      </c>
      <c r="AU72" s="331">
        <f>IF('Input Data Sheet'!$P72=0,0,'Input Data Sheet'!AL72/'Input Data Sheet'!$P72)</f>
        <v>0</v>
      </c>
      <c r="AV72" s="331">
        <f>IF('Input Data Sheet'!$P72=0,0,'Input Data Sheet'!AM72/'Input Data Sheet'!$P72)</f>
        <v>0</v>
      </c>
      <c r="AW72" s="331">
        <f>IF('Input Data Sheet'!$P72=0,0,'Input Data Sheet'!AN72/'Input Data Sheet'!$P72)</f>
        <v>0</v>
      </c>
      <c r="AX72" s="331">
        <f>IF('Input Data Sheet'!$P72=0,0,'Input Data Sheet'!AO72/'Input Data Sheet'!$P72)</f>
        <v>1</v>
      </c>
      <c r="AY72" s="331">
        <f>IF('Input Data Sheet'!$P72=0,0,'Input Data Sheet'!AP72/'Input Data Sheet'!$P72)</f>
        <v>0</v>
      </c>
      <c r="AZ72" s="331">
        <f>IF('Input Data Sheet'!$P72=0,0,'Input Data Sheet'!AQ72/'Input Data Sheet'!$P72)</f>
        <v>0</v>
      </c>
      <c r="BA72" s="331">
        <f>IF('Input Data Sheet'!$P72=0,0,'Input Data Sheet'!AR72/'Input Data Sheet'!$P72)</f>
        <v>0</v>
      </c>
      <c r="BB72" s="331">
        <f>IF('Input Data Sheet'!$P72=0,0,'Input Data Sheet'!AS72/'Input Data Sheet'!$P72)</f>
        <v>0</v>
      </c>
      <c r="BC72" s="331">
        <f>IF('Input Data Sheet'!$P72=0,0,'Input Data Sheet'!AT72/'Input Data Sheet'!$P72)</f>
        <v>0</v>
      </c>
      <c r="BD72" s="331">
        <f>IF('Input Data Sheet'!$P72=0,0,'Input Data Sheet'!AU72/'Input Data Sheet'!$P72)</f>
        <v>0</v>
      </c>
      <c r="BE72" s="331">
        <f>IF('Input Data Sheet'!$P72=0,0,'Input Data Sheet'!AV72/'Input Data Sheet'!$P72)</f>
        <v>0</v>
      </c>
      <c r="BF72" s="332">
        <f>IF('Input Data Sheet'!$P72=0,0,'Input Data Sheet'!AW72/'Input Data Sheet'!$P72)</f>
        <v>0</v>
      </c>
      <c r="BG72" s="328">
        <f t="shared" si="22"/>
        <v>1</v>
      </c>
    </row>
    <row r="73" spans="1:59" x14ac:dyDescent="0.3">
      <c r="A73" s="409" t="str">
        <f>'Input Data Sheet'!B73</f>
        <v>ND1235</v>
      </c>
      <c r="B73" s="314" t="str">
        <f>'Input Data Sheet'!C73</f>
        <v>Transformer protection renewal program</v>
      </c>
      <c r="C73" s="314" t="str">
        <f>'Input Data Sheet'!D73</f>
        <v>Asset Renewal</v>
      </c>
      <c r="D73" s="333" t="str">
        <f>'Input Data Sheet'!E73</f>
        <v>2017/18</v>
      </c>
      <c r="E73" s="333">
        <f>'Input Data Sheet'!F73</f>
        <v>13</v>
      </c>
      <c r="F73" s="315"/>
      <c r="G73" s="315"/>
      <c r="H73" s="316">
        <f>'Input Data Sheet'!J73</f>
        <v>1</v>
      </c>
      <c r="I73" s="316"/>
      <c r="J73" s="316">
        <f>'Input Data Sheet'!K73</f>
        <v>0</v>
      </c>
      <c r="K73" s="496"/>
      <c r="L73" s="496"/>
      <c r="M73" s="496"/>
      <c r="N73" s="316"/>
      <c r="O73" s="287">
        <f t="shared" si="20"/>
        <v>5867956</v>
      </c>
      <c r="P73" s="320">
        <f>'Input Data Sheet'!Q73</f>
        <v>0</v>
      </c>
      <c r="Q73" s="287">
        <f>'Input Data Sheet'!R73</f>
        <v>0</v>
      </c>
      <c r="R73" s="341">
        <f>'Input Data Sheet'!S73</f>
        <v>0</v>
      </c>
      <c r="S73" s="341">
        <f>'Input Data Sheet'!T73</f>
        <v>762834</v>
      </c>
      <c r="T73" s="341">
        <f>'Input Data Sheet'!U73</f>
        <v>5046442</v>
      </c>
      <c r="U73" s="341">
        <f>'Input Data Sheet'!V73</f>
        <v>58680</v>
      </c>
      <c r="V73" s="341">
        <f>'Input Data Sheet'!W73</f>
        <v>0</v>
      </c>
      <c r="W73" s="287">
        <f>'Input Data Sheet'!X73</f>
        <v>0</v>
      </c>
      <c r="X73" s="321">
        <f>'Input Data Sheet'!Y73</f>
        <v>0</v>
      </c>
      <c r="Y73" s="287">
        <f t="shared" si="21"/>
        <v>0</v>
      </c>
      <c r="Z73" s="287">
        <f t="shared" si="12"/>
        <v>0</v>
      </c>
      <c r="AA73" s="341">
        <f t="shared" si="13"/>
        <v>0</v>
      </c>
      <c r="AB73" s="341">
        <f t="shared" si="14"/>
        <v>762834</v>
      </c>
      <c r="AC73" s="341">
        <f t="shared" si="15"/>
        <v>5046442</v>
      </c>
      <c r="AD73" s="341">
        <f t="shared" si="16"/>
        <v>58680</v>
      </c>
      <c r="AE73" s="341">
        <f t="shared" si="17"/>
        <v>0</v>
      </c>
      <c r="AF73" s="287">
        <f t="shared" si="18"/>
        <v>0</v>
      </c>
      <c r="AG73" s="287">
        <f t="shared" si="19"/>
        <v>0</v>
      </c>
      <c r="AH73" s="322">
        <f>IF($H73,0,IFERROR(IF(VALUE(LEFT(D73,4))&gt;VALUE(LEFT(Parameters!$B$66,4))+1,O73-SUM(R73:X73),0),0))</f>
        <v>0</v>
      </c>
      <c r="AI73" s="330">
        <f>IF('Input Data Sheet'!$P73=0,0,'Input Data Sheet'!Z73/'Input Data Sheet'!$P73)</f>
        <v>0</v>
      </c>
      <c r="AJ73" s="331">
        <f>IF('Input Data Sheet'!$P73=0,0,'Input Data Sheet'!AA73/'Input Data Sheet'!$P73)</f>
        <v>0</v>
      </c>
      <c r="AK73" s="331">
        <f>IF('Input Data Sheet'!$P73=0,0,'Input Data Sheet'!AB73/'Input Data Sheet'!$P73)</f>
        <v>0</v>
      </c>
      <c r="AL73" s="331">
        <f>IF('Input Data Sheet'!$P73=0,0,'Input Data Sheet'!AC73/'Input Data Sheet'!$P73)</f>
        <v>0</v>
      </c>
      <c r="AM73" s="331">
        <f>IF('Input Data Sheet'!$P73=0,0,'Input Data Sheet'!AD73/'Input Data Sheet'!$P73)</f>
        <v>0</v>
      </c>
      <c r="AN73" s="331">
        <f>IF('Input Data Sheet'!$P73=0,0,'Input Data Sheet'!AE73/'Input Data Sheet'!$P73)</f>
        <v>0</v>
      </c>
      <c r="AO73" s="331">
        <f>IF('Input Data Sheet'!$P73=0,0,'Input Data Sheet'!AF73/'Input Data Sheet'!$P73)</f>
        <v>1</v>
      </c>
      <c r="AP73" s="331">
        <f>IF('Input Data Sheet'!$P73=0,0,'Input Data Sheet'!AG73/'Input Data Sheet'!$P73)</f>
        <v>0</v>
      </c>
      <c r="AQ73" s="331">
        <f>IF('Input Data Sheet'!$P73=0,0,'Input Data Sheet'!AH73/'Input Data Sheet'!$P73)</f>
        <v>0</v>
      </c>
      <c r="AR73" s="331">
        <f>IF('Input Data Sheet'!$P73=0,0,'Input Data Sheet'!AI73/'Input Data Sheet'!$P73)</f>
        <v>0</v>
      </c>
      <c r="AS73" s="331">
        <f>IF('Input Data Sheet'!$P73=0,0,'Input Data Sheet'!AJ73/'Input Data Sheet'!$P73)</f>
        <v>0</v>
      </c>
      <c r="AT73" s="331">
        <f>IF('Input Data Sheet'!$P73=0,0,'Input Data Sheet'!AK73/'Input Data Sheet'!$P73)</f>
        <v>0</v>
      </c>
      <c r="AU73" s="331">
        <f>IF('Input Data Sheet'!$P73=0,0,'Input Data Sheet'!AL73/'Input Data Sheet'!$P73)</f>
        <v>0</v>
      </c>
      <c r="AV73" s="331">
        <f>IF('Input Data Sheet'!$P73=0,0,'Input Data Sheet'!AM73/'Input Data Sheet'!$P73)</f>
        <v>0</v>
      </c>
      <c r="AW73" s="331">
        <f>IF('Input Data Sheet'!$P73=0,0,'Input Data Sheet'!AN73/'Input Data Sheet'!$P73)</f>
        <v>0</v>
      </c>
      <c r="AX73" s="331">
        <f>IF('Input Data Sheet'!$P73=0,0,'Input Data Sheet'!AO73/'Input Data Sheet'!$P73)</f>
        <v>0</v>
      </c>
      <c r="AY73" s="331">
        <f>IF('Input Data Sheet'!$P73=0,0,'Input Data Sheet'!AP73/'Input Data Sheet'!$P73)</f>
        <v>0</v>
      </c>
      <c r="AZ73" s="331">
        <f>IF('Input Data Sheet'!$P73=0,0,'Input Data Sheet'!AQ73/'Input Data Sheet'!$P73)</f>
        <v>0</v>
      </c>
      <c r="BA73" s="331">
        <f>IF('Input Data Sheet'!$P73=0,0,'Input Data Sheet'!AR73/'Input Data Sheet'!$P73)</f>
        <v>0</v>
      </c>
      <c r="BB73" s="331">
        <f>IF('Input Data Sheet'!$P73=0,0,'Input Data Sheet'!AS73/'Input Data Sheet'!$P73)</f>
        <v>0</v>
      </c>
      <c r="BC73" s="331">
        <f>IF('Input Data Sheet'!$P73=0,0,'Input Data Sheet'!AT73/'Input Data Sheet'!$P73)</f>
        <v>0</v>
      </c>
      <c r="BD73" s="331">
        <f>IF('Input Data Sheet'!$P73=0,0,'Input Data Sheet'!AU73/'Input Data Sheet'!$P73)</f>
        <v>0</v>
      </c>
      <c r="BE73" s="331">
        <f>IF('Input Data Sheet'!$P73=0,0,'Input Data Sheet'!AV73/'Input Data Sheet'!$P73)</f>
        <v>0</v>
      </c>
      <c r="BF73" s="332">
        <f>IF('Input Data Sheet'!$P73=0,0,'Input Data Sheet'!AW73/'Input Data Sheet'!$P73)</f>
        <v>0</v>
      </c>
      <c r="BG73" s="328">
        <f t="shared" si="22"/>
        <v>1</v>
      </c>
    </row>
    <row r="74" spans="1:59" x14ac:dyDescent="0.3">
      <c r="A74" s="409" t="str">
        <f>'Input Data Sheet'!B74</f>
        <v>ND0925</v>
      </c>
      <c r="B74" s="314" t="str">
        <f>'Input Data Sheet'!C74</f>
        <v>Transmission line access track renewal program</v>
      </c>
      <c r="C74" s="314" t="str">
        <f>'Input Data Sheet'!D74</f>
        <v>Physical Security / Compliance</v>
      </c>
      <c r="D74" s="333" t="str">
        <f>'Input Data Sheet'!E74</f>
        <v>2018/19</v>
      </c>
      <c r="E74" s="333">
        <f>'Input Data Sheet'!F74</f>
        <v>6</v>
      </c>
      <c r="F74" s="315"/>
      <c r="G74" s="315"/>
      <c r="H74" s="316">
        <f>'Input Data Sheet'!J74</f>
        <v>1</v>
      </c>
      <c r="I74" s="316"/>
      <c r="J74" s="316">
        <f>'Input Data Sheet'!K74</f>
        <v>0</v>
      </c>
      <c r="K74" s="496"/>
      <c r="L74" s="496"/>
      <c r="M74" s="496"/>
      <c r="N74" s="316"/>
      <c r="O74" s="287">
        <f t="shared" si="20"/>
        <v>3709770</v>
      </c>
      <c r="P74" s="320">
        <f>'Input Data Sheet'!Q74</f>
        <v>0</v>
      </c>
      <c r="Q74" s="287">
        <f>'Input Data Sheet'!R74</f>
        <v>0</v>
      </c>
      <c r="R74" s="341">
        <f>'Input Data Sheet'!S74</f>
        <v>741954</v>
      </c>
      <c r="S74" s="341">
        <f>'Input Data Sheet'!T74</f>
        <v>741954</v>
      </c>
      <c r="T74" s="341">
        <f>'Input Data Sheet'!U74</f>
        <v>741954</v>
      </c>
      <c r="U74" s="341">
        <f>'Input Data Sheet'!V74</f>
        <v>741954</v>
      </c>
      <c r="V74" s="341">
        <f>'Input Data Sheet'!W74</f>
        <v>741954</v>
      </c>
      <c r="W74" s="287">
        <f>'Input Data Sheet'!X74</f>
        <v>0</v>
      </c>
      <c r="X74" s="321">
        <f>'Input Data Sheet'!Y74</f>
        <v>0</v>
      </c>
      <c r="Y74" s="287">
        <f t="shared" si="21"/>
        <v>0</v>
      </c>
      <c r="Z74" s="287">
        <f t="shared" si="12"/>
        <v>0</v>
      </c>
      <c r="AA74" s="341">
        <f t="shared" si="13"/>
        <v>741954</v>
      </c>
      <c r="AB74" s="341">
        <f t="shared" si="14"/>
        <v>741954</v>
      </c>
      <c r="AC74" s="341">
        <f t="shared" si="15"/>
        <v>741954</v>
      </c>
      <c r="AD74" s="341">
        <f t="shared" si="16"/>
        <v>741954</v>
      </c>
      <c r="AE74" s="341">
        <f t="shared" si="17"/>
        <v>741954</v>
      </c>
      <c r="AF74" s="287">
        <f t="shared" si="18"/>
        <v>0</v>
      </c>
      <c r="AG74" s="287">
        <f t="shared" si="19"/>
        <v>0</v>
      </c>
      <c r="AH74" s="322">
        <f>IF($H74,0,IFERROR(IF(VALUE(LEFT(D74,4))&gt;VALUE(LEFT(Parameters!$B$66,4))+1,O74-SUM(R74:X74),0),0))</f>
        <v>0</v>
      </c>
      <c r="AI74" s="330">
        <f>IF('Input Data Sheet'!$P74=0,0,'Input Data Sheet'!Z74/'Input Data Sheet'!$P74)</f>
        <v>1</v>
      </c>
      <c r="AJ74" s="331">
        <f>IF('Input Data Sheet'!$P74=0,0,'Input Data Sheet'!AA74/'Input Data Sheet'!$P74)</f>
        <v>0</v>
      </c>
      <c r="AK74" s="331">
        <f>IF('Input Data Sheet'!$P74=0,0,'Input Data Sheet'!AB74/'Input Data Sheet'!$P74)</f>
        <v>0</v>
      </c>
      <c r="AL74" s="331">
        <f>IF('Input Data Sheet'!$P74=0,0,'Input Data Sheet'!AC74/'Input Data Sheet'!$P74)</f>
        <v>0</v>
      </c>
      <c r="AM74" s="331">
        <f>IF('Input Data Sheet'!$P74=0,0,'Input Data Sheet'!AD74/'Input Data Sheet'!$P74)</f>
        <v>0</v>
      </c>
      <c r="AN74" s="331">
        <f>IF('Input Data Sheet'!$P74=0,0,'Input Data Sheet'!AE74/'Input Data Sheet'!$P74)</f>
        <v>0</v>
      </c>
      <c r="AO74" s="331">
        <f>IF('Input Data Sheet'!$P74=0,0,'Input Data Sheet'!AF74/'Input Data Sheet'!$P74)</f>
        <v>0</v>
      </c>
      <c r="AP74" s="331">
        <f>IF('Input Data Sheet'!$P74=0,0,'Input Data Sheet'!AG74/'Input Data Sheet'!$P74)</f>
        <v>0</v>
      </c>
      <c r="AQ74" s="331">
        <f>IF('Input Data Sheet'!$P74=0,0,'Input Data Sheet'!AH74/'Input Data Sheet'!$P74)</f>
        <v>0</v>
      </c>
      <c r="AR74" s="331">
        <f>IF('Input Data Sheet'!$P74=0,0,'Input Data Sheet'!AI74/'Input Data Sheet'!$P74)</f>
        <v>0</v>
      </c>
      <c r="AS74" s="331">
        <f>IF('Input Data Sheet'!$P74=0,0,'Input Data Sheet'!AJ74/'Input Data Sheet'!$P74)</f>
        <v>0</v>
      </c>
      <c r="AT74" s="331">
        <f>IF('Input Data Sheet'!$P74=0,0,'Input Data Sheet'!AK74/'Input Data Sheet'!$P74)</f>
        <v>0</v>
      </c>
      <c r="AU74" s="331">
        <f>IF('Input Data Sheet'!$P74=0,0,'Input Data Sheet'!AL74/'Input Data Sheet'!$P74)</f>
        <v>0</v>
      </c>
      <c r="AV74" s="331">
        <f>IF('Input Data Sheet'!$P74=0,0,'Input Data Sheet'!AM74/'Input Data Sheet'!$P74)</f>
        <v>0</v>
      </c>
      <c r="AW74" s="331">
        <f>IF('Input Data Sheet'!$P74=0,0,'Input Data Sheet'!AN74/'Input Data Sheet'!$P74)</f>
        <v>0</v>
      </c>
      <c r="AX74" s="331">
        <f>IF('Input Data Sheet'!$P74=0,0,'Input Data Sheet'!AO74/'Input Data Sheet'!$P74)</f>
        <v>0</v>
      </c>
      <c r="AY74" s="331">
        <f>IF('Input Data Sheet'!$P74=0,0,'Input Data Sheet'!AP74/'Input Data Sheet'!$P74)</f>
        <v>0</v>
      </c>
      <c r="AZ74" s="331">
        <f>IF('Input Data Sheet'!$P74=0,0,'Input Data Sheet'!AQ74/'Input Data Sheet'!$P74)</f>
        <v>0</v>
      </c>
      <c r="BA74" s="331">
        <f>IF('Input Data Sheet'!$P74=0,0,'Input Data Sheet'!AR74/'Input Data Sheet'!$P74)</f>
        <v>0</v>
      </c>
      <c r="BB74" s="331">
        <f>IF('Input Data Sheet'!$P74=0,0,'Input Data Sheet'!AS74/'Input Data Sheet'!$P74)</f>
        <v>0</v>
      </c>
      <c r="BC74" s="331">
        <f>IF('Input Data Sheet'!$P74=0,0,'Input Data Sheet'!AT74/'Input Data Sheet'!$P74)</f>
        <v>0</v>
      </c>
      <c r="BD74" s="331">
        <f>IF('Input Data Sheet'!$P74=0,0,'Input Data Sheet'!AU74/'Input Data Sheet'!$P74)</f>
        <v>0</v>
      </c>
      <c r="BE74" s="331">
        <f>IF('Input Data Sheet'!$P74=0,0,'Input Data Sheet'!AV74/'Input Data Sheet'!$P74)</f>
        <v>0</v>
      </c>
      <c r="BF74" s="332">
        <f>IF('Input Data Sheet'!$P74=0,0,'Input Data Sheet'!AW74/'Input Data Sheet'!$P74)</f>
        <v>0</v>
      </c>
      <c r="BG74" s="328">
        <f t="shared" si="22"/>
        <v>1</v>
      </c>
    </row>
    <row r="75" spans="1:59" x14ac:dyDescent="0.3">
      <c r="A75" s="409" t="str">
        <f>'Input Data Sheet'!B75</f>
        <v>ND1244</v>
      </c>
      <c r="B75" s="314" t="str">
        <f>'Input Data Sheet'!C75</f>
        <v>Transmission line access track security system compliance program</v>
      </c>
      <c r="C75" s="314" t="str">
        <f>'Input Data Sheet'!D75</f>
        <v>Physical Security / Compliance</v>
      </c>
      <c r="D75" s="333" t="str">
        <f>'Input Data Sheet'!E75</f>
        <v>2018/19</v>
      </c>
      <c r="E75" s="333">
        <f>'Input Data Sheet'!F75</f>
        <v>6</v>
      </c>
      <c r="F75" s="315"/>
      <c r="G75" s="315"/>
      <c r="H75" s="316">
        <f>'Input Data Sheet'!J75</f>
        <v>1</v>
      </c>
      <c r="I75" s="316"/>
      <c r="J75" s="316">
        <f>'Input Data Sheet'!K75</f>
        <v>0</v>
      </c>
      <c r="K75" s="496"/>
      <c r="L75" s="496"/>
      <c r="M75" s="496"/>
      <c r="N75" s="316"/>
      <c r="O75" s="287">
        <f t="shared" si="20"/>
        <v>610500.00000000012</v>
      </c>
      <c r="P75" s="320">
        <f>'Input Data Sheet'!Q75</f>
        <v>0</v>
      </c>
      <c r="Q75" s="287">
        <f>'Input Data Sheet'!R75</f>
        <v>0</v>
      </c>
      <c r="R75" s="341">
        <f>'Input Data Sheet'!S75</f>
        <v>61050.000000000007</v>
      </c>
      <c r="S75" s="341">
        <f>'Input Data Sheet'!T75</f>
        <v>137362.50000000003</v>
      </c>
      <c r="T75" s="341">
        <f>'Input Data Sheet'!U75</f>
        <v>137362.50000000003</v>
      </c>
      <c r="U75" s="341">
        <f>'Input Data Sheet'!V75</f>
        <v>137362.50000000003</v>
      </c>
      <c r="V75" s="341">
        <f>'Input Data Sheet'!W75</f>
        <v>137362.50000000003</v>
      </c>
      <c r="W75" s="287">
        <f>'Input Data Sheet'!X75</f>
        <v>0</v>
      </c>
      <c r="X75" s="321">
        <f>'Input Data Sheet'!Y75</f>
        <v>0</v>
      </c>
      <c r="Y75" s="287">
        <f t="shared" si="21"/>
        <v>0</v>
      </c>
      <c r="Z75" s="287">
        <f t="shared" si="12"/>
        <v>0</v>
      </c>
      <c r="AA75" s="341">
        <f t="shared" si="13"/>
        <v>61050.000000000007</v>
      </c>
      <c r="AB75" s="341">
        <f t="shared" si="14"/>
        <v>137362.50000000003</v>
      </c>
      <c r="AC75" s="341">
        <f t="shared" si="15"/>
        <v>137362.50000000003</v>
      </c>
      <c r="AD75" s="341">
        <f t="shared" si="16"/>
        <v>137362.50000000003</v>
      </c>
      <c r="AE75" s="341">
        <f t="shared" si="17"/>
        <v>137362.50000000003</v>
      </c>
      <c r="AF75" s="287">
        <f t="shared" si="18"/>
        <v>0</v>
      </c>
      <c r="AG75" s="287">
        <f t="shared" si="19"/>
        <v>0</v>
      </c>
      <c r="AH75" s="322">
        <f>IF($H75,0,IFERROR(IF(VALUE(LEFT(D75,4))&gt;VALUE(LEFT(Parameters!$B$66,4))+1,O75-SUM(R75:X75),0),0))</f>
        <v>0</v>
      </c>
      <c r="AI75" s="330">
        <f>IF('Input Data Sheet'!$P75=0,0,'Input Data Sheet'!Z75/'Input Data Sheet'!$P75)</f>
        <v>0</v>
      </c>
      <c r="AJ75" s="331">
        <f>IF('Input Data Sheet'!$P75=0,0,'Input Data Sheet'!AA75/'Input Data Sheet'!$P75)</f>
        <v>0</v>
      </c>
      <c r="AK75" s="331">
        <f>IF('Input Data Sheet'!$P75=0,0,'Input Data Sheet'!AB75/'Input Data Sheet'!$P75)</f>
        <v>0.99999999999999978</v>
      </c>
      <c r="AL75" s="331">
        <f>IF('Input Data Sheet'!$P75=0,0,'Input Data Sheet'!AC75/'Input Data Sheet'!$P75)</f>
        <v>0</v>
      </c>
      <c r="AM75" s="331">
        <f>IF('Input Data Sheet'!$P75=0,0,'Input Data Sheet'!AD75/'Input Data Sheet'!$P75)</f>
        <v>0</v>
      </c>
      <c r="AN75" s="331">
        <f>IF('Input Data Sheet'!$P75=0,0,'Input Data Sheet'!AE75/'Input Data Sheet'!$P75)</f>
        <v>0</v>
      </c>
      <c r="AO75" s="331">
        <f>IF('Input Data Sheet'!$P75=0,0,'Input Data Sheet'!AF75/'Input Data Sheet'!$P75)</f>
        <v>0</v>
      </c>
      <c r="AP75" s="331">
        <f>IF('Input Data Sheet'!$P75=0,0,'Input Data Sheet'!AG75/'Input Data Sheet'!$P75)</f>
        <v>0</v>
      </c>
      <c r="AQ75" s="331">
        <f>IF('Input Data Sheet'!$P75=0,0,'Input Data Sheet'!AH75/'Input Data Sheet'!$P75)</f>
        <v>0</v>
      </c>
      <c r="AR75" s="331">
        <f>IF('Input Data Sheet'!$P75=0,0,'Input Data Sheet'!AI75/'Input Data Sheet'!$P75)</f>
        <v>0</v>
      </c>
      <c r="AS75" s="331">
        <f>IF('Input Data Sheet'!$P75=0,0,'Input Data Sheet'!AJ75/'Input Data Sheet'!$P75)</f>
        <v>0</v>
      </c>
      <c r="AT75" s="331">
        <f>IF('Input Data Sheet'!$P75=0,0,'Input Data Sheet'!AK75/'Input Data Sheet'!$P75)</f>
        <v>0</v>
      </c>
      <c r="AU75" s="331">
        <f>IF('Input Data Sheet'!$P75=0,0,'Input Data Sheet'!AL75/'Input Data Sheet'!$P75)</f>
        <v>0</v>
      </c>
      <c r="AV75" s="331">
        <f>IF('Input Data Sheet'!$P75=0,0,'Input Data Sheet'!AM75/'Input Data Sheet'!$P75)</f>
        <v>0</v>
      </c>
      <c r="AW75" s="331">
        <f>IF('Input Data Sheet'!$P75=0,0,'Input Data Sheet'!AN75/'Input Data Sheet'!$P75)</f>
        <v>0</v>
      </c>
      <c r="AX75" s="331">
        <f>IF('Input Data Sheet'!$P75=0,0,'Input Data Sheet'!AO75/'Input Data Sheet'!$P75)</f>
        <v>0</v>
      </c>
      <c r="AY75" s="331">
        <f>IF('Input Data Sheet'!$P75=0,0,'Input Data Sheet'!AP75/'Input Data Sheet'!$P75)</f>
        <v>0</v>
      </c>
      <c r="AZ75" s="331">
        <f>IF('Input Data Sheet'!$P75=0,0,'Input Data Sheet'!AQ75/'Input Data Sheet'!$P75)</f>
        <v>0</v>
      </c>
      <c r="BA75" s="331">
        <f>IF('Input Data Sheet'!$P75=0,0,'Input Data Sheet'!AR75/'Input Data Sheet'!$P75)</f>
        <v>0</v>
      </c>
      <c r="BB75" s="331">
        <f>IF('Input Data Sheet'!$P75=0,0,'Input Data Sheet'!AS75/'Input Data Sheet'!$P75)</f>
        <v>0</v>
      </c>
      <c r="BC75" s="331">
        <f>IF('Input Data Sheet'!$P75=0,0,'Input Data Sheet'!AT75/'Input Data Sheet'!$P75)</f>
        <v>0</v>
      </c>
      <c r="BD75" s="331">
        <f>IF('Input Data Sheet'!$P75=0,0,'Input Data Sheet'!AU75/'Input Data Sheet'!$P75)</f>
        <v>0</v>
      </c>
      <c r="BE75" s="331">
        <f>IF('Input Data Sheet'!$P75=0,0,'Input Data Sheet'!AV75/'Input Data Sheet'!$P75)</f>
        <v>0</v>
      </c>
      <c r="BF75" s="332">
        <f>IF('Input Data Sheet'!$P75=0,0,'Input Data Sheet'!AW75/'Input Data Sheet'!$P75)</f>
        <v>0</v>
      </c>
      <c r="BG75" s="328">
        <f t="shared" si="22"/>
        <v>0.99999999999999978</v>
      </c>
    </row>
    <row r="76" spans="1:59" x14ac:dyDescent="0.3">
      <c r="A76" s="409" t="str">
        <f>'Input Data Sheet'!B76</f>
        <v>ND1238</v>
      </c>
      <c r="B76" s="314" t="str">
        <f>'Input Data Sheet'!C76</f>
        <v>Transmission line anode renewal program</v>
      </c>
      <c r="C76" s="314" t="str">
        <f>'Input Data Sheet'!D76</f>
        <v>Asset Renewal</v>
      </c>
      <c r="D76" s="333" t="str">
        <f>'Input Data Sheet'!E76</f>
        <v>2018/19</v>
      </c>
      <c r="E76" s="333">
        <f>'Input Data Sheet'!F76</f>
        <v>15</v>
      </c>
      <c r="F76" s="315"/>
      <c r="G76" s="315"/>
      <c r="H76" s="316">
        <f>'Input Data Sheet'!J76</f>
        <v>1</v>
      </c>
      <c r="I76" s="316"/>
      <c r="J76" s="316">
        <f>'Input Data Sheet'!K76</f>
        <v>0</v>
      </c>
      <c r="K76" s="496"/>
      <c r="L76" s="496"/>
      <c r="M76" s="496"/>
      <c r="N76" s="316"/>
      <c r="O76" s="287">
        <f t="shared" si="20"/>
        <v>3939945</v>
      </c>
      <c r="P76" s="320">
        <f>'Input Data Sheet'!Q76</f>
        <v>0</v>
      </c>
      <c r="Q76" s="287">
        <f>'Input Data Sheet'!R76</f>
        <v>0</v>
      </c>
      <c r="R76" s="341">
        <f>'Input Data Sheet'!S76</f>
        <v>393994.5</v>
      </c>
      <c r="S76" s="341">
        <f>'Input Data Sheet'!T76</f>
        <v>886487.625</v>
      </c>
      <c r="T76" s="341">
        <f>'Input Data Sheet'!U76</f>
        <v>886487.625</v>
      </c>
      <c r="U76" s="341">
        <f>'Input Data Sheet'!V76</f>
        <v>886487.625</v>
      </c>
      <c r="V76" s="341">
        <f>'Input Data Sheet'!W76</f>
        <v>886487.625</v>
      </c>
      <c r="W76" s="287">
        <f>'Input Data Sheet'!X76</f>
        <v>0</v>
      </c>
      <c r="X76" s="321">
        <f>'Input Data Sheet'!Y76</f>
        <v>0</v>
      </c>
      <c r="Y76" s="287">
        <f t="shared" si="21"/>
        <v>0</v>
      </c>
      <c r="Z76" s="287">
        <f t="shared" si="12"/>
        <v>0</v>
      </c>
      <c r="AA76" s="341">
        <f t="shared" si="13"/>
        <v>393994.5</v>
      </c>
      <c r="AB76" s="341">
        <f t="shared" si="14"/>
        <v>886487.625</v>
      </c>
      <c r="AC76" s="341">
        <f t="shared" si="15"/>
        <v>886487.625</v>
      </c>
      <c r="AD76" s="341">
        <f t="shared" si="16"/>
        <v>886487.625</v>
      </c>
      <c r="AE76" s="341">
        <f t="shared" si="17"/>
        <v>886487.625</v>
      </c>
      <c r="AF76" s="287">
        <f t="shared" si="18"/>
        <v>0</v>
      </c>
      <c r="AG76" s="287">
        <f t="shared" si="19"/>
        <v>0</v>
      </c>
      <c r="AH76" s="322">
        <f>IF($H76,0,IFERROR(IF(VALUE(LEFT(D76,4))&gt;VALUE(LEFT(Parameters!$B$66,4))+1,O76-SUM(R76:X76),0),0))</f>
        <v>0</v>
      </c>
      <c r="AI76" s="330">
        <f>IF('Input Data Sheet'!$P76=0,0,'Input Data Sheet'!Z76/'Input Data Sheet'!$P76)</f>
        <v>0.44999993654733761</v>
      </c>
      <c r="AJ76" s="331">
        <f>IF('Input Data Sheet'!$P76=0,0,'Input Data Sheet'!AA76/'Input Data Sheet'!$P76)</f>
        <v>0.48999998730946753</v>
      </c>
      <c r="AK76" s="331">
        <f>IF('Input Data Sheet'!$P76=0,0,'Input Data Sheet'!AB76/'Input Data Sheet'!$P76)</f>
        <v>6.0000076143194893E-2</v>
      </c>
      <c r="AL76" s="331">
        <f>IF('Input Data Sheet'!$P76=0,0,'Input Data Sheet'!AC76/'Input Data Sheet'!$P76)</f>
        <v>0</v>
      </c>
      <c r="AM76" s="331">
        <f>IF('Input Data Sheet'!$P76=0,0,'Input Data Sheet'!AD76/'Input Data Sheet'!$P76)</f>
        <v>0</v>
      </c>
      <c r="AN76" s="331">
        <f>IF('Input Data Sheet'!$P76=0,0,'Input Data Sheet'!AE76/'Input Data Sheet'!$P76)</f>
        <v>0</v>
      </c>
      <c r="AO76" s="331">
        <f>IF('Input Data Sheet'!$P76=0,0,'Input Data Sheet'!AF76/'Input Data Sheet'!$P76)</f>
        <v>0</v>
      </c>
      <c r="AP76" s="331">
        <f>IF('Input Data Sheet'!$P76=0,0,'Input Data Sheet'!AG76/'Input Data Sheet'!$P76)</f>
        <v>0</v>
      </c>
      <c r="AQ76" s="331">
        <f>IF('Input Data Sheet'!$P76=0,0,'Input Data Sheet'!AH76/'Input Data Sheet'!$P76)</f>
        <v>0</v>
      </c>
      <c r="AR76" s="331">
        <f>IF('Input Data Sheet'!$P76=0,0,'Input Data Sheet'!AI76/'Input Data Sheet'!$P76)</f>
        <v>0</v>
      </c>
      <c r="AS76" s="331">
        <f>IF('Input Data Sheet'!$P76=0,0,'Input Data Sheet'!AJ76/'Input Data Sheet'!$P76)</f>
        <v>0</v>
      </c>
      <c r="AT76" s="331">
        <f>IF('Input Data Sheet'!$P76=0,0,'Input Data Sheet'!AK76/'Input Data Sheet'!$P76)</f>
        <v>0</v>
      </c>
      <c r="AU76" s="331">
        <f>IF('Input Data Sheet'!$P76=0,0,'Input Data Sheet'!AL76/'Input Data Sheet'!$P76)</f>
        <v>0</v>
      </c>
      <c r="AV76" s="331">
        <f>IF('Input Data Sheet'!$P76=0,0,'Input Data Sheet'!AM76/'Input Data Sheet'!$P76)</f>
        <v>0</v>
      </c>
      <c r="AW76" s="331">
        <f>IF('Input Data Sheet'!$P76=0,0,'Input Data Sheet'!AN76/'Input Data Sheet'!$P76)</f>
        <v>0</v>
      </c>
      <c r="AX76" s="331">
        <f>IF('Input Data Sheet'!$P76=0,0,'Input Data Sheet'!AO76/'Input Data Sheet'!$P76)</f>
        <v>0</v>
      </c>
      <c r="AY76" s="331">
        <f>IF('Input Data Sheet'!$P76=0,0,'Input Data Sheet'!AP76/'Input Data Sheet'!$P76)</f>
        <v>0</v>
      </c>
      <c r="AZ76" s="331">
        <f>IF('Input Data Sheet'!$P76=0,0,'Input Data Sheet'!AQ76/'Input Data Sheet'!$P76)</f>
        <v>0</v>
      </c>
      <c r="BA76" s="331">
        <f>IF('Input Data Sheet'!$P76=0,0,'Input Data Sheet'!AR76/'Input Data Sheet'!$P76)</f>
        <v>0</v>
      </c>
      <c r="BB76" s="331">
        <f>IF('Input Data Sheet'!$P76=0,0,'Input Data Sheet'!AS76/'Input Data Sheet'!$P76)</f>
        <v>0</v>
      </c>
      <c r="BC76" s="331">
        <f>IF('Input Data Sheet'!$P76=0,0,'Input Data Sheet'!AT76/'Input Data Sheet'!$P76)</f>
        <v>0</v>
      </c>
      <c r="BD76" s="331">
        <f>IF('Input Data Sheet'!$P76=0,0,'Input Data Sheet'!AU76/'Input Data Sheet'!$P76)</f>
        <v>0</v>
      </c>
      <c r="BE76" s="331">
        <f>IF('Input Data Sheet'!$P76=0,0,'Input Data Sheet'!AV76/'Input Data Sheet'!$P76)</f>
        <v>0</v>
      </c>
      <c r="BF76" s="332">
        <f>IF('Input Data Sheet'!$P76=0,0,'Input Data Sheet'!AW76/'Input Data Sheet'!$P76)</f>
        <v>0</v>
      </c>
      <c r="BG76" s="328">
        <f t="shared" si="22"/>
        <v>1</v>
      </c>
    </row>
    <row r="77" spans="1:59" x14ac:dyDescent="0.3">
      <c r="A77" s="409" t="str">
        <f>'Input Data Sheet'!B77</f>
        <v>ND0928</v>
      </c>
      <c r="B77" s="314" t="str">
        <f>'Input Data Sheet'!C77</f>
        <v>Transmission line conductor assembly renewal program</v>
      </c>
      <c r="C77" s="314" t="str">
        <f>'Input Data Sheet'!D77</f>
        <v>Asset Renewal</v>
      </c>
      <c r="D77" s="333" t="str">
        <f>'Input Data Sheet'!E77</f>
        <v>2018/19</v>
      </c>
      <c r="E77" s="333">
        <f>'Input Data Sheet'!F77</f>
        <v>6</v>
      </c>
      <c r="F77" s="315"/>
      <c r="G77" s="315"/>
      <c r="H77" s="316">
        <f>'Input Data Sheet'!J77</f>
        <v>1</v>
      </c>
      <c r="I77" s="316"/>
      <c r="J77" s="316">
        <f>'Input Data Sheet'!K77</f>
        <v>0</v>
      </c>
      <c r="K77" s="496"/>
      <c r="L77" s="496"/>
      <c r="M77" s="496"/>
      <c r="N77" s="316"/>
      <c r="O77" s="287">
        <f t="shared" si="20"/>
        <v>4298316</v>
      </c>
      <c r="P77" s="320">
        <f>'Input Data Sheet'!Q77</f>
        <v>0</v>
      </c>
      <c r="Q77" s="287">
        <f>'Input Data Sheet'!R77</f>
        <v>0</v>
      </c>
      <c r="R77" s="341">
        <f>'Input Data Sheet'!S77</f>
        <v>429831.6</v>
      </c>
      <c r="S77" s="341">
        <f>'Input Data Sheet'!T77</f>
        <v>967121.1</v>
      </c>
      <c r="T77" s="341">
        <f>'Input Data Sheet'!U77</f>
        <v>967121.1</v>
      </c>
      <c r="U77" s="341">
        <f>'Input Data Sheet'!V77</f>
        <v>967121.1</v>
      </c>
      <c r="V77" s="341">
        <f>'Input Data Sheet'!W77</f>
        <v>967121.1</v>
      </c>
      <c r="W77" s="287">
        <f>'Input Data Sheet'!X77</f>
        <v>0</v>
      </c>
      <c r="X77" s="321">
        <f>'Input Data Sheet'!Y77</f>
        <v>0</v>
      </c>
      <c r="Y77" s="287">
        <f t="shared" si="21"/>
        <v>0</v>
      </c>
      <c r="Z77" s="287">
        <f t="shared" si="12"/>
        <v>0</v>
      </c>
      <c r="AA77" s="341">
        <f t="shared" si="13"/>
        <v>429831.6</v>
      </c>
      <c r="AB77" s="341">
        <f t="shared" si="14"/>
        <v>967121.1</v>
      </c>
      <c r="AC77" s="341">
        <f t="shared" si="15"/>
        <v>967121.1</v>
      </c>
      <c r="AD77" s="341">
        <f t="shared" si="16"/>
        <v>967121.1</v>
      </c>
      <c r="AE77" s="341">
        <f t="shared" si="17"/>
        <v>967121.1</v>
      </c>
      <c r="AF77" s="287">
        <f t="shared" si="18"/>
        <v>0</v>
      </c>
      <c r="AG77" s="287">
        <f t="shared" si="19"/>
        <v>0</v>
      </c>
      <c r="AH77" s="322">
        <f>IF($H77,0,IFERROR(IF(VALUE(LEFT(D77,4))&gt;VALUE(LEFT(Parameters!$B$66,4))+1,O77-SUM(R77:X77),0),0))</f>
        <v>0</v>
      </c>
      <c r="AI77" s="330">
        <f>IF('Input Data Sheet'!$P77=0,0,'Input Data Sheet'!Z77/'Input Data Sheet'!$P77)</f>
        <v>0.44999995347014971</v>
      </c>
      <c r="AJ77" s="331">
        <f>IF('Input Data Sheet'!$P77=0,0,'Input Data Sheet'!AA77/'Input Data Sheet'!$P77)</f>
        <v>0.49000003722388025</v>
      </c>
      <c r="AK77" s="331">
        <f>IF('Input Data Sheet'!$P77=0,0,'Input Data Sheet'!AB77/'Input Data Sheet'!$P77)</f>
        <v>6.0000009305970062E-2</v>
      </c>
      <c r="AL77" s="331">
        <f>IF('Input Data Sheet'!$P77=0,0,'Input Data Sheet'!AC77/'Input Data Sheet'!$P77)</f>
        <v>0</v>
      </c>
      <c r="AM77" s="331">
        <f>IF('Input Data Sheet'!$P77=0,0,'Input Data Sheet'!AD77/'Input Data Sheet'!$P77)</f>
        <v>0</v>
      </c>
      <c r="AN77" s="331">
        <f>IF('Input Data Sheet'!$P77=0,0,'Input Data Sheet'!AE77/'Input Data Sheet'!$P77)</f>
        <v>0</v>
      </c>
      <c r="AO77" s="331">
        <f>IF('Input Data Sheet'!$P77=0,0,'Input Data Sheet'!AF77/'Input Data Sheet'!$P77)</f>
        <v>0</v>
      </c>
      <c r="AP77" s="331">
        <f>IF('Input Data Sheet'!$P77=0,0,'Input Data Sheet'!AG77/'Input Data Sheet'!$P77)</f>
        <v>0</v>
      </c>
      <c r="AQ77" s="331">
        <f>IF('Input Data Sheet'!$P77=0,0,'Input Data Sheet'!AH77/'Input Data Sheet'!$P77)</f>
        <v>0</v>
      </c>
      <c r="AR77" s="331">
        <f>IF('Input Data Sheet'!$P77=0,0,'Input Data Sheet'!AI77/'Input Data Sheet'!$P77)</f>
        <v>0</v>
      </c>
      <c r="AS77" s="331">
        <f>IF('Input Data Sheet'!$P77=0,0,'Input Data Sheet'!AJ77/'Input Data Sheet'!$P77)</f>
        <v>0</v>
      </c>
      <c r="AT77" s="331">
        <f>IF('Input Data Sheet'!$P77=0,0,'Input Data Sheet'!AK77/'Input Data Sheet'!$P77)</f>
        <v>0</v>
      </c>
      <c r="AU77" s="331">
        <f>IF('Input Data Sheet'!$P77=0,0,'Input Data Sheet'!AL77/'Input Data Sheet'!$P77)</f>
        <v>0</v>
      </c>
      <c r="AV77" s="331">
        <f>IF('Input Data Sheet'!$P77=0,0,'Input Data Sheet'!AM77/'Input Data Sheet'!$P77)</f>
        <v>0</v>
      </c>
      <c r="AW77" s="331">
        <f>IF('Input Data Sheet'!$P77=0,0,'Input Data Sheet'!AN77/'Input Data Sheet'!$P77)</f>
        <v>0</v>
      </c>
      <c r="AX77" s="331">
        <f>IF('Input Data Sheet'!$P77=0,0,'Input Data Sheet'!AO77/'Input Data Sheet'!$P77)</f>
        <v>0</v>
      </c>
      <c r="AY77" s="331">
        <f>IF('Input Data Sheet'!$P77=0,0,'Input Data Sheet'!AP77/'Input Data Sheet'!$P77)</f>
        <v>0</v>
      </c>
      <c r="AZ77" s="331">
        <f>IF('Input Data Sheet'!$P77=0,0,'Input Data Sheet'!AQ77/'Input Data Sheet'!$P77)</f>
        <v>0</v>
      </c>
      <c r="BA77" s="331">
        <f>IF('Input Data Sheet'!$P77=0,0,'Input Data Sheet'!AR77/'Input Data Sheet'!$P77)</f>
        <v>0</v>
      </c>
      <c r="BB77" s="331">
        <f>IF('Input Data Sheet'!$P77=0,0,'Input Data Sheet'!AS77/'Input Data Sheet'!$P77)</f>
        <v>0</v>
      </c>
      <c r="BC77" s="331">
        <f>IF('Input Data Sheet'!$P77=0,0,'Input Data Sheet'!AT77/'Input Data Sheet'!$P77)</f>
        <v>0</v>
      </c>
      <c r="BD77" s="331">
        <f>IF('Input Data Sheet'!$P77=0,0,'Input Data Sheet'!AU77/'Input Data Sheet'!$P77)</f>
        <v>0</v>
      </c>
      <c r="BE77" s="331">
        <f>IF('Input Data Sheet'!$P77=0,0,'Input Data Sheet'!AV77/'Input Data Sheet'!$P77)</f>
        <v>0</v>
      </c>
      <c r="BF77" s="332">
        <f>IF('Input Data Sheet'!$P77=0,0,'Input Data Sheet'!AW77/'Input Data Sheet'!$P77)</f>
        <v>0</v>
      </c>
      <c r="BG77" s="328">
        <f t="shared" si="22"/>
        <v>1</v>
      </c>
    </row>
    <row r="78" spans="1:59" x14ac:dyDescent="0.3">
      <c r="A78" s="409" t="str">
        <f>'Input Data Sheet'!B78</f>
        <v>ND1239</v>
      </c>
      <c r="B78" s="314" t="str">
        <f>'Input Data Sheet'!C78</f>
        <v>Transmission line fall arrest system installation program</v>
      </c>
      <c r="C78" s="314" t="str">
        <f>'Input Data Sheet'!D78</f>
        <v>Physical Security / Compliance</v>
      </c>
      <c r="D78" s="333" t="str">
        <f>'Input Data Sheet'!E78</f>
        <v>2018/19</v>
      </c>
      <c r="E78" s="333">
        <f>'Input Data Sheet'!F78</f>
        <v>6</v>
      </c>
      <c r="F78" s="315"/>
      <c r="G78" s="315"/>
      <c r="H78" s="316">
        <f>'Input Data Sheet'!J78</f>
        <v>1</v>
      </c>
      <c r="I78" s="316"/>
      <c r="J78" s="316">
        <f>'Input Data Sheet'!K78</f>
        <v>0</v>
      </c>
      <c r="K78" s="496"/>
      <c r="L78" s="496"/>
      <c r="M78" s="496"/>
      <c r="N78" s="316"/>
      <c r="O78" s="287">
        <f t="shared" si="20"/>
        <v>851250</v>
      </c>
      <c r="P78" s="320">
        <f>'Input Data Sheet'!Q78</f>
        <v>0</v>
      </c>
      <c r="Q78" s="287">
        <f>'Input Data Sheet'!R78</f>
        <v>0</v>
      </c>
      <c r="R78" s="341">
        <f>'Input Data Sheet'!S78</f>
        <v>85125</v>
      </c>
      <c r="S78" s="341">
        <f>'Input Data Sheet'!T78</f>
        <v>191531.25</v>
      </c>
      <c r="T78" s="341">
        <f>'Input Data Sheet'!U78</f>
        <v>191531.25</v>
      </c>
      <c r="U78" s="341">
        <f>'Input Data Sheet'!V78</f>
        <v>191531.25</v>
      </c>
      <c r="V78" s="341">
        <f>'Input Data Sheet'!W78</f>
        <v>191531.25</v>
      </c>
      <c r="W78" s="287">
        <f>'Input Data Sheet'!X78</f>
        <v>0</v>
      </c>
      <c r="X78" s="321">
        <f>'Input Data Sheet'!Y78</f>
        <v>0</v>
      </c>
      <c r="Y78" s="287">
        <f t="shared" si="21"/>
        <v>0</v>
      </c>
      <c r="Z78" s="287">
        <f t="shared" si="12"/>
        <v>0</v>
      </c>
      <c r="AA78" s="341">
        <f t="shared" si="13"/>
        <v>85125</v>
      </c>
      <c r="AB78" s="341">
        <f t="shared" si="14"/>
        <v>191531.25</v>
      </c>
      <c r="AC78" s="341">
        <f t="shared" si="15"/>
        <v>191531.25</v>
      </c>
      <c r="AD78" s="341">
        <f t="shared" si="16"/>
        <v>191531.25</v>
      </c>
      <c r="AE78" s="341">
        <f t="shared" si="17"/>
        <v>191531.25</v>
      </c>
      <c r="AF78" s="287">
        <f t="shared" si="18"/>
        <v>0</v>
      </c>
      <c r="AG78" s="287">
        <f t="shared" si="19"/>
        <v>0</v>
      </c>
      <c r="AH78" s="322">
        <f>IF($H78,0,IFERROR(IF(VALUE(LEFT(D78,4))&gt;VALUE(LEFT(Parameters!$B$66,4))+1,O78-SUM(R78:X78),0),0))</f>
        <v>0</v>
      </c>
      <c r="AI78" s="330">
        <f>IF('Input Data Sheet'!$P78=0,0,'Input Data Sheet'!Z78/'Input Data Sheet'!$P78)</f>
        <v>0</v>
      </c>
      <c r="AJ78" s="331">
        <f>IF('Input Data Sheet'!$P78=0,0,'Input Data Sheet'!AA78/'Input Data Sheet'!$P78)</f>
        <v>0</v>
      </c>
      <c r="AK78" s="331">
        <f>IF('Input Data Sheet'!$P78=0,0,'Input Data Sheet'!AB78/'Input Data Sheet'!$P78)</f>
        <v>1.0000000000000002</v>
      </c>
      <c r="AL78" s="331">
        <f>IF('Input Data Sheet'!$P78=0,0,'Input Data Sheet'!AC78/'Input Data Sheet'!$P78)</f>
        <v>0</v>
      </c>
      <c r="AM78" s="331">
        <f>IF('Input Data Sheet'!$P78=0,0,'Input Data Sheet'!AD78/'Input Data Sheet'!$P78)</f>
        <v>0</v>
      </c>
      <c r="AN78" s="331">
        <f>IF('Input Data Sheet'!$P78=0,0,'Input Data Sheet'!AE78/'Input Data Sheet'!$P78)</f>
        <v>0</v>
      </c>
      <c r="AO78" s="331">
        <f>IF('Input Data Sheet'!$P78=0,0,'Input Data Sheet'!AF78/'Input Data Sheet'!$P78)</f>
        <v>0</v>
      </c>
      <c r="AP78" s="331">
        <f>IF('Input Data Sheet'!$P78=0,0,'Input Data Sheet'!AG78/'Input Data Sheet'!$P78)</f>
        <v>0</v>
      </c>
      <c r="AQ78" s="331">
        <f>IF('Input Data Sheet'!$P78=0,0,'Input Data Sheet'!AH78/'Input Data Sheet'!$P78)</f>
        <v>0</v>
      </c>
      <c r="AR78" s="331">
        <f>IF('Input Data Sheet'!$P78=0,0,'Input Data Sheet'!AI78/'Input Data Sheet'!$P78)</f>
        <v>0</v>
      </c>
      <c r="AS78" s="331">
        <f>IF('Input Data Sheet'!$P78=0,0,'Input Data Sheet'!AJ78/'Input Data Sheet'!$P78)</f>
        <v>0</v>
      </c>
      <c r="AT78" s="331">
        <f>IF('Input Data Sheet'!$P78=0,0,'Input Data Sheet'!AK78/'Input Data Sheet'!$P78)</f>
        <v>0</v>
      </c>
      <c r="AU78" s="331">
        <f>IF('Input Data Sheet'!$P78=0,0,'Input Data Sheet'!AL78/'Input Data Sheet'!$P78)</f>
        <v>0</v>
      </c>
      <c r="AV78" s="331">
        <f>IF('Input Data Sheet'!$P78=0,0,'Input Data Sheet'!AM78/'Input Data Sheet'!$P78)</f>
        <v>0</v>
      </c>
      <c r="AW78" s="331">
        <f>IF('Input Data Sheet'!$P78=0,0,'Input Data Sheet'!AN78/'Input Data Sheet'!$P78)</f>
        <v>0</v>
      </c>
      <c r="AX78" s="331">
        <f>IF('Input Data Sheet'!$P78=0,0,'Input Data Sheet'!AO78/'Input Data Sheet'!$P78)</f>
        <v>0</v>
      </c>
      <c r="AY78" s="331">
        <f>IF('Input Data Sheet'!$P78=0,0,'Input Data Sheet'!AP78/'Input Data Sheet'!$P78)</f>
        <v>0</v>
      </c>
      <c r="AZ78" s="331">
        <f>IF('Input Data Sheet'!$P78=0,0,'Input Data Sheet'!AQ78/'Input Data Sheet'!$P78)</f>
        <v>0</v>
      </c>
      <c r="BA78" s="331">
        <f>IF('Input Data Sheet'!$P78=0,0,'Input Data Sheet'!AR78/'Input Data Sheet'!$P78)</f>
        <v>0</v>
      </c>
      <c r="BB78" s="331">
        <f>IF('Input Data Sheet'!$P78=0,0,'Input Data Sheet'!AS78/'Input Data Sheet'!$P78)</f>
        <v>0</v>
      </c>
      <c r="BC78" s="331">
        <f>IF('Input Data Sheet'!$P78=0,0,'Input Data Sheet'!AT78/'Input Data Sheet'!$P78)</f>
        <v>0</v>
      </c>
      <c r="BD78" s="331">
        <f>IF('Input Data Sheet'!$P78=0,0,'Input Data Sheet'!AU78/'Input Data Sheet'!$P78)</f>
        <v>0</v>
      </c>
      <c r="BE78" s="331">
        <f>IF('Input Data Sheet'!$P78=0,0,'Input Data Sheet'!AV78/'Input Data Sheet'!$P78)</f>
        <v>0</v>
      </c>
      <c r="BF78" s="332">
        <f>IF('Input Data Sheet'!$P78=0,0,'Input Data Sheet'!AW78/'Input Data Sheet'!$P78)</f>
        <v>0</v>
      </c>
      <c r="BG78" s="328">
        <f t="shared" si="22"/>
        <v>1.0000000000000002</v>
      </c>
    </row>
    <row r="79" spans="1:59" x14ac:dyDescent="0.3">
      <c r="A79" s="409" t="str">
        <f>'Input Data Sheet'!B79</f>
        <v>ND0929</v>
      </c>
      <c r="B79" s="314" t="str">
        <f>'Input Data Sheet'!C79</f>
        <v>Transmission line foundation renewal program</v>
      </c>
      <c r="C79" s="314" t="str">
        <f>'Input Data Sheet'!D79</f>
        <v>Asset Renewal</v>
      </c>
      <c r="D79" s="333" t="str">
        <f>'Input Data Sheet'!E79</f>
        <v>2018/19</v>
      </c>
      <c r="E79" s="333">
        <f>'Input Data Sheet'!F79</f>
        <v>6</v>
      </c>
      <c r="F79" s="315"/>
      <c r="G79" s="315"/>
      <c r="H79" s="316">
        <f>'Input Data Sheet'!J79</f>
        <v>1</v>
      </c>
      <c r="I79" s="316"/>
      <c r="J79" s="316">
        <f>'Input Data Sheet'!K79</f>
        <v>0</v>
      </c>
      <c r="K79" s="496"/>
      <c r="L79" s="496"/>
      <c r="M79" s="496"/>
      <c r="N79" s="316"/>
      <c r="O79" s="287">
        <f t="shared" si="20"/>
        <v>4405120</v>
      </c>
      <c r="P79" s="320">
        <f>'Input Data Sheet'!Q79</f>
        <v>0</v>
      </c>
      <c r="Q79" s="287">
        <f>'Input Data Sheet'!R79</f>
        <v>0</v>
      </c>
      <c r="R79" s="341">
        <f>'Input Data Sheet'!S79</f>
        <v>440512</v>
      </c>
      <c r="S79" s="341">
        <f>'Input Data Sheet'!T79</f>
        <v>991152</v>
      </c>
      <c r="T79" s="341">
        <f>'Input Data Sheet'!U79</f>
        <v>991152</v>
      </c>
      <c r="U79" s="341">
        <f>'Input Data Sheet'!V79</f>
        <v>991152</v>
      </c>
      <c r="V79" s="341">
        <f>'Input Data Sheet'!W79</f>
        <v>991152</v>
      </c>
      <c r="W79" s="287">
        <f>'Input Data Sheet'!X79</f>
        <v>0</v>
      </c>
      <c r="X79" s="321">
        <f>'Input Data Sheet'!Y79</f>
        <v>0</v>
      </c>
      <c r="Y79" s="287">
        <f t="shared" si="21"/>
        <v>0</v>
      </c>
      <c r="Z79" s="287">
        <f t="shared" si="12"/>
        <v>0</v>
      </c>
      <c r="AA79" s="341">
        <f t="shared" si="13"/>
        <v>440512</v>
      </c>
      <c r="AB79" s="341">
        <f t="shared" si="14"/>
        <v>991152</v>
      </c>
      <c r="AC79" s="341">
        <f t="shared" si="15"/>
        <v>991152</v>
      </c>
      <c r="AD79" s="341">
        <f t="shared" si="16"/>
        <v>991152</v>
      </c>
      <c r="AE79" s="341">
        <f t="shared" si="17"/>
        <v>991152</v>
      </c>
      <c r="AF79" s="287">
        <f t="shared" si="18"/>
        <v>0</v>
      </c>
      <c r="AG79" s="287">
        <f t="shared" si="19"/>
        <v>0</v>
      </c>
      <c r="AH79" s="322">
        <f>IF($H79,0,IFERROR(IF(VALUE(LEFT(D79,4))&gt;VALUE(LEFT(Parameters!$B$66,4))+1,O79-SUM(R79:X79),0),0))</f>
        <v>0</v>
      </c>
      <c r="AI79" s="330">
        <f>IF('Input Data Sheet'!$P79=0,0,'Input Data Sheet'!Z79/'Input Data Sheet'!$P79)</f>
        <v>1</v>
      </c>
      <c r="AJ79" s="331">
        <f>IF('Input Data Sheet'!$P79=0,0,'Input Data Sheet'!AA79/'Input Data Sheet'!$P79)</f>
        <v>0</v>
      </c>
      <c r="AK79" s="331">
        <f>IF('Input Data Sheet'!$P79=0,0,'Input Data Sheet'!AB79/'Input Data Sheet'!$P79)</f>
        <v>0</v>
      </c>
      <c r="AL79" s="331">
        <f>IF('Input Data Sheet'!$P79=0,0,'Input Data Sheet'!AC79/'Input Data Sheet'!$P79)</f>
        <v>0</v>
      </c>
      <c r="AM79" s="331">
        <f>IF('Input Data Sheet'!$P79=0,0,'Input Data Sheet'!AD79/'Input Data Sheet'!$P79)</f>
        <v>0</v>
      </c>
      <c r="AN79" s="331">
        <f>IF('Input Data Sheet'!$P79=0,0,'Input Data Sheet'!AE79/'Input Data Sheet'!$P79)</f>
        <v>0</v>
      </c>
      <c r="AO79" s="331">
        <f>IF('Input Data Sheet'!$P79=0,0,'Input Data Sheet'!AF79/'Input Data Sheet'!$P79)</f>
        <v>0</v>
      </c>
      <c r="AP79" s="331">
        <f>IF('Input Data Sheet'!$P79=0,0,'Input Data Sheet'!AG79/'Input Data Sheet'!$P79)</f>
        <v>0</v>
      </c>
      <c r="AQ79" s="331">
        <f>IF('Input Data Sheet'!$P79=0,0,'Input Data Sheet'!AH79/'Input Data Sheet'!$P79)</f>
        <v>0</v>
      </c>
      <c r="AR79" s="331">
        <f>IF('Input Data Sheet'!$P79=0,0,'Input Data Sheet'!AI79/'Input Data Sheet'!$P79)</f>
        <v>0</v>
      </c>
      <c r="AS79" s="331">
        <f>IF('Input Data Sheet'!$P79=0,0,'Input Data Sheet'!AJ79/'Input Data Sheet'!$P79)</f>
        <v>0</v>
      </c>
      <c r="AT79" s="331">
        <f>IF('Input Data Sheet'!$P79=0,0,'Input Data Sheet'!AK79/'Input Data Sheet'!$P79)</f>
        <v>0</v>
      </c>
      <c r="AU79" s="331">
        <f>IF('Input Data Sheet'!$P79=0,0,'Input Data Sheet'!AL79/'Input Data Sheet'!$P79)</f>
        <v>0</v>
      </c>
      <c r="AV79" s="331">
        <f>IF('Input Data Sheet'!$P79=0,0,'Input Data Sheet'!AM79/'Input Data Sheet'!$P79)</f>
        <v>0</v>
      </c>
      <c r="AW79" s="331">
        <f>IF('Input Data Sheet'!$P79=0,0,'Input Data Sheet'!AN79/'Input Data Sheet'!$P79)</f>
        <v>0</v>
      </c>
      <c r="AX79" s="331">
        <f>IF('Input Data Sheet'!$P79=0,0,'Input Data Sheet'!AO79/'Input Data Sheet'!$P79)</f>
        <v>0</v>
      </c>
      <c r="AY79" s="331">
        <f>IF('Input Data Sheet'!$P79=0,0,'Input Data Sheet'!AP79/'Input Data Sheet'!$P79)</f>
        <v>0</v>
      </c>
      <c r="AZ79" s="331">
        <f>IF('Input Data Sheet'!$P79=0,0,'Input Data Sheet'!AQ79/'Input Data Sheet'!$P79)</f>
        <v>0</v>
      </c>
      <c r="BA79" s="331">
        <f>IF('Input Data Sheet'!$P79=0,0,'Input Data Sheet'!AR79/'Input Data Sheet'!$P79)</f>
        <v>0</v>
      </c>
      <c r="BB79" s="331">
        <f>IF('Input Data Sheet'!$P79=0,0,'Input Data Sheet'!AS79/'Input Data Sheet'!$P79)</f>
        <v>0</v>
      </c>
      <c r="BC79" s="331">
        <f>IF('Input Data Sheet'!$P79=0,0,'Input Data Sheet'!AT79/'Input Data Sheet'!$P79)</f>
        <v>0</v>
      </c>
      <c r="BD79" s="331">
        <f>IF('Input Data Sheet'!$P79=0,0,'Input Data Sheet'!AU79/'Input Data Sheet'!$P79)</f>
        <v>0</v>
      </c>
      <c r="BE79" s="331">
        <f>IF('Input Data Sheet'!$P79=0,0,'Input Data Sheet'!AV79/'Input Data Sheet'!$P79)</f>
        <v>0</v>
      </c>
      <c r="BF79" s="332">
        <f>IF('Input Data Sheet'!$P79=0,0,'Input Data Sheet'!AW79/'Input Data Sheet'!$P79)</f>
        <v>0</v>
      </c>
      <c r="BG79" s="328">
        <f t="shared" si="22"/>
        <v>1</v>
      </c>
    </row>
    <row r="80" spans="1:59" x14ac:dyDescent="0.3">
      <c r="A80" s="409" t="str">
        <f>'Input Data Sheet'!B80</f>
        <v>ND0924</v>
      </c>
      <c r="B80" s="314" t="str">
        <f>'Input Data Sheet'!C80</f>
        <v>Transmission line insulator assembly renewal program</v>
      </c>
      <c r="C80" s="314" t="str">
        <f>'Input Data Sheet'!D80</f>
        <v>Asset Renewal</v>
      </c>
      <c r="D80" s="333" t="str">
        <f>'Input Data Sheet'!E80</f>
        <v>2018/19</v>
      </c>
      <c r="E80" s="333">
        <f>'Input Data Sheet'!F80</f>
        <v>6</v>
      </c>
      <c r="F80" s="315"/>
      <c r="G80" s="315"/>
      <c r="H80" s="316">
        <f>'Input Data Sheet'!J80</f>
        <v>1</v>
      </c>
      <c r="I80" s="316"/>
      <c r="J80" s="316">
        <f>'Input Data Sheet'!K80</f>
        <v>0</v>
      </c>
      <c r="K80" s="496"/>
      <c r="L80" s="496"/>
      <c r="M80" s="496"/>
      <c r="N80" s="316"/>
      <c r="O80" s="287">
        <f t="shared" si="20"/>
        <v>11681000</v>
      </c>
      <c r="P80" s="320">
        <f>'Input Data Sheet'!Q80</f>
        <v>0</v>
      </c>
      <c r="Q80" s="287">
        <f>'Input Data Sheet'!R80</f>
        <v>0</v>
      </c>
      <c r="R80" s="341">
        <f>'Input Data Sheet'!S80</f>
        <v>1168100</v>
      </c>
      <c r="S80" s="341">
        <f>'Input Data Sheet'!T80</f>
        <v>2628225</v>
      </c>
      <c r="T80" s="341">
        <f>'Input Data Sheet'!U80</f>
        <v>2628225</v>
      </c>
      <c r="U80" s="341">
        <f>'Input Data Sheet'!V80</f>
        <v>2628225</v>
      </c>
      <c r="V80" s="341">
        <f>'Input Data Sheet'!W80</f>
        <v>2628225</v>
      </c>
      <c r="W80" s="287">
        <f>'Input Data Sheet'!X80</f>
        <v>0</v>
      </c>
      <c r="X80" s="321">
        <f>'Input Data Sheet'!Y80</f>
        <v>0</v>
      </c>
      <c r="Y80" s="287">
        <f t="shared" si="21"/>
        <v>0</v>
      </c>
      <c r="Z80" s="287">
        <f t="shared" si="12"/>
        <v>0</v>
      </c>
      <c r="AA80" s="341">
        <f t="shared" si="13"/>
        <v>1168100</v>
      </c>
      <c r="AB80" s="341">
        <f t="shared" si="14"/>
        <v>2628225</v>
      </c>
      <c r="AC80" s="341">
        <f t="shared" si="15"/>
        <v>2628225</v>
      </c>
      <c r="AD80" s="341">
        <f t="shared" si="16"/>
        <v>2628225</v>
      </c>
      <c r="AE80" s="341">
        <f t="shared" si="17"/>
        <v>2628225</v>
      </c>
      <c r="AF80" s="287">
        <f t="shared" si="18"/>
        <v>0</v>
      </c>
      <c r="AG80" s="287">
        <f t="shared" si="19"/>
        <v>0</v>
      </c>
      <c r="AH80" s="322">
        <f>IF($H80,0,IFERROR(IF(VALUE(LEFT(D80,4))&gt;VALUE(LEFT(Parameters!$B$66,4))+1,O80-SUM(R80:X80),0),0))</f>
        <v>0</v>
      </c>
      <c r="AI80" s="330">
        <f>IF('Input Data Sheet'!$P80=0,0,'Input Data Sheet'!Z80/'Input Data Sheet'!$P80)</f>
        <v>0.45</v>
      </c>
      <c r="AJ80" s="331">
        <f>IF('Input Data Sheet'!$P80=0,0,'Input Data Sheet'!AA80/'Input Data Sheet'!$P80)</f>
        <v>0.49</v>
      </c>
      <c r="AK80" s="331">
        <f>IF('Input Data Sheet'!$P80=0,0,'Input Data Sheet'!AB80/'Input Data Sheet'!$P80)</f>
        <v>0.06</v>
      </c>
      <c r="AL80" s="331">
        <f>IF('Input Data Sheet'!$P80=0,0,'Input Data Sheet'!AC80/'Input Data Sheet'!$P80)</f>
        <v>0</v>
      </c>
      <c r="AM80" s="331">
        <f>IF('Input Data Sheet'!$P80=0,0,'Input Data Sheet'!AD80/'Input Data Sheet'!$P80)</f>
        <v>0</v>
      </c>
      <c r="AN80" s="331">
        <f>IF('Input Data Sheet'!$P80=0,0,'Input Data Sheet'!AE80/'Input Data Sheet'!$P80)</f>
        <v>0</v>
      </c>
      <c r="AO80" s="331">
        <f>IF('Input Data Sheet'!$P80=0,0,'Input Data Sheet'!AF80/'Input Data Sheet'!$P80)</f>
        <v>0</v>
      </c>
      <c r="AP80" s="331">
        <f>IF('Input Data Sheet'!$P80=0,0,'Input Data Sheet'!AG80/'Input Data Sheet'!$P80)</f>
        <v>0</v>
      </c>
      <c r="AQ80" s="331">
        <f>IF('Input Data Sheet'!$P80=0,0,'Input Data Sheet'!AH80/'Input Data Sheet'!$P80)</f>
        <v>0</v>
      </c>
      <c r="AR80" s="331">
        <f>IF('Input Data Sheet'!$P80=0,0,'Input Data Sheet'!AI80/'Input Data Sheet'!$P80)</f>
        <v>0</v>
      </c>
      <c r="AS80" s="331">
        <f>IF('Input Data Sheet'!$P80=0,0,'Input Data Sheet'!AJ80/'Input Data Sheet'!$P80)</f>
        <v>0</v>
      </c>
      <c r="AT80" s="331">
        <f>IF('Input Data Sheet'!$P80=0,0,'Input Data Sheet'!AK80/'Input Data Sheet'!$P80)</f>
        <v>0</v>
      </c>
      <c r="AU80" s="331">
        <f>IF('Input Data Sheet'!$P80=0,0,'Input Data Sheet'!AL80/'Input Data Sheet'!$P80)</f>
        <v>0</v>
      </c>
      <c r="AV80" s="331">
        <f>IF('Input Data Sheet'!$P80=0,0,'Input Data Sheet'!AM80/'Input Data Sheet'!$P80)</f>
        <v>0</v>
      </c>
      <c r="AW80" s="331">
        <f>IF('Input Data Sheet'!$P80=0,0,'Input Data Sheet'!AN80/'Input Data Sheet'!$P80)</f>
        <v>0</v>
      </c>
      <c r="AX80" s="331">
        <f>IF('Input Data Sheet'!$P80=0,0,'Input Data Sheet'!AO80/'Input Data Sheet'!$P80)</f>
        <v>0</v>
      </c>
      <c r="AY80" s="331">
        <f>IF('Input Data Sheet'!$P80=0,0,'Input Data Sheet'!AP80/'Input Data Sheet'!$P80)</f>
        <v>0</v>
      </c>
      <c r="AZ80" s="331">
        <f>IF('Input Data Sheet'!$P80=0,0,'Input Data Sheet'!AQ80/'Input Data Sheet'!$P80)</f>
        <v>0</v>
      </c>
      <c r="BA80" s="331">
        <f>IF('Input Data Sheet'!$P80=0,0,'Input Data Sheet'!AR80/'Input Data Sheet'!$P80)</f>
        <v>0</v>
      </c>
      <c r="BB80" s="331">
        <f>IF('Input Data Sheet'!$P80=0,0,'Input Data Sheet'!AS80/'Input Data Sheet'!$P80)</f>
        <v>0</v>
      </c>
      <c r="BC80" s="331">
        <f>IF('Input Data Sheet'!$P80=0,0,'Input Data Sheet'!AT80/'Input Data Sheet'!$P80)</f>
        <v>0</v>
      </c>
      <c r="BD80" s="331">
        <f>IF('Input Data Sheet'!$P80=0,0,'Input Data Sheet'!AU80/'Input Data Sheet'!$P80)</f>
        <v>0</v>
      </c>
      <c r="BE80" s="331">
        <f>IF('Input Data Sheet'!$P80=0,0,'Input Data Sheet'!AV80/'Input Data Sheet'!$P80)</f>
        <v>0</v>
      </c>
      <c r="BF80" s="332">
        <f>IF('Input Data Sheet'!$P80=0,0,'Input Data Sheet'!AW80/'Input Data Sheet'!$P80)</f>
        <v>0</v>
      </c>
      <c r="BG80" s="328">
        <f t="shared" si="22"/>
        <v>1</v>
      </c>
    </row>
    <row r="81" spans="1:59" x14ac:dyDescent="0.3">
      <c r="A81" s="409" t="str">
        <f>'Input Data Sheet'!B81</f>
        <v>ND1242</v>
      </c>
      <c r="B81" s="314" t="str">
        <f>'Input Data Sheet'!C81</f>
        <v>Transmission line K-pole renewal program</v>
      </c>
      <c r="C81" s="314" t="str">
        <f>'Input Data Sheet'!D81</f>
        <v>Asset Renewal</v>
      </c>
      <c r="D81" s="333" t="str">
        <f>'Input Data Sheet'!E81</f>
        <v>2015/16</v>
      </c>
      <c r="E81" s="333">
        <f>'Input Data Sheet'!F81</f>
        <v>6</v>
      </c>
      <c r="F81" s="315"/>
      <c r="G81" s="315"/>
      <c r="H81" s="316">
        <f>'Input Data Sheet'!J81</f>
        <v>1</v>
      </c>
      <c r="I81" s="316"/>
      <c r="J81" s="316">
        <f>'Input Data Sheet'!K81</f>
        <v>0</v>
      </c>
      <c r="K81" s="496"/>
      <c r="L81" s="496"/>
      <c r="M81" s="496"/>
      <c r="N81" s="316"/>
      <c r="O81" s="287">
        <f t="shared" si="20"/>
        <v>5272700</v>
      </c>
      <c r="P81" s="320">
        <f>'Input Data Sheet'!Q81</f>
        <v>0</v>
      </c>
      <c r="Q81" s="287">
        <f>'Input Data Sheet'!R81</f>
        <v>0</v>
      </c>
      <c r="R81" s="341">
        <f>'Input Data Sheet'!S81</f>
        <v>2533764</v>
      </c>
      <c r="S81" s="341">
        <f>'Input Data Sheet'!T81</f>
        <v>2738936</v>
      </c>
      <c r="T81" s="341">
        <f>'Input Data Sheet'!U81</f>
        <v>0</v>
      </c>
      <c r="U81" s="341">
        <f>'Input Data Sheet'!V81</f>
        <v>0</v>
      </c>
      <c r="V81" s="341">
        <f>'Input Data Sheet'!W81</f>
        <v>0</v>
      </c>
      <c r="W81" s="287">
        <f>'Input Data Sheet'!X81</f>
        <v>0</v>
      </c>
      <c r="X81" s="321">
        <f>'Input Data Sheet'!Y81</f>
        <v>0</v>
      </c>
      <c r="Y81" s="287">
        <f t="shared" si="21"/>
        <v>0</v>
      </c>
      <c r="Z81" s="287">
        <f t="shared" si="12"/>
        <v>0</v>
      </c>
      <c r="AA81" s="341">
        <f t="shared" si="13"/>
        <v>2533764</v>
      </c>
      <c r="AB81" s="341">
        <f t="shared" si="14"/>
        <v>2738936</v>
      </c>
      <c r="AC81" s="341">
        <f t="shared" si="15"/>
        <v>0</v>
      </c>
      <c r="AD81" s="341">
        <f t="shared" si="16"/>
        <v>0</v>
      </c>
      <c r="AE81" s="341">
        <f t="shared" si="17"/>
        <v>0</v>
      </c>
      <c r="AF81" s="287">
        <f t="shared" si="18"/>
        <v>0</v>
      </c>
      <c r="AG81" s="287">
        <f t="shared" si="19"/>
        <v>0</v>
      </c>
      <c r="AH81" s="322">
        <f>IF($H81,0,IFERROR(IF(VALUE(LEFT(D81,4))&gt;VALUE(LEFT(Parameters!$B$66,4))+1,O81-SUM(R81:X81),0),0))</f>
        <v>0</v>
      </c>
      <c r="AI81" s="330">
        <f>IF('Input Data Sheet'!$P81=0,0,'Input Data Sheet'!Z81/'Input Data Sheet'!$P81)</f>
        <v>0.45</v>
      </c>
      <c r="AJ81" s="331">
        <f>IF('Input Data Sheet'!$P81=0,0,'Input Data Sheet'!AA81/'Input Data Sheet'!$P81)</f>
        <v>0.49</v>
      </c>
      <c r="AK81" s="331">
        <f>IF('Input Data Sheet'!$P81=0,0,'Input Data Sheet'!AB81/'Input Data Sheet'!$P81)</f>
        <v>0.06</v>
      </c>
      <c r="AL81" s="331">
        <f>IF('Input Data Sheet'!$P81=0,0,'Input Data Sheet'!AC81/'Input Data Sheet'!$P81)</f>
        <v>0</v>
      </c>
      <c r="AM81" s="331">
        <f>IF('Input Data Sheet'!$P81=0,0,'Input Data Sheet'!AD81/'Input Data Sheet'!$P81)</f>
        <v>0</v>
      </c>
      <c r="AN81" s="331">
        <f>IF('Input Data Sheet'!$P81=0,0,'Input Data Sheet'!AE81/'Input Data Sheet'!$P81)</f>
        <v>0</v>
      </c>
      <c r="AO81" s="331">
        <f>IF('Input Data Sheet'!$P81=0,0,'Input Data Sheet'!AF81/'Input Data Sheet'!$P81)</f>
        <v>0</v>
      </c>
      <c r="AP81" s="331">
        <f>IF('Input Data Sheet'!$P81=0,0,'Input Data Sheet'!AG81/'Input Data Sheet'!$P81)</f>
        <v>0</v>
      </c>
      <c r="AQ81" s="331">
        <f>IF('Input Data Sheet'!$P81=0,0,'Input Data Sheet'!AH81/'Input Data Sheet'!$P81)</f>
        <v>0</v>
      </c>
      <c r="AR81" s="331">
        <f>IF('Input Data Sheet'!$P81=0,0,'Input Data Sheet'!AI81/'Input Data Sheet'!$P81)</f>
        <v>0</v>
      </c>
      <c r="AS81" s="331">
        <f>IF('Input Data Sheet'!$P81=0,0,'Input Data Sheet'!AJ81/'Input Data Sheet'!$P81)</f>
        <v>0</v>
      </c>
      <c r="AT81" s="331">
        <f>IF('Input Data Sheet'!$P81=0,0,'Input Data Sheet'!AK81/'Input Data Sheet'!$P81)</f>
        <v>0</v>
      </c>
      <c r="AU81" s="331">
        <f>IF('Input Data Sheet'!$P81=0,0,'Input Data Sheet'!AL81/'Input Data Sheet'!$P81)</f>
        <v>0</v>
      </c>
      <c r="AV81" s="331">
        <f>IF('Input Data Sheet'!$P81=0,0,'Input Data Sheet'!AM81/'Input Data Sheet'!$P81)</f>
        <v>0</v>
      </c>
      <c r="AW81" s="331">
        <f>IF('Input Data Sheet'!$P81=0,0,'Input Data Sheet'!AN81/'Input Data Sheet'!$P81)</f>
        <v>0</v>
      </c>
      <c r="AX81" s="331">
        <f>IF('Input Data Sheet'!$P81=0,0,'Input Data Sheet'!AO81/'Input Data Sheet'!$P81)</f>
        <v>0</v>
      </c>
      <c r="AY81" s="331">
        <f>IF('Input Data Sheet'!$P81=0,0,'Input Data Sheet'!AP81/'Input Data Sheet'!$P81)</f>
        <v>0</v>
      </c>
      <c r="AZ81" s="331">
        <f>IF('Input Data Sheet'!$P81=0,0,'Input Data Sheet'!AQ81/'Input Data Sheet'!$P81)</f>
        <v>0</v>
      </c>
      <c r="BA81" s="331">
        <f>IF('Input Data Sheet'!$P81=0,0,'Input Data Sheet'!AR81/'Input Data Sheet'!$P81)</f>
        <v>0</v>
      </c>
      <c r="BB81" s="331">
        <f>IF('Input Data Sheet'!$P81=0,0,'Input Data Sheet'!AS81/'Input Data Sheet'!$P81)</f>
        <v>0</v>
      </c>
      <c r="BC81" s="331">
        <f>IF('Input Data Sheet'!$P81=0,0,'Input Data Sheet'!AT81/'Input Data Sheet'!$P81)</f>
        <v>0</v>
      </c>
      <c r="BD81" s="331">
        <f>IF('Input Data Sheet'!$P81=0,0,'Input Data Sheet'!AU81/'Input Data Sheet'!$P81)</f>
        <v>0</v>
      </c>
      <c r="BE81" s="331">
        <f>IF('Input Data Sheet'!$P81=0,0,'Input Data Sheet'!AV81/'Input Data Sheet'!$P81)</f>
        <v>0</v>
      </c>
      <c r="BF81" s="332">
        <f>IF('Input Data Sheet'!$P81=0,0,'Input Data Sheet'!AW81/'Input Data Sheet'!$P81)</f>
        <v>0</v>
      </c>
      <c r="BG81" s="328">
        <f t="shared" si="22"/>
        <v>1</v>
      </c>
    </row>
    <row r="82" spans="1:59" x14ac:dyDescent="0.3">
      <c r="A82" s="409" t="str">
        <f>'Input Data Sheet'!B82</f>
        <v>ND1243</v>
      </c>
      <c r="B82" s="314" t="str">
        <f>'Input Data Sheet'!C82</f>
        <v>Transmission line light detection and ranging program</v>
      </c>
      <c r="C82" s="314" t="str">
        <f>'Input Data Sheet'!D82</f>
        <v>Operational Support Systems</v>
      </c>
      <c r="D82" s="333" t="str">
        <f>'Input Data Sheet'!E82</f>
        <v>2014/15</v>
      </c>
      <c r="E82" s="333">
        <f>'Input Data Sheet'!F82</f>
        <v>15</v>
      </c>
      <c r="F82" s="315"/>
      <c r="G82" s="315"/>
      <c r="H82" s="316">
        <f>'Input Data Sheet'!J82</f>
        <v>1</v>
      </c>
      <c r="I82" s="316"/>
      <c r="J82" s="316">
        <f>'Input Data Sheet'!K82</f>
        <v>0</v>
      </c>
      <c r="K82" s="496"/>
      <c r="L82" s="496"/>
      <c r="M82" s="496"/>
      <c r="N82" s="316"/>
      <c r="O82" s="287">
        <f t="shared" si="20"/>
        <v>1556600</v>
      </c>
      <c r="P82" s="320">
        <f>'Input Data Sheet'!Q82</f>
        <v>0</v>
      </c>
      <c r="Q82" s="287">
        <f>'Input Data Sheet'!R82</f>
        <v>36041</v>
      </c>
      <c r="R82" s="341">
        <f>'Input Data Sheet'!S82</f>
        <v>1520559</v>
      </c>
      <c r="S82" s="341">
        <f>'Input Data Sheet'!T82</f>
        <v>0</v>
      </c>
      <c r="T82" s="341">
        <f>'Input Data Sheet'!U82</f>
        <v>0</v>
      </c>
      <c r="U82" s="341">
        <f>'Input Data Sheet'!V82</f>
        <v>0</v>
      </c>
      <c r="V82" s="341">
        <f>'Input Data Sheet'!W82</f>
        <v>0</v>
      </c>
      <c r="W82" s="287">
        <f>'Input Data Sheet'!X82</f>
        <v>0</v>
      </c>
      <c r="X82" s="321">
        <f>'Input Data Sheet'!Y82</f>
        <v>0</v>
      </c>
      <c r="Y82" s="287">
        <f t="shared" si="21"/>
        <v>0</v>
      </c>
      <c r="Z82" s="287">
        <f t="shared" si="12"/>
        <v>36041</v>
      </c>
      <c r="AA82" s="341">
        <f t="shared" si="13"/>
        <v>1520559</v>
      </c>
      <c r="AB82" s="341">
        <f t="shared" si="14"/>
        <v>0</v>
      </c>
      <c r="AC82" s="341">
        <f t="shared" si="15"/>
        <v>0</v>
      </c>
      <c r="AD82" s="341">
        <f t="shared" si="16"/>
        <v>0</v>
      </c>
      <c r="AE82" s="341">
        <f t="shared" si="17"/>
        <v>0</v>
      </c>
      <c r="AF82" s="287">
        <f t="shared" si="18"/>
        <v>0</v>
      </c>
      <c r="AG82" s="287">
        <f t="shared" si="19"/>
        <v>0</v>
      </c>
      <c r="AH82" s="322">
        <f>IF($H82,0,IFERROR(IF(VALUE(LEFT(D82,4))&gt;VALUE(LEFT(Parameters!$B$66,4))+1,O82-SUM(R82:X82),0),0))</f>
        <v>0</v>
      </c>
      <c r="AI82" s="330">
        <f>IF('Input Data Sheet'!$P82=0,0,'Input Data Sheet'!Z82/'Input Data Sheet'!$P82)</f>
        <v>2.1681870743929077E-2</v>
      </c>
      <c r="AJ82" s="331">
        <f>IF('Input Data Sheet'!$P82=0,0,'Input Data Sheet'!AA82/'Input Data Sheet'!$P82)</f>
        <v>2.3609148143389439E-2</v>
      </c>
      <c r="AK82" s="331">
        <f>IF('Input Data Sheet'!$P82=0,0,'Input Data Sheet'!AB82/'Input Data Sheet'!$P82)</f>
        <v>2.8909160991905437E-3</v>
      </c>
      <c r="AL82" s="331">
        <f>IF('Input Data Sheet'!$P82=0,0,'Input Data Sheet'!AC82/'Input Data Sheet'!$P82)</f>
        <v>0</v>
      </c>
      <c r="AM82" s="331">
        <f>IF('Input Data Sheet'!$P82=0,0,'Input Data Sheet'!AD82/'Input Data Sheet'!$P82)</f>
        <v>0</v>
      </c>
      <c r="AN82" s="331">
        <f>IF('Input Data Sheet'!$P82=0,0,'Input Data Sheet'!AE82/'Input Data Sheet'!$P82)</f>
        <v>0</v>
      </c>
      <c r="AO82" s="331">
        <f>IF('Input Data Sheet'!$P82=0,0,'Input Data Sheet'!AF82/'Input Data Sheet'!$P82)</f>
        <v>0</v>
      </c>
      <c r="AP82" s="331">
        <f>IF('Input Data Sheet'!$P82=0,0,'Input Data Sheet'!AG82/'Input Data Sheet'!$P82)</f>
        <v>0</v>
      </c>
      <c r="AQ82" s="331">
        <f>IF('Input Data Sheet'!$P82=0,0,'Input Data Sheet'!AH82/'Input Data Sheet'!$P82)</f>
        <v>0</v>
      </c>
      <c r="AR82" s="331">
        <f>IF('Input Data Sheet'!$P82=0,0,'Input Data Sheet'!AI82/'Input Data Sheet'!$P82)</f>
        <v>0</v>
      </c>
      <c r="AS82" s="331">
        <f>IF('Input Data Sheet'!$P82=0,0,'Input Data Sheet'!AJ82/'Input Data Sheet'!$P82)</f>
        <v>0</v>
      </c>
      <c r="AT82" s="331">
        <f>IF('Input Data Sheet'!$P82=0,0,'Input Data Sheet'!AK82/'Input Data Sheet'!$P82)</f>
        <v>0</v>
      </c>
      <c r="AU82" s="331">
        <f>IF('Input Data Sheet'!$P82=0,0,'Input Data Sheet'!AL82/'Input Data Sheet'!$P82)</f>
        <v>0</v>
      </c>
      <c r="AV82" s="331">
        <f>IF('Input Data Sheet'!$P82=0,0,'Input Data Sheet'!AM82/'Input Data Sheet'!$P82)</f>
        <v>0</v>
      </c>
      <c r="AW82" s="331">
        <f>IF('Input Data Sheet'!$P82=0,0,'Input Data Sheet'!AN82/'Input Data Sheet'!$P82)</f>
        <v>0</v>
      </c>
      <c r="AX82" s="331">
        <f>IF('Input Data Sheet'!$P82=0,0,'Input Data Sheet'!AO82/'Input Data Sheet'!$P82)</f>
        <v>0</v>
      </c>
      <c r="AY82" s="331">
        <f>IF('Input Data Sheet'!$P82=0,0,'Input Data Sheet'!AP82/'Input Data Sheet'!$P82)</f>
        <v>0.95181806501349098</v>
      </c>
      <c r="AZ82" s="331">
        <f>IF('Input Data Sheet'!$P82=0,0,'Input Data Sheet'!AQ82/'Input Data Sheet'!$P82)</f>
        <v>0</v>
      </c>
      <c r="BA82" s="331">
        <f>IF('Input Data Sheet'!$P82=0,0,'Input Data Sheet'!AR82/'Input Data Sheet'!$P82)</f>
        <v>0</v>
      </c>
      <c r="BB82" s="331">
        <f>IF('Input Data Sheet'!$P82=0,0,'Input Data Sheet'!AS82/'Input Data Sheet'!$P82)</f>
        <v>0</v>
      </c>
      <c r="BC82" s="331">
        <f>IF('Input Data Sheet'!$P82=0,0,'Input Data Sheet'!AT82/'Input Data Sheet'!$P82)</f>
        <v>0</v>
      </c>
      <c r="BD82" s="331">
        <f>IF('Input Data Sheet'!$P82=0,0,'Input Data Sheet'!AU82/'Input Data Sheet'!$P82)</f>
        <v>0</v>
      </c>
      <c r="BE82" s="331">
        <f>IF('Input Data Sheet'!$P82=0,0,'Input Data Sheet'!AV82/'Input Data Sheet'!$P82)</f>
        <v>0</v>
      </c>
      <c r="BF82" s="332">
        <f>IF('Input Data Sheet'!$P82=0,0,'Input Data Sheet'!AW82/'Input Data Sheet'!$P82)</f>
        <v>0</v>
      </c>
      <c r="BG82" s="328">
        <f t="shared" si="22"/>
        <v>1</v>
      </c>
    </row>
    <row r="83" spans="1:59" x14ac:dyDescent="0.3">
      <c r="A83" s="409" t="str">
        <f>'Input Data Sheet'!B83</f>
        <v>ND1236</v>
      </c>
      <c r="B83" s="314" t="str">
        <f>'Input Data Sheet'!C83</f>
        <v>Transmission line protection renewal program</v>
      </c>
      <c r="C83" s="314" t="str">
        <f>'Input Data Sheet'!D83</f>
        <v>Asset Renewal</v>
      </c>
      <c r="D83" s="333" t="str">
        <f>'Input Data Sheet'!E83</f>
        <v>2018/19</v>
      </c>
      <c r="E83" s="333">
        <f>'Input Data Sheet'!F83</f>
        <v>13</v>
      </c>
      <c r="F83" s="315"/>
      <c r="G83" s="315"/>
      <c r="H83" s="316">
        <f>'Input Data Sheet'!J83</f>
        <v>1</v>
      </c>
      <c r="I83" s="316"/>
      <c r="J83" s="316">
        <f>'Input Data Sheet'!K83</f>
        <v>0</v>
      </c>
      <c r="K83" s="496"/>
      <c r="L83" s="496"/>
      <c r="M83" s="496"/>
      <c r="N83" s="316"/>
      <c r="O83" s="287">
        <f t="shared" si="20"/>
        <v>3946436</v>
      </c>
      <c r="P83" s="320">
        <f>'Input Data Sheet'!Q83</f>
        <v>0</v>
      </c>
      <c r="Q83" s="287">
        <f>'Input Data Sheet'!R83</f>
        <v>0</v>
      </c>
      <c r="R83" s="341">
        <f>'Input Data Sheet'!S83</f>
        <v>0</v>
      </c>
      <c r="S83" s="341">
        <f>'Input Data Sheet'!T83</f>
        <v>0</v>
      </c>
      <c r="T83" s="341">
        <f>'Input Data Sheet'!U83</f>
        <v>492059</v>
      </c>
      <c r="U83" s="341">
        <f>'Input Data Sheet'!V83</f>
        <v>3412791</v>
      </c>
      <c r="V83" s="341">
        <f>'Input Data Sheet'!W83</f>
        <v>41586</v>
      </c>
      <c r="W83" s="287">
        <f>'Input Data Sheet'!X83</f>
        <v>0</v>
      </c>
      <c r="X83" s="321">
        <f>'Input Data Sheet'!Y83</f>
        <v>0</v>
      </c>
      <c r="Y83" s="287">
        <f t="shared" si="21"/>
        <v>0</v>
      </c>
      <c r="Z83" s="287">
        <f t="shared" si="12"/>
        <v>0</v>
      </c>
      <c r="AA83" s="341">
        <f t="shared" si="13"/>
        <v>0</v>
      </c>
      <c r="AB83" s="341">
        <f t="shared" si="14"/>
        <v>0</v>
      </c>
      <c r="AC83" s="341">
        <f t="shared" si="15"/>
        <v>492059</v>
      </c>
      <c r="AD83" s="341">
        <f t="shared" si="16"/>
        <v>3412791</v>
      </c>
      <c r="AE83" s="341">
        <f t="shared" si="17"/>
        <v>41586</v>
      </c>
      <c r="AF83" s="287">
        <f t="shared" si="18"/>
        <v>0</v>
      </c>
      <c r="AG83" s="287">
        <f t="shared" si="19"/>
        <v>0</v>
      </c>
      <c r="AH83" s="322">
        <f>IF($H83,0,IFERROR(IF(VALUE(LEFT(D83,4))&gt;VALUE(LEFT(Parameters!$B$66,4))+1,O83-SUM(R83:X83),0),0))</f>
        <v>0</v>
      </c>
      <c r="AI83" s="330">
        <f>IF('Input Data Sheet'!$P83=0,0,'Input Data Sheet'!Z83/'Input Data Sheet'!$P83)</f>
        <v>0</v>
      </c>
      <c r="AJ83" s="331">
        <f>IF('Input Data Sheet'!$P83=0,0,'Input Data Sheet'!AA83/'Input Data Sheet'!$P83)</f>
        <v>0</v>
      </c>
      <c r="AK83" s="331">
        <f>IF('Input Data Sheet'!$P83=0,0,'Input Data Sheet'!AB83/'Input Data Sheet'!$P83)</f>
        <v>0</v>
      </c>
      <c r="AL83" s="331">
        <f>IF('Input Data Sheet'!$P83=0,0,'Input Data Sheet'!AC83/'Input Data Sheet'!$P83)</f>
        <v>1.5053835916761351E-2</v>
      </c>
      <c r="AM83" s="331">
        <f>IF('Input Data Sheet'!$P83=0,0,'Input Data Sheet'!AD83/'Input Data Sheet'!$P83)</f>
        <v>2.4193728214520645E-2</v>
      </c>
      <c r="AN83" s="331">
        <f>IF('Input Data Sheet'!$P83=0,0,'Input Data Sheet'!AE83/'Input Data Sheet'!$P83)</f>
        <v>3.2259486787572381E-3</v>
      </c>
      <c r="AO83" s="331">
        <f>IF('Input Data Sheet'!$P83=0,0,'Input Data Sheet'!AF83/'Input Data Sheet'!$P83)</f>
        <v>0.95752648718996081</v>
      </c>
      <c r="AP83" s="331">
        <f>IF('Input Data Sheet'!$P83=0,0,'Input Data Sheet'!AG83/'Input Data Sheet'!$P83)</f>
        <v>0</v>
      </c>
      <c r="AQ83" s="331">
        <f>IF('Input Data Sheet'!$P83=0,0,'Input Data Sheet'!AH83/'Input Data Sheet'!$P83)</f>
        <v>0</v>
      </c>
      <c r="AR83" s="331">
        <f>IF('Input Data Sheet'!$P83=0,0,'Input Data Sheet'!AI83/'Input Data Sheet'!$P83)</f>
        <v>0</v>
      </c>
      <c r="AS83" s="331">
        <f>IF('Input Data Sheet'!$P83=0,0,'Input Data Sheet'!AJ83/'Input Data Sheet'!$P83)</f>
        <v>0</v>
      </c>
      <c r="AT83" s="331">
        <f>IF('Input Data Sheet'!$P83=0,0,'Input Data Sheet'!AK83/'Input Data Sheet'!$P83)</f>
        <v>0</v>
      </c>
      <c r="AU83" s="331">
        <f>IF('Input Data Sheet'!$P83=0,0,'Input Data Sheet'!AL83/'Input Data Sheet'!$P83)</f>
        <v>0</v>
      </c>
      <c r="AV83" s="331">
        <f>IF('Input Data Sheet'!$P83=0,0,'Input Data Sheet'!AM83/'Input Data Sheet'!$P83)</f>
        <v>0</v>
      </c>
      <c r="AW83" s="331">
        <f>IF('Input Data Sheet'!$P83=0,0,'Input Data Sheet'!AN83/'Input Data Sheet'!$P83)</f>
        <v>0</v>
      </c>
      <c r="AX83" s="331">
        <f>IF('Input Data Sheet'!$P83=0,0,'Input Data Sheet'!AO83/'Input Data Sheet'!$P83)</f>
        <v>0</v>
      </c>
      <c r="AY83" s="331">
        <f>IF('Input Data Sheet'!$P83=0,0,'Input Data Sheet'!AP83/'Input Data Sheet'!$P83)</f>
        <v>0</v>
      </c>
      <c r="AZ83" s="331">
        <f>IF('Input Data Sheet'!$P83=0,0,'Input Data Sheet'!AQ83/'Input Data Sheet'!$P83)</f>
        <v>0</v>
      </c>
      <c r="BA83" s="331">
        <f>IF('Input Data Sheet'!$P83=0,0,'Input Data Sheet'!AR83/'Input Data Sheet'!$P83)</f>
        <v>0</v>
      </c>
      <c r="BB83" s="331">
        <f>IF('Input Data Sheet'!$P83=0,0,'Input Data Sheet'!AS83/'Input Data Sheet'!$P83)</f>
        <v>0</v>
      </c>
      <c r="BC83" s="331">
        <f>IF('Input Data Sheet'!$P83=0,0,'Input Data Sheet'!AT83/'Input Data Sheet'!$P83)</f>
        <v>0</v>
      </c>
      <c r="BD83" s="331">
        <f>IF('Input Data Sheet'!$P83=0,0,'Input Data Sheet'!AU83/'Input Data Sheet'!$P83)</f>
        <v>0</v>
      </c>
      <c r="BE83" s="331">
        <f>IF('Input Data Sheet'!$P83=0,0,'Input Data Sheet'!AV83/'Input Data Sheet'!$P83)</f>
        <v>0</v>
      </c>
      <c r="BF83" s="332">
        <f>IF('Input Data Sheet'!$P83=0,0,'Input Data Sheet'!AW83/'Input Data Sheet'!$P83)</f>
        <v>0</v>
      </c>
      <c r="BG83" s="328">
        <f t="shared" si="22"/>
        <v>1</v>
      </c>
    </row>
    <row r="84" spans="1:59" x14ac:dyDescent="0.3">
      <c r="A84" s="409" t="str">
        <f>'Input Data Sheet'!B84</f>
        <v>ND0822</v>
      </c>
      <c r="B84" s="314" t="str">
        <f>'Input Data Sheet'!C84</f>
        <v>Transmission line signage compliance program</v>
      </c>
      <c r="C84" s="314" t="str">
        <f>'Input Data Sheet'!D84</f>
        <v>Physical Security / Compliance</v>
      </c>
      <c r="D84" s="333" t="str">
        <f>'Input Data Sheet'!E84</f>
        <v>2018/19</v>
      </c>
      <c r="E84" s="333">
        <f>'Input Data Sheet'!F84</f>
        <v>6</v>
      </c>
      <c r="F84" s="315"/>
      <c r="G84" s="315"/>
      <c r="H84" s="316">
        <f>'Input Data Sheet'!J84</f>
        <v>1</v>
      </c>
      <c r="I84" s="316"/>
      <c r="J84" s="316">
        <f>'Input Data Sheet'!K84</f>
        <v>0</v>
      </c>
      <c r="K84" s="496"/>
      <c r="L84" s="496"/>
      <c r="M84" s="496"/>
      <c r="N84" s="316"/>
      <c r="O84" s="287">
        <f t="shared" si="20"/>
        <v>1612000</v>
      </c>
      <c r="P84" s="320">
        <f>'Input Data Sheet'!Q84</f>
        <v>0</v>
      </c>
      <c r="Q84" s="287">
        <f>'Input Data Sheet'!R84</f>
        <v>0</v>
      </c>
      <c r="R84" s="341">
        <f>'Input Data Sheet'!S84</f>
        <v>161200</v>
      </c>
      <c r="S84" s="341">
        <f>'Input Data Sheet'!T84</f>
        <v>362700</v>
      </c>
      <c r="T84" s="341">
        <f>'Input Data Sheet'!U84</f>
        <v>362700</v>
      </c>
      <c r="U84" s="341">
        <f>'Input Data Sheet'!V84</f>
        <v>362700</v>
      </c>
      <c r="V84" s="341">
        <f>'Input Data Sheet'!W84</f>
        <v>362700</v>
      </c>
      <c r="W84" s="287">
        <f>'Input Data Sheet'!X84</f>
        <v>0</v>
      </c>
      <c r="X84" s="321">
        <f>'Input Data Sheet'!Y84</f>
        <v>0</v>
      </c>
      <c r="Y84" s="287">
        <f t="shared" si="21"/>
        <v>0</v>
      </c>
      <c r="Z84" s="287">
        <f t="shared" si="12"/>
        <v>0</v>
      </c>
      <c r="AA84" s="341">
        <f t="shared" si="13"/>
        <v>161200</v>
      </c>
      <c r="AB84" s="341">
        <f t="shared" si="14"/>
        <v>362700</v>
      </c>
      <c r="AC84" s="341">
        <f t="shared" si="15"/>
        <v>362700</v>
      </c>
      <c r="AD84" s="341">
        <f t="shared" si="16"/>
        <v>362700</v>
      </c>
      <c r="AE84" s="341">
        <f t="shared" si="17"/>
        <v>362700</v>
      </c>
      <c r="AF84" s="287">
        <f t="shared" si="18"/>
        <v>0</v>
      </c>
      <c r="AG84" s="287">
        <f t="shared" si="19"/>
        <v>0</v>
      </c>
      <c r="AH84" s="322">
        <f>IF($H84,0,IFERROR(IF(VALUE(LEFT(D84,4))&gt;VALUE(LEFT(Parameters!$B$66,4))+1,O84-SUM(R84:X84),0),0))</f>
        <v>0</v>
      </c>
      <c r="AI84" s="330">
        <f>IF('Input Data Sheet'!$P84=0,0,'Input Data Sheet'!Z84/'Input Data Sheet'!$P84)</f>
        <v>0.45</v>
      </c>
      <c r="AJ84" s="331">
        <f>IF('Input Data Sheet'!$P84=0,0,'Input Data Sheet'!AA84/'Input Data Sheet'!$P84)</f>
        <v>0.49</v>
      </c>
      <c r="AK84" s="331">
        <f>IF('Input Data Sheet'!$P84=0,0,'Input Data Sheet'!AB84/'Input Data Sheet'!$P84)</f>
        <v>0.06</v>
      </c>
      <c r="AL84" s="331">
        <f>IF('Input Data Sheet'!$P84=0,0,'Input Data Sheet'!AC84/'Input Data Sheet'!$P84)</f>
        <v>0</v>
      </c>
      <c r="AM84" s="331">
        <f>IF('Input Data Sheet'!$P84=0,0,'Input Data Sheet'!AD84/'Input Data Sheet'!$P84)</f>
        <v>0</v>
      </c>
      <c r="AN84" s="331">
        <f>IF('Input Data Sheet'!$P84=0,0,'Input Data Sheet'!AE84/'Input Data Sheet'!$P84)</f>
        <v>0</v>
      </c>
      <c r="AO84" s="331">
        <f>IF('Input Data Sheet'!$P84=0,0,'Input Data Sheet'!AF84/'Input Data Sheet'!$P84)</f>
        <v>0</v>
      </c>
      <c r="AP84" s="331">
        <f>IF('Input Data Sheet'!$P84=0,0,'Input Data Sheet'!AG84/'Input Data Sheet'!$P84)</f>
        <v>0</v>
      </c>
      <c r="AQ84" s="331">
        <f>IF('Input Data Sheet'!$P84=0,0,'Input Data Sheet'!AH84/'Input Data Sheet'!$P84)</f>
        <v>0</v>
      </c>
      <c r="AR84" s="331">
        <f>IF('Input Data Sheet'!$P84=0,0,'Input Data Sheet'!AI84/'Input Data Sheet'!$P84)</f>
        <v>0</v>
      </c>
      <c r="AS84" s="331">
        <f>IF('Input Data Sheet'!$P84=0,0,'Input Data Sheet'!AJ84/'Input Data Sheet'!$P84)</f>
        <v>0</v>
      </c>
      <c r="AT84" s="331">
        <f>IF('Input Data Sheet'!$P84=0,0,'Input Data Sheet'!AK84/'Input Data Sheet'!$P84)</f>
        <v>0</v>
      </c>
      <c r="AU84" s="331">
        <f>IF('Input Data Sheet'!$P84=0,0,'Input Data Sheet'!AL84/'Input Data Sheet'!$P84)</f>
        <v>0</v>
      </c>
      <c r="AV84" s="331">
        <f>IF('Input Data Sheet'!$P84=0,0,'Input Data Sheet'!AM84/'Input Data Sheet'!$P84)</f>
        <v>0</v>
      </c>
      <c r="AW84" s="331">
        <f>IF('Input Data Sheet'!$P84=0,0,'Input Data Sheet'!AN84/'Input Data Sheet'!$P84)</f>
        <v>0</v>
      </c>
      <c r="AX84" s="331">
        <f>IF('Input Data Sheet'!$P84=0,0,'Input Data Sheet'!AO84/'Input Data Sheet'!$P84)</f>
        <v>0</v>
      </c>
      <c r="AY84" s="331">
        <f>IF('Input Data Sheet'!$P84=0,0,'Input Data Sheet'!AP84/'Input Data Sheet'!$P84)</f>
        <v>0</v>
      </c>
      <c r="AZ84" s="331">
        <f>IF('Input Data Sheet'!$P84=0,0,'Input Data Sheet'!AQ84/'Input Data Sheet'!$P84)</f>
        <v>0</v>
      </c>
      <c r="BA84" s="331">
        <f>IF('Input Data Sheet'!$P84=0,0,'Input Data Sheet'!AR84/'Input Data Sheet'!$P84)</f>
        <v>0</v>
      </c>
      <c r="BB84" s="331">
        <f>IF('Input Data Sheet'!$P84=0,0,'Input Data Sheet'!AS84/'Input Data Sheet'!$P84)</f>
        <v>0</v>
      </c>
      <c r="BC84" s="331">
        <f>IF('Input Data Sheet'!$P84=0,0,'Input Data Sheet'!AT84/'Input Data Sheet'!$P84)</f>
        <v>0</v>
      </c>
      <c r="BD84" s="331">
        <f>IF('Input Data Sheet'!$P84=0,0,'Input Data Sheet'!AU84/'Input Data Sheet'!$P84)</f>
        <v>0</v>
      </c>
      <c r="BE84" s="331">
        <f>IF('Input Data Sheet'!$P84=0,0,'Input Data Sheet'!AV84/'Input Data Sheet'!$P84)</f>
        <v>0</v>
      </c>
      <c r="BF84" s="332">
        <f>IF('Input Data Sheet'!$P84=0,0,'Input Data Sheet'!AW84/'Input Data Sheet'!$P84)</f>
        <v>0</v>
      </c>
      <c r="BG84" s="328">
        <f t="shared" si="22"/>
        <v>1</v>
      </c>
    </row>
    <row r="85" spans="1:59" x14ac:dyDescent="0.3">
      <c r="A85" s="409" t="str">
        <f>'Input Data Sheet'!B85</f>
        <v>ND1268</v>
      </c>
      <c r="B85" s="314" t="str">
        <f>'Input Data Sheet'!C85</f>
        <v>Transmission line support assembly refurbishment program</v>
      </c>
      <c r="C85" s="314" t="str">
        <f>'Input Data Sheet'!D85</f>
        <v>Asset Renewal</v>
      </c>
      <c r="D85" s="333" t="str">
        <f>'Input Data Sheet'!E85</f>
        <v>2018/19</v>
      </c>
      <c r="E85" s="333">
        <f>'Input Data Sheet'!F85</f>
        <v>6</v>
      </c>
      <c r="F85" s="315"/>
      <c r="G85" s="315"/>
      <c r="H85" s="316">
        <f>'Input Data Sheet'!J85</f>
        <v>1</v>
      </c>
      <c r="I85" s="316"/>
      <c r="J85" s="316">
        <f>'Input Data Sheet'!K85</f>
        <v>0</v>
      </c>
      <c r="K85" s="496"/>
      <c r="L85" s="496"/>
      <c r="M85" s="496"/>
      <c r="N85" s="316"/>
      <c r="O85" s="287">
        <f t="shared" si="20"/>
        <v>2249701</v>
      </c>
      <c r="P85" s="320">
        <f>'Input Data Sheet'!Q85</f>
        <v>0</v>
      </c>
      <c r="Q85" s="287">
        <f>'Input Data Sheet'!R85</f>
        <v>0</v>
      </c>
      <c r="R85" s="341">
        <f>'Input Data Sheet'!S85</f>
        <v>224970.1</v>
      </c>
      <c r="S85" s="341">
        <f>'Input Data Sheet'!T85</f>
        <v>506182.72499999998</v>
      </c>
      <c r="T85" s="341">
        <f>'Input Data Sheet'!U85</f>
        <v>506182.72499999998</v>
      </c>
      <c r="U85" s="341">
        <f>'Input Data Sheet'!V85</f>
        <v>506182.72499999998</v>
      </c>
      <c r="V85" s="341">
        <f>'Input Data Sheet'!W85</f>
        <v>506182.72499999998</v>
      </c>
      <c r="W85" s="287">
        <f>'Input Data Sheet'!X85</f>
        <v>0</v>
      </c>
      <c r="X85" s="321">
        <f>'Input Data Sheet'!Y85</f>
        <v>0</v>
      </c>
      <c r="Y85" s="287">
        <f t="shared" si="21"/>
        <v>0</v>
      </c>
      <c r="Z85" s="287">
        <f t="shared" si="12"/>
        <v>0</v>
      </c>
      <c r="AA85" s="341">
        <f t="shared" si="13"/>
        <v>224970.1</v>
      </c>
      <c r="AB85" s="341">
        <f t="shared" si="14"/>
        <v>506182.72499999998</v>
      </c>
      <c r="AC85" s="341">
        <f t="shared" si="15"/>
        <v>506182.72499999998</v>
      </c>
      <c r="AD85" s="341">
        <f t="shared" si="16"/>
        <v>506182.72499999998</v>
      </c>
      <c r="AE85" s="341">
        <f t="shared" si="17"/>
        <v>506182.72499999998</v>
      </c>
      <c r="AF85" s="287">
        <f t="shared" si="18"/>
        <v>0</v>
      </c>
      <c r="AG85" s="287">
        <f t="shared" si="19"/>
        <v>0</v>
      </c>
      <c r="AH85" s="322">
        <f>IF($H85,0,IFERROR(IF(VALUE(LEFT(D85,4))&gt;VALUE(LEFT(Parameters!$B$66,4))+1,O85-SUM(R85:X85),0),0))</f>
        <v>0</v>
      </c>
      <c r="AI85" s="330">
        <f>IF('Input Data Sheet'!$P85=0,0,'Input Data Sheet'!Z85/'Input Data Sheet'!$P85)</f>
        <v>0.44999979997341871</v>
      </c>
      <c r="AJ85" s="331">
        <f>IF('Input Data Sheet'!$P85=0,0,'Input Data Sheet'!AA85/'Input Data Sheet'!$P85)</f>
        <v>0.48999978219327811</v>
      </c>
      <c r="AK85" s="331">
        <f>IF('Input Data Sheet'!$P85=0,0,'Input Data Sheet'!AB85/'Input Data Sheet'!$P85)</f>
        <v>5.9999973329789159E-2</v>
      </c>
      <c r="AL85" s="331">
        <f>IF('Input Data Sheet'!$P85=0,0,'Input Data Sheet'!AC85/'Input Data Sheet'!$P85)</f>
        <v>0</v>
      </c>
      <c r="AM85" s="331">
        <f>IF('Input Data Sheet'!$P85=0,0,'Input Data Sheet'!AD85/'Input Data Sheet'!$P85)</f>
        <v>0</v>
      </c>
      <c r="AN85" s="331">
        <f>IF('Input Data Sheet'!$P85=0,0,'Input Data Sheet'!AE85/'Input Data Sheet'!$P85)</f>
        <v>0</v>
      </c>
      <c r="AO85" s="331">
        <f>IF('Input Data Sheet'!$P85=0,0,'Input Data Sheet'!AF85/'Input Data Sheet'!$P85)</f>
        <v>0</v>
      </c>
      <c r="AP85" s="331">
        <f>IF('Input Data Sheet'!$P85=0,0,'Input Data Sheet'!AG85/'Input Data Sheet'!$P85)</f>
        <v>0</v>
      </c>
      <c r="AQ85" s="331">
        <f>IF('Input Data Sheet'!$P85=0,0,'Input Data Sheet'!AH85/'Input Data Sheet'!$P85)</f>
        <v>0</v>
      </c>
      <c r="AR85" s="331">
        <f>IF('Input Data Sheet'!$P85=0,0,'Input Data Sheet'!AI85/'Input Data Sheet'!$P85)</f>
        <v>0</v>
      </c>
      <c r="AS85" s="331">
        <f>IF('Input Data Sheet'!$P85=0,0,'Input Data Sheet'!AJ85/'Input Data Sheet'!$P85)</f>
        <v>0</v>
      </c>
      <c r="AT85" s="331">
        <f>IF('Input Data Sheet'!$P85=0,0,'Input Data Sheet'!AK85/'Input Data Sheet'!$P85)</f>
        <v>0</v>
      </c>
      <c r="AU85" s="331">
        <f>IF('Input Data Sheet'!$P85=0,0,'Input Data Sheet'!AL85/'Input Data Sheet'!$P85)</f>
        <v>0</v>
      </c>
      <c r="AV85" s="331">
        <f>IF('Input Data Sheet'!$P85=0,0,'Input Data Sheet'!AM85/'Input Data Sheet'!$P85)</f>
        <v>0</v>
      </c>
      <c r="AW85" s="331">
        <f>IF('Input Data Sheet'!$P85=0,0,'Input Data Sheet'!AN85/'Input Data Sheet'!$P85)</f>
        <v>0</v>
      </c>
      <c r="AX85" s="331">
        <f>IF('Input Data Sheet'!$P85=0,0,'Input Data Sheet'!AO85/'Input Data Sheet'!$P85)</f>
        <v>0</v>
      </c>
      <c r="AY85" s="331">
        <f>IF('Input Data Sheet'!$P85=0,0,'Input Data Sheet'!AP85/'Input Data Sheet'!$P85)</f>
        <v>0</v>
      </c>
      <c r="AZ85" s="331">
        <f>IF('Input Data Sheet'!$P85=0,0,'Input Data Sheet'!AQ85/'Input Data Sheet'!$P85)</f>
        <v>0</v>
      </c>
      <c r="BA85" s="331">
        <f>IF('Input Data Sheet'!$P85=0,0,'Input Data Sheet'!AR85/'Input Data Sheet'!$P85)</f>
        <v>0</v>
      </c>
      <c r="BB85" s="331">
        <f>IF('Input Data Sheet'!$P85=0,0,'Input Data Sheet'!AS85/'Input Data Sheet'!$P85)</f>
        <v>0</v>
      </c>
      <c r="BC85" s="331">
        <f>IF('Input Data Sheet'!$P85=0,0,'Input Data Sheet'!AT85/'Input Data Sheet'!$P85)</f>
        <v>0</v>
      </c>
      <c r="BD85" s="331">
        <f>IF('Input Data Sheet'!$P85=0,0,'Input Data Sheet'!AU85/'Input Data Sheet'!$P85)</f>
        <v>0</v>
      </c>
      <c r="BE85" s="331">
        <f>IF('Input Data Sheet'!$P85=0,0,'Input Data Sheet'!AV85/'Input Data Sheet'!$P85)</f>
        <v>0</v>
      </c>
      <c r="BF85" s="332">
        <f>IF('Input Data Sheet'!$P85=0,0,'Input Data Sheet'!AW85/'Input Data Sheet'!$P85)</f>
        <v>0</v>
      </c>
      <c r="BG85" s="328">
        <f t="shared" si="22"/>
        <v>0.999999555496486</v>
      </c>
    </row>
    <row r="86" spans="1:59" x14ac:dyDescent="0.3">
      <c r="A86" s="409" t="str">
        <f>'Input Data Sheet'!B86</f>
        <v>ND0926</v>
      </c>
      <c r="B86" s="314" t="str">
        <f>'Input Data Sheet'!C86</f>
        <v>Transmission line support assembly renewal program</v>
      </c>
      <c r="C86" s="314" t="str">
        <f>'Input Data Sheet'!D86</f>
        <v>Asset Renewal</v>
      </c>
      <c r="D86" s="333" t="str">
        <f>'Input Data Sheet'!E86</f>
        <v>2018/19</v>
      </c>
      <c r="E86" s="333">
        <f>'Input Data Sheet'!F86</f>
        <v>6</v>
      </c>
      <c r="F86" s="315"/>
      <c r="G86" s="315"/>
      <c r="H86" s="316">
        <f>'Input Data Sheet'!J86</f>
        <v>1</v>
      </c>
      <c r="I86" s="316"/>
      <c r="J86" s="316">
        <f>'Input Data Sheet'!K86</f>
        <v>0</v>
      </c>
      <c r="K86" s="496"/>
      <c r="L86" s="496"/>
      <c r="M86" s="496"/>
      <c r="N86" s="316"/>
      <c r="O86" s="287">
        <f t="shared" si="20"/>
        <v>2006703</v>
      </c>
      <c r="P86" s="320">
        <f>'Input Data Sheet'!Q86</f>
        <v>0</v>
      </c>
      <c r="Q86" s="287">
        <f>'Input Data Sheet'!R86</f>
        <v>0</v>
      </c>
      <c r="R86" s="341">
        <f>'Input Data Sheet'!S86</f>
        <v>200670.3</v>
      </c>
      <c r="S86" s="341">
        <f>'Input Data Sheet'!T86</f>
        <v>451508.17499999999</v>
      </c>
      <c r="T86" s="341">
        <f>'Input Data Sheet'!U86</f>
        <v>451508.17499999999</v>
      </c>
      <c r="U86" s="341">
        <f>'Input Data Sheet'!V86</f>
        <v>451508.17499999999</v>
      </c>
      <c r="V86" s="341">
        <f>'Input Data Sheet'!W86</f>
        <v>451508.17499999999</v>
      </c>
      <c r="W86" s="287">
        <f>'Input Data Sheet'!X86</f>
        <v>0</v>
      </c>
      <c r="X86" s="321">
        <f>'Input Data Sheet'!Y86</f>
        <v>0</v>
      </c>
      <c r="Y86" s="287">
        <f t="shared" si="21"/>
        <v>0</v>
      </c>
      <c r="Z86" s="287">
        <f t="shared" si="12"/>
        <v>0</v>
      </c>
      <c r="AA86" s="341">
        <f t="shared" si="13"/>
        <v>200670.3</v>
      </c>
      <c r="AB86" s="341">
        <f t="shared" si="14"/>
        <v>451508.17499999999</v>
      </c>
      <c r="AC86" s="341">
        <f t="shared" si="15"/>
        <v>451508.17499999999</v>
      </c>
      <c r="AD86" s="341">
        <f t="shared" si="16"/>
        <v>451508.17499999999</v>
      </c>
      <c r="AE86" s="341">
        <f t="shared" si="17"/>
        <v>451508.17499999999</v>
      </c>
      <c r="AF86" s="287">
        <f t="shared" si="18"/>
        <v>0</v>
      </c>
      <c r="AG86" s="287">
        <f t="shared" si="19"/>
        <v>0</v>
      </c>
      <c r="AH86" s="322">
        <f>IF($H86,0,IFERROR(IF(VALUE(LEFT(D86,4))&gt;VALUE(LEFT(Parameters!$B$66,4))+1,O86-SUM(R86:X86),0),0))</f>
        <v>0</v>
      </c>
      <c r="AI86" s="330">
        <f>IF('Input Data Sheet'!$P86=0,0,'Input Data Sheet'!Z86/'Input Data Sheet'!$P86)</f>
        <v>0.44999982558455337</v>
      </c>
      <c r="AJ86" s="331">
        <f>IF('Input Data Sheet'!$P86=0,0,'Input Data Sheet'!AA86/'Input Data Sheet'!$P86)</f>
        <v>0.48999976578497167</v>
      </c>
      <c r="AK86" s="331">
        <f>IF('Input Data Sheet'!$P86=0,0,'Input Data Sheet'!AB86/'Input Data Sheet'!$P86)</f>
        <v>5.999991030062745E-2</v>
      </c>
      <c r="AL86" s="331">
        <f>IF('Input Data Sheet'!$P86=0,0,'Input Data Sheet'!AC86/'Input Data Sheet'!$P86)</f>
        <v>0</v>
      </c>
      <c r="AM86" s="331">
        <f>IF('Input Data Sheet'!$P86=0,0,'Input Data Sheet'!AD86/'Input Data Sheet'!$P86)</f>
        <v>0</v>
      </c>
      <c r="AN86" s="331">
        <f>IF('Input Data Sheet'!$P86=0,0,'Input Data Sheet'!AE86/'Input Data Sheet'!$P86)</f>
        <v>0</v>
      </c>
      <c r="AO86" s="331">
        <f>IF('Input Data Sheet'!$P86=0,0,'Input Data Sheet'!AF86/'Input Data Sheet'!$P86)</f>
        <v>0</v>
      </c>
      <c r="AP86" s="331">
        <f>IF('Input Data Sheet'!$P86=0,0,'Input Data Sheet'!AG86/'Input Data Sheet'!$P86)</f>
        <v>0</v>
      </c>
      <c r="AQ86" s="331">
        <f>IF('Input Data Sheet'!$P86=0,0,'Input Data Sheet'!AH86/'Input Data Sheet'!$P86)</f>
        <v>0</v>
      </c>
      <c r="AR86" s="331">
        <f>IF('Input Data Sheet'!$P86=0,0,'Input Data Sheet'!AI86/'Input Data Sheet'!$P86)</f>
        <v>0</v>
      </c>
      <c r="AS86" s="331">
        <f>IF('Input Data Sheet'!$P86=0,0,'Input Data Sheet'!AJ86/'Input Data Sheet'!$P86)</f>
        <v>0</v>
      </c>
      <c r="AT86" s="331">
        <f>IF('Input Data Sheet'!$P86=0,0,'Input Data Sheet'!AK86/'Input Data Sheet'!$P86)</f>
        <v>0</v>
      </c>
      <c r="AU86" s="331">
        <f>IF('Input Data Sheet'!$P86=0,0,'Input Data Sheet'!AL86/'Input Data Sheet'!$P86)</f>
        <v>0</v>
      </c>
      <c r="AV86" s="331">
        <f>IF('Input Data Sheet'!$P86=0,0,'Input Data Sheet'!AM86/'Input Data Sheet'!$P86)</f>
        <v>0</v>
      </c>
      <c r="AW86" s="331">
        <f>IF('Input Data Sheet'!$P86=0,0,'Input Data Sheet'!AN86/'Input Data Sheet'!$P86)</f>
        <v>0</v>
      </c>
      <c r="AX86" s="331">
        <f>IF('Input Data Sheet'!$P86=0,0,'Input Data Sheet'!AO86/'Input Data Sheet'!$P86)</f>
        <v>0</v>
      </c>
      <c r="AY86" s="331">
        <f>IF('Input Data Sheet'!$P86=0,0,'Input Data Sheet'!AP86/'Input Data Sheet'!$P86)</f>
        <v>0</v>
      </c>
      <c r="AZ86" s="331">
        <f>IF('Input Data Sheet'!$P86=0,0,'Input Data Sheet'!AQ86/'Input Data Sheet'!$P86)</f>
        <v>0</v>
      </c>
      <c r="BA86" s="331">
        <f>IF('Input Data Sheet'!$P86=0,0,'Input Data Sheet'!AR86/'Input Data Sheet'!$P86)</f>
        <v>0</v>
      </c>
      <c r="BB86" s="331">
        <f>IF('Input Data Sheet'!$P86=0,0,'Input Data Sheet'!AS86/'Input Data Sheet'!$P86)</f>
        <v>0</v>
      </c>
      <c r="BC86" s="331">
        <f>IF('Input Data Sheet'!$P86=0,0,'Input Data Sheet'!AT86/'Input Data Sheet'!$P86)</f>
        <v>0</v>
      </c>
      <c r="BD86" s="331">
        <f>IF('Input Data Sheet'!$P86=0,0,'Input Data Sheet'!AU86/'Input Data Sheet'!$P86)</f>
        <v>0</v>
      </c>
      <c r="BE86" s="331">
        <f>IF('Input Data Sheet'!$P86=0,0,'Input Data Sheet'!AV86/'Input Data Sheet'!$P86)</f>
        <v>0</v>
      </c>
      <c r="BF86" s="332">
        <f>IF('Input Data Sheet'!$P86=0,0,'Input Data Sheet'!AW86/'Input Data Sheet'!$P86)</f>
        <v>0</v>
      </c>
      <c r="BG86" s="328">
        <f t="shared" si="22"/>
        <v>0.9999995016701525</v>
      </c>
    </row>
    <row r="87" spans="1:59" x14ac:dyDescent="0.3">
      <c r="A87" s="409" t="str">
        <f>'Input Data Sheet'!B87</f>
        <v>ND0966</v>
      </c>
      <c r="B87" s="314" t="str">
        <f>'Input Data Sheet'!C87</f>
        <v>Transmission line wood pole renewal program</v>
      </c>
      <c r="C87" s="314" t="str">
        <f>'Input Data Sheet'!D87</f>
        <v>Asset Renewal</v>
      </c>
      <c r="D87" s="333" t="str">
        <f>'Input Data Sheet'!E87</f>
        <v>2017/18</v>
      </c>
      <c r="E87" s="333">
        <f>'Input Data Sheet'!F87</f>
        <v>6</v>
      </c>
      <c r="F87" s="315"/>
      <c r="G87" s="315"/>
      <c r="H87" s="316">
        <f>'Input Data Sheet'!J87</f>
        <v>1</v>
      </c>
      <c r="I87" s="316"/>
      <c r="J87" s="316">
        <f>'Input Data Sheet'!K87</f>
        <v>0</v>
      </c>
      <c r="K87" s="496"/>
      <c r="L87" s="496"/>
      <c r="M87" s="496"/>
      <c r="N87" s="316"/>
      <c r="O87" s="287">
        <f t="shared" si="20"/>
        <v>2195450</v>
      </c>
      <c r="P87" s="320">
        <f>'Input Data Sheet'!Q87</f>
        <v>0</v>
      </c>
      <c r="Q87" s="287">
        <f>'Input Data Sheet'!R87</f>
        <v>0</v>
      </c>
      <c r="R87" s="341">
        <f>'Input Data Sheet'!S87</f>
        <v>0</v>
      </c>
      <c r="S87" s="341">
        <f>'Input Data Sheet'!T87</f>
        <v>0</v>
      </c>
      <c r="T87" s="341">
        <f>'Input Data Sheet'!U87</f>
        <v>1055010</v>
      </c>
      <c r="U87" s="341">
        <f>'Input Data Sheet'!V87</f>
        <v>1140440</v>
      </c>
      <c r="V87" s="341">
        <f>'Input Data Sheet'!W87</f>
        <v>0</v>
      </c>
      <c r="W87" s="287">
        <f>'Input Data Sheet'!X87</f>
        <v>0</v>
      </c>
      <c r="X87" s="321">
        <f>'Input Data Sheet'!Y87</f>
        <v>0</v>
      </c>
      <c r="Y87" s="287">
        <f t="shared" si="21"/>
        <v>0</v>
      </c>
      <c r="Z87" s="287">
        <f t="shared" si="12"/>
        <v>0</v>
      </c>
      <c r="AA87" s="341">
        <f t="shared" si="13"/>
        <v>0</v>
      </c>
      <c r="AB87" s="341">
        <f t="shared" si="14"/>
        <v>0</v>
      </c>
      <c r="AC87" s="341">
        <f t="shared" si="15"/>
        <v>1055010</v>
      </c>
      <c r="AD87" s="341">
        <f t="shared" si="16"/>
        <v>1140440</v>
      </c>
      <c r="AE87" s="341">
        <f t="shared" si="17"/>
        <v>0</v>
      </c>
      <c r="AF87" s="287">
        <f t="shared" si="18"/>
        <v>0</v>
      </c>
      <c r="AG87" s="287">
        <f t="shared" si="19"/>
        <v>0</v>
      </c>
      <c r="AH87" s="322">
        <f>IF($H87,0,IFERROR(IF(VALUE(LEFT(D87,4))&gt;VALUE(LEFT(Parameters!$B$66,4))+1,O87-SUM(R87:X87),0),0))</f>
        <v>0</v>
      </c>
      <c r="AI87" s="330">
        <f>IF('Input Data Sheet'!$P87=0,0,'Input Data Sheet'!Z87/'Input Data Sheet'!$P87)</f>
        <v>0.45000022774374276</v>
      </c>
      <c r="AJ87" s="331">
        <f>IF('Input Data Sheet'!$P87=0,0,'Input Data Sheet'!AA87/'Input Data Sheet'!$P87)</f>
        <v>0.49000022774374274</v>
      </c>
      <c r="AK87" s="331">
        <f>IF('Input Data Sheet'!$P87=0,0,'Input Data Sheet'!AB87/'Input Data Sheet'!$P87)</f>
        <v>0.06</v>
      </c>
      <c r="AL87" s="331">
        <f>IF('Input Data Sheet'!$P87=0,0,'Input Data Sheet'!AC87/'Input Data Sheet'!$P87)</f>
        <v>0</v>
      </c>
      <c r="AM87" s="331">
        <f>IF('Input Data Sheet'!$P87=0,0,'Input Data Sheet'!AD87/'Input Data Sheet'!$P87)</f>
        <v>0</v>
      </c>
      <c r="AN87" s="331">
        <f>IF('Input Data Sheet'!$P87=0,0,'Input Data Sheet'!AE87/'Input Data Sheet'!$P87)</f>
        <v>0</v>
      </c>
      <c r="AO87" s="331">
        <f>IF('Input Data Sheet'!$P87=0,0,'Input Data Sheet'!AF87/'Input Data Sheet'!$P87)</f>
        <v>0</v>
      </c>
      <c r="AP87" s="331">
        <f>IF('Input Data Sheet'!$P87=0,0,'Input Data Sheet'!AG87/'Input Data Sheet'!$P87)</f>
        <v>0</v>
      </c>
      <c r="AQ87" s="331">
        <f>IF('Input Data Sheet'!$P87=0,0,'Input Data Sheet'!AH87/'Input Data Sheet'!$P87)</f>
        <v>0</v>
      </c>
      <c r="AR87" s="331">
        <f>IF('Input Data Sheet'!$P87=0,0,'Input Data Sheet'!AI87/'Input Data Sheet'!$P87)</f>
        <v>0</v>
      </c>
      <c r="AS87" s="331">
        <f>IF('Input Data Sheet'!$P87=0,0,'Input Data Sheet'!AJ87/'Input Data Sheet'!$P87)</f>
        <v>0</v>
      </c>
      <c r="AT87" s="331">
        <f>IF('Input Data Sheet'!$P87=0,0,'Input Data Sheet'!AK87/'Input Data Sheet'!$P87)</f>
        <v>0</v>
      </c>
      <c r="AU87" s="331">
        <f>IF('Input Data Sheet'!$P87=0,0,'Input Data Sheet'!AL87/'Input Data Sheet'!$P87)</f>
        <v>0</v>
      </c>
      <c r="AV87" s="331">
        <f>IF('Input Data Sheet'!$P87=0,0,'Input Data Sheet'!AM87/'Input Data Sheet'!$P87)</f>
        <v>0</v>
      </c>
      <c r="AW87" s="331">
        <f>IF('Input Data Sheet'!$P87=0,0,'Input Data Sheet'!AN87/'Input Data Sheet'!$P87)</f>
        <v>0</v>
      </c>
      <c r="AX87" s="331">
        <f>IF('Input Data Sheet'!$P87=0,0,'Input Data Sheet'!AO87/'Input Data Sheet'!$P87)</f>
        <v>0</v>
      </c>
      <c r="AY87" s="331">
        <f>IF('Input Data Sheet'!$P87=0,0,'Input Data Sheet'!AP87/'Input Data Sheet'!$P87)</f>
        <v>0</v>
      </c>
      <c r="AZ87" s="331">
        <f>IF('Input Data Sheet'!$P87=0,0,'Input Data Sheet'!AQ87/'Input Data Sheet'!$P87)</f>
        <v>0</v>
      </c>
      <c r="BA87" s="331">
        <f>IF('Input Data Sheet'!$P87=0,0,'Input Data Sheet'!AR87/'Input Data Sheet'!$P87)</f>
        <v>0</v>
      </c>
      <c r="BB87" s="331">
        <f>IF('Input Data Sheet'!$P87=0,0,'Input Data Sheet'!AS87/'Input Data Sheet'!$P87)</f>
        <v>0</v>
      </c>
      <c r="BC87" s="331">
        <f>IF('Input Data Sheet'!$P87=0,0,'Input Data Sheet'!AT87/'Input Data Sheet'!$P87)</f>
        <v>0</v>
      </c>
      <c r="BD87" s="331">
        <f>IF('Input Data Sheet'!$P87=0,0,'Input Data Sheet'!AU87/'Input Data Sheet'!$P87)</f>
        <v>0</v>
      </c>
      <c r="BE87" s="331">
        <f>IF('Input Data Sheet'!$P87=0,0,'Input Data Sheet'!AV87/'Input Data Sheet'!$P87)</f>
        <v>0</v>
      </c>
      <c r="BF87" s="332">
        <f>IF('Input Data Sheet'!$P87=0,0,'Input Data Sheet'!AW87/'Input Data Sheet'!$P87)</f>
        <v>0</v>
      </c>
      <c r="BG87" s="328">
        <f t="shared" si="22"/>
        <v>1.0000004554874855</v>
      </c>
    </row>
    <row r="88" spans="1:59" x14ac:dyDescent="0.3">
      <c r="A88" s="409" t="str">
        <f>'Input Data Sheet'!B88</f>
        <v>ND1311</v>
      </c>
      <c r="B88" s="314" t="str">
        <f>'Input Data Sheet'!C88</f>
        <v>Trevallyn Office Building compliance program</v>
      </c>
      <c r="C88" s="314" t="str">
        <f>'Input Data Sheet'!D88</f>
        <v>Business support</v>
      </c>
      <c r="D88" s="333" t="str">
        <f>'Input Data Sheet'!E88</f>
        <v>2016/17</v>
      </c>
      <c r="E88" s="333">
        <f>'Input Data Sheet'!F88</f>
        <v>18</v>
      </c>
      <c r="F88" s="315"/>
      <c r="G88" s="315"/>
      <c r="H88" s="316">
        <f>'Input Data Sheet'!J88</f>
        <v>0</v>
      </c>
      <c r="I88" s="316"/>
      <c r="J88" s="316">
        <f>'Input Data Sheet'!K88</f>
        <v>0</v>
      </c>
      <c r="K88" s="496"/>
      <c r="L88" s="496"/>
      <c r="M88" s="496"/>
      <c r="N88" s="316"/>
      <c r="O88" s="287">
        <f t="shared" si="20"/>
        <v>440000</v>
      </c>
      <c r="P88" s="320">
        <f>'Input Data Sheet'!Q88</f>
        <v>0</v>
      </c>
      <c r="Q88" s="287">
        <f>'Input Data Sheet'!R88</f>
        <v>0</v>
      </c>
      <c r="R88" s="341">
        <f>'Input Data Sheet'!S88</f>
        <v>0</v>
      </c>
      <c r="S88" s="341">
        <f>'Input Data Sheet'!T88</f>
        <v>132000</v>
      </c>
      <c r="T88" s="341">
        <f>'Input Data Sheet'!U88</f>
        <v>308000</v>
      </c>
      <c r="U88" s="341">
        <f>'Input Data Sheet'!V88</f>
        <v>0</v>
      </c>
      <c r="V88" s="341">
        <f>'Input Data Sheet'!W88</f>
        <v>0</v>
      </c>
      <c r="W88" s="287">
        <f>'Input Data Sheet'!X88</f>
        <v>0</v>
      </c>
      <c r="X88" s="321">
        <f>'Input Data Sheet'!Y88</f>
        <v>0</v>
      </c>
      <c r="Y88" s="287">
        <f t="shared" si="21"/>
        <v>0</v>
      </c>
      <c r="Z88" s="287">
        <f t="shared" si="12"/>
        <v>0</v>
      </c>
      <c r="AA88" s="341">
        <f t="shared" si="13"/>
        <v>0</v>
      </c>
      <c r="AB88" s="341">
        <f t="shared" si="14"/>
        <v>0</v>
      </c>
      <c r="AC88" s="341">
        <f t="shared" si="15"/>
        <v>440000</v>
      </c>
      <c r="AD88" s="341">
        <f t="shared" si="16"/>
        <v>0</v>
      </c>
      <c r="AE88" s="341">
        <f t="shared" si="17"/>
        <v>0</v>
      </c>
      <c r="AF88" s="287">
        <f t="shared" si="18"/>
        <v>0</v>
      </c>
      <c r="AG88" s="287">
        <f t="shared" si="19"/>
        <v>0</v>
      </c>
      <c r="AH88" s="322">
        <f>IF($H88,0,IFERROR(IF(VALUE(LEFT(D88,4))&gt;VALUE(LEFT(Parameters!$B$66,4))+1,O88-SUM(R88:X88),0),0))</f>
        <v>0</v>
      </c>
      <c r="AI88" s="330">
        <f>IF('Input Data Sheet'!$P88=0,0,'Input Data Sheet'!Z88/'Input Data Sheet'!$P88)</f>
        <v>0</v>
      </c>
      <c r="AJ88" s="331">
        <f>IF('Input Data Sheet'!$P88=0,0,'Input Data Sheet'!AA88/'Input Data Sheet'!$P88)</f>
        <v>0</v>
      </c>
      <c r="AK88" s="331">
        <f>IF('Input Data Sheet'!$P88=0,0,'Input Data Sheet'!AB88/'Input Data Sheet'!$P88)</f>
        <v>0</v>
      </c>
      <c r="AL88" s="331">
        <f>IF('Input Data Sheet'!$P88=0,0,'Input Data Sheet'!AC88/'Input Data Sheet'!$P88)</f>
        <v>0</v>
      </c>
      <c r="AM88" s="331">
        <f>IF('Input Data Sheet'!$P88=0,0,'Input Data Sheet'!AD88/'Input Data Sheet'!$P88)</f>
        <v>0</v>
      </c>
      <c r="AN88" s="331">
        <f>IF('Input Data Sheet'!$P88=0,0,'Input Data Sheet'!AE88/'Input Data Sheet'!$P88)</f>
        <v>0</v>
      </c>
      <c r="AO88" s="331">
        <f>IF('Input Data Sheet'!$P88=0,0,'Input Data Sheet'!AF88/'Input Data Sheet'!$P88)</f>
        <v>0</v>
      </c>
      <c r="AP88" s="331">
        <f>IF('Input Data Sheet'!$P88=0,0,'Input Data Sheet'!AG88/'Input Data Sheet'!$P88)</f>
        <v>0</v>
      </c>
      <c r="AQ88" s="331">
        <f>IF('Input Data Sheet'!$P88=0,0,'Input Data Sheet'!AH88/'Input Data Sheet'!$P88)</f>
        <v>0</v>
      </c>
      <c r="AR88" s="331">
        <f>IF('Input Data Sheet'!$P88=0,0,'Input Data Sheet'!AI88/'Input Data Sheet'!$P88)</f>
        <v>0</v>
      </c>
      <c r="AS88" s="331">
        <f>IF('Input Data Sheet'!$P88=0,0,'Input Data Sheet'!AJ88/'Input Data Sheet'!$P88)</f>
        <v>1</v>
      </c>
      <c r="AT88" s="331">
        <f>IF('Input Data Sheet'!$P88=0,0,'Input Data Sheet'!AK88/'Input Data Sheet'!$P88)</f>
        <v>0</v>
      </c>
      <c r="AU88" s="331">
        <f>IF('Input Data Sheet'!$P88=0,0,'Input Data Sheet'!AL88/'Input Data Sheet'!$P88)</f>
        <v>0</v>
      </c>
      <c r="AV88" s="331">
        <f>IF('Input Data Sheet'!$P88=0,0,'Input Data Sheet'!AM88/'Input Data Sheet'!$P88)</f>
        <v>0</v>
      </c>
      <c r="AW88" s="331">
        <f>IF('Input Data Sheet'!$P88=0,0,'Input Data Sheet'!AN88/'Input Data Sheet'!$P88)</f>
        <v>0</v>
      </c>
      <c r="AX88" s="331">
        <f>IF('Input Data Sheet'!$P88=0,0,'Input Data Sheet'!AO88/'Input Data Sheet'!$P88)</f>
        <v>0</v>
      </c>
      <c r="AY88" s="331">
        <f>IF('Input Data Sheet'!$P88=0,0,'Input Data Sheet'!AP88/'Input Data Sheet'!$P88)</f>
        <v>0</v>
      </c>
      <c r="AZ88" s="331">
        <f>IF('Input Data Sheet'!$P88=0,0,'Input Data Sheet'!AQ88/'Input Data Sheet'!$P88)</f>
        <v>0</v>
      </c>
      <c r="BA88" s="331">
        <f>IF('Input Data Sheet'!$P88=0,0,'Input Data Sheet'!AR88/'Input Data Sheet'!$P88)</f>
        <v>0</v>
      </c>
      <c r="BB88" s="331">
        <f>IF('Input Data Sheet'!$P88=0,0,'Input Data Sheet'!AS88/'Input Data Sheet'!$P88)</f>
        <v>0</v>
      </c>
      <c r="BC88" s="331">
        <f>IF('Input Data Sheet'!$P88=0,0,'Input Data Sheet'!AT88/'Input Data Sheet'!$P88)</f>
        <v>0</v>
      </c>
      <c r="BD88" s="331">
        <f>IF('Input Data Sheet'!$P88=0,0,'Input Data Sheet'!AU88/'Input Data Sheet'!$P88)</f>
        <v>0</v>
      </c>
      <c r="BE88" s="331">
        <f>IF('Input Data Sheet'!$P88=0,0,'Input Data Sheet'!AV88/'Input Data Sheet'!$P88)</f>
        <v>0</v>
      </c>
      <c r="BF88" s="332">
        <f>IF('Input Data Sheet'!$P88=0,0,'Input Data Sheet'!AW88/'Input Data Sheet'!$P88)</f>
        <v>0</v>
      </c>
      <c r="BG88" s="328">
        <f t="shared" si="22"/>
        <v>1</v>
      </c>
    </row>
    <row r="89" spans="1:59" x14ac:dyDescent="0.3">
      <c r="A89" s="409" t="str">
        <f>'Input Data Sheet'!B89</f>
        <v>ND0709</v>
      </c>
      <c r="B89" s="314" t="str">
        <f>'Input Data Sheet'!C89</f>
        <v>Tungatinah Substation 110 kV redevelopment</v>
      </c>
      <c r="C89" s="314" t="str">
        <f>'Input Data Sheet'!D89</f>
        <v>Asset Renewal</v>
      </c>
      <c r="D89" s="333" t="str">
        <f>'Input Data Sheet'!E89</f>
        <v>2014/15</v>
      </c>
      <c r="E89" s="333">
        <f>'Input Data Sheet'!F89</f>
        <v>0</v>
      </c>
      <c r="F89" s="315"/>
      <c r="G89" s="315"/>
      <c r="H89" s="316">
        <f>'Input Data Sheet'!J89</f>
        <v>0</v>
      </c>
      <c r="I89" s="316"/>
      <c r="J89" s="316">
        <f>'Input Data Sheet'!K89</f>
        <v>0</v>
      </c>
      <c r="K89" s="496"/>
      <c r="L89" s="496"/>
      <c r="M89" s="496"/>
      <c r="N89" s="316"/>
      <c r="O89" s="287">
        <f t="shared" si="20"/>
        <v>3900482.3536110851</v>
      </c>
      <c r="P89" s="320">
        <f>'Input Data Sheet'!Q89</f>
        <v>0</v>
      </c>
      <c r="Q89" s="287">
        <f>'Input Data Sheet'!R89</f>
        <v>0</v>
      </c>
      <c r="R89" s="341">
        <f>'Input Data Sheet'!S89</f>
        <v>3900482.3536110851</v>
      </c>
      <c r="S89" s="341">
        <f>'Input Data Sheet'!T89</f>
        <v>0</v>
      </c>
      <c r="T89" s="341">
        <f>'Input Data Sheet'!U89</f>
        <v>0</v>
      </c>
      <c r="U89" s="341">
        <f>'Input Data Sheet'!V89</f>
        <v>0</v>
      </c>
      <c r="V89" s="341">
        <f>'Input Data Sheet'!W89</f>
        <v>0</v>
      </c>
      <c r="W89" s="287">
        <f>'Input Data Sheet'!X89</f>
        <v>0</v>
      </c>
      <c r="X89" s="321">
        <f>'Input Data Sheet'!Y89</f>
        <v>0</v>
      </c>
      <c r="Y89" s="287">
        <f t="shared" si="21"/>
        <v>0</v>
      </c>
      <c r="Z89" s="287">
        <f t="shared" si="12"/>
        <v>0</v>
      </c>
      <c r="AA89" s="341">
        <f t="shared" si="13"/>
        <v>3900482.3536110851</v>
      </c>
      <c r="AB89" s="341">
        <f t="shared" si="14"/>
        <v>0</v>
      </c>
      <c r="AC89" s="341">
        <f t="shared" si="15"/>
        <v>0</v>
      </c>
      <c r="AD89" s="341">
        <f t="shared" si="16"/>
        <v>0</v>
      </c>
      <c r="AE89" s="341">
        <f t="shared" si="17"/>
        <v>0</v>
      </c>
      <c r="AF89" s="287">
        <f t="shared" si="18"/>
        <v>0</v>
      </c>
      <c r="AG89" s="287">
        <f t="shared" si="19"/>
        <v>0</v>
      </c>
      <c r="AH89" s="322">
        <f>IF($H89,0,IFERROR(IF(VALUE(LEFT(D89,4))&gt;VALUE(LEFT(Parameters!$B$66,4))+1,O89-SUM(R89:X89),0),0))</f>
        <v>0</v>
      </c>
      <c r="AI89" s="330">
        <f>IF('Input Data Sheet'!$P89=0,0,'Input Data Sheet'!Z89/'Input Data Sheet'!$P89)</f>
        <v>0</v>
      </c>
      <c r="AJ89" s="331">
        <f>IF('Input Data Sheet'!$P89=0,0,'Input Data Sheet'!AA89/'Input Data Sheet'!$P89)</f>
        <v>0</v>
      </c>
      <c r="AK89" s="331">
        <f>IF('Input Data Sheet'!$P89=0,0,'Input Data Sheet'!AB89/'Input Data Sheet'!$P89)</f>
        <v>0</v>
      </c>
      <c r="AL89" s="331">
        <f>IF('Input Data Sheet'!$P89=0,0,'Input Data Sheet'!AC89/'Input Data Sheet'!$P89)</f>
        <v>0.28000000000000008</v>
      </c>
      <c r="AM89" s="331">
        <f>IF('Input Data Sheet'!$P89=0,0,'Input Data Sheet'!AD89/'Input Data Sheet'!$P89)</f>
        <v>0.45</v>
      </c>
      <c r="AN89" s="331">
        <f>IF('Input Data Sheet'!$P89=0,0,'Input Data Sheet'!AE89/'Input Data Sheet'!$P89)</f>
        <v>0.06</v>
      </c>
      <c r="AO89" s="331">
        <f>IF('Input Data Sheet'!$P89=0,0,'Input Data Sheet'!AF89/'Input Data Sheet'!$P89)</f>
        <v>0.21</v>
      </c>
      <c r="AP89" s="331">
        <f>IF('Input Data Sheet'!$P89=0,0,'Input Data Sheet'!AG89/'Input Data Sheet'!$P89)</f>
        <v>0</v>
      </c>
      <c r="AQ89" s="331">
        <f>IF('Input Data Sheet'!$P89=0,0,'Input Data Sheet'!AH89/'Input Data Sheet'!$P89)</f>
        <v>0</v>
      </c>
      <c r="AR89" s="331">
        <f>IF('Input Data Sheet'!$P89=0,0,'Input Data Sheet'!AI89/'Input Data Sheet'!$P89)</f>
        <v>0</v>
      </c>
      <c r="AS89" s="331">
        <f>IF('Input Data Sheet'!$P89=0,0,'Input Data Sheet'!AJ89/'Input Data Sheet'!$P89)</f>
        <v>0</v>
      </c>
      <c r="AT89" s="331">
        <f>IF('Input Data Sheet'!$P89=0,0,'Input Data Sheet'!AK89/'Input Data Sheet'!$P89)</f>
        <v>0</v>
      </c>
      <c r="AU89" s="331">
        <f>IF('Input Data Sheet'!$P89=0,0,'Input Data Sheet'!AL89/'Input Data Sheet'!$P89)</f>
        <v>0</v>
      </c>
      <c r="AV89" s="331">
        <f>IF('Input Data Sheet'!$P89=0,0,'Input Data Sheet'!AM89/'Input Data Sheet'!$P89)</f>
        <v>0</v>
      </c>
      <c r="AW89" s="331">
        <f>IF('Input Data Sheet'!$P89=0,0,'Input Data Sheet'!AN89/'Input Data Sheet'!$P89)</f>
        <v>0</v>
      </c>
      <c r="AX89" s="331">
        <f>IF('Input Data Sheet'!$P89=0,0,'Input Data Sheet'!AO89/'Input Data Sheet'!$P89)</f>
        <v>0</v>
      </c>
      <c r="AY89" s="331">
        <f>IF('Input Data Sheet'!$P89=0,0,'Input Data Sheet'!AP89/'Input Data Sheet'!$P89)</f>
        <v>0</v>
      </c>
      <c r="AZ89" s="331">
        <f>IF('Input Data Sheet'!$P89=0,0,'Input Data Sheet'!AQ89/'Input Data Sheet'!$P89)</f>
        <v>0</v>
      </c>
      <c r="BA89" s="331">
        <f>IF('Input Data Sheet'!$P89=0,0,'Input Data Sheet'!AR89/'Input Data Sheet'!$P89)</f>
        <v>0</v>
      </c>
      <c r="BB89" s="331">
        <f>IF('Input Data Sheet'!$P89=0,0,'Input Data Sheet'!AS89/'Input Data Sheet'!$P89)</f>
        <v>0</v>
      </c>
      <c r="BC89" s="331">
        <f>IF('Input Data Sheet'!$P89=0,0,'Input Data Sheet'!AT89/'Input Data Sheet'!$P89)</f>
        <v>0</v>
      </c>
      <c r="BD89" s="331">
        <f>IF('Input Data Sheet'!$P89=0,0,'Input Data Sheet'!AU89/'Input Data Sheet'!$P89)</f>
        <v>0</v>
      </c>
      <c r="BE89" s="331">
        <f>IF('Input Data Sheet'!$P89=0,0,'Input Data Sheet'!AV89/'Input Data Sheet'!$P89)</f>
        <v>0</v>
      </c>
      <c r="BF89" s="332">
        <f>IF('Input Data Sheet'!$P89=0,0,'Input Data Sheet'!AW89/'Input Data Sheet'!$P89)</f>
        <v>0</v>
      </c>
      <c r="BG89" s="328">
        <f t="shared" si="22"/>
        <v>1</v>
      </c>
    </row>
    <row r="90" spans="1:59" x14ac:dyDescent="0.3">
      <c r="A90" s="409" t="str">
        <f>'Input Data Sheet'!B90</f>
        <v>ND1114</v>
      </c>
      <c r="B90" s="314" t="str">
        <f>'Input Data Sheet'!C90</f>
        <v>Waddamana - Palmerston 220 kV Security Augmentation</v>
      </c>
      <c r="C90" s="314" t="str">
        <f>'Input Data Sheet'!D90</f>
        <v>Augmentation</v>
      </c>
      <c r="D90" s="333" t="str">
        <f>'Input Data Sheet'!E90</f>
        <v>2018/19</v>
      </c>
      <c r="E90" s="333">
        <f>'Input Data Sheet'!F90</f>
        <v>4</v>
      </c>
      <c r="F90" s="315"/>
      <c r="G90" s="315"/>
      <c r="H90" s="316">
        <f>'Input Data Sheet'!J90</f>
        <v>0</v>
      </c>
      <c r="I90" s="316"/>
      <c r="J90" s="316">
        <f>'Input Data Sheet'!K90</f>
        <v>1</v>
      </c>
      <c r="K90" s="496"/>
      <c r="L90" s="496"/>
      <c r="M90" s="496"/>
      <c r="N90" s="316"/>
      <c r="O90" s="287">
        <f t="shared" si="20"/>
        <v>18184284</v>
      </c>
      <c r="P90" s="320">
        <f>'Input Data Sheet'!Q90</f>
        <v>0</v>
      </c>
      <c r="Q90" s="287">
        <f>'Input Data Sheet'!R90</f>
        <v>0</v>
      </c>
      <c r="R90" s="341">
        <f>'Input Data Sheet'!S90</f>
        <v>0</v>
      </c>
      <c r="S90" s="341">
        <f>'Input Data Sheet'!T90</f>
        <v>0</v>
      </c>
      <c r="T90" s="341">
        <f>'Input Data Sheet'!U90</f>
        <v>553043</v>
      </c>
      <c r="U90" s="341">
        <f>'Input Data Sheet'!V90</f>
        <v>7950466</v>
      </c>
      <c r="V90" s="341">
        <f>'Input Data Sheet'!W90</f>
        <v>9680775</v>
      </c>
      <c r="W90" s="287">
        <f>'Input Data Sheet'!X90</f>
        <v>0</v>
      </c>
      <c r="X90" s="321">
        <f>'Input Data Sheet'!Y90</f>
        <v>0</v>
      </c>
      <c r="Y90" s="287">
        <f t="shared" si="21"/>
        <v>0</v>
      </c>
      <c r="Z90" s="287">
        <f t="shared" si="12"/>
        <v>0</v>
      </c>
      <c r="AA90" s="341">
        <f t="shared" si="13"/>
        <v>0</v>
      </c>
      <c r="AB90" s="341">
        <f t="shared" si="14"/>
        <v>0</v>
      </c>
      <c r="AC90" s="341">
        <f t="shared" si="15"/>
        <v>0</v>
      </c>
      <c r="AD90" s="341">
        <f t="shared" si="16"/>
        <v>0</v>
      </c>
      <c r="AE90" s="341">
        <f t="shared" si="17"/>
        <v>18184284</v>
      </c>
      <c r="AF90" s="287">
        <f t="shared" si="18"/>
        <v>0</v>
      </c>
      <c r="AG90" s="287">
        <f t="shared" si="19"/>
        <v>0</v>
      </c>
      <c r="AH90" s="322">
        <f>IF($H90,0,IFERROR(IF(VALUE(LEFT(D90,4))&gt;VALUE(LEFT(Parameters!$B$66,4))+1,O90-SUM(R90:X90),0),0))</f>
        <v>0</v>
      </c>
      <c r="AI90" s="330">
        <f>IF('Input Data Sheet'!$P90=0,0,'Input Data Sheet'!Z90/'Input Data Sheet'!$P90)</f>
        <v>0.36044168689842282</v>
      </c>
      <c r="AJ90" s="331">
        <f>IF('Input Data Sheet'!$P90=0,0,'Input Data Sheet'!AA90/'Input Data Sheet'!$P90)</f>
        <v>0.20178919334959794</v>
      </c>
      <c r="AK90" s="331">
        <f>IF('Input Data Sheet'!$P90=0,0,'Input Data Sheet'!AB90/'Input Data Sheet'!$P90)</f>
        <v>3.8228395465007038E-2</v>
      </c>
      <c r="AL90" s="331">
        <f>IF('Input Data Sheet'!$P90=0,0,'Input Data Sheet'!AC90/'Input Data Sheet'!$P90)</f>
        <v>0.10857012571954991</v>
      </c>
      <c r="AM90" s="331">
        <f>IF('Input Data Sheet'!$P90=0,0,'Input Data Sheet'!AD90/'Input Data Sheet'!$P90)</f>
        <v>0.17448770597731536</v>
      </c>
      <c r="AN90" s="331">
        <f>IF('Input Data Sheet'!$P90=0,0,'Input Data Sheet'!AE90/'Input Data Sheet'!$P90)</f>
        <v>2.3265034795980969E-2</v>
      </c>
      <c r="AO90" s="331">
        <f>IF('Input Data Sheet'!$P90=0,0,'Input Data Sheet'!AF90/'Input Data Sheet'!$P90)</f>
        <v>9.3217802801584052E-2</v>
      </c>
      <c r="AP90" s="331">
        <f>IF('Input Data Sheet'!$P90=0,0,'Input Data Sheet'!AG90/'Input Data Sheet'!$P90)</f>
        <v>0</v>
      </c>
      <c r="AQ90" s="331">
        <f>IF('Input Data Sheet'!$P90=0,0,'Input Data Sheet'!AH90/'Input Data Sheet'!$P90)</f>
        <v>0</v>
      </c>
      <c r="AR90" s="331">
        <f>IF('Input Data Sheet'!$P90=0,0,'Input Data Sheet'!AI90/'Input Data Sheet'!$P90)</f>
        <v>0</v>
      </c>
      <c r="AS90" s="331">
        <f>IF('Input Data Sheet'!$P90=0,0,'Input Data Sheet'!AJ90/'Input Data Sheet'!$P90)</f>
        <v>0</v>
      </c>
      <c r="AT90" s="331">
        <f>IF('Input Data Sheet'!$P90=0,0,'Input Data Sheet'!AK90/'Input Data Sheet'!$P90)</f>
        <v>0</v>
      </c>
      <c r="AU90" s="331">
        <f>IF('Input Data Sheet'!$P90=0,0,'Input Data Sheet'!AL90/'Input Data Sheet'!$P90)</f>
        <v>0</v>
      </c>
      <c r="AV90" s="331">
        <f>IF('Input Data Sheet'!$P90=0,0,'Input Data Sheet'!AM90/'Input Data Sheet'!$P90)</f>
        <v>0</v>
      </c>
      <c r="AW90" s="331">
        <f>IF('Input Data Sheet'!$P90=0,0,'Input Data Sheet'!AN90/'Input Data Sheet'!$P90)</f>
        <v>0</v>
      </c>
      <c r="AX90" s="331">
        <f>IF('Input Data Sheet'!$P90=0,0,'Input Data Sheet'!AO90/'Input Data Sheet'!$P90)</f>
        <v>0</v>
      </c>
      <c r="AY90" s="331">
        <f>IF('Input Data Sheet'!$P90=0,0,'Input Data Sheet'!AP90/'Input Data Sheet'!$P90)</f>
        <v>0</v>
      </c>
      <c r="AZ90" s="331">
        <f>IF('Input Data Sheet'!$P90=0,0,'Input Data Sheet'!AQ90/'Input Data Sheet'!$P90)</f>
        <v>0</v>
      </c>
      <c r="BA90" s="331">
        <f>IF('Input Data Sheet'!$P90=0,0,'Input Data Sheet'!AR90/'Input Data Sheet'!$P90)</f>
        <v>0</v>
      </c>
      <c r="BB90" s="331">
        <f>IF('Input Data Sheet'!$P90=0,0,'Input Data Sheet'!AS90/'Input Data Sheet'!$P90)</f>
        <v>0</v>
      </c>
      <c r="BC90" s="331">
        <f>IF('Input Data Sheet'!$P90=0,0,'Input Data Sheet'!AT90/'Input Data Sheet'!$P90)</f>
        <v>0</v>
      </c>
      <c r="BD90" s="331">
        <f>IF('Input Data Sheet'!$P90=0,0,'Input Data Sheet'!AU90/'Input Data Sheet'!$P90)</f>
        <v>0</v>
      </c>
      <c r="BE90" s="331">
        <f>IF('Input Data Sheet'!$P90=0,0,'Input Data Sheet'!AV90/'Input Data Sheet'!$P90)</f>
        <v>0</v>
      </c>
      <c r="BF90" s="332">
        <f>IF('Input Data Sheet'!$P90=0,0,'Input Data Sheet'!AW90/'Input Data Sheet'!$P90)</f>
        <v>0</v>
      </c>
      <c r="BG90" s="328">
        <f t="shared" si="22"/>
        <v>0.99999994500745804</v>
      </c>
    </row>
    <row r="91" spans="1:59" x14ac:dyDescent="0.3">
      <c r="A91" s="409" t="str">
        <f>'Input Data Sheet'!B91</f>
        <v>ND0730</v>
      </c>
      <c r="B91" s="314" t="str">
        <f>'Input Data Sheet'!C91</f>
        <v>Wesley Vale 11 kV to 22 kV conversion</v>
      </c>
      <c r="C91" s="314" t="str">
        <f>'Input Data Sheet'!D91</f>
        <v>Connection</v>
      </c>
      <c r="D91" s="333" t="str">
        <f>'Input Data Sheet'!E91</f>
        <v>2014/15</v>
      </c>
      <c r="E91" s="333">
        <f>'Input Data Sheet'!F91</f>
        <v>9</v>
      </c>
      <c r="F91" s="315"/>
      <c r="G91" s="315"/>
      <c r="H91" s="316">
        <f>'Input Data Sheet'!J91</f>
        <v>0</v>
      </c>
      <c r="I91" s="316"/>
      <c r="J91" s="316">
        <f>'Input Data Sheet'!K91</f>
        <v>0</v>
      </c>
      <c r="K91" s="496"/>
      <c r="L91" s="496"/>
      <c r="M91" s="496"/>
      <c r="N91" s="316"/>
      <c r="O91" s="287">
        <f t="shared" si="20"/>
        <v>1016862</v>
      </c>
      <c r="P91" s="320">
        <f>'Input Data Sheet'!Q91</f>
        <v>0</v>
      </c>
      <c r="Q91" s="287">
        <f>'Input Data Sheet'!R91</f>
        <v>0</v>
      </c>
      <c r="R91" s="341">
        <f>'Input Data Sheet'!S91</f>
        <v>1016862</v>
      </c>
      <c r="S91" s="341">
        <f>'Input Data Sheet'!T91</f>
        <v>0</v>
      </c>
      <c r="T91" s="341">
        <f>'Input Data Sheet'!U91</f>
        <v>0</v>
      </c>
      <c r="U91" s="341">
        <f>'Input Data Sheet'!V91</f>
        <v>0</v>
      </c>
      <c r="V91" s="341">
        <f>'Input Data Sheet'!W91</f>
        <v>0</v>
      </c>
      <c r="W91" s="287">
        <f>'Input Data Sheet'!X91</f>
        <v>0</v>
      </c>
      <c r="X91" s="321">
        <f>'Input Data Sheet'!Y91</f>
        <v>0</v>
      </c>
      <c r="Y91" s="287">
        <f t="shared" si="21"/>
        <v>0</v>
      </c>
      <c r="Z91" s="287">
        <f t="shared" si="12"/>
        <v>0</v>
      </c>
      <c r="AA91" s="341">
        <f t="shared" si="13"/>
        <v>1016862</v>
      </c>
      <c r="AB91" s="341">
        <f t="shared" si="14"/>
        <v>0</v>
      </c>
      <c r="AC91" s="341">
        <f t="shared" si="15"/>
        <v>0</v>
      </c>
      <c r="AD91" s="341">
        <f t="shared" si="16"/>
        <v>0</v>
      </c>
      <c r="AE91" s="341">
        <f t="shared" si="17"/>
        <v>0</v>
      </c>
      <c r="AF91" s="287">
        <f t="shared" si="18"/>
        <v>0</v>
      </c>
      <c r="AG91" s="287">
        <f t="shared" si="19"/>
        <v>0</v>
      </c>
      <c r="AH91" s="322">
        <f>IF($H91,0,IFERROR(IF(VALUE(LEFT(D91,4))&gt;VALUE(LEFT(Parameters!$B$66,4))+1,O91-SUM(R91:X91),0),0))</f>
        <v>0</v>
      </c>
      <c r="AI91" s="330">
        <f>IF('Input Data Sheet'!$P91=0,0,'Input Data Sheet'!Z91/'Input Data Sheet'!$P91)</f>
        <v>0</v>
      </c>
      <c r="AJ91" s="331">
        <f>IF('Input Data Sheet'!$P91=0,0,'Input Data Sheet'!AA91/'Input Data Sheet'!$P91)</f>
        <v>0</v>
      </c>
      <c r="AK91" s="331">
        <f>IF('Input Data Sheet'!$P91=0,0,'Input Data Sheet'!AB91/'Input Data Sheet'!$P91)</f>
        <v>0</v>
      </c>
      <c r="AL91" s="331">
        <f>IF('Input Data Sheet'!$P91=0,0,'Input Data Sheet'!AC91/'Input Data Sheet'!$P91)</f>
        <v>0.27999992132651363</v>
      </c>
      <c r="AM91" s="331">
        <f>IF('Input Data Sheet'!$P91=0,0,'Input Data Sheet'!AD91/'Input Data Sheet'!$P91)</f>
        <v>0.45000054088021862</v>
      </c>
      <c r="AN91" s="331">
        <f>IF('Input Data Sheet'!$P91=0,0,'Input Data Sheet'!AE91/'Input Data Sheet'!$P91)</f>
        <v>6.000033436231697E-2</v>
      </c>
      <c r="AO91" s="331">
        <f>IF('Input Data Sheet'!$P91=0,0,'Input Data Sheet'!AF91/'Input Data Sheet'!$P91)</f>
        <v>0.21000018684953006</v>
      </c>
      <c r="AP91" s="331">
        <f>IF('Input Data Sheet'!$P91=0,0,'Input Data Sheet'!AG91/'Input Data Sheet'!$P91)</f>
        <v>0</v>
      </c>
      <c r="AQ91" s="331">
        <f>IF('Input Data Sheet'!$P91=0,0,'Input Data Sheet'!AH91/'Input Data Sheet'!$P91)</f>
        <v>0</v>
      </c>
      <c r="AR91" s="331">
        <f>IF('Input Data Sheet'!$P91=0,0,'Input Data Sheet'!AI91/'Input Data Sheet'!$P91)</f>
        <v>0</v>
      </c>
      <c r="AS91" s="331">
        <f>IF('Input Data Sheet'!$P91=0,0,'Input Data Sheet'!AJ91/'Input Data Sheet'!$P91)</f>
        <v>0</v>
      </c>
      <c r="AT91" s="331">
        <f>IF('Input Data Sheet'!$P91=0,0,'Input Data Sheet'!AK91/'Input Data Sheet'!$P91)</f>
        <v>0</v>
      </c>
      <c r="AU91" s="331">
        <f>IF('Input Data Sheet'!$P91=0,0,'Input Data Sheet'!AL91/'Input Data Sheet'!$P91)</f>
        <v>0</v>
      </c>
      <c r="AV91" s="331">
        <f>IF('Input Data Sheet'!$P91=0,0,'Input Data Sheet'!AM91/'Input Data Sheet'!$P91)</f>
        <v>0</v>
      </c>
      <c r="AW91" s="331">
        <f>IF('Input Data Sheet'!$P91=0,0,'Input Data Sheet'!AN91/'Input Data Sheet'!$P91)</f>
        <v>0</v>
      </c>
      <c r="AX91" s="331">
        <f>IF('Input Data Sheet'!$P91=0,0,'Input Data Sheet'!AO91/'Input Data Sheet'!$P91)</f>
        <v>0</v>
      </c>
      <c r="AY91" s="331">
        <f>IF('Input Data Sheet'!$P91=0,0,'Input Data Sheet'!AP91/'Input Data Sheet'!$P91)</f>
        <v>0</v>
      </c>
      <c r="AZ91" s="331">
        <f>IF('Input Data Sheet'!$P91=0,0,'Input Data Sheet'!AQ91/'Input Data Sheet'!$P91)</f>
        <v>0</v>
      </c>
      <c r="BA91" s="331">
        <f>IF('Input Data Sheet'!$P91=0,0,'Input Data Sheet'!AR91/'Input Data Sheet'!$P91)</f>
        <v>0</v>
      </c>
      <c r="BB91" s="331">
        <f>IF('Input Data Sheet'!$P91=0,0,'Input Data Sheet'!AS91/'Input Data Sheet'!$P91)</f>
        <v>0</v>
      </c>
      <c r="BC91" s="331">
        <f>IF('Input Data Sheet'!$P91=0,0,'Input Data Sheet'!AT91/'Input Data Sheet'!$P91)</f>
        <v>0</v>
      </c>
      <c r="BD91" s="331">
        <f>IF('Input Data Sheet'!$P91=0,0,'Input Data Sheet'!AU91/'Input Data Sheet'!$P91)</f>
        <v>0</v>
      </c>
      <c r="BE91" s="331">
        <f>IF('Input Data Sheet'!$P91=0,0,'Input Data Sheet'!AV91/'Input Data Sheet'!$P91)</f>
        <v>0</v>
      </c>
      <c r="BF91" s="332">
        <f>IF('Input Data Sheet'!$P91=0,0,'Input Data Sheet'!AW91/'Input Data Sheet'!$P91)</f>
        <v>0</v>
      </c>
      <c r="BG91" s="328">
        <f t="shared" si="22"/>
        <v>1.0000009834185792</v>
      </c>
    </row>
    <row r="92" spans="1:59" x14ac:dyDescent="0.3">
      <c r="A92" s="409" t="str">
        <f>'Input Data Sheet'!B92</f>
        <v>ND1001</v>
      </c>
      <c r="B92" s="314" t="str">
        <f>'Input Data Sheet'!C92</f>
        <v>Strategic easement acquisition</v>
      </c>
      <c r="C92" s="314" t="str">
        <f>'Input Data Sheet'!D92</f>
        <v>Land and Easements</v>
      </c>
      <c r="D92" s="333" t="str">
        <f>'Input Data Sheet'!E92</f>
        <v>2013/14</v>
      </c>
      <c r="E92" s="333">
        <f>'Input Data Sheet'!F92</f>
        <v>0</v>
      </c>
      <c r="F92" s="315"/>
      <c r="G92" s="315"/>
      <c r="H92" s="316">
        <f>'Input Data Sheet'!J92</f>
        <v>0</v>
      </c>
      <c r="I92" s="316"/>
      <c r="J92" s="316">
        <f>'Input Data Sheet'!K92</f>
        <v>1</v>
      </c>
      <c r="K92" s="496"/>
      <c r="L92" s="496"/>
      <c r="M92" s="496"/>
      <c r="N92" s="316"/>
      <c r="O92" s="287">
        <f t="shared" si="20"/>
        <v>482246.13123609993</v>
      </c>
      <c r="P92" s="320">
        <f>'Input Data Sheet'!Q92</f>
        <v>0</v>
      </c>
      <c r="Q92" s="287">
        <f>'Input Data Sheet'!R92</f>
        <v>482246.13123609993</v>
      </c>
      <c r="R92" s="341">
        <f>'Input Data Sheet'!S92</f>
        <v>0</v>
      </c>
      <c r="S92" s="341">
        <f>'Input Data Sheet'!T92</f>
        <v>0</v>
      </c>
      <c r="T92" s="341">
        <f>'Input Data Sheet'!U92</f>
        <v>0</v>
      </c>
      <c r="U92" s="341">
        <f>'Input Data Sheet'!V92</f>
        <v>0</v>
      </c>
      <c r="V92" s="341">
        <f>'Input Data Sheet'!W92</f>
        <v>0</v>
      </c>
      <c r="W92" s="287">
        <f>'Input Data Sheet'!X92</f>
        <v>0</v>
      </c>
      <c r="X92" s="321">
        <f>'Input Data Sheet'!Y92</f>
        <v>0</v>
      </c>
      <c r="Y92" s="287">
        <f t="shared" si="21"/>
        <v>0</v>
      </c>
      <c r="Z92" s="287">
        <f t="shared" si="12"/>
        <v>482246.13123609993</v>
      </c>
      <c r="AA92" s="341">
        <f t="shared" si="13"/>
        <v>0</v>
      </c>
      <c r="AB92" s="341">
        <f t="shared" si="14"/>
        <v>0</v>
      </c>
      <c r="AC92" s="341">
        <f t="shared" si="15"/>
        <v>0</v>
      </c>
      <c r="AD92" s="341">
        <f t="shared" si="16"/>
        <v>0</v>
      </c>
      <c r="AE92" s="341">
        <f t="shared" si="17"/>
        <v>0</v>
      </c>
      <c r="AF92" s="287">
        <f t="shared" si="18"/>
        <v>0</v>
      </c>
      <c r="AG92" s="287">
        <f t="shared" si="19"/>
        <v>0</v>
      </c>
      <c r="AH92" s="322">
        <f>IF($H92,0,IFERROR(IF(VALUE(LEFT(D92,4))&gt;VALUE(LEFT(Parameters!$B$66,4))+1,O92-SUM(R92:X92),0),0))</f>
        <v>0</v>
      </c>
      <c r="AI92" s="330">
        <f>IF('Input Data Sheet'!$P92=0,0,'Input Data Sheet'!Z92/'Input Data Sheet'!$P92)</f>
        <v>0</v>
      </c>
      <c r="AJ92" s="331">
        <f>IF('Input Data Sheet'!$P92=0,0,'Input Data Sheet'!AA92/'Input Data Sheet'!$P92)</f>
        <v>0</v>
      </c>
      <c r="AK92" s="331">
        <f>IF('Input Data Sheet'!$P92=0,0,'Input Data Sheet'!AB92/'Input Data Sheet'!$P92)</f>
        <v>0</v>
      </c>
      <c r="AL92" s="331">
        <f>IF('Input Data Sheet'!$P92=0,0,'Input Data Sheet'!AC92/'Input Data Sheet'!$P92)</f>
        <v>0</v>
      </c>
      <c r="AM92" s="331">
        <f>IF('Input Data Sheet'!$P92=0,0,'Input Data Sheet'!AD92/'Input Data Sheet'!$P92)</f>
        <v>0</v>
      </c>
      <c r="AN92" s="331">
        <f>IF('Input Data Sheet'!$P92=0,0,'Input Data Sheet'!AE92/'Input Data Sheet'!$P92)</f>
        <v>0</v>
      </c>
      <c r="AO92" s="331">
        <f>IF('Input Data Sheet'!$P92=0,0,'Input Data Sheet'!AF92/'Input Data Sheet'!$P92)</f>
        <v>0</v>
      </c>
      <c r="AP92" s="331">
        <f>IF('Input Data Sheet'!$P92=0,0,'Input Data Sheet'!AG92/'Input Data Sheet'!$P92)</f>
        <v>0</v>
      </c>
      <c r="AQ92" s="331">
        <f>IF('Input Data Sheet'!$P92=0,0,'Input Data Sheet'!AH92/'Input Data Sheet'!$P92)</f>
        <v>0</v>
      </c>
      <c r="AR92" s="331">
        <f>IF('Input Data Sheet'!$P92=0,0,'Input Data Sheet'!AI92/'Input Data Sheet'!$P92)</f>
        <v>0</v>
      </c>
      <c r="AS92" s="331">
        <f>IF('Input Data Sheet'!$P92=0,0,'Input Data Sheet'!AJ92/'Input Data Sheet'!$P92)</f>
        <v>0</v>
      </c>
      <c r="AT92" s="331">
        <f>IF('Input Data Sheet'!$P92=0,0,'Input Data Sheet'!AK92/'Input Data Sheet'!$P92)</f>
        <v>0</v>
      </c>
      <c r="AU92" s="331">
        <f>IF('Input Data Sheet'!$P92=0,0,'Input Data Sheet'!AL92/'Input Data Sheet'!$P92)</f>
        <v>0</v>
      </c>
      <c r="AV92" s="331">
        <f>IF('Input Data Sheet'!$P92=0,0,'Input Data Sheet'!AM92/'Input Data Sheet'!$P92)</f>
        <v>0</v>
      </c>
      <c r="AW92" s="331">
        <f>IF('Input Data Sheet'!$P92=0,0,'Input Data Sheet'!AN92/'Input Data Sheet'!$P92)</f>
        <v>0</v>
      </c>
      <c r="AX92" s="331">
        <f>IF('Input Data Sheet'!$P92=0,0,'Input Data Sheet'!AO92/'Input Data Sheet'!$P92)</f>
        <v>0</v>
      </c>
      <c r="AY92" s="331">
        <f>IF('Input Data Sheet'!$P92=0,0,'Input Data Sheet'!AP92/'Input Data Sheet'!$P92)</f>
        <v>1</v>
      </c>
      <c r="AZ92" s="331">
        <f>IF('Input Data Sheet'!$P92=0,0,'Input Data Sheet'!AQ92/'Input Data Sheet'!$P92)</f>
        <v>0</v>
      </c>
      <c r="BA92" s="331">
        <f>IF('Input Data Sheet'!$P92=0,0,'Input Data Sheet'!AR92/'Input Data Sheet'!$P92)</f>
        <v>0</v>
      </c>
      <c r="BB92" s="331">
        <f>IF('Input Data Sheet'!$P92=0,0,'Input Data Sheet'!AS92/'Input Data Sheet'!$P92)</f>
        <v>0</v>
      </c>
      <c r="BC92" s="331">
        <f>IF('Input Data Sheet'!$P92=0,0,'Input Data Sheet'!AT92/'Input Data Sheet'!$P92)</f>
        <v>0</v>
      </c>
      <c r="BD92" s="331">
        <f>IF('Input Data Sheet'!$P92=0,0,'Input Data Sheet'!AU92/'Input Data Sheet'!$P92)</f>
        <v>0</v>
      </c>
      <c r="BE92" s="331">
        <f>IF('Input Data Sheet'!$P92=0,0,'Input Data Sheet'!AV92/'Input Data Sheet'!$P92)</f>
        <v>0</v>
      </c>
      <c r="BF92" s="332">
        <f>IF('Input Data Sheet'!$P92=0,0,'Input Data Sheet'!AW92/'Input Data Sheet'!$P92)</f>
        <v>0</v>
      </c>
      <c r="BG92" s="328">
        <f t="shared" si="22"/>
        <v>1</v>
      </c>
    </row>
    <row r="93" spans="1:59" x14ac:dyDescent="0.3">
      <c r="A93" s="409">
        <f>'Input Data Sheet'!B93</f>
        <v>0</v>
      </c>
      <c r="B93" s="314">
        <f>'Input Data Sheet'!C93</f>
        <v>0</v>
      </c>
      <c r="C93" s="314">
        <f>'Input Data Sheet'!D93</f>
        <v>0</v>
      </c>
      <c r="D93" s="333">
        <f>'Input Data Sheet'!E93</f>
        <v>0</v>
      </c>
      <c r="E93" s="333">
        <f>'Input Data Sheet'!F93</f>
        <v>0</v>
      </c>
      <c r="F93" s="315"/>
      <c r="G93" s="315"/>
      <c r="H93" s="316">
        <f>'Input Data Sheet'!J93</f>
        <v>0</v>
      </c>
      <c r="I93" s="316"/>
      <c r="J93" s="316">
        <f>'Input Data Sheet'!K93</f>
        <v>0</v>
      </c>
      <c r="K93" s="496"/>
      <c r="L93" s="496"/>
      <c r="M93" s="496"/>
      <c r="N93" s="316"/>
      <c r="O93" s="287">
        <f t="shared" si="20"/>
        <v>0</v>
      </c>
      <c r="P93" s="320">
        <f>'Input Data Sheet'!Q93</f>
        <v>0</v>
      </c>
      <c r="Q93" s="287">
        <f>'Input Data Sheet'!R93</f>
        <v>0</v>
      </c>
      <c r="R93" s="341">
        <f>'Input Data Sheet'!S93</f>
        <v>0</v>
      </c>
      <c r="S93" s="341">
        <f>'Input Data Sheet'!T93</f>
        <v>0</v>
      </c>
      <c r="T93" s="341">
        <f>'Input Data Sheet'!U93</f>
        <v>0</v>
      </c>
      <c r="U93" s="341">
        <f>'Input Data Sheet'!V93</f>
        <v>0</v>
      </c>
      <c r="V93" s="341">
        <f>'Input Data Sheet'!W93</f>
        <v>0</v>
      </c>
      <c r="W93" s="287">
        <f>'Input Data Sheet'!X93</f>
        <v>0</v>
      </c>
      <c r="X93" s="321">
        <f>'Input Data Sheet'!Y93</f>
        <v>0</v>
      </c>
      <c r="Y93" s="287">
        <f t="shared" si="21"/>
        <v>0</v>
      </c>
      <c r="Z93" s="287">
        <f t="shared" si="12"/>
        <v>0</v>
      </c>
      <c r="AA93" s="341">
        <f t="shared" si="13"/>
        <v>0</v>
      </c>
      <c r="AB93" s="341">
        <f t="shared" si="14"/>
        <v>0</v>
      </c>
      <c r="AC93" s="341">
        <f t="shared" si="15"/>
        <v>0</v>
      </c>
      <c r="AD93" s="341">
        <f t="shared" si="16"/>
        <v>0</v>
      </c>
      <c r="AE93" s="341">
        <f t="shared" si="17"/>
        <v>0</v>
      </c>
      <c r="AF93" s="287">
        <f t="shared" si="18"/>
        <v>0</v>
      </c>
      <c r="AG93" s="287">
        <f t="shared" si="19"/>
        <v>0</v>
      </c>
      <c r="AH93" s="322">
        <f>IF($H93,0,IFERROR(IF(VALUE(LEFT(D93,4))&gt;VALUE(LEFT(Parameters!$B$66,4))+1,O93-SUM(R93:X93),0),0))</f>
        <v>0</v>
      </c>
      <c r="AI93" s="330">
        <f>IF('Input Data Sheet'!$P93=0,0,'Input Data Sheet'!Z93/'Input Data Sheet'!$P93)</f>
        <v>0</v>
      </c>
      <c r="AJ93" s="331">
        <f>IF('Input Data Sheet'!$P93=0,0,'Input Data Sheet'!AA93/'Input Data Sheet'!$P93)</f>
        <v>0</v>
      </c>
      <c r="AK93" s="331">
        <f>IF('Input Data Sheet'!$P93=0,0,'Input Data Sheet'!AB93/'Input Data Sheet'!$P93)</f>
        <v>0</v>
      </c>
      <c r="AL93" s="331">
        <f>IF('Input Data Sheet'!$P93=0,0,'Input Data Sheet'!AC93/'Input Data Sheet'!$P93)</f>
        <v>0</v>
      </c>
      <c r="AM93" s="331">
        <f>IF('Input Data Sheet'!$P93=0,0,'Input Data Sheet'!AD93/'Input Data Sheet'!$P93)</f>
        <v>0</v>
      </c>
      <c r="AN93" s="331">
        <f>IF('Input Data Sheet'!$P93=0,0,'Input Data Sheet'!AE93/'Input Data Sheet'!$P93)</f>
        <v>0</v>
      </c>
      <c r="AO93" s="331">
        <f>IF('Input Data Sheet'!$P93=0,0,'Input Data Sheet'!AF93/'Input Data Sheet'!$P93)</f>
        <v>0</v>
      </c>
      <c r="AP93" s="331">
        <f>IF('Input Data Sheet'!$P93=0,0,'Input Data Sheet'!AG93/'Input Data Sheet'!$P93)</f>
        <v>0</v>
      </c>
      <c r="AQ93" s="331">
        <f>IF('Input Data Sheet'!$P93=0,0,'Input Data Sheet'!AH93/'Input Data Sheet'!$P93)</f>
        <v>0</v>
      </c>
      <c r="AR93" s="331">
        <f>IF('Input Data Sheet'!$P93=0,0,'Input Data Sheet'!AI93/'Input Data Sheet'!$P93)</f>
        <v>0</v>
      </c>
      <c r="AS93" s="331">
        <f>IF('Input Data Sheet'!$P93=0,0,'Input Data Sheet'!AJ93/'Input Data Sheet'!$P93)</f>
        <v>0</v>
      </c>
      <c r="AT93" s="331">
        <f>IF('Input Data Sheet'!$P93=0,0,'Input Data Sheet'!AK93/'Input Data Sheet'!$P93)</f>
        <v>0</v>
      </c>
      <c r="AU93" s="331">
        <f>IF('Input Data Sheet'!$P93=0,0,'Input Data Sheet'!AL93/'Input Data Sheet'!$P93)</f>
        <v>0</v>
      </c>
      <c r="AV93" s="331">
        <f>IF('Input Data Sheet'!$P93=0,0,'Input Data Sheet'!AM93/'Input Data Sheet'!$P93)</f>
        <v>0</v>
      </c>
      <c r="AW93" s="331">
        <f>IF('Input Data Sheet'!$P93=0,0,'Input Data Sheet'!AN93/'Input Data Sheet'!$P93)</f>
        <v>0</v>
      </c>
      <c r="AX93" s="331">
        <f>IF('Input Data Sheet'!$P93=0,0,'Input Data Sheet'!AO93/'Input Data Sheet'!$P93)</f>
        <v>0</v>
      </c>
      <c r="AY93" s="331">
        <f>IF('Input Data Sheet'!$P93=0,0,'Input Data Sheet'!AP93/'Input Data Sheet'!$P93)</f>
        <v>0</v>
      </c>
      <c r="AZ93" s="331">
        <f>IF('Input Data Sheet'!$P93=0,0,'Input Data Sheet'!AQ93/'Input Data Sheet'!$P93)</f>
        <v>0</v>
      </c>
      <c r="BA93" s="331">
        <f>IF('Input Data Sheet'!$P93=0,0,'Input Data Sheet'!AR93/'Input Data Sheet'!$P93)</f>
        <v>0</v>
      </c>
      <c r="BB93" s="331">
        <f>IF('Input Data Sheet'!$P93=0,0,'Input Data Sheet'!AS93/'Input Data Sheet'!$P93)</f>
        <v>0</v>
      </c>
      <c r="BC93" s="331">
        <f>IF('Input Data Sheet'!$P93=0,0,'Input Data Sheet'!AT93/'Input Data Sheet'!$P93)</f>
        <v>0</v>
      </c>
      <c r="BD93" s="331">
        <f>IF('Input Data Sheet'!$P93=0,0,'Input Data Sheet'!AU93/'Input Data Sheet'!$P93)</f>
        <v>0</v>
      </c>
      <c r="BE93" s="331">
        <f>IF('Input Data Sheet'!$P93=0,0,'Input Data Sheet'!AV93/'Input Data Sheet'!$P93)</f>
        <v>0</v>
      </c>
      <c r="BF93" s="332">
        <f>IF('Input Data Sheet'!$P93=0,0,'Input Data Sheet'!AW93/'Input Data Sheet'!$P93)</f>
        <v>0</v>
      </c>
      <c r="BG93" s="328">
        <f t="shared" si="22"/>
        <v>0</v>
      </c>
    </row>
    <row r="94" spans="1:59" x14ac:dyDescent="0.3">
      <c r="A94" s="409">
        <f>'Input Data Sheet'!B94</f>
        <v>0</v>
      </c>
      <c r="B94" s="314">
        <f>'Input Data Sheet'!C94</f>
        <v>0</v>
      </c>
      <c r="C94" s="314">
        <f>'Input Data Sheet'!D94</f>
        <v>0</v>
      </c>
      <c r="D94" s="333">
        <f>'Input Data Sheet'!E94</f>
        <v>0</v>
      </c>
      <c r="E94" s="333">
        <f>'Input Data Sheet'!F94</f>
        <v>0</v>
      </c>
      <c r="F94" s="315"/>
      <c r="G94" s="315"/>
      <c r="H94" s="316">
        <f>'Input Data Sheet'!J94</f>
        <v>0</v>
      </c>
      <c r="I94" s="316"/>
      <c r="J94" s="316">
        <f>'Input Data Sheet'!K94</f>
        <v>0</v>
      </c>
      <c r="K94" s="496"/>
      <c r="L94" s="496"/>
      <c r="M94" s="496"/>
      <c r="N94" s="316"/>
      <c r="O94" s="287">
        <f t="shared" si="20"/>
        <v>0</v>
      </c>
      <c r="P94" s="320">
        <f>'Input Data Sheet'!Q94</f>
        <v>0</v>
      </c>
      <c r="Q94" s="287">
        <f>'Input Data Sheet'!R94</f>
        <v>0</v>
      </c>
      <c r="R94" s="341">
        <f>'Input Data Sheet'!S94</f>
        <v>0</v>
      </c>
      <c r="S94" s="341">
        <f>'Input Data Sheet'!T94</f>
        <v>0</v>
      </c>
      <c r="T94" s="341">
        <f>'Input Data Sheet'!U94</f>
        <v>0</v>
      </c>
      <c r="U94" s="341">
        <f>'Input Data Sheet'!V94</f>
        <v>0</v>
      </c>
      <c r="V94" s="341">
        <f>'Input Data Sheet'!W94</f>
        <v>0</v>
      </c>
      <c r="W94" s="287">
        <f>'Input Data Sheet'!X94</f>
        <v>0</v>
      </c>
      <c r="X94" s="321">
        <f>'Input Data Sheet'!Y94</f>
        <v>0</v>
      </c>
      <c r="Y94" s="287">
        <f t="shared" si="21"/>
        <v>0</v>
      </c>
      <c r="Z94" s="287">
        <f t="shared" si="12"/>
        <v>0</v>
      </c>
      <c r="AA94" s="341">
        <f t="shared" si="13"/>
        <v>0</v>
      </c>
      <c r="AB94" s="341">
        <f t="shared" si="14"/>
        <v>0</v>
      </c>
      <c r="AC94" s="341">
        <f t="shared" si="15"/>
        <v>0</v>
      </c>
      <c r="AD94" s="341">
        <f t="shared" si="16"/>
        <v>0</v>
      </c>
      <c r="AE94" s="341">
        <f t="shared" si="17"/>
        <v>0</v>
      </c>
      <c r="AF94" s="287">
        <f t="shared" si="18"/>
        <v>0</v>
      </c>
      <c r="AG94" s="287">
        <f t="shared" si="19"/>
        <v>0</v>
      </c>
      <c r="AH94" s="322">
        <f>IF($H94,0,IFERROR(IF(VALUE(LEFT(D94,4))&gt;VALUE(LEFT(Parameters!$B$66,4))+1,O94-SUM(R94:X94),0),0))</f>
        <v>0</v>
      </c>
      <c r="AI94" s="330">
        <f>IF('Input Data Sheet'!$P94=0,0,'Input Data Sheet'!Z94/'Input Data Sheet'!$P94)</f>
        <v>0</v>
      </c>
      <c r="AJ94" s="331">
        <f>IF('Input Data Sheet'!$P94=0,0,'Input Data Sheet'!AA94/'Input Data Sheet'!$P94)</f>
        <v>0</v>
      </c>
      <c r="AK94" s="331">
        <f>IF('Input Data Sheet'!$P94=0,0,'Input Data Sheet'!AB94/'Input Data Sheet'!$P94)</f>
        <v>0</v>
      </c>
      <c r="AL94" s="331">
        <f>IF('Input Data Sheet'!$P94=0,0,'Input Data Sheet'!AC94/'Input Data Sheet'!$P94)</f>
        <v>0</v>
      </c>
      <c r="AM94" s="331">
        <f>IF('Input Data Sheet'!$P94=0,0,'Input Data Sheet'!AD94/'Input Data Sheet'!$P94)</f>
        <v>0</v>
      </c>
      <c r="AN94" s="331">
        <f>IF('Input Data Sheet'!$P94=0,0,'Input Data Sheet'!AE94/'Input Data Sheet'!$P94)</f>
        <v>0</v>
      </c>
      <c r="AO94" s="331">
        <f>IF('Input Data Sheet'!$P94=0,0,'Input Data Sheet'!AF94/'Input Data Sheet'!$P94)</f>
        <v>0</v>
      </c>
      <c r="AP94" s="331">
        <f>IF('Input Data Sheet'!$P94=0,0,'Input Data Sheet'!AG94/'Input Data Sheet'!$P94)</f>
        <v>0</v>
      </c>
      <c r="AQ94" s="331">
        <f>IF('Input Data Sheet'!$P94=0,0,'Input Data Sheet'!AH94/'Input Data Sheet'!$P94)</f>
        <v>0</v>
      </c>
      <c r="AR94" s="331">
        <f>IF('Input Data Sheet'!$P94=0,0,'Input Data Sheet'!AI94/'Input Data Sheet'!$P94)</f>
        <v>0</v>
      </c>
      <c r="AS94" s="331">
        <f>IF('Input Data Sheet'!$P94=0,0,'Input Data Sheet'!AJ94/'Input Data Sheet'!$P94)</f>
        <v>0</v>
      </c>
      <c r="AT94" s="331">
        <f>IF('Input Data Sheet'!$P94=0,0,'Input Data Sheet'!AK94/'Input Data Sheet'!$P94)</f>
        <v>0</v>
      </c>
      <c r="AU94" s="331">
        <f>IF('Input Data Sheet'!$P94=0,0,'Input Data Sheet'!AL94/'Input Data Sheet'!$P94)</f>
        <v>0</v>
      </c>
      <c r="AV94" s="331">
        <f>IF('Input Data Sheet'!$P94=0,0,'Input Data Sheet'!AM94/'Input Data Sheet'!$P94)</f>
        <v>0</v>
      </c>
      <c r="AW94" s="331">
        <f>IF('Input Data Sheet'!$P94=0,0,'Input Data Sheet'!AN94/'Input Data Sheet'!$P94)</f>
        <v>0</v>
      </c>
      <c r="AX94" s="331">
        <f>IF('Input Data Sheet'!$P94=0,0,'Input Data Sheet'!AO94/'Input Data Sheet'!$P94)</f>
        <v>0</v>
      </c>
      <c r="AY94" s="331">
        <f>IF('Input Data Sheet'!$P94=0,0,'Input Data Sheet'!AP94/'Input Data Sheet'!$P94)</f>
        <v>0</v>
      </c>
      <c r="AZ94" s="331">
        <f>IF('Input Data Sheet'!$P94=0,0,'Input Data Sheet'!AQ94/'Input Data Sheet'!$P94)</f>
        <v>0</v>
      </c>
      <c r="BA94" s="331">
        <f>IF('Input Data Sheet'!$P94=0,0,'Input Data Sheet'!AR94/'Input Data Sheet'!$P94)</f>
        <v>0</v>
      </c>
      <c r="BB94" s="331">
        <f>IF('Input Data Sheet'!$P94=0,0,'Input Data Sheet'!AS94/'Input Data Sheet'!$P94)</f>
        <v>0</v>
      </c>
      <c r="BC94" s="331">
        <f>IF('Input Data Sheet'!$P94=0,0,'Input Data Sheet'!AT94/'Input Data Sheet'!$P94)</f>
        <v>0</v>
      </c>
      <c r="BD94" s="331">
        <f>IF('Input Data Sheet'!$P94=0,0,'Input Data Sheet'!AU94/'Input Data Sheet'!$P94)</f>
        <v>0</v>
      </c>
      <c r="BE94" s="331">
        <f>IF('Input Data Sheet'!$P94=0,0,'Input Data Sheet'!AV94/'Input Data Sheet'!$P94)</f>
        <v>0</v>
      </c>
      <c r="BF94" s="332">
        <f>IF('Input Data Sheet'!$P94=0,0,'Input Data Sheet'!AW94/'Input Data Sheet'!$P94)</f>
        <v>0</v>
      </c>
      <c r="BG94" s="328">
        <f t="shared" si="22"/>
        <v>0</v>
      </c>
    </row>
    <row r="95" spans="1:59" x14ac:dyDescent="0.3">
      <c r="A95" s="409">
        <f>'Input Data Sheet'!B95</f>
        <v>0</v>
      </c>
      <c r="B95" s="314">
        <f>'Input Data Sheet'!C95</f>
        <v>0</v>
      </c>
      <c r="C95" s="314">
        <f>'Input Data Sheet'!D95</f>
        <v>0</v>
      </c>
      <c r="D95" s="333">
        <f>'Input Data Sheet'!E95</f>
        <v>0</v>
      </c>
      <c r="E95" s="333">
        <f>'Input Data Sheet'!F95</f>
        <v>0</v>
      </c>
      <c r="F95" s="315"/>
      <c r="G95" s="315"/>
      <c r="H95" s="316">
        <f>'Input Data Sheet'!J95</f>
        <v>0</v>
      </c>
      <c r="I95" s="316"/>
      <c r="J95" s="316">
        <f>'Input Data Sheet'!K95</f>
        <v>0</v>
      </c>
      <c r="K95" s="496"/>
      <c r="L95" s="496"/>
      <c r="M95" s="496"/>
      <c r="N95" s="316"/>
      <c r="O95" s="287">
        <f t="shared" si="20"/>
        <v>0</v>
      </c>
      <c r="P95" s="320">
        <f>'Input Data Sheet'!Q95</f>
        <v>0</v>
      </c>
      <c r="Q95" s="287">
        <f>'Input Data Sheet'!R95</f>
        <v>0</v>
      </c>
      <c r="R95" s="341">
        <f>'Input Data Sheet'!S95</f>
        <v>0</v>
      </c>
      <c r="S95" s="341">
        <f>'Input Data Sheet'!T95</f>
        <v>0</v>
      </c>
      <c r="T95" s="341">
        <f>'Input Data Sheet'!U95</f>
        <v>0</v>
      </c>
      <c r="U95" s="341">
        <f>'Input Data Sheet'!V95</f>
        <v>0</v>
      </c>
      <c r="V95" s="341">
        <f>'Input Data Sheet'!W95</f>
        <v>0</v>
      </c>
      <c r="W95" s="287">
        <f>'Input Data Sheet'!X95</f>
        <v>0</v>
      </c>
      <c r="X95" s="321">
        <f>'Input Data Sheet'!Y95</f>
        <v>0</v>
      </c>
      <c r="Y95" s="287">
        <f t="shared" si="21"/>
        <v>0</v>
      </c>
      <c r="Z95" s="287">
        <f t="shared" si="12"/>
        <v>0</v>
      </c>
      <c r="AA95" s="341">
        <f t="shared" si="13"/>
        <v>0</v>
      </c>
      <c r="AB95" s="341">
        <f t="shared" si="14"/>
        <v>0</v>
      </c>
      <c r="AC95" s="341">
        <f t="shared" si="15"/>
        <v>0</v>
      </c>
      <c r="AD95" s="341">
        <f t="shared" si="16"/>
        <v>0</v>
      </c>
      <c r="AE95" s="341">
        <f t="shared" si="17"/>
        <v>0</v>
      </c>
      <c r="AF95" s="287">
        <f t="shared" si="18"/>
        <v>0</v>
      </c>
      <c r="AG95" s="287">
        <f t="shared" si="19"/>
        <v>0</v>
      </c>
      <c r="AH95" s="322">
        <f>IF($H95,0,IFERROR(IF(VALUE(LEFT(D95,4))&gt;VALUE(LEFT(Parameters!$B$66,4))+1,O95-SUM(R95:X95),0),0))</f>
        <v>0</v>
      </c>
      <c r="AI95" s="330">
        <f>IF('Input Data Sheet'!$P95=0,0,'Input Data Sheet'!Z95/'Input Data Sheet'!$P95)</f>
        <v>0</v>
      </c>
      <c r="AJ95" s="331">
        <f>IF('Input Data Sheet'!$P95=0,0,'Input Data Sheet'!AA95/'Input Data Sheet'!$P95)</f>
        <v>0</v>
      </c>
      <c r="AK95" s="331">
        <f>IF('Input Data Sheet'!$P95=0,0,'Input Data Sheet'!AB95/'Input Data Sheet'!$P95)</f>
        <v>0</v>
      </c>
      <c r="AL95" s="331">
        <f>IF('Input Data Sheet'!$P95=0,0,'Input Data Sheet'!AC95/'Input Data Sheet'!$P95)</f>
        <v>0</v>
      </c>
      <c r="AM95" s="331">
        <f>IF('Input Data Sheet'!$P95=0,0,'Input Data Sheet'!AD95/'Input Data Sheet'!$P95)</f>
        <v>0</v>
      </c>
      <c r="AN95" s="331">
        <f>IF('Input Data Sheet'!$P95=0,0,'Input Data Sheet'!AE95/'Input Data Sheet'!$P95)</f>
        <v>0</v>
      </c>
      <c r="AO95" s="331">
        <f>IF('Input Data Sheet'!$P95=0,0,'Input Data Sheet'!AF95/'Input Data Sheet'!$P95)</f>
        <v>0</v>
      </c>
      <c r="AP95" s="331">
        <f>IF('Input Data Sheet'!$P95=0,0,'Input Data Sheet'!AG95/'Input Data Sheet'!$P95)</f>
        <v>0</v>
      </c>
      <c r="AQ95" s="331">
        <f>IF('Input Data Sheet'!$P95=0,0,'Input Data Sheet'!AH95/'Input Data Sheet'!$P95)</f>
        <v>0</v>
      </c>
      <c r="AR95" s="331">
        <f>IF('Input Data Sheet'!$P95=0,0,'Input Data Sheet'!AI95/'Input Data Sheet'!$P95)</f>
        <v>0</v>
      </c>
      <c r="AS95" s="331">
        <f>IF('Input Data Sheet'!$P95=0,0,'Input Data Sheet'!AJ95/'Input Data Sheet'!$P95)</f>
        <v>0</v>
      </c>
      <c r="AT95" s="331">
        <f>IF('Input Data Sheet'!$P95=0,0,'Input Data Sheet'!AK95/'Input Data Sheet'!$P95)</f>
        <v>0</v>
      </c>
      <c r="AU95" s="331">
        <f>IF('Input Data Sheet'!$P95=0,0,'Input Data Sheet'!AL95/'Input Data Sheet'!$P95)</f>
        <v>0</v>
      </c>
      <c r="AV95" s="331">
        <f>IF('Input Data Sheet'!$P95=0,0,'Input Data Sheet'!AM95/'Input Data Sheet'!$P95)</f>
        <v>0</v>
      </c>
      <c r="AW95" s="331">
        <f>IF('Input Data Sheet'!$P95=0,0,'Input Data Sheet'!AN95/'Input Data Sheet'!$P95)</f>
        <v>0</v>
      </c>
      <c r="AX95" s="331">
        <f>IF('Input Data Sheet'!$P95=0,0,'Input Data Sheet'!AO95/'Input Data Sheet'!$P95)</f>
        <v>0</v>
      </c>
      <c r="AY95" s="331">
        <f>IF('Input Data Sheet'!$P95=0,0,'Input Data Sheet'!AP95/'Input Data Sheet'!$P95)</f>
        <v>0</v>
      </c>
      <c r="AZ95" s="331">
        <f>IF('Input Data Sheet'!$P95=0,0,'Input Data Sheet'!AQ95/'Input Data Sheet'!$P95)</f>
        <v>0</v>
      </c>
      <c r="BA95" s="331">
        <f>IF('Input Data Sheet'!$P95=0,0,'Input Data Sheet'!AR95/'Input Data Sheet'!$P95)</f>
        <v>0</v>
      </c>
      <c r="BB95" s="331">
        <f>IF('Input Data Sheet'!$P95=0,0,'Input Data Sheet'!AS95/'Input Data Sheet'!$P95)</f>
        <v>0</v>
      </c>
      <c r="BC95" s="331">
        <f>IF('Input Data Sheet'!$P95=0,0,'Input Data Sheet'!AT95/'Input Data Sheet'!$P95)</f>
        <v>0</v>
      </c>
      <c r="BD95" s="331">
        <f>IF('Input Data Sheet'!$P95=0,0,'Input Data Sheet'!AU95/'Input Data Sheet'!$P95)</f>
        <v>0</v>
      </c>
      <c r="BE95" s="331">
        <f>IF('Input Data Sheet'!$P95=0,0,'Input Data Sheet'!AV95/'Input Data Sheet'!$P95)</f>
        <v>0</v>
      </c>
      <c r="BF95" s="332">
        <f>IF('Input Data Sheet'!$P95=0,0,'Input Data Sheet'!AW95/'Input Data Sheet'!$P95)</f>
        <v>0</v>
      </c>
      <c r="BG95" s="328">
        <f t="shared" si="22"/>
        <v>0</v>
      </c>
    </row>
    <row r="96" spans="1:59" x14ac:dyDescent="0.3">
      <c r="A96" s="409">
        <f>'Input Data Sheet'!B96</f>
        <v>0</v>
      </c>
      <c r="B96" s="314">
        <f>'Input Data Sheet'!C96</f>
        <v>0</v>
      </c>
      <c r="C96" s="314">
        <f>'Input Data Sheet'!D96</f>
        <v>0</v>
      </c>
      <c r="D96" s="333">
        <f>'Input Data Sheet'!E96</f>
        <v>0</v>
      </c>
      <c r="E96" s="333">
        <f>'Input Data Sheet'!F96</f>
        <v>0</v>
      </c>
      <c r="F96" s="315"/>
      <c r="G96" s="315"/>
      <c r="H96" s="316">
        <f>'Input Data Sheet'!J96</f>
        <v>0</v>
      </c>
      <c r="I96" s="316"/>
      <c r="J96" s="316">
        <f>'Input Data Sheet'!K96</f>
        <v>0</v>
      </c>
      <c r="K96" s="496"/>
      <c r="L96" s="496"/>
      <c r="M96" s="496"/>
      <c r="N96" s="316"/>
      <c r="O96" s="287">
        <f t="shared" si="20"/>
        <v>0</v>
      </c>
      <c r="P96" s="320">
        <f>'Input Data Sheet'!Q96</f>
        <v>0</v>
      </c>
      <c r="Q96" s="287">
        <f>'Input Data Sheet'!R96</f>
        <v>0</v>
      </c>
      <c r="R96" s="341">
        <f>'Input Data Sheet'!S96</f>
        <v>0</v>
      </c>
      <c r="S96" s="341">
        <f>'Input Data Sheet'!T96</f>
        <v>0</v>
      </c>
      <c r="T96" s="341">
        <f>'Input Data Sheet'!U96</f>
        <v>0</v>
      </c>
      <c r="U96" s="341">
        <f>'Input Data Sheet'!V96</f>
        <v>0</v>
      </c>
      <c r="V96" s="341">
        <f>'Input Data Sheet'!W96</f>
        <v>0</v>
      </c>
      <c r="W96" s="287">
        <f>'Input Data Sheet'!X96</f>
        <v>0</v>
      </c>
      <c r="X96" s="321">
        <f>'Input Data Sheet'!Y96</f>
        <v>0</v>
      </c>
      <c r="Y96" s="287">
        <f t="shared" si="21"/>
        <v>0</v>
      </c>
      <c r="Z96" s="287">
        <f t="shared" si="12"/>
        <v>0</v>
      </c>
      <c r="AA96" s="341">
        <f t="shared" si="13"/>
        <v>0</v>
      </c>
      <c r="AB96" s="341">
        <f t="shared" si="14"/>
        <v>0</v>
      </c>
      <c r="AC96" s="341">
        <f t="shared" si="15"/>
        <v>0</v>
      </c>
      <c r="AD96" s="341">
        <f t="shared" si="16"/>
        <v>0</v>
      </c>
      <c r="AE96" s="341">
        <f t="shared" si="17"/>
        <v>0</v>
      </c>
      <c r="AF96" s="287">
        <f t="shared" si="18"/>
        <v>0</v>
      </c>
      <c r="AG96" s="287">
        <f t="shared" si="19"/>
        <v>0</v>
      </c>
      <c r="AH96" s="322">
        <f>IF($H96,0,IFERROR(IF(VALUE(LEFT(D96,4))&gt;VALUE(LEFT(Parameters!$B$66,4))+1,O96-SUM(R96:X96),0),0))</f>
        <v>0</v>
      </c>
      <c r="AI96" s="330">
        <f>IF('Input Data Sheet'!$P96=0,0,'Input Data Sheet'!Z96/'Input Data Sheet'!$P96)</f>
        <v>0</v>
      </c>
      <c r="AJ96" s="331">
        <f>IF('Input Data Sheet'!$P96=0,0,'Input Data Sheet'!AA96/'Input Data Sheet'!$P96)</f>
        <v>0</v>
      </c>
      <c r="AK96" s="331">
        <f>IF('Input Data Sheet'!$P96=0,0,'Input Data Sheet'!AB96/'Input Data Sheet'!$P96)</f>
        <v>0</v>
      </c>
      <c r="AL96" s="331">
        <f>IF('Input Data Sheet'!$P96=0,0,'Input Data Sheet'!AC96/'Input Data Sheet'!$P96)</f>
        <v>0</v>
      </c>
      <c r="AM96" s="331">
        <f>IF('Input Data Sheet'!$P96=0,0,'Input Data Sheet'!AD96/'Input Data Sheet'!$P96)</f>
        <v>0</v>
      </c>
      <c r="AN96" s="331">
        <f>IF('Input Data Sheet'!$P96=0,0,'Input Data Sheet'!AE96/'Input Data Sheet'!$P96)</f>
        <v>0</v>
      </c>
      <c r="AO96" s="331">
        <f>IF('Input Data Sheet'!$P96=0,0,'Input Data Sheet'!AF96/'Input Data Sheet'!$P96)</f>
        <v>0</v>
      </c>
      <c r="AP96" s="331">
        <f>IF('Input Data Sheet'!$P96=0,0,'Input Data Sheet'!AG96/'Input Data Sheet'!$P96)</f>
        <v>0</v>
      </c>
      <c r="AQ96" s="331">
        <f>IF('Input Data Sheet'!$P96=0,0,'Input Data Sheet'!AH96/'Input Data Sheet'!$P96)</f>
        <v>0</v>
      </c>
      <c r="AR96" s="331">
        <f>IF('Input Data Sheet'!$P96=0,0,'Input Data Sheet'!AI96/'Input Data Sheet'!$P96)</f>
        <v>0</v>
      </c>
      <c r="AS96" s="331">
        <f>IF('Input Data Sheet'!$P96=0,0,'Input Data Sheet'!AJ96/'Input Data Sheet'!$P96)</f>
        <v>0</v>
      </c>
      <c r="AT96" s="331">
        <f>IF('Input Data Sheet'!$P96=0,0,'Input Data Sheet'!AK96/'Input Data Sheet'!$P96)</f>
        <v>0</v>
      </c>
      <c r="AU96" s="331">
        <f>IF('Input Data Sheet'!$P96=0,0,'Input Data Sheet'!AL96/'Input Data Sheet'!$P96)</f>
        <v>0</v>
      </c>
      <c r="AV96" s="331">
        <f>IF('Input Data Sheet'!$P96=0,0,'Input Data Sheet'!AM96/'Input Data Sheet'!$P96)</f>
        <v>0</v>
      </c>
      <c r="AW96" s="331">
        <f>IF('Input Data Sheet'!$P96=0,0,'Input Data Sheet'!AN96/'Input Data Sheet'!$P96)</f>
        <v>0</v>
      </c>
      <c r="AX96" s="331">
        <f>IF('Input Data Sheet'!$P96=0,0,'Input Data Sheet'!AO96/'Input Data Sheet'!$P96)</f>
        <v>0</v>
      </c>
      <c r="AY96" s="331">
        <f>IF('Input Data Sheet'!$P96=0,0,'Input Data Sheet'!AP96/'Input Data Sheet'!$P96)</f>
        <v>0</v>
      </c>
      <c r="AZ96" s="331">
        <f>IF('Input Data Sheet'!$P96=0,0,'Input Data Sheet'!AQ96/'Input Data Sheet'!$P96)</f>
        <v>0</v>
      </c>
      <c r="BA96" s="331">
        <f>IF('Input Data Sheet'!$P96=0,0,'Input Data Sheet'!AR96/'Input Data Sheet'!$P96)</f>
        <v>0</v>
      </c>
      <c r="BB96" s="331">
        <f>IF('Input Data Sheet'!$P96=0,0,'Input Data Sheet'!AS96/'Input Data Sheet'!$P96)</f>
        <v>0</v>
      </c>
      <c r="BC96" s="331">
        <f>IF('Input Data Sheet'!$P96=0,0,'Input Data Sheet'!AT96/'Input Data Sheet'!$P96)</f>
        <v>0</v>
      </c>
      <c r="BD96" s="331">
        <f>IF('Input Data Sheet'!$P96=0,0,'Input Data Sheet'!AU96/'Input Data Sheet'!$P96)</f>
        <v>0</v>
      </c>
      <c r="BE96" s="331">
        <f>IF('Input Data Sheet'!$P96=0,0,'Input Data Sheet'!AV96/'Input Data Sheet'!$P96)</f>
        <v>0</v>
      </c>
      <c r="BF96" s="332">
        <f>IF('Input Data Sheet'!$P96=0,0,'Input Data Sheet'!AW96/'Input Data Sheet'!$P96)</f>
        <v>0</v>
      </c>
      <c r="BG96" s="328">
        <f t="shared" si="22"/>
        <v>0</v>
      </c>
    </row>
    <row r="97" spans="1:59" x14ac:dyDescent="0.3">
      <c r="A97" s="409">
        <f>'Input Data Sheet'!B97</f>
        <v>0</v>
      </c>
      <c r="B97" s="314">
        <f>'Input Data Sheet'!C97</f>
        <v>0</v>
      </c>
      <c r="C97" s="314">
        <f>'Input Data Sheet'!D97</f>
        <v>0</v>
      </c>
      <c r="D97" s="333">
        <f>'Input Data Sheet'!E97</f>
        <v>0</v>
      </c>
      <c r="E97" s="333">
        <f>'Input Data Sheet'!F97</f>
        <v>0</v>
      </c>
      <c r="F97" s="315"/>
      <c r="G97" s="315"/>
      <c r="H97" s="316">
        <f>'Input Data Sheet'!J97</f>
        <v>0</v>
      </c>
      <c r="I97" s="316"/>
      <c r="J97" s="316">
        <f>'Input Data Sheet'!K97</f>
        <v>0</v>
      </c>
      <c r="K97" s="496"/>
      <c r="L97" s="496"/>
      <c r="M97" s="496"/>
      <c r="N97" s="316"/>
      <c r="O97" s="287">
        <f t="shared" si="20"/>
        <v>0</v>
      </c>
      <c r="P97" s="320">
        <f>'Input Data Sheet'!Q97</f>
        <v>0</v>
      </c>
      <c r="Q97" s="287">
        <f>'Input Data Sheet'!R97</f>
        <v>0</v>
      </c>
      <c r="R97" s="341">
        <f>'Input Data Sheet'!S97</f>
        <v>0</v>
      </c>
      <c r="S97" s="341">
        <f>'Input Data Sheet'!T97</f>
        <v>0</v>
      </c>
      <c r="T97" s="341">
        <f>'Input Data Sheet'!U97</f>
        <v>0</v>
      </c>
      <c r="U97" s="341">
        <f>'Input Data Sheet'!V97</f>
        <v>0</v>
      </c>
      <c r="V97" s="341">
        <f>'Input Data Sheet'!W97</f>
        <v>0</v>
      </c>
      <c r="W97" s="287">
        <f>'Input Data Sheet'!X97</f>
        <v>0</v>
      </c>
      <c r="X97" s="321">
        <f>'Input Data Sheet'!Y97</f>
        <v>0</v>
      </c>
      <c r="Y97" s="287">
        <f t="shared" si="21"/>
        <v>0</v>
      </c>
      <c r="Z97" s="287">
        <f t="shared" si="12"/>
        <v>0</v>
      </c>
      <c r="AA97" s="341">
        <f t="shared" si="13"/>
        <v>0</v>
      </c>
      <c r="AB97" s="341">
        <f t="shared" si="14"/>
        <v>0</v>
      </c>
      <c r="AC97" s="341">
        <f t="shared" si="15"/>
        <v>0</v>
      </c>
      <c r="AD97" s="341">
        <f t="shared" si="16"/>
        <v>0</v>
      </c>
      <c r="AE97" s="341">
        <f t="shared" si="17"/>
        <v>0</v>
      </c>
      <c r="AF97" s="287">
        <f t="shared" si="18"/>
        <v>0</v>
      </c>
      <c r="AG97" s="287">
        <f t="shared" si="19"/>
        <v>0</v>
      </c>
      <c r="AH97" s="322">
        <f>IF($H97,0,IFERROR(IF(VALUE(LEFT(D97,4))&gt;VALUE(LEFT(Parameters!$B$66,4))+1,O97-SUM(R97:X97),0),0))</f>
        <v>0</v>
      </c>
      <c r="AI97" s="330">
        <f>IF('Input Data Sheet'!$P97=0,0,'Input Data Sheet'!Z97/'Input Data Sheet'!$P97)</f>
        <v>0</v>
      </c>
      <c r="AJ97" s="331">
        <f>IF('Input Data Sheet'!$P97=0,0,'Input Data Sheet'!AA97/'Input Data Sheet'!$P97)</f>
        <v>0</v>
      </c>
      <c r="AK97" s="331">
        <f>IF('Input Data Sheet'!$P97=0,0,'Input Data Sheet'!AB97/'Input Data Sheet'!$P97)</f>
        <v>0</v>
      </c>
      <c r="AL97" s="331">
        <f>IF('Input Data Sheet'!$P97=0,0,'Input Data Sheet'!AC97/'Input Data Sheet'!$P97)</f>
        <v>0</v>
      </c>
      <c r="AM97" s="331">
        <f>IF('Input Data Sheet'!$P97=0,0,'Input Data Sheet'!AD97/'Input Data Sheet'!$P97)</f>
        <v>0</v>
      </c>
      <c r="AN97" s="331">
        <f>IF('Input Data Sheet'!$P97=0,0,'Input Data Sheet'!AE97/'Input Data Sheet'!$P97)</f>
        <v>0</v>
      </c>
      <c r="AO97" s="331">
        <f>IF('Input Data Sheet'!$P97=0,0,'Input Data Sheet'!AF97/'Input Data Sheet'!$P97)</f>
        <v>0</v>
      </c>
      <c r="AP97" s="331">
        <f>IF('Input Data Sheet'!$P97=0,0,'Input Data Sheet'!AG97/'Input Data Sheet'!$P97)</f>
        <v>0</v>
      </c>
      <c r="AQ97" s="331">
        <f>IF('Input Data Sheet'!$P97=0,0,'Input Data Sheet'!AH97/'Input Data Sheet'!$P97)</f>
        <v>0</v>
      </c>
      <c r="AR97" s="331">
        <f>IF('Input Data Sheet'!$P97=0,0,'Input Data Sheet'!AI97/'Input Data Sheet'!$P97)</f>
        <v>0</v>
      </c>
      <c r="AS97" s="331">
        <f>IF('Input Data Sheet'!$P97=0,0,'Input Data Sheet'!AJ97/'Input Data Sheet'!$P97)</f>
        <v>0</v>
      </c>
      <c r="AT97" s="331">
        <f>IF('Input Data Sheet'!$P97=0,0,'Input Data Sheet'!AK97/'Input Data Sheet'!$P97)</f>
        <v>0</v>
      </c>
      <c r="AU97" s="331">
        <f>IF('Input Data Sheet'!$P97=0,0,'Input Data Sheet'!AL97/'Input Data Sheet'!$P97)</f>
        <v>0</v>
      </c>
      <c r="AV97" s="331">
        <f>IF('Input Data Sheet'!$P97=0,0,'Input Data Sheet'!AM97/'Input Data Sheet'!$P97)</f>
        <v>0</v>
      </c>
      <c r="AW97" s="331">
        <f>IF('Input Data Sheet'!$P97=0,0,'Input Data Sheet'!AN97/'Input Data Sheet'!$P97)</f>
        <v>0</v>
      </c>
      <c r="AX97" s="331">
        <f>IF('Input Data Sheet'!$P97=0,0,'Input Data Sheet'!AO97/'Input Data Sheet'!$P97)</f>
        <v>0</v>
      </c>
      <c r="AY97" s="331">
        <f>IF('Input Data Sheet'!$P97=0,0,'Input Data Sheet'!AP97/'Input Data Sheet'!$P97)</f>
        <v>0</v>
      </c>
      <c r="AZ97" s="331">
        <f>IF('Input Data Sheet'!$P97=0,0,'Input Data Sheet'!AQ97/'Input Data Sheet'!$P97)</f>
        <v>0</v>
      </c>
      <c r="BA97" s="331">
        <f>IF('Input Data Sheet'!$P97=0,0,'Input Data Sheet'!AR97/'Input Data Sheet'!$P97)</f>
        <v>0</v>
      </c>
      <c r="BB97" s="331">
        <f>IF('Input Data Sheet'!$P97=0,0,'Input Data Sheet'!AS97/'Input Data Sheet'!$P97)</f>
        <v>0</v>
      </c>
      <c r="BC97" s="331">
        <f>IF('Input Data Sheet'!$P97=0,0,'Input Data Sheet'!AT97/'Input Data Sheet'!$P97)</f>
        <v>0</v>
      </c>
      <c r="BD97" s="331">
        <f>IF('Input Data Sheet'!$P97=0,0,'Input Data Sheet'!AU97/'Input Data Sheet'!$P97)</f>
        <v>0</v>
      </c>
      <c r="BE97" s="331">
        <f>IF('Input Data Sheet'!$P97=0,0,'Input Data Sheet'!AV97/'Input Data Sheet'!$P97)</f>
        <v>0</v>
      </c>
      <c r="BF97" s="332">
        <f>IF('Input Data Sheet'!$P97=0,0,'Input Data Sheet'!AW97/'Input Data Sheet'!$P97)</f>
        <v>0</v>
      </c>
      <c r="BG97" s="328">
        <f t="shared" si="22"/>
        <v>0</v>
      </c>
    </row>
    <row r="98" spans="1:59" x14ac:dyDescent="0.3">
      <c r="A98" s="409">
        <f>'Input Data Sheet'!B98</f>
        <v>0</v>
      </c>
      <c r="B98" s="314">
        <f>'Input Data Sheet'!C98</f>
        <v>0</v>
      </c>
      <c r="C98" s="314">
        <f>'Input Data Sheet'!D98</f>
        <v>0</v>
      </c>
      <c r="D98" s="333">
        <f>'Input Data Sheet'!E98</f>
        <v>0</v>
      </c>
      <c r="E98" s="333">
        <f>'Input Data Sheet'!F98</f>
        <v>0</v>
      </c>
      <c r="F98" s="315"/>
      <c r="G98" s="315"/>
      <c r="H98" s="316">
        <f>'Input Data Sheet'!J98</f>
        <v>0</v>
      </c>
      <c r="I98" s="316"/>
      <c r="J98" s="316">
        <f>'Input Data Sheet'!K98</f>
        <v>0</v>
      </c>
      <c r="K98" s="496"/>
      <c r="L98" s="496"/>
      <c r="M98" s="496"/>
      <c r="N98" s="316"/>
      <c r="O98" s="287">
        <f t="shared" si="20"/>
        <v>0</v>
      </c>
      <c r="P98" s="320">
        <f>'Input Data Sheet'!Q98</f>
        <v>0</v>
      </c>
      <c r="Q98" s="287">
        <f>'Input Data Sheet'!R98</f>
        <v>0</v>
      </c>
      <c r="R98" s="341">
        <f>'Input Data Sheet'!S98</f>
        <v>0</v>
      </c>
      <c r="S98" s="341">
        <f>'Input Data Sheet'!T98</f>
        <v>0</v>
      </c>
      <c r="T98" s="341">
        <f>'Input Data Sheet'!U98</f>
        <v>0</v>
      </c>
      <c r="U98" s="341">
        <f>'Input Data Sheet'!V98</f>
        <v>0</v>
      </c>
      <c r="V98" s="341">
        <f>'Input Data Sheet'!W98</f>
        <v>0</v>
      </c>
      <c r="W98" s="287">
        <f>'Input Data Sheet'!X98</f>
        <v>0</v>
      </c>
      <c r="X98" s="321">
        <f>'Input Data Sheet'!Y98</f>
        <v>0</v>
      </c>
      <c r="Y98" s="287">
        <f t="shared" si="21"/>
        <v>0</v>
      </c>
      <c r="Z98" s="287">
        <f t="shared" si="12"/>
        <v>0</v>
      </c>
      <c r="AA98" s="341">
        <f t="shared" si="13"/>
        <v>0</v>
      </c>
      <c r="AB98" s="341">
        <f t="shared" si="14"/>
        <v>0</v>
      </c>
      <c r="AC98" s="341">
        <f t="shared" si="15"/>
        <v>0</v>
      </c>
      <c r="AD98" s="341">
        <f t="shared" si="16"/>
        <v>0</v>
      </c>
      <c r="AE98" s="341">
        <f t="shared" si="17"/>
        <v>0</v>
      </c>
      <c r="AF98" s="287">
        <f t="shared" si="18"/>
        <v>0</v>
      </c>
      <c r="AG98" s="287">
        <f t="shared" si="19"/>
        <v>0</v>
      </c>
      <c r="AH98" s="322">
        <f>IF($H98,0,IFERROR(IF(VALUE(LEFT(D98,4))&gt;VALUE(LEFT(Parameters!$B$66,4))+1,O98-SUM(R98:X98),0),0))</f>
        <v>0</v>
      </c>
      <c r="AI98" s="330">
        <f>IF('Input Data Sheet'!$P98=0,0,'Input Data Sheet'!Z98/'Input Data Sheet'!$P98)</f>
        <v>0</v>
      </c>
      <c r="AJ98" s="331">
        <f>IF('Input Data Sheet'!$P98=0,0,'Input Data Sheet'!AA98/'Input Data Sheet'!$P98)</f>
        <v>0</v>
      </c>
      <c r="AK98" s="331">
        <f>IF('Input Data Sheet'!$P98=0,0,'Input Data Sheet'!AB98/'Input Data Sheet'!$P98)</f>
        <v>0</v>
      </c>
      <c r="AL98" s="331">
        <f>IF('Input Data Sheet'!$P98=0,0,'Input Data Sheet'!AC98/'Input Data Sheet'!$P98)</f>
        <v>0</v>
      </c>
      <c r="AM98" s="331">
        <f>IF('Input Data Sheet'!$P98=0,0,'Input Data Sheet'!AD98/'Input Data Sheet'!$P98)</f>
        <v>0</v>
      </c>
      <c r="AN98" s="331">
        <f>IF('Input Data Sheet'!$P98=0,0,'Input Data Sheet'!AE98/'Input Data Sheet'!$P98)</f>
        <v>0</v>
      </c>
      <c r="AO98" s="331">
        <f>IF('Input Data Sheet'!$P98=0,0,'Input Data Sheet'!AF98/'Input Data Sheet'!$P98)</f>
        <v>0</v>
      </c>
      <c r="AP98" s="331">
        <f>IF('Input Data Sheet'!$P98=0,0,'Input Data Sheet'!AG98/'Input Data Sheet'!$P98)</f>
        <v>0</v>
      </c>
      <c r="AQ98" s="331">
        <f>IF('Input Data Sheet'!$P98=0,0,'Input Data Sheet'!AH98/'Input Data Sheet'!$P98)</f>
        <v>0</v>
      </c>
      <c r="AR98" s="331">
        <f>IF('Input Data Sheet'!$P98=0,0,'Input Data Sheet'!AI98/'Input Data Sheet'!$P98)</f>
        <v>0</v>
      </c>
      <c r="AS98" s="331">
        <f>IF('Input Data Sheet'!$P98=0,0,'Input Data Sheet'!AJ98/'Input Data Sheet'!$P98)</f>
        <v>0</v>
      </c>
      <c r="AT98" s="331">
        <f>IF('Input Data Sheet'!$P98=0,0,'Input Data Sheet'!AK98/'Input Data Sheet'!$P98)</f>
        <v>0</v>
      </c>
      <c r="AU98" s="331">
        <f>IF('Input Data Sheet'!$P98=0,0,'Input Data Sheet'!AL98/'Input Data Sheet'!$P98)</f>
        <v>0</v>
      </c>
      <c r="AV98" s="331">
        <f>IF('Input Data Sheet'!$P98=0,0,'Input Data Sheet'!AM98/'Input Data Sheet'!$P98)</f>
        <v>0</v>
      </c>
      <c r="AW98" s="331">
        <f>IF('Input Data Sheet'!$P98=0,0,'Input Data Sheet'!AN98/'Input Data Sheet'!$P98)</f>
        <v>0</v>
      </c>
      <c r="AX98" s="331">
        <f>IF('Input Data Sheet'!$P98=0,0,'Input Data Sheet'!AO98/'Input Data Sheet'!$P98)</f>
        <v>0</v>
      </c>
      <c r="AY98" s="331">
        <f>IF('Input Data Sheet'!$P98=0,0,'Input Data Sheet'!AP98/'Input Data Sheet'!$P98)</f>
        <v>0</v>
      </c>
      <c r="AZ98" s="331">
        <f>IF('Input Data Sheet'!$P98=0,0,'Input Data Sheet'!AQ98/'Input Data Sheet'!$P98)</f>
        <v>0</v>
      </c>
      <c r="BA98" s="331">
        <f>IF('Input Data Sheet'!$P98=0,0,'Input Data Sheet'!AR98/'Input Data Sheet'!$P98)</f>
        <v>0</v>
      </c>
      <c r="BB98" s="331">
        <f>IF('Input Data Sheet'!$P98=0,0,'Input Data Sheet'!AS98/'Input Data Sheet'!$P98)</f>
        <v>0</v>
      </c>
      <c r="BC98" s="331">
        <f>IF('Input Data Sheet'!$P98=0,0,'Input Data Sheet'!AT98/'Input Data Sheet'!$P98)</f>
        <v>0</v>
      </c>
      <c r="BD98" s="331">
        <f>IF('Input Data Sheet'!$P98=0,0,'Input Data Sheet'!AU98/'Input Data Sheet'!$P98)</f>
        <v>0</v>
      </c>
      <c r="BE98" s="331">
        <f>IF('Input Data Sheet'!$P98=0,0,'Input Data Sheet'!AV98/'Input Data Sheet'!$P98)</f>
        <v>0</v>
      </c>
      <c r="BF98" s="332">
        <f>IF('Input Data Sheet'!$P98=0,0,'Input Data Sheet'!AW98/'Input Data Sheet'!$P98)</f>
        <v>0</v>
      </c>
      <c r="BG98" s="328">
        <f t="shared" si="22"/>
        <v>0</v>
      </c>
    </row>
    <row r="99" spans="1:59" x14ac:dyDescent="0.3">
      <c r="A99" s="409">
        <f>'Input Data Sheet'!B99</f>
        <v>0</v>
      </c>
      <c r="B99" s="314">
        <f>'Input Data Sheet'!C99</f>
        <v>0</v>
      </c>
      <c r="C99" s="314">
        <f>'Input Data Sheet'!D99</f>
        <v>0</v>
      </c>
      <c r="D99" s="333">
        <f>'Input Data Sheet'!E99</f>
        <v>0</v>
      </c>
      <c r="E99" s="333">
        <f>'Input Data Sheet'!F99</f>
        <v>0</v>
      </c>
      <c r="F99" s="315"/>
      <c r="G99" s="315"/>
      <c r="H99" s="316">
        <f>'Input Data Sheet'!J99</f>
        <v>0</v>
      </c>
      <c r="I99" s="316"/>
      <c r="J99" s="316">
        <f>'Input Data Sheet'!K99</f>
        <v>0</v>
      </c>
      <c r="K99" s="496"/>
      <c r="L99" s="496"/>
      <c r="M99" s="496"/>
      <c r="N99" s="316"/>
      <c r="O99" s="287">
        <f t="shared" si="20"/>
        <v>0</v>
      </c>
      <c r="P99" s="320">
        <f>'Input Data Sheet'!Q99</f>
        <v>0</v>
      </c>
      <c r="Q99" s="287">
        <f>'Input Data Sheet'!R99</f>
        <v>0</v>
      </c>
      <c r="R99" s="341">
        <f>'Input Data Sheet'!S99</f>
        <v>0</v>
      </c>
      <c r="S99" s="341">
        <f>'Input Data Sheet'!T99</f>
        <v>0</v>
      </c>
      <c r="T99" s="341">
        <f>'Input Data Sheet'!U99</f>
        <v>0</v>
      </c>
      <c r="U99" s="341">
        <f>'Input Data Sheet'!V99</f>
        <v>0</v>
      </c>
      <c r="V99" s="341">
        <f>'Input Data Sheet'!W99</f>
        <v>0</v>
      </c>
      <c r="W99" s="287">
        <f>'Input Data Sheet'!X99</f>
        <v>0</v>
      </c>
      <c r="X99" s="321">
        <f>'Input Data Sheet'!Y99</f>
        <v>0</v>
      </c>
      <c r="Y99" s="287">
        <f t="shared" si="21"/>
        <v>0</v>
      </c>
      <c r="Z99" s="287">
        <f t="shared" si="12"/>
        <v>0</v>
      </c>
      <c r="AA99" s="341">
        <f t="shared" si="13"/>
        <v>0</v>
      </c>
      <c r="AB99" s="341">
        <f t="shared" si="14"/>
        <v>0</v>
      </c>
      <c r="AC99" s="341">
        <f t="shared" si="15"/>
        <v>0</v>
      </c>
      <c r="AD99" s="341">
        <f t="shared" si="16"/>
        <v>0</v>
      </c>
      <c r="AE99" s="341">
        <f t="shared" si="17"/>
        <v>0</v>
      </c>
      <c r="AF99" s="287">
        <f t="shared" si="18"/>
        <v>0</v>
      </c>
      <c r="AG99" s="287">
        <f t="shared" si="19"/>
        <v>0</v>
      </c>
      <c r="AH99" s="322">
        <f>IF($H99,0,IFERROR(IF(VALUE(LEFT(D99,4))&gt;VALUE(LEFT(Parameters!$B$66,4))+1,O99-SUM(R99:X99),0),0))</f>
        <v>0</v>
      </c>
      <c r="AI99" s="330">
        <f>IF('Input Data Sheet'!$P99=0,0,'Input Data Sheet'!Z99/'Input Data Sheet'!$P99)</f>
        <v>0</v>
      </c>
      <c r="AJ99" s="331">
        <f>IF('Input Data Sheet'!$P99=0,0,'Input Data Sheet'!AA99/'Input Data Sheet'!$P99)</f>
        <v>0</v>
      </c>
      <c r="AK99" s="331">
        <f>IF('Input Data Sheet'!$P99=0,0,'Input Data Sheet'!AB99/'Input Data Sheet'!$P99)</f>
        <v>0</v>
      </c>
      <c r="AL99" s="331">
        <f>IF('Input Data Sheet'!$P99=0,0,'Input Data Sheet'!AC99/'Input Data Sheet'!$P99)</f>
        <v>0</v>
      </c>
      <c r="AM99" s="331">
        <f>IF('Input Data Sheet'!$P99=0,0,'Input Data Sheet'!AD99/'Input Data Sheet'!$P99)</f>
        <v>0</v>
      </c>
      <c r="AN99" s="331">
        <f>IF('Input Data Sheet'!$P99=0,0,'Input Data Sheet'!AE99/'Input Data Sheet'!$P99)</f>
        <v>0</v>
      </c>
      <c r="AO99" s="331">
        <f>IF('Input Data Sheet'!$P99=0,0,'Input Data Sheet'!AF99/'Input Data Sheet'!$P99)</f>
        <v>0</v>
      </c>
      <c r="AP99" s="331">
        <f>IF('Input Data Sheet'!$P99=0,0,'Input Data Sheet'!AG99/'Input Data Sheet'!$P99)</f>
        <v>0</v>
      </c>
      <c r="AQ99" s="331">
        <f>IF('Input Data Sheet'!$P99=0,0,'Input Data Sheet'!AH99/'Input Data Sheet'!$P99)</f>
        <v>0</v>
      </c>
      <c r="AR99" s="331">
        <f>IF('Input Data Sheet'!$P99=0,0,'Input Data Sheet'!AI99/'Input Data Sheet'!$P99)</f>
        <v>0</v>
      </c>
      <c r="AS99" s="331">
        <f>IF('Input Data Sheet'!$P99=0,0,'Input Data Sheet'!AJ99/'Input Data Sheet'!$P99)</f>
        <v>0</v>
      </c>
      <c r="AT99" s="331">
        <f>IF('Input Data Sheet'!$P99=0,0,'Input Data Sheet'!AK99/'Input Data Sheet'!$P99)</f>
        <v>0</v>
      </c>
      <c r="AU99" s="331">
        <f>IF('Input Data Sheet'!$P99=0,0,'Input Data Sheet'!AL99/'Input Data Sheet'!$P99)</f>
        <v>0</v>
      </c>
      <c r="AV99" s="331">
        <f>IF('Input Data Sheet'!$P99=0,0,'Input Data Sheet'!AM99/'Input Data Sheet'!$P99)</f>
        <v>0</v>
      </c>
      <c r="AW99" s="331">
        <f>IF('Input Data Sheet'!$P99=0,0,'Input Data Sheet'!AN99/'Input Data Sheet'!$P99)</f>
        <v>0</v>
      </c>
      <c r="AX99" s="331">
        <f>IF('Input Data Sheet'!$P99=0,0,'Input Data Sheet'!AO99/'Input Data Sheet'!$P99)</f>
        <v>0</v>
      </c>
      <c r="AY99" s="331">
        <f>IF('Input Data Sheet'!$P99=0,0,'Input Data Sheet'!AP99/'Input Data Sheet'!$P99)</f>
        <v>0</v>
      </c>
      <c r="AZ99" s="331">
        <f>IF('Input Data Sheet'!$P99=0,0,'Input Data Sheet'!AQ99/'Input Data Sheet'!$P99)</f>
        <v>0</v>
      </c>
      <c r="BA99" s="331">
        <f>IF('Input Data Sheet'!$P99=0,0,'Input Data Sheet'!AR99/'Input Data Sheet'!$P99)</f>
        <v>0</v>
      </c>
      <c r="BB99" s="331">
        <f>IF('Input Data Sheet'!$P99=0,0,'Input Data Sheet'!AS99/'Input Data Sheet'!$P99)</f>
        <v>0</v>
      </c>
      <c r="BC99" s="331">
        <f>IF('Input Data Sheet'!$P99=0,0,'Input Data Sheet'!AT99/'Input Data Sheet'!$P99)</f>
        <v>0</v>
      </c>
      <c r="BD99" s="331">
        <f>IF('Input Data Sheet'!$P99=0,0,'Input Data Sheet'!AU99/'Input Data Sheet'!$P99)</f>
        <v>0</v>
      </c>
      <c r="BE99" s="331">
        <f>IF('Input Data Sheet'!$P99=0,0,'Input Data Sheet'!AV99/'Input Data Sheet'!$P99)</f>
        <v>0</v>
      </c>
      <c r="BF99" s="332">
        <f>IF('Input Data Sheet'!$P99=0,0,'Input Data Sheet'!AW99/'Input Data Sheet'!$P99)</f>
        <v>0</v>
      </c>
      <c r="BG99" s="328">
        <f t="shared" si="22"/>
        <v>0</v>
      </c>
    </row>
    <row r="100" spans="1:59" x14ac:dyDescent="0.3">
      <c r="A100" s="409">
        <f>'Input Data Sheet'!B100</f>
        <v>0</v>
      </c>
      <c r="B100" s="314">
        <f>'Input Data Sheet'!C100</f>
        <v>0</v>
      </c>
      <c r="C100" s="314">
        <f>'Input Data Sheet'!D100</f>
        <v>0</v>
      </c>
      <c r="D100" s="333">
        <f>'Input Data Sheet'!E100</f>
        <v>0</v>
      </c>
      <c r="E100" s="333">
        <f>'Input Data Sheet'!F100</f>
        <v>0</v>
      </c>
      <c r="F100" s="315"/>
      <c r="G100" s="315"/>
      <c r="H100" s="316">
        <f>'Input Data Sheet'!J100</f>
        <v>0</v>
      </c>
      <c r="I100" s="316"/>
      <c r="J100" s="316">
        <f>'Input Data Sheet'!K100</f>
        <v>0</v>
      </c>
      <c r="K100" s="496"/>
      <c r="L100" s="496"/>
      <c r="M100" s="496"/>
      <c r="N100" s="316"/>
      <c r="O100" s="287">
        <f t="shared" si="20"/>
        <v>0</v>
      </c>
      <c r="P100" s="320">
        <f>'Input Data Sheet'!Q100</f>
        <v>0</v>
      </c>
      <c r="Q100" s="287">
        <f>'Input Data Sheet'!R100</f>
        <v>0</v>
      </c>
      <c r="R100" s="341">
        <f>'Input Data Sheet'!S100</f>
        <v>0</v>
      </c>
      <c r="S100" s="341">
        <f>'Input Data Sheet'!T100</f>
        <v>0</v>
      </c>
      <c r="T100" s="341">
        <f>'Input Data Sheet'!U100</f>
        <v>0</v>
      </c>
      <c r="U100" s="341">
        <f>'Input Data Sheet'!V100</f>
        <v>0</v>
      </c>
      <c r="V100" s="341">
        <f>'Input Data Sheet'!W100</f>
        <v>0</v>
      </c>
      <c r="W100" s="287">
        <f>'Input Data Sheet'!X100</f>
        <v>0</v>
      </c>
      <c r="X100" s="321">
        <f>'Input Data Sheet'!Y100</f>
        <v>0</v>
      </c>
      <c r="Y100" s="287">
        <f t="shared" si="21"/>
        <v>0</v>
      </c>
      <c r="Z100" s="287">
        <f t="shared" si="12"/>
        <v>0</v>
      </c>
      <c r="AA100" s="341">
        <f t="shared" si="13"/>
        <v>0</v>
      </c>
      <c r="AB100" s="341">
        <f t="shared" si="14"/>
        <v>0</v>
      </c>
      <c r="AC100" s="341">
        <f t="shared" si="15"/>
        <v>0</v>
      </c>
      <c r="AD100" s="341">
        <f t="shared" si="16"/>
        <v>0</v>
      </c>
      <c r="AE100" s="341">
        <f t="shared" si="17"/>
        <v>0</v>
      </c>
      <c r="AF100" s="287">
        <f t="shared" si="18"/>
        <v>0</v>
      </c>
      <c r="AG100" s="287">
        <f t="shared" si="19"/>
        <v>0</v>
      </c>
      <c r="AH100" s="322">
        <f>IF($H100,0,IFERROR(IF(VALUE(LEFT(D100,4))&gt;VALUE(LEFT(Parameters!$B$66,4))+1,O100-SUM(R100:X100),0),0))</f>
        <v>0</v>
      </c>
      <c r="AI100" s="330">
        <f>IF('Input Data Sheet'!$P100=0,0,'Input Data Sheet'!Z100/'Input Data Sheet'!$P100)</f>
        <v>0</v>
      </c>
      <c r="AJ100" s="331">
        <f>IF('Input Data Sheet'!$P100=0,0,'Input Data Sheet'!AA100/'Input Data Sheet'!$P100)</f>
        <v>0</v>
      </c>
      <c r="AK100" s="331">
        <f>IF('Input Data Sheet'!$P100=0,0,'Input Data Sheet'!AB100/'Input Data Sheet'!$P100)</f>
        <v>0</v>
      </c>
      <c r="AL100" s="331">
        <f>IF('Input Data Sheet'!$P100=0,0,'Input Data Sheet'!AC100/'Input Data Sheet'!$P100)</f>
        <v>0</v>
      </c>
      <c r="AM100" s="331">
        <f>IF('Input Data Sheet'!$P100=0,0,'Input Data Sheet'!AD100/'Input Data Sheet'!$P100)</f>
        <v>0</v>
      </c>
      <c r="AN100" s="331">
        <f>IF('Input Data Sheet'!$P100=0,0,'Input Data Sheet'!AE100/'Input Data Sheet'!$P100)</f>
        <v>0</v>
      </c>
      <c r="AO100" s="331">
        <f>IF('Input Data Sheet'!$P100=0,0,'Input Data Sheet'!AF100/'Input Data Sheet'!$P100)</f>
        <v>0</v>
      </c>
      <c r="AP100" s="331">
        <f>IF('Input Data Sheet'!$P100=0,0,'Input Data Sheet'!AG100/'Input Data Sheet'!$P100)</f>
        <v>0</v>
      </c>
      <c r="AQ100" s="331">
        <f>IF('Input Data Sheet'!$P100=0,0,'Input Data Sheet'!AH100/'Input Data Sheet'!$P100)</f>
        <v>0</v>
      </c>
      <c r="AR100" s="331">
        <f>IF('Input Data Sheet'!$P100=0,0,'Input Data Sheet'!AI100/'Input Data Sheet'!$P100)</f>
        <v>0</v>
      </c>
      <c r="AS100" s="331">
        <f>IF('Input Data Sheet'!$P100=0,0,'Input Data Sheet'!AJ100/'Input Data Sheet'!$P100)</f>
        <v>0</v>
      </c>
      <c r="AT100" s="331">
        <f>IF('Input Data Sheet'!$P100=0,0,'Input Data Sheet'!AK100/'Input Data Sheet'!$P100)</f>
        <v>0</v>
      </c>
      <c r="AU100" s="331">
        <f>IF('Input Data Sheet'!$P100=0,0,'Input Data Sheet'!AL100/'Input Data Sheet'!$P100)</f>
        <v>0</v>
      </c>
      <c r="AV100" s="331">
        <f>IF('Input Data Sheet'!$P100=0,0,'Input Data Sheet'!AM100/'Input Data Sheet'!$P100)</f>
        <v>0</v>
      </c>
      <c r="AW100" s="331">
        <f>IF('Input Data Sheet'!$P100=0,0,'Input Data Sheet'!AN100/'Input Data Sheet'!$P100)</f>
        <v>0</v>
      </c>
      <c r="AX100" s="331">
        <f>IF('Input Data Sheet'!$P100=0,0,'Input Data Sheet'!AO100/'Input Data Sheet'!$P100)</f>
        <v>0</v>
      </c>
      <c r="AY100" s="331">
        <f>IF('Input Data Sheet'!$P100=0,0,'Input Data Sheet'!AP100/'Input Data Sheet'!$P100)</f>
        <v>0</v>
      </c>
      <c r="AZ100" s="331">
        <f>IF('Input Data Sheet'!$P100=0,0,'Input Data Sheet'!AQ100/'Input Data Sheet'!$P100)</f>
        <v>0</v>
      </c>
      <c r="BA100" s="331">
        <f>IF('Input Data Sheet'!$P100=0,0,'Input Data Sheet'!AR100/'Input Data Sheet'!$P100)</f>
        <v>0</v>
      </c>
      <c r="BB100" s="331">
        <f>IF('Input Data Sheet'!$P100=0,0,'Input Data Sheet'!AS100/'Input Data Sheet'!$P100)</f>
        <v>0</v>
      </c>
      <c r="BC100" s="331">
        <f>IF('Input Data Sheet'!$P100=0,0,'Input Data Sheet'!AT100/'Input Data Sheet'!$P100)</f>
        <v>0</v>
      </c>
      <c r="BD100" s="331">
        <f>IF('Input Data Sheet'!$P100=0,0,'Input Data Sheet'!AU100/'Input Data Sheet'!$P100)</f>
        <v>0</v>
      </c>
      <c r="BE100" s="331">
        <f>IF('Input Data Sheet'!$P100=0,0,'Input Data Sheet'!AV100/'Input Data Sheet'!$P100)</f>
        <v>0</v>
      </c>
      <c r="BF100" s="332">
        <f>IF('Input Data Sheet'!$P100=0,0,'Input Data Sheet'!AW100/'Input Data Sheet'!$P100)</f>
        <v>0</v>
      </c>
      <c r="BG100" s="328">
        <f t="shared" si="22"/>
        <v>0</v>
      </c>
    </row>
    <row r="101" spans="1:59" x14ac:dyDescent="0.3">
      <c r="BG101" s="327"/>
    </row>
  </sheetData>
  <conditionalFormatting sqref="BG4">
    <cfRule type="expression" dxfId="9" priority="2">
      <formula>AND(BG4&lt;&gt;0,BG4&lt;&gt;1)</formula>
    </cfRule>
  </conditionalFormatting>
  <conditionalFormatting sqref="BG5:BG100">
    <cfRule type="expression" dxfId="8" priority="1">
      <formula>AND(BG5&lt;&gt;0,BG5&lt;&gt;1)</formula>
    </cfRule>
  </conditionalFormatting>
  <printOptions horizontalCentered="1"/>
  <pageMargins left="0.39370078740157483" right="0.39370078740157483" top="0.39370078740157483" bottom="0.39370078740157483" header="0" footer="0"/>
  <pageSetup paperSize="8" scale="62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0"/>
  <sheetViews>
    <sheetView zoomScale="80" zoomScaleNormal="80" workbookViewId="0">
      <selection activeCell="B91" sqref="B91"/>
    </sheetView>
  </sheetViews>
  <sheetFormatPr defaultColWidth="9.109375" defaultRowHeight="13.8" x14ac:dyDescent="0.3"/>
  <cols>
    <col min="1" max="1" width="9.33203125" style="323" customWidth="1"/>
    <col min="2" max="2" width="19" style="2" customWidth="1"/>
    <col min="3" max="3" width="16.109375" style="2" customWidth="1"/>
    <col min="4" max="4" width="7.5546875" style="335" customWidth="1"/>
    <col min="5" max="5" width="5" style="335" customWidth="1"/>
    <col min="6" max="7" width="5" style="2" customWidth="1"/>
    <col min="8" max="8" width="7.5546875" style="13" customWidth="1"/>
    <col min="9" max="13" width="4" style="13" customWidth="1"/>
    <col min="14" max="14" width="7.5546875" style="13" customWidth="1"/>
    <col min="15" max="15" width="8.6640625" style="2" customWidth="1"/>
    <col min="16" max="17" width="7.5546875" style="2" customWidth="1"/>
    <col min="18" max="22" width="7.5546875" style="342" customWidth="1"/>
    <col min="23" max="26" width="7.5546875" style="2" customWidth="1"/>
    <col min="27" max="31" width="7.5546875" style="342" customWidth="1"/>
    <col min="32" max="33" width="7.5546875" style="2" customWidth="1"/>
    <col min="34" max="34" width="8" style="2" customWidth="1"/>
    <col min="35" max="35" width="9.109375" style="2" customWidth="1"/>
    <col min="36" max="16384" width="9.109375" style="2"/>
  </cols>
  <sheetData>
    <row r="1" spans="1:35" s="12" customFormat="1" ht="12.75" x14ac:dyDescent="0.2">
      <c r="A1" s="299"/>
      <c r="D1" s="334"/>
      <c r="E1" s="334"/>
      <c r="H1" s="300"/>
      <c r="I1" s="300"/>
      <c r="J1" s="300"/>
      <c r="K1" s="300"/>
      <c r="L1" s="300"/>
      <c r="M1" s="300"/>
      <c r="N1" s="300"/>
      <c r="P1" s="12" t="s">
        <v>90</v>
      </c>
      <c r="R1" s="337"/>
      <c r="S1" s="337"/>
      <c r="T1" s="337"/>
      <c r="U1" s="337"/>
      <c r="V1" s="337"/>
      <c r="Y1" s="12" t="s">
        <v>91</v>
      </c>
      <c r="AA1" s="337"/>
      <c r="AB1" s="337"/>
      <c r="AC1" s="337"/>
      <c r="AD1" s="337"/>
      <c r="AE1" s="337"/>
      <c r="AH1" s="12" t="s">
        <v>83</v>
      </c>
    </row>
    <row r="2" spans="1:35" s="12" customFormat="1" ht="13.5" thickBot="1" x14ac:dyDescent="0.25">
      <c r="A2" s="12" t="s">
        <v>12</v>
      </c>
      <c r="D2" s="335"/>
      <c r="E2" s="335"/>
      <c r="F2" s="301"/>
      <c r="G2" s="301"/>
      <c r="H2" s="302"/>
      <c r="I2" s="302"/>
      <c r="J2" s="302"/>
      <c r="K2" s="302"/>
      <c r="L2" s="302"/>
      <c r="M2" s="302"/>
      <c r="N2" s="302"/>
      <c r="O2" s="303">
        <f t="shared" ref="O2:AH2" si="0">SUM(O4:O100)</f>
        <v>265908069.25099307</v>
      </c>
      <c r="P2" s="289">
        <f t="shared" si="0"/>
        <v>0</v>
      </c>
      <c r="Q2" s="289">
        <f t="shared" si="0"/>
        <v>6325888.2166265724</v>
      </c>
      <c r="R2" s="338">
        <f t="shared" si="0"/>
        <v>48257402.258366533</v>
      </c>
      <c r="S2" s="338">
        <f t="shared" si="0"/>
        <v>61248390.232700005</v>
      </c>
      <c r="T2" s="338">
        <f t="shared" si="0"/>
        <v>54882506.171199992</v>
      </c>
      <c r="U2" s="338">
        <f t="shared" si="0"/>
        <v>48667238.481500007</v>
      </c>
      <c r="V2" s="338">
        <f t="shared" si="0"/>
        <v>40594914.815399997</v>
      </c>
      <c r="W2" s="289">
        <f t="shared" si="0"/>
        <v>5931729.0752000008</v>
      </c>
      <c r="X2" s="289">
        <f t="shared" si="0"/>
        <v>0</v>
      </c>
      <c r="Y2" s="289">
        <f t="shared" si="0"/>
        <v>0</v>
      </c>
      <c r="Z2" s="289">
        <f t="shared" si="0"/>
        <v>518287.13123609993</v>
      </c>
      <c r="AA2" s="338">
        <f t="shared" si="0"/>
        <v>49623686.084357008</v>
      </c>
      <c r="AB2" s="338">
        <f t="shared" si="0"/>
        <v>41663734.380900003</v>
      </c>
      <c r="AC2" s="338">
        <f t="shared" si="0"/>
        <v>74422765.437900037</v>
      </c>
      <c r="AD2" s="338">
        <f t="shared" si="0"/>
        <v>37863162.039300002</v>
      </c>
      <c r="AE2" s="338">
        <f t="shared" si="0"/>
        <v>53308439.591499999</v>
      </c>
      <c r="AF2" s="289">
        <f t="shared" si="0"/>
        <v>63338.722800000003</v>
      </c>
      <c r="AG2" s="289">
        <f t="shared" si="0"/>
        <v>8444655.8629999999</v>
      </c>
      <c r="AH2" s="289">
        <f t="shared" si="0"/>
        <v>5807601.0853904728</v>
      </c>
      <c r="AI2" s="301"/>
    </row>
    <row r="3" spans="1:35" s="312" customFormat="1" ht="47.25" customHeight="1" thickBot="1" x14ac:dyDescent="0.25">
      <c r="A3" s="304" t="str">
        <f>'Base Costs'!A3</f>
        <v>ID</v>
      </c>
      <c r="B3" s="305" t="str">
        <f>'Base Costs'!B3</f>
        <v>Projects</v>
      </c>
      <c r="C3" s="305" t="str">
        <f>'Base Costs'!C3</f>
        <v>Category</v>
      </c>
      <c r="D3" s="336" t="str">
        <f>'Base Costs'!D3</f>
        <v>Comm Yr</v>
      </c>
      <c r="E3" s="336" t="str">
        <f>'Base Costs'!E3</f>
        <v>Type</v>
      </c>
      <c r="F3" s="306"/>
      <c r="G3" s="306"/>
      <c r="H3" s="336" t="str">
        <f>'Input Data Sheet'!J3</f>
        <v>Program</v>
      </c>
      <c r="I3" s="305"/>
      <c r="J3" s="305"/>
      <c r="K3" s="305"/>
      <c r="L3" s="305"/>
      <c r="M3" s="305"/>
      <c r="N3" s="305"/>
      <c r="O3" s="307" t="s">
        <v>209</v>
      </c>
      <c r="P3" s="308" t="str">
        <f t="array" ref="P3:X3">'Base Costs'!P3:X3</f>
        <v>2012/13</v>
      </c>
      <c r="Q3" s="309" t="str">
        <v>2013/14</v>
      </c>
      <c r="R3" s="339" t="str">
        <v>2014/15</v>
      </c>
      <c r="S3" s="339" t="str">
        <v>2015/16</v>
      </c>
      <c r="T3" s="339" t="str">
        <v>2016/17</v>
      </c>
      <c r="U3" s="339" t="str">
        <v>2017/18</v>
      </c>
      <c r="V3" s="339" t="str">
        <v>2018/19</v>
      </c>
      <c r="W3" s="309" t="str">
        <v>2019/20</v>
      </c>
      <c r="X3" s="310" t="str">
        <v>2020/21</v>
      </c>
      <c r="Y3" s="308" t="str">
        <f t="array" ref="Y3:AG3">P3:X3</f>
        <v>2012/13</v>
      </c>
      <c r="Z3" s="309" t="str">
        <v>2013/14</v>
      </c>
      <c r="AA3" s="339" t="str">
        <v>2014/15</v>
      </c>
      <c r="AB3" s="339" t="str">
        <v>2015/16</v>
      </c>
      <c r="AC3" s="339" t="str">
        <v>2016/17</v>
      </c>
      <c r="AD3" s="339" t="str">
        <v>2017/18</v>
      </c>
      <c r="AE3" s="339" t="str">
        <v>2018/19</v>
      </c>
      <c r="AF3" s="309" t="str">
        <v>2019/20</v>
      </c>
      <c r="AG3" s="310" t="str">
        <v>2020/21</v>
      </c>
      <c r="AH3" s="311" t="str">
        <f>"June 20" &amp; RIGHT(Q3,2)</f>
        <v>June 2014</v>
      </c>
      <c r="AI3" s="324" t="s">
        <v>200</v>
      </c>
    </row>
    <row r="4" spans="1:35" ht="12.75" x14ac:dyDescent="0.2">
      <c r="A4" s="313" t="str">
        <f>'Base Costs'!A4</f>
        <v>ND0826</v>
      </c>
      <c r="B4" s="314" t="str">
        <f>'Base Costs'!B4</f>
        <v>Avoca Substation 110 kV Redevelopment</v>
      </c>
      <c r="C4" s="314" t="str">
        <f>'Base Costs'!C4</f>
        <v>Asset Renewal</v>
      </c>
      <c r="D4" s="333" t="str">
        <f>'Base Costs'!D4</f>
        <v>2014/15</v>
      </c>
      <c r="E4" s="333">
        <f>'Base Costs'!E4</f>
        <v>0</v>
      </c>
      <c r="F4" s="315"/>
      <c r="G4" s="315"/>
      <c r="H4" s="316">
        <f>'Input Data Sheet'!J4</f>
        <v>0</v>
      </c>
      <c r="I4" s="316"/>
      <c r="J4" s="316"/>
      <c r="K4" s="316"/>
      <c r="L4" s="316"/>
      <c r="M4" s="316"/>
      <c r="N4" s="316"/>
      <c r="O4" s="287">
        <f>SUM(P4:X4)</f>
        <v>269400.15564202337</v>
      </c>
      <c r="P4" s="317">
        <f>'Base Costs'!P4*(1+$AI4)</f>
        <v>0</v>
      </c>
      <c r="Q4" s="286">
        <f>'Base Costs'!Q4*(1+$AI4)</f>
        <v>0</v>
      </c>
      <c r="R4" s="340">
        <f>'Base Costs'!R4*(1+$AI4)</f>
        <v>269400.15564202337</v>
      </c>
      <c r="S4" s="340">
        <f>'Base Costs'!S4*(1+$AI4)</f>
        <v>0</v>
      </c>
      <c r="T4" s="340">
        <f>'Base Costs'!T4*(1+$AI4)</f>
        <v>0</v>
      </c>
      <c r="U4" s="340">
        <f>'Base Costs'!U4*(1+$AI4)</f>
        <v>0</v>
      </c>
      <c r="V4" s="340">
        <f>'Base Costs'!V4*(1+$AI4)</f>
        <v>0</v>
      </c>
      <c r="W4" s="286">
        <f>'Base Costs'!W4*(1+$AI4)</f>
        <v>0</v>
      </c>
      <c r="X4" s="318">
        <f>'Base Costs'!X4*(1+$AI4)</f>
        <v>0</v>
      </c>
      <c r="Y4" s="286">
        <f>IF($H4,P4,IF(Y$3=$D4,$O4,0))</f>
        <v>0</v>
      </c>
      <c r="Z4" s="286">
        <f t="shared" ref="Z4:Z67" si="1">IF($H4,Q4,IF(Z$3=$D4,$O4,0))</f>
        <v>0</v>
      </c>
      <c r="AA4" s="340">
        <f t="shared" ref="AA4:AA67" si="2">IF($H4,R4,IF(AA$3=$D4,$O4,0))</f>
        <v>269400.15564202337</v>
      </c>
      <c r="AB4" s="340">
        <f t="shared" ref="AB4:AB67" si="3">IF($H4,S4,IF(AB$3=$D4,$O4,0))</f>
        <v>0</v>
      </c>
      <c r="AC4" s="340">
        <f t="shared" ref="AC4:AC67" si="4">IF($H4,T4,IF(AC$3=$D4,$O4,0))</f>
        <v>0</v>
      </c>
      <c r="AD4" s="340">
        <f t="shared" ref="AD4:AD67" si="5">IF($H4,U4,IF(AD$3=$D4,$O4,0))</f>
        <v>0</v>
      </c>
      <c r="AE4" s="340">
        <f t="shared" ref="AE4:AE67" si="6">IF($H4,V4,IF(AE$3=$D4,$O4,0))</f>
        <v>0</v>
      </c>
      <c r="AF4" s="286">
        <f t="shared" ref="AF4:AF67" si="7">IF($H4,W4,IF(AF$3=$D4,$O4,0))</f>
        <v>0</v>
      </c>
      <c r="AG4" s="286">
        <f t="shared" ref="AG4:AG67" si="8">IF($H4,X4,IF(AG$3=$D4,$O4,0))</f>
        <v>0</v>
      </c>
      <c r="AH4" s="319">
        <f>IF($H4,0,IFERROR(IF(VALUE(LEFT(D4,4))&gt;VALUE(LEFT(Parameters!$B$66,4))+1,O4-SUM(R4:X4),0),0))</f>
        <v>0</v>
      </c>
      <c r="AI4" s="325">
        <f>IF(E4=0,0,INDEX(Parameters!$D$5:$D$35,MATCH(E4,Parameters!$B$5:$B$35,0)))</f>
        <v>0</v>
      </c>
    </row>
    <row r="5" spans="1:35" ht="12.75" x14ac:dyDescent="0.2">
      <c r="A5" s="313" t="str">
        <f>'Base Costs'!A5</f>
        <v>ND1306</v>
      </c>
      <c r="B5" s="314" t="str">
        <f>'Base Costs'!B5</f>
        <v>Bridgewater 110 kV transmission line security augmentation</v>
      </c>
      <c r="C5" s="314" t="str">
        <f>'Base Costs'!C5</f>
        <v>Augmentation</v>
      </c>
      <c r="D5" s="333" t="str">
        <f>'Base Costs'!D5</f>
        <v>2016/17</v>
      </c>
      <c r="E5" s="333">
        <f>'Base Costs'!E5</f>
        <v>1</v>
      </c>
      <c r="F5" s="315"/>
      <c r="G5" s="315"/>
      <c r="H5" s="316">
        <f>'Input Data Sheet'!J5</f>
        <v>0</v>
      </c>
      <c r="I5" s="316"/>
      <c r="J5" s="316"/>
      <c r="K5" s="316"/>
      <c r="L5" s="316"/>
      <c r="M5" s="316"/>
      <c r="N5" s="316"/>
      <c r="O5" s="287">
        <f t="shared" ref="O5:O41" si="9">SUM(P5:X5)</f>
        <v>1479649.5893999997</v>
      </c>
      <c r="P5" s="320">
        <f>'Base Costs'!P5*(1+$AI5)</f>
        <v>0</v>
      </c>
      <c r="Q5" s="287">
        <f>'Base Costs'!Q5*(1+$AI5)</f>
        <v>0</v>
      </c>
      <c r="R5" s="341">
        <f>'Base Costs'!R5*(1+$AI5)</f>
        <v>687.95179999999993</v>
      </c>
      <c r="S5" s="341">
        <f>'Base Costs'!S5*(1+$AI5)</f>
        <v>341264.92079999996</v>
      </c>
      <c r="T5" s="341">
        <f>'Base Costs'!T5*(1+$AI5)</f>
        <v>1137696.7167999998</v>
      </c>
      <c r="U5" s="341">
        <f>'Base Costs'!U5*(1+$AI5)</f>
        <v>0</v>
      </c>
      <c r="V5" s="341">
        <f>'Base Costs'!V5*(1+$AI5)</f>
        <v>0</v>
      </c>
      <c r="W5" s="287">
        <f>'Base Costs'!W5*(1+$AI5)</f>
        <v>0</v>
      </c>
      <c r="X5" s="321">
        <f>'Base Costs'!X5*(1+$AI5)</f>
        <v>0</v>
      </c>
      <c r="Y5" s="287">
        <f t="shared" ref="Y5:Y68" si="10">IF($H5,P5,IF(Y$3=$D5,$O5,0))</f>
        <v>0</v>
      </c>
      <c r="Z5" s="287">
        <f t="shared" si="1"/>
        <v>0</v>
      </c>
      <c r="AA5" s="341">
        <f t="shared" si="2"/>
        <v>0</v>
      </c>
      <c r="AB5" s="341">
        <f t="shared" si="3"/>
        <v>0</v>
      </c>
      <c r="AC5" s="341">
        <f t="shared" si="4"/>
        <v>1479649.5893999997</v>
      </c>
      <c r="AD5" s="341">
        <f t="shared" si="5"/>
        <v>0</v>
      </c>
      <c r="AE5" s="341">
        <f t="shared" si="6"/>
        <v>0</v>
      </c>
      <c r="AF5" s="287">
        <f t="shared" si="7"/>
        <v>0</v>
      </c>
      <c r="AG5" s="287">
        <f t="shared" si="8"/>
        <v>0</v>
      </c>
      <c r="AH5" s="322">
        <f>IF($H5,0,IFERROR(IF(VALUE(LEFT(D5,4))&gt;VALUE(LEFT(Parameters!$B$66,4))+1,O5-SUM(R5:X5),0),0))</f>
        <v>0</v>
      </c>
      <c r="AI5" s="325">
        <f>IF(E5=0,0,INDEX(Parameters!$D$5:$D$35,MATCH(E5,Parameters!$B$5:$B$35,0)))</f>
        <v>2.07E-2</v>
      </c>
    </row>
    <row r="6" spans="1:35" ht="12.75" x14ac:dyDescent="0.2">
      <c r="A6" s="313" t="str">
        <f>'Base Costs'!A6</f>
        <v>ND0908</v>
      </c>
      <c r="B6" s="314" t="str">
        <f>'Base Costs'!B6</f>
        <v>Burnie Substation 110 kV redevelopment</v>
      </c>
      <c r="C6" s="314" t="str">
        <f>'Base Costs'!C6</f>
        <v>Asset Renewal</v>
      </c>
      <c r="D6" s="333" t="str">
        <f>'Base Costs'!D6</f>
        <v>2014/15</v>
      </c>
      <c r="E6" s="333">
        <f>'Base Costs'!E6</f>
        <v>0</v>
      </c>
      <c r="F6" s="315"/>
      <c r="G6" s="315"/>
      <c r="H6" s="316">
        <f>'Input Data Sheet'!J6</f>
        <v>0</v>
      </c>
      <c r="I6" s="316"/>
      <c r="J6" s="316"/>
      <c r="K6" s="316"/>
      <c r="L6" s="316"/>
      <c r="M6" s="316"/>
      <c r="N6" s="316"/>
      <c r="O6" s="287">
        <f t="shared" si="9"/>
        <v>27632.153364335201</v>
      </c>
      <c r="P6" s="320">
        <f>'Base Costs'!P6*(1+$AI6)</f>
        <v>0</v>
      </c>
      <c r="Q6" s="287">
        <f>'Base Costs'!Q6*(1+$AI6)</f>
        <v>0</v>
      </c>
      <c r="R6" s="341">
        <f>'Base Costs'!R6*(1+$AI6)</f>
        <v>27632.153364335201</v>
      </c>
      <c r="S6" s="341">
        <f>'Base Costs'!S6*(1+$AI6)</f>
        <v>0</v>
      </c>
      <c r="T6" s="341">
        <f>'Base Costs'!T6*(1+$AI6)</f>
        <v>0</v>
      </c>
      <c r="U6" s="341">
        <f>'Base Costs'!U6*(1+$AI6)</f>
        <v>0</v>
      </c>
      <c r="V6" s="341">
        <f>'Base Costs'!V6*(1+$AI6)</f>
        <v>0</v>
      </c>
      <c r="W6" s="287">
        <f>'Base Costs'!W6*(1+$AI6)</f>
        <v>0</v>
      </c>
      <c r="X6" s="321">
        <f>'Base Costs'!X6*(1+$AI6)</f>
        <v>0</v>
      </c>
      <c r="Y6" s="287">
        <f t="shared" si="10"/>
        <v>0</v>
      </c>
      <c r="Z6" s="287">
        <f t="shared" si="1"/>
        <v>0</v>
      </c>
      <c r="AA6" s="341">
        <f t="shared" si="2"/>
        <v>27632.153364335201</v>
      </c>
      <c r="AB6" s="341">
        <f t="shared" si="3"/>
        <v>0</v>
      </c>
      <c r="AC6" s="341">
        <f t="shared" si="4"/>
        <v>0</v>
      </c>
      <c r="AD6" s="341">
        <f t="shared" si="5"/>
        <v>0</v>
      </c>
      <c r="AE6" s="341">
        <f t="shared" si="6"/>
        <v>0</v>
      </c>
      <c r="AF6" s="287">
        <f t="shared" si="7"/>
        <v>0</v>
      </c>
      <c r="AG6" s="287">
        <f t="shared" si="8"/>
        <v>0</v>
      </c>
      <c r="AH6" s="322">
        <f>IF($H6,0,IFERROR(IF(VALUE(LEFT(D6,4))&gt;VALUE(LEFT(Parameters!$B$66,4))+1,O6-SUM(R6:X6),0),0))</f>
        <v>0</v>
      </c>
      <c r="AI6" s="325">
        <f>IF(E6=0,0,INDEX(Parameters!$D$5:$D$35,MATCH(E6,Parameters!$B$5:$B$35,0)))</f>
        <v>0</v>
      </c>
    </row>
    <row r="7" spans="1:35" ht="12.75" x14ac:dyDescent="0.2">
      <c r="A7" s="313" t="str">
        <f>'Base Costs'!A7</f>
        <v>ND1307</v>
      </c>
      <c r="B7" s="314" t="str">
        <f>'Base Costs'!B7</f>
        <v>Condition Based Risk Management System (Stage 2)</v>
      </c>
      <c r="C7" s="314" t="str">
        <f>'Base Costs'!C7</f>
        <v>Operational Support Systems</v>
      </c>
      <c r="D7" s="333" t="str">
        <f>'Base Costs'!D7</f>
        <v>2018/19</v>
      </c>
      <c r="E7" s="333">
        <f>'Base Costs'!E7</f>
        <v>18</v>
      </c>
      <c r="F7" s="315"/>
      <c r="G7" s="315"/>
      <c r="H7" s="316">
        <f>'Input Data Sheet'!J7</f>
        <v>0</v>
      </c>
      <c r="I7" s="316"/>
      <c r="J7" s="316"/>
      <c r="K7" s="316"/>
      <c r="L7" s="316"/>
      <c r="M7" s="316"/>
      <c r="N7" s="316"/>
      <c r="O7" s="287">
        <f t="shared" si="9"/>
        <v>454350</v>
      </c>
      <c r="P7" s="320">
        <f>'Base Costs'!P7*(1+$AI7)</f>
        <v>0</v>
      </c>
      <c r="Q7" s="287">
        <f>'Base Costs'!Q7*(1+$AI7)</f>
        <v>0</v>
      </c>
      <c r="R7" s="341">
        <f>'Base Costs'!R7*(1+$AI7)</f>
        <v>0</v>
      </c>
      <c r="S7" s="341">
        <f>'Base Costs'!S7*(1+$AI7)</f>
        <v>0</v>
      </c>
      <c r="T7" s="341">
        <f>'Base Costs'!T7*(1+$AI7)</f>
        <v>0</v>
      </c>
      <c r="U7" s="341">
        <f>'Base Costs'!U7*(1+$AI7)</f>
        <v>0</v>
      </c>
      <c r="V7" s="341">
        <f>'Base Costs'!V7*(1+$AI7)</f>
        <v>454350</v>
      </c>
      <c r="W7" s="287">
        <f>'Base Costs'!W7*(1+$AI7)</f>
        <v>0</v>
      </c>
      <c r="X7" s="321">
        <f>'Base Costs'!X7*(1+$AI7)</f>
        <v>0</v>
      </c>
      <c r="Y7" s="287">
        <f t="shared" si="10"/>
        <v>0</v>
      </c>
      <c r="Z7" s="287">
        <f t="shared" si="1"/>
        <v>0</v>
      </c>
      <c r="AA7" s="341">
        <f t="shared" si="2"/>
        <v>0</v>
      </c>
      <c r="AB7" s="341">
        <f t="shared" si="3"/>
        <v>0</v>
      </c>
      <c r="AC7" s="341">
        <f t="shared" si="4"/>
        <v>0</v>
      </c>
      <c r="AD7" s="341">
        <f t="shared" si="5"/>
        <v>0</v>
      </c>
      <c r="AE7" s="341">
        <f t="shared" si="6"/>
        <v>454350</v>
      </c>
      <c r="AF7" s="287">
        <f t="shared" si="7"/>
        <v>0</v>
      </c>
      <c r="AG7" s="287">
        <f t="shared" si="8"/>
        <v>0</v>
      </c>
      <c r="AH7" s="322">
        <f>IF($H7,0,IFERROR(IF(VALUE(LEFT(D7,4))&gt;VALUE(LEFT(Parameters!$B$66,4))+1,O7-SUM(R7:X7),0),0))</f>
        <v>0</v>
      </c>
      <c r="AI7" s="325">
        <f>IF(E7=0,0,INDEX(Parameters!$D$5:$D$35,MATCH(E7,Parameters!$B$5:$B$35,0)))</f>
        <v>0</v>
      </c>
    </row>
    <row r="8" spans="1:35" ht="12.75" x14ac:dyDescent="0.2">
      <c r="A8" s="313" t="str">
        <f>'Base Costs'!A8</f>
        <v>TBA1</v>
      </c>
      <c r="B8" s="314" t="str">
        <f>'Base Costs'!B8</f>
        <v>Consumer engagement management system</v>
      </c>
      <c r="C8" s="314" t="str">
        <f>'Base Costs'!C8</f>
        <v>Operational Support Systems</v>
      </c>
      <c r="D8" s="333" t="str">
        <f>'Base Costs'!D8</f>
        <v>2017/18</v>
      </c>
      <c r="E8" s="333">
        <f>'Base Costs'!E8</f>
        <v>18</v>
      </c>
      <c r="F8" s="315"/>
      <c r="G8" s="315"/>
      <c r="H8" s="316">
        <f>'Input Data Sheet'!J8</f>
        <v>0</v>
      </c>
      <c r="I8" s="316"/>
      <c r="J8" s="316"/>
      <c r="K8" s="316"/>
      <c r="L8" s="316"/>
      <c r="M8" s="316"/>
      <c r="N8" s="316"/>
      <c r="O8" s="287">
        <f t="shared" si="9"/>
        <v>980000</v>
      </c>
      <c r="P8" s="320">
        <f>'Base Costs'!P8*(1+$AI8)</f>
        <v>0</v>
      </c>
      <c r="Q8" s="287">
        <f>'Base Costs'!Q8*(1+$AI8)</f>
        <v>0</v>
      </c>
      <c r="R8" s="341">
        <f>'Base Costs'!R8*(1+$AI8)</f>
        <v>155000</v>
      </c>
      <c r="S8" s="341">
        <f>'Base Costs'!S8*(1+$AI8)</f>
        <v>480000</v>
      </c>
      <c r="T8" s="341">
        <f>'Base Costs'!T8*(1+$AI8)</f>
        <v>265000</v>
      </c>
      <c r="U8" s="341">
        <f>'Base Costs'!U8*(1+$AI8)</f>
        <v>80000</v>
      </c>
      <c r="V8" s="341">
        <f>'Base Costs'!V8*(1+$AI8)</f>
        <v>0</v>
      </c>
      <c r="W8" s="287">
        <f>'Base Costs'!W8*(1+$AI8)</f>
        <v>0</v>
      </c>
      <c r="X8" s="321">
        <f>'Base Costs'!X8*(1+$AI8)</f>
        <v>0</v>
      </c>
      <c r="Y8" s="287">
        <f t="shared" si="10"/>
        <v>0</v>
      </c>
      <c r="Z8" s="287">
        <f t="shared" si="1"/>
        <v>0</v>
      </c>
      <c r="AA8" s="341">
        <f t="shared" si="2"/>
        <v>0</v>
      </c>
      <c r="AB8" s="341">
        <f t="shared" si="3"/>
        <v>0</v>
      </c>
      <c r="AC8" s="341">
        <f t="shared" si="4"/>
        <v>0</v>
      </c>
      <c r="AD8" s="341">
        <f t="shared" si="5"/>
        <v>980000</v>
      </c>
      <c r="AE8" s="341">
        <f t="shared" si="6"/>
        <v>0</v>
      </c>
      <c r="AF8" s="287">
        <f t="shared" si="7"/>
        <v>0</v>
      </c>
      <c r="AG8" s="287">
        <f t="shared" si="8"/>
        <v>0</v>
      </c>
      <c r="AH8" s="322">
        <f>IF($H8,0,IFERROR(IF(VALUE(LEFT(D8,4))&gt;VALUE(LEFT(Parameters!$B$66,4))+1,O8-SUM(R8:X8),0),0))</f>
        <v>0</v>
      </c>
      <c r="AI8" s="325">
        <f>IF(E8=0,0,INDEX(Parameters!$D$5:$D$35,MATCH(E8,Parameters!$B$5:$B$35,0)))</f>
        <v>0</v>
      </c>
    </row>
    <row r="9" spans="1:35" ht="12.75" x14ac:dyDescent="0.2">
      <c r="A9" s="313" t="str">
        <f>'Base Costs'!A9</f>
        <v>ND0733</v>
      </c>
      <c r="B9" s="314" t="str">
        <f>'Base Costs'!B9</f>
        <v>Creek Road Substation 110 kV redevelopment</v>
      </c>
      <c r="C9" s="314" t="str">
        <f>'Base Costs'!C9</f>
        <v>Asset Renewal</v>
      </c>
      <c r="D9" s="333" t="str">
        <f>'Base Costs'!D9</f>
        <v>2014/15</v>
      </c>
      <c r="E9" s="333">
        <f>'Base Costs'!E9</f>
        <v>0</v>
      </c>
      <c r="F9" s="315"/>
      <c r="G9" s="315"/>
      <c r="H9" s="316">
        <f>'Input Data Sheet'!J9</f>
        <v>0</v>
      </c>
      <c r="I9" s="316"/>
      <c r="J9" s="316"/>
      <c r="K9" s="316"/>
      <c r="L9" s="316"/>
      <c r="M9" s="316"/>
      <c r="N9" s="316"/>
      <c r="O9" s="287">
        <f t="shared" si="9"/>
        <v>962930.99743760086</v>
      </c>
      <c r="P9" s="320">
        <f>'Base Costs'!P9*(1+$AI9)</f>
        <v>0</v>
      </c>
      <c r="Q9" s="287">
        <f>'Base Costs'!Q9*(1+$AI9)</f>
        <v>0</v>
      </c>
      <c r="R9" s="341">
        <f>'Base Costs'!R9*(1+$AI9)</f>
        <v>962930.99743760086</v>
      </c>
      <c r="S9" s="341">
        <f>'Base Costs'!S9*(1+$AI9)</f>
        <v>0</v>
      </c>
      <c r="T9" s="341">
        <f>'Base Costs'!T9*(1+$AI9)</f>
        <v>0</v>
      </c>
      <c r="U9" s="341">
        <f>'Base Costs'!U9*(1+$AI9)</f>
        <v>0</v>
      </c>
      <c r="V9" s="341">
        <f>'Base Costs'!V9*(1+$AI9)</f>
        <v>0</v>
      </c>
      <c r="W9" s="287">
        <f>'Base Costs'!W9*(1+$AI9)</f>
        <v>0</v>
      </c>
      <c r="X9" s="321">
        <f>'Base Costs'!X9*(1+$AI9)</f>
        <v>0</v>
      </c>
      <c r="Y9" s="287">
        <f t="shared" si="10"/>
        <v>0</v>
      </c>
      <c r="Z9" s="287">
        <f t="shared" si="1"/>
        <v>0</v>
      </c>
      <c r="AA9" s="341">
        <f t="shared" si="2"/>
        <v>962930.99743760086</v>
      </c>
      <c r="AB9" s="341">
        <f t="shared" si="3"/>
        <v>0</v>
      </c>
      <c r="AC9" s="341">
        <f t="shared" si="4"/>
        <v>0</v>
      </c>
      <c r="AD9" s="341">
        <f t="shared" si="5"/>
        <v>0</v>
      </c>
      <c r="AE9" s="341">
        <f t="shared" si="6"/>
        <v>0</v>
      </c>
      <c r="AF9" s="287">
        <f t="shared" si="7"/>
        <v>0</v>
      </c>
      <c r="AG9" s="287">
        <f t="shared" si="8"/>
        <v>0</v>
      </c>
      <c r="AH9" s="322">
        <f>IF($H9,0,IFERROR(IF(VALUE(LEFT(D9,4))&gt;VALUE(LEFT(Parameters!$B$66,4))+1,O9-SUM(R9:X9),0),0))</f>
        <v>0</v>
      </c>
      <c r="AI9" s="325">
        <f>IF(E9=0,0,INDEX(Parameters!$D$5:$D$35,MATCH(E9,Parameters!$B$5:$B$35,0)))</f>
        <v>0</v>
      </c>
    </row>
    <row r="10" spans="1:35" ht="12.75" x14ac:dyDescent="0.2">
      <c r="A10" s="313" t="str">
        <f>'Base Costs'!A10</f>
        <v>TBA3</v>
      </c>
      <c r="B10" s="314" t="str">
        <f>'Base Costs'!B10</f>
        <v>Derwent Bridge transmission line redevelopment</v>
      </c>
      <c r="C10" s="314" t="str">
        <f>'Base Costs'!C10</f>
        <v>Asset Renewal</v>
      </c>
      <c r="D10" s="333" t="str">
        <f>'Base Costs'!D10</f>
        <v>2016/17</v>
      </c>
      <c r="E10" s="333">
        <f>'Base Costs'!E10</f>
        <v>1</v>
      </c>
      <c r="F10" s="315"/>
      <c r="G10" s="315"/>
      <c r="H10" s="316">
        <f>'Input Data Sheet'!J10</f>
        <v>0</v>
      </c>
      <c r="I10" s="316"/>
      <c r="J10" s="316"/>
      <c r="K10" s="316"/>
      <c r="L10" s="316"/>
      <c r="M10" s="316"/>
      <c r="N10" s="316"/>
      <c r="O10" s="287">
        <f t="shared" si="9"/>
        <v>1020700</v>
      </c>
      <c r="P10" s="320">
        <f>'Base Costs'!P10*(1+$AI10)</f>
        <v>0</v>
      </c>
      <c r="Q10" s="287">
        <f>'Base Costs'!Q10*(1+$AI10)</f>
        <v>0</v>
      </c>
      <c r="R10" s="341">
        <f>'Base Costs'!R10*(1+$AI10)</f>
        <v>408280</v>
      </c>
      <c r="S10" s="341">
        <f>'Base Costs'!S10*(1+$AI10)</f>
        <v>612420</v>
      </c>
      <c r="T10" s="341">
        <f>'Base Costs'!T10*(1+$AI10)</f>
        <v>0</v>
      </c>
      <c r="U10" s="341">
        <f>'Base Costs'!U10*(1+$AI10)</f>
        <v>0</v>
      </c>
      <c r="V10" s="341">
        <f>'Base Costs'!V10*(1+$AI10)</f>
        <v>0</v>
      </c>
      <c r="W10" s="287">
        <f>'Base Costs'!W10*(1+$AI10)</f>
        <v>0</v>
      </c>
      <c r="X10" s="321">
        <f>'Base Costs'!X10*(1+$AI10)</f>
        <v>0</v>
      </c>
      <c r="Y10" s="287">
        <f t="shared" si="10"/>
        <v>0</v>
      </c>
      <c r="Z10" s="287">
        <f t="shared" si="1"/>
        <v>0</v>
      </c>
      <c r="AA10" s="341">
        <f t="shared" si="2"/>
        <v>0</v>
      </c>
      <c r="AB10" s="341">
        <f t="shared" si="3"/>
        <v>0</v>
      </c>
      <c r="AC10" s="341">
        <f t="shared" si="4"/>
        <v>1020700</v>
      </c>
      <c r="AD10" s="341">
        <f t="shared" si="5"/>
        <v>0</v>
      </c>
      <c r="AE10" s="341">
        <f t="shared" si="6"/>
        <v>0</v>
      </c>
      <c r="AF10" s="287">
        <f t="shared" si="7"/>
        <v>0</v>
      </c>
      <c r="AG10" s="287">
        <f t="shared" si="8"/>
        <v>0</v>
      </c>
      <c r="AH10" s="322">
        <f>IF($H10,0,IFERROR(IF(VALUE(LEFT(D10,4))&gt;VALUE(LEFT(Parameters!$B$66,4))+1,O10-SUM(R10:X10),0),0))</f>
        <v>0</v>
      </c>
      <c r="AI10" s="325">
        <f>IF(E10=0,0,INDEX(Parameters!$D$5:$D$35,MATCH(E10,Parameters!$B$5:$B$35,0)))</f>
        <v>2.07E-2</v>
      </c>
    </row>
    <row r="11" spans="1:35" ht="12.75" x14ac:dyDescent="0.2">
      <c r="A11" s="313" t="str">
        <f>'Base Costs'!A11</f>
        <v>ND1211</v>
      </c>
      <c r="B11" s="314" t="str">
        <f>'Base Costs'!B11</f>
        <v>Enterprise Asset Management system</v>
      </c>
      <c r="C11" s="314" t="str">
        <f>'Base Costs'!C11</f>
        <v>Operational Support Systems</v>
      </c>
      <c r="D11" s="333" t="str">
        <f>'Base Costs'!D11</f>
        <v>2018/19</v>
      </c>
      <c r="E11" s="333">
        <f>'Base Costs'!E11</f>
        <v>18</v>
      </c>
      <c r="F11" s="315"/>
      <c r="G11" s="315"/>
      <c r="H11" s="316">
        <f>'Input Data Sheet'!J11</f>
        <v>1</v>
      </c>
      <c r="I11" s="316"/>
      <c r="J11" s="316"/>
      <c r="K11" s="316"/>
      <c r="L11" s="316"/>
      <c r="M11" s="316"/>
      <c r="N11" s="316"/>
      <c r="O11" s="287">
        <f t="shared" si="9"/>
        <v>5939000</v>
      </c>
      <c r="P11" s="320">
        <f>'Base Costs'!P11*(1+$AI11)</f>
        <v>0</v>
      </c>
      <c r="Q11" s="287">
        <f>'Base Costs'!Q11*(1+$AI11)</f>
        <v>0</v>
      </c>
      <c r="R11" s="341">
        <f>'Base Costs'!R11*(1+$AI11)</f>
        <v>300000</v>
      </c>
      <c r="S11" s="341">
        <f>'Base Costs'!S11*(1+$AI11)</f>
        <v>3107500</v>
      </c>
      <c r="T11" s="341">
        <f>'Base Costs'!T11*(1+$AI11)</f>
        <v>1219000</v>
      </c>
      <c r="U11" s="341">
        <f>'Base Costs'!U11*(1+$AI11)</f>
        <v>562500</v>
      </c>
      <c r="V11" s="341">
        <f>'Base Costs'!V11*(1+$AI11)</f>
        <v>750000</v>
      </c>
      <c r="W11" s="287">
        <f>'Base Costs'!W11*(1+$AI11)</f>
        <v>0</v>
      </c>
      <c r="X11" s="321">
        <f>'Base Costs'!X11*(1+$AI11)</f>
        <v>0</v>
      </c>
      <c r="Y11" s="287">
        <f t="shared" si="10"/>
        <v>0</v>
      </c>
      <c r="Z11" s="287">
        <f t="shared" si="1"/>
        <v>0</v>
      </c>
      <c r="AA11" s="341">
        <f t="shared" si="2"/>
        <v>300000</v>
      </c>
      <c r="AB11" s="341">
        <f t="shared" si="3"/>
        <v>3107500</v>
      </c>
      <c r="AC11" s="341">
        <f t="shared" si="4"/>
        <v>1219000</v>
      </c>
      <c r="AD11" s="341">
        <f t="shared" si="5"/>
        <v>562500</v>
      </c>
      <c r="AE11" s="341">
        <f t="shared" si="6"/>
        <v>750000</v>
      </c>
      <c r="AF11" s="287">
        <f t="shared" si="7"/>
        <v>0</v>
      </c>
      <c r="AG11" s="287">
        <f t="shared" si="8"/>
        <v>0</v>
      </c>
      <c r="AH11" s="322">
        <f>IF($H11,0,IFERROR(IF(VALUE(LEFT(D11,4))&gt;VALUE(LEFT(Parameters!$B$66,4))+1,O11-SUM(R11:X11),0),0))</f>
        <v>0</v>
      </c>
      <c r="AI11" s="325">
        <f>IF(E11=0,0,INDEX(Parameters!$D$5:$D$35,MATCH(E11,Parameters!$B$5:$B$35,0)))</f>
        <v>0</v>
      </c>
    </row>
    <row r="12" spans="1:35" ht="12.75" x14ac:dyDescent="0.2">
      <c r="A12" s="313" t="str">
        <f>'Base Costs'!A12</f>
        <v>TBA2</v>
      </c>
      <c r="B12" s="314" t="str">
        <f>'Base Costs'!B12</f>
        <v>Facilities Access Control System</v>
      </c>
      <c r="C12" s="314" t="str">
        <f>'Base Costs'!C12</f>
        <v>Business support</v>
      </c>
      <c r="D12" s="333" t="str">
        <f>'Base Costs'!D12</f>
        <v>2014/15</v>
      </c>
      <c r="E12" s="333">
        <f>'Base Costs'!E12</f>
        <v>18</v>
      </c>
      <c r="F12" s="315"/>
      <c r="G12" s="315"/>
      <c r="H12" s="316">
        <f>'Input Data Sheet'!J12</f>
        <v>0</v>
      </c>
      <c r="I12" s="316"/>
      <c r="J12" s="316"/>
      <c r="K12" s="316"/>
      <c r="L12" s="316"/>
      <c r="M12" s="316"/>
      <c r="N12" s="316"/>
      <c r="O12" s="287">
        <f t="shared" si="9"/>
        <v>158278</v>
      </c>
      <c r="P12" s="320">
        <f>'Base Costs'!P12*(1+$AI12)</f>
        <v>0</v>
      </c>
      <c r="Q12" s="287">
        <f>'Base Costs'!Q12*(1+$AI12)</f>
        <v>0</v>
      </c>
      <c r="R12" s="341">
        <f>'Base Costs'!R12*(1+$AI12)</f>
        <v>158278</v>
      </c>
      <c r="S12" s="341">
        <f>'Base Costs'!S12*(1+$AI12)</f>
        <v>0</v>
      </c>
      <c r="T12" s="341">
        <f>'Base Costs'!T12*(1+$AI12)</f>
        <v>0</v>
      </c>
      <c r="U12" s="341">
        <f>'Base Costs'!U12*(1+$AI12)</f>
        <v>0</v>
      </c>
      <c r="V12" s="341">
        <f>'Base Costs'!V12*(1+$AI12)</f>
        <v>0</v>
      </c>
      <c r="W12" s="287">
        <f>'Base Costs'!W12*(1+$AI12)</f>
        <v>0</v>
      </c>
      <c r="X12" s="321">
        <f>'Base Costs'!X12*(1+$AI12)</f>
        <v>0</v>
      </c>
      <c r="Y12" s="287">
        <f t="shared" si="10"/>
        <v>0</v>
      </c>
      <c r="Z12" s="287">
        <f t="shared" si="1"/>
        <v>0</v>
      </c>
      <c r="AA12" s="341">
        <f t="shared" si="2"/>
        <v>158278</v>
      </c>
      <c r="AB12" s="341">
        <f t="shared" si="3"/>
        <v>0</v>
      </c>
      <c r="AC12" s="341">
        <f t="shared" si="4"/>
        <v>0</v>
      </c>
      <c r="AD12" s="341">
        <f t="shared" si="5"/>
        <v>0</v>
      </c>
      <c r="AE12" s="341">
        <f t="shared" si="6"/>
        <v>0</v>
      </c>
      <c r="AF12" s="287">
        <f t="shared" si="7"/>
        <v>0</v>
      </c>
      <c r="AG12" s="287">
        <f t="shared" si="8"/>
        <v>0</v>
      </c>
      <c r="AH12" s="322">
        <f>IF($H12,0,IFERROR(IF(VALUE(LEFT(D12,4))&gt;VALUE(LEFT(Parameters!$B$66,4))+1,O12-SUM(R12:X12),0),0))</f>
        <v>0</v>
      </c>
      <c r="AI12" s="325">
        <f>IF(E12=0,0,INDEX(Parameters!$D$5:$D$35,MATCH(E12,Parameters!$B$5:$B$35,0)))</f>
        <v>0</v>
      </c>
    </row>
    <row r="13" spans="1:35" ht="12.75" x14ac:dyDescent="0.2">
      <c r="A13" s="313" t="str">
        <f>'Base Costs'!A13</f>
        <v>ND1116</v>
      </c>
      <c r="B13" s="314" t="str">
        <f>'Base Costs'!B13</f>
        <v>Fault Level Mitigation Program</v>
      </c>
      <c r="C13" s="314" t="str">
        <f>'Base Costs'!C13</f>
        <v>Connection</v>
      </c>
      <c r="D13" s="333" t="str">
        <f>'Base Costs'!D13</f>
        <v>2016/17</v>
      </c>
      <c r="E13" s="333">
        <f>'Base Costs'!E13</f>
        <v>9</v>
      </c>
      <c r="F13" s="315"/>
      <c r="G13" s="315"/>
      <c r="H13" s="316">
        <f>'Input Data Sheet'!J13</f>
        <v>1</v>
      </c>
      <c r="I13" s="316"/>
      <c r="J13" s="316"/>
      <c r="K13" s="316"/>
      <c r="L13" s="316"/>
      <c r="M13" s="316"/>
      <c r="N13" s="316"/>
      <c r="O13" s="287">
        <f t="shared" si="9"/>
        <v>3102931.4272000003</v>
      </c>
      <c r="P13" s="320">
        <f>'Base Costs'!P13*(1+$AI13)</f>
        <v>0</v>
      </c>
      <c r="Q13" s="287">
        <f>'Base Costs'!Q13*(1+$AI13)</f>
        <v>0</v>
      </c>
      <c r="R13" s="341">
        <f>'Base Costs'!R13*(1+$AI13)</f>
        <v>389831.61119999998</v>
      </c>
      <c r="S13" s="341">
        <f>'Base Costs'!S13*(1+$AI13)</f>
        <v>2659125.9372</v>
      </c>
      <c r="T13" s="341">
        <f>'Base Costs'!T13*(1+$AI13)</f>
        <v>53973.878799999999</v>
      </c>
      <c r="U13" s="341">
        <f>'Base Costs'!U13*(1+$AI13)</f>
        <v>0</v>
      </c>
      <c r="V13" s="341">
        <f>'Base Costs'!V13*(1+$AI13)</f>
        <v>0</v>
      </c>
      <c r="W13" s="287">
        <f>'Base Costs'!W13*(1+$AI13)</f>
        <v>0</v>
      </c>
      <c r="X13" s="321">
        <f>'Base Costs'!X13*(1+$AI13)</f>
        <v>0</v>
      </c>
      <c r="Y13" s="287">
        <f t="shared" si="10"/>
        <v>0</v>
      </c>
      <c r="Z13" s="287">
        <f t="shared" si="1"/>
        <v>0</v>
      </c>
      <c r="AA13" s="341">
        <f t="shared" si="2"/>
        <v>389831.61119999998</v>
      </c>
      <c r="AB13" s="341">
        <f t="shared" si="3"/>
        <v>2659125.9372</v>
      </c>
      <c r="AC13" s="341">
        <f t="shared" si="4"/>
        <v>53973.878799999999</v>
      </c>
      <c r="AD13" s="341">
        <f t="shared" si="5"/>
        <v>0</v>
      </c>
      <c r="AE13" s="341">
        <f t="shared" si="6"/>
        <v>0</v>
      </c>
      <c r="AF13" s="287">
        <f t="shared" si="7"/>
        <v>0</v>
      </c>
      <c r="AG13" s="287">
        <f t="shared" si="8"/>
        <v>0</v>
      </c>
      <c r="AH13" s="322">
        <f>IF($H13,0,IFERROR(IF(VALUE(LEFT(D13,4))&gt;VALUE(LEFT(Parameters!$B$66,4))+1,O13-SUM(R13:X13),0),0))</f>
        <v>0</v>
      </c>
      <c r="AI13" s="325">
        <f>IF(E13=0,0,INDEX(Parameters!$D$5:$D$35,MATCH(E13,Parameters!$B$5:$B$35,0)))</f>
        <v>2.46E-2</v>
      </c>
    </row>
    <row r="14" spans="1:35" ht="12.75" x14ac:dyDescent="0.2">
      <c r="A14" s="313" t="str">
        <f>'Base Costs'!A14</f>
        <v>ND0789</v>
      </c>
      <c r="B14" s="314" t="str">
        <f>'Base Costs'!B14</f>
        <v>Fleet Vehicle Procurement program</v>
      </c>
      <c r="C14" s="314" t="str">
        <f>'Base Costs'!C14</f>
        <v>Business support</v>
      </c>
      <c r="D14" s="333" t="str">
        <f>'Base Costs'!D14</f>
        <v>2018/19</v>
      </c>
      <c r="E14" s="333">
        <f>'Base Costs'!E14</f>
        <v>18</v>
      </c>
      <c r="F14" s="315"/>
      <c r="G14" s="315"/>
      <c r="H14" s="316">
        <f>'Input Data Sheet'!J14</f>
        <v>1</v>
      </c>
      <c r="I14" s="316"/>
      <c r="J14" s="316"/>
      <c r="K14" s="316"/>
      <c r="L14" s="316"/>
      <c r="M14" s="316"/>
      <c r="N14" s="316"/>
      <c r="O14" s="287">
        <f t="shared" si="9"/>
        <v>3157000</v>
      </c>
      <c r="P14" s="320">
        <f>'Base Costs'!P14*(1+$AI14)</f>
        <v>0</v>
      </c>
      <c r="Q14" s="287">
        <f>'Base Costs'!Q14*(1+$AI14)</f>
        <v>0</v>
      </c>
      <c r="R14" s="341">
        <f>'Base Costs'!R14*(1+$AI14)</f>
        <v>640000</v>
      </c>
      <c r="S14" s="341">
        <f>'Base Costs'!S14*(1+$AI14)</f>
        <v>957000</v>
      </c>
      <c r="T14" s="341">
        <f>'Base Costs'!T14*(1+$AI14)</f>
        <v>600000</v>
      </c>
      <c r="U14" s="341">
        <f>'Base Costs'!U14*(1+$AI14)</f>
        <v>200000</v>
      </c>
      <c r="V14" s="341">
        <f>'Base Costs'!V14*(1+$AI14)</f>
        <v>760000</v>
      </c>
      <c r="W14" s="287">
        <f>'Base Costs'!W14*(1+$AI14)</f>
        <v>0</v>
      </c>
      <c r="X14" s="321">
        <f>'Base Costs'!X14*(1+$AI14)</f>
        <v>0</v>
      </c>
      <c r="Y14" s="287">
        <f t="shared" si="10"/>
        <v>0</v>
      </c>
      <c r="Z14" s="287">
        <f t="shared" si="1"/>
        <v>0</v>
      </c>
      <c r="AA14" s="341">
        <f t="shared" si="2"/>
        <v>640000</v>
      </c>
      <c r="AB14" s="341">
        <f t="shared" si="3"/>
        <v>957000</v>
      </c>
      <c r="AC14" s="341">
        <f t="shared" si="4"/>
        <v>600000</v>
      </c>
      <c r="AD14" s="341">
        <f t="shared" si="5"/>
        <v>200000</v>
      </c>
      <c r="AE14" s="341">
        <f t="shared" si="6"/>
        <v>760000</v>
      </c>
      <c r="AF14" s="287">
        <f t="shared" si="7"/>
        <v>0</v>
      </c>
      <c r="AG14" s="287">
        <f t="shared" si="8"/>
        <v>0</v>
      </c>
      <c r="AH14" s="322">
        <f>IF($H14,0,IFERROR(IF(VALUE(LEFT(D14,4))&gt;VALUE(LEFT(Parameters!$B$66,4))+1,O14-SUM(R14:X14),0),0))</f>
        <v>0</v>
      </c>
      <c r="AI14" s="325">
        <f>IF(E14=0,0,INDEX(Parameters!$D$5:$D$35,MATCH(E14,Parameters!$B$5:$B$35,0)))</f>
        <v>0</v>
      </c>
    </row>
    <row r="15" spans="1:35" ht="12.75" x14ac:dyDescent="0.2">
      <c r="A15" s="313" t="str">
        <f>'Base Costs'!A15</f>
        <v>ND1240</v>
      </c>
      <c r="B15" s="314" t="str">
        <f>'Base Costs'!B15</f>
        <v>Geographical Information System renewal and data collection tools</v>
      </c>
      <c r="C15" s="314" t="str">
        <f>'Base Costs'!C15</f>
        <v>Operational Support Systems</v>
      </c>
      <c r="D15" s="333" t="str">
        <f>'Base Costs'!D15</f>
        <v>2018/19</v>
      </c>
      <c r="E15" s="333">
        <f>'Base Costs'!E15</f>
        <v>15</v>
      </c>
      <c r="F15" s="315"/>
      <c r="G15" s="315"/>
      <c r="H15" s="316">
        <f>'Input Data Sheet'!J15</f>
        <v>1</v>
      </c>
      <c r="I15" s="316"/>
      <c r="J15" s="316"/>
      <c r="K15" s="316"/>
      <c r="L15" s="316"/>
      <c r="M15" s="316"/>
      <c r="N15" s="316"/>
      <c r="O15" s="287">
        <f t="shared" si="9"/>
        <v>500000</v>
      </c>
      <c r="P15" s="320">
        <f>'Base Costs'!P15*(1+$AI15)</f>
        <v>0</v>
      </c>
      <c r="Q15" s="287">
        <f>'Base Costs'!Q15*(1+$AI15)</f>
        <v>0</v>
      </c>
      <c r="R15" s="341">
        <f>'Base Costs'!R15*(1+$AI15)</f>
        <v>100000</v>
      </c>
      <c r="S15" s="341">
        <f>'Base Costs'!S15*(1+$AI15)</f>
        <v>100000</v>
      </c>
      <c r="T15" s="341">
        <f>'Base Costs'!T15*(1+$AI15)</f>
        <v>100000</v>
      </c>
      <c r="U15" s="341">
        <f>'Base Costs'!U15*(1+$AI15)</f>
        <v>100000</v>
      </c>
      <c r="V15" s="341">
        <f>'Base Costs'!V15*(1+$AI15)</f>
        <v>100000</v>
      </c>
      <c r="W15" s="287">
        <f>'Base Costs'!W15*(1+$AI15)</f>
        <v>0</v>
      </c>
      <c r="X15" s="321">
        <f>'Base Costs'!X15*(1+$AI15)</f>
        <v>0</v>
      </c>
      <c r="Y15" s="287">
        <f t="shared" si="10"/>
        <v>0</v>
      </c>
      <c r="Z15" s="287">
        <f t="shared" si="1"/>
        <v>0</v>
      </c>
      <c r="AA15" s="341">
        <f t="shared" si="2"/>
        <v>100000</v>
      </c>
      <c r="AB15" s="341">
        <f t="shared" si="3"/>
        <v>100000</v>
      </c>
      <c r="AC15" s="341">
        <f t="shared" si="4"/>
        <v>100000</v>
      </c>
      <c r="AD15" s="341">
        <f t="shared" si="5"/>
        <v>100000</v>
      </c>
      <c r="AE15" s="341">
        <f t="shared" si="6"/>
        <v>100000</v>
      </c>
      <c r="AF15" s="287">
        <f t="shared" si="7"/>
        <v>0</v>
      </c>
      <c r="AG15" s="287">
        <f t="shared" si="8"/>
        <v>0</v>
      </c>
      <c r="AH15" s="322">
        <f>IF($H15,0,IFERROR(IF(VALUE(LEFT(D15,4))&gt;VALUE(LEFT(Parameters!$B$66,4))+1,O15-SUM(R15:X15),0),0))</f>
        <v>0</v>
      </c>
      <c r="AI15" s="325">
        <f>IF(E15=0,0,INDEX(Parameters!$D$5:$D$35,MATCH(E15,Parameters!$B$5:$B$35,0)))</f>
        <v>0</v>
      </c>
    </row>
    <row r="16" spans="1:35" ht="12.75" x14ac:dyDescent="0.2">
      <c r="A16" s="313" t="str">
        <f>'Base Costs'!A16</f>
        <v>ND0937</v>
      </c>
      <c r="B16" s="314" t="str">
        <f>'Base Costs'!B16</f>
        <v>George Town Substation 110 kV redevelopment</v>
      </c>
      <c r="C16" s="314" t="str">
        <f>'Base Costs'!C16</f>
        <v>Asset Renewal</v>
      </c>
      <c r="D16" s="333" t="str">
        <f>'Base Costs'!D16</f>
        <v>2014/15</v>
      </c>
      <c r="E16" s="333">
        <f>'Base Costs'!E16</f>
        <v>0</v>
      </c>
      <c r="F16" s="315"/>
      <c r="G16" s="315"/>
      <c r="H16" s="316">
        <f>'Input Data Sheet'!J16</f>
        <v>0</v>
      </c>
      <c r="I16" s="316"/>
      <c r="J16" s="316"/>
      <c r="K16" s="316"/>
      <c r="L16" s="316"/>
      <c r="M16" s="316"/>
      <c r="N16" s="316"/>
      <c r="O16" s="287">
        <f t="shared" si="9"/>
        <v>9379978.3847394902</v>
      </c>
      <c r="P16" s="320">
        <f>'Base Costs'!P16*(1+$AI16)</f>
        <v>0</v>
      </c>
      <c r="Q16" s="287">
        <f>'Base Costs'!Q16*(1+$AI16)</f>
        <v>3477848.5679035783</v>
      </c>
      <c r="R16" s="341">
        <f>'Base Costs'!R16*(1+$AI16)</f>
        <v>5902129.8168359119</v>
      </c>
      <c r="S16" s="341">
        <f>'Base Costs'!S16*(1+$AI16)</f>
        <v>0</v>
      </c>
      <c r="T16" s="341">
        <f>'Base Costs'!T16*(1+$AI16)</f>
        <v>0</v>
      </c>
      <c r="U16" s="341">
        <f>'Base Costs'!U16*(1+$AI16)</f>
        <v>0</v>
      </c>
      <c r="V16" s="341">
        <f>'Base Costs'!V16*(1+$AI16)</f>
        <v>0</v>
      </c>
      <c r="W16" s="287">
        <f>'Base Costs'!W16*(1+$AI16)</f>
        <v>0</v>
      </c>
      <c r="X16" s="321">
        <f>'Base Costs'!X16*(1+$AI16)</f>
        <v>0</v>
      </c>
      <c r="Y16" s="287">
        <f t="shared" si="10"/>
        <v>0</v>
      </c>
      <c r="Z16" s="287">
        <f t="shared" si="1"/>
        <v>0</v>
      </c>
      <c r="AA16" s="341">
        <f t="shared" si="2"/>
        <v>9379978.3847394902</v>
      </c>
      <c r="AB16" s="341">
        <f t="shared" si="3"/>
        <v>0</v>
      </c>
      <c r="AC16" s="341">
        <f t="shared" si="4"/>
        <v>0</v>
      </c>
      <c r="AD16" s="341">
        <f t="shared" si="5"/>
        <v>0</v>
      </c>
      <c r="AE16" s="341">
        <f t="shared" si="6"/>
        <v>0</v>
      </c>
      <c r="AF16" s="287">
        <f t="shared" si="7"/>
        <v>0</v>
      </c>
      <c r="AG16" s="287">
        <f t="shared" si="8"/>
        <v>0</v>
      </c>
      <c r="AH16" s="322">
        <f>IF($H16,0,IFERROR(IF(VALUE(LEFT(D16,4))&gt;VALUE(LEFT(Parameters!$B$66,4))+1,O16-SUM(R16:X16),0),0))</f>
        <v>3477848.5679035783</v>
      </c>
      <c r="AI16" s="325">
        <f>IF(E16=0,0,INDEX(Parameters!$D$5:$D$35,MATCH(E16,Parameters!$B$5:$B$35,0)))</f>
        <v>0</v>
      </c>
    </row>
    <row r="17" spans="1:35" ht="12.75" x14ac:dyDescent="0.2">
      <c r="A17" s="313" t="str">
        <f>'Base Costs'!A17</f>
        <v>ND1214</v>
      </c>
      <c r="B17" s="314" t="str">
        <f>'Base Costs'!B17</f>
        <v>High Voltage switchgear refurbishment program</v>
      </c>
      <c r="C17" s="314" t="str">
        <f>'Base Costs'!C17</f>
        <v>Asset Renewal</v>
      </c>
      <c r="D17" s="333" t="str">
        <f>'Base Costs'!D17</f>
        <v>2018/19</v>
      </c>
      <c r="E17" s="333">
        <f>'Base Costs'!E17</f>
        <v>9</v>
      </c>
      <c r="F17" s="315"/>
      <c r="G17" s="315"/>
      <c r="H17" s="316">
        <f>'Input Data Sheet'!J17</f>
        <v>1</v>
      </c>
      <c r="I17" s="316"/>
      <c r="J17" s="316"/>
      <c r="K17" s="316"/>
      <c r="L17" s="316"/>
      <c r="M17" s="316"/>
      <c r="N17" s="316"/>
      <c r="O17" s="287">
        <f t="shared" si="9"/>
        <v>2376203.1392000001</v>
      </c>
      <c r="P17" s="320">
        <f>'Base Costs'!P17*(1+$AI17)</f>
        <v>0</v>
      </c>
      <c r="Q17" s="287">
        <f>'Base Costs'!Q17*(1+$AI17)</f>
        <v>0</v>
      </c>
      <c r="R17" s="341">
        <f>'Base Costs'!R17*(1+$AI17)</f>
        <v>0</v>
      </c>
      <c r="S17" s="341">
        <f>'Base Costs'!S17*(1+$AI17)</f>
        <v>0</v>
      </c>
      <c r="T17" s="341">
        <f>'Base Costs'!T17*(1+$AI17)</f>
        <v>320148.56520000001</v>
      </c>
      <c r="U17" s="341">
        <f>'Base Costs'!U17*(1+$AI17)</f>
        <v>1426782.1395999999</v>
      </c>
      <c r="V17" s="341">
        <f>'Base Costs'!V17*(1+$AI17)</f>
        <v>629272.43440000003</v>
      </c>
      <c r="W17" s="287">
        <f>'Base Costs'!W17*(1+$AI17)</f>
        <v>0</v>
      </c>
      <c r="X17" s="321">
        <f>'Base Costs'!X17*(1+$AI17)</f>
        <v>0</v>
      </c>
      <c r="Y17" s="287">
        <f t="shared" si="10"/>
        <v>0</v>
      </c>
      <c r="Z17" s="287">
        <f t="shared" si="1"/>
        <v>0</v>
      </c>
      <c r="AA17" s="341">
        <f t="shared" si="2"/>
        <v>0</v>
      </c>
      <c r="AB17" s="341">
        <f t="shared" si="3"/>
        <v>0</v>
      </c>
      <c r="AC17" s="341">
        <f t="shared" si="4"/>
        <v>320148.56520000001</v>
      </c>
      <c r="AD17" s="341">
        <f t="shared" si="5"/>
        <v>1426782.1395999999</v>
      </c>
      <c r="AE17" s="341">
        <f t="shared" si="6"/>
        <v>629272.43440000003</v>
      </c>
      <c r="AF17" s="287">
        <f t="shared" si="7"/>
        <v>0</v>
      </c>
      <c r="AG17" s="287">
        <f t="shared" si="8"/>
        <v>0</v>
      </c>
      <c r="AH17" s="322">
        <f>IF($H17,0,IFERROR(IF(VALUE(LEFT(D17,4))&gt;VALUE(LEFT(Parameters!$B$66,4))+1,O17-SUM(R17:X17),0),0))</f>
        <v>0</v>
      </c>
      <c r="AI17" s="325">
        <f>IF(E17=0,0,INDEX(Parameters!$D$5:$D$35,MATCH(E17,Parameters!$B$5:$B$35,0)))</f>
        <v>2.46E-2</v>
      </c>
    </row>
    <row r="18" spans="1:35" ht="12.75" x14ac:dyDescent="0.2">
      <c r="A18" s="313" t="str">
        <f>'Base Costs'!A18</f>
        <v>ND1215</v>
      </c>
      <c r="B18" s="314" t="str">
        <f>'Base Costs'!B18</f>
        <v>HV Feeder protection renewal program</v>
      </c>
      <c r="C18" s="314" t="str">
        <f>'Base Costs'!C18</f>
        <v>Asset Renewal</v>
      </c>
      <c r="D18" s="333" t="str">
        <f>'Base Costs'!D18</f>
        <v>2019/20</v>
      </c>
      <c r="E18" s="333">
        <f>'Base Costs'!E18</f>
        <v>13</v>
      </c>
      <c r="F18" s="315"/>
      <c r="G18" s="315"/>
      <c r="H18" s="316">
        <f>'Input Data Sheet'!J18</f>
        <v>1</v>
      </c>
      <c r="I18" s="316"/>
      <c r="J18" s="316"/>
      <c r="K18" s="316"/>
      <c r="L18" s="316"/>
      <c r="M18" s="316"/>
      <c r="N18" s="316"/>
      <c r="O18" s="287">
        <f t="shared" si="9"/>
        <v>2429810.2111999998</v>
      </c>
      <c r="P18" s="320">
        <f>'Base Costs'!P18*(1+$AI18)</f>
        <v>0</v>
      </c>
      <c r="Q18" s="287">
        <f>'Base Costs'!Q18*(1+$AI18)</f>
        <v>0</v>
      </c>
      <c r="R18" s="341">
        <f>'Base Costs'!R18*(1+$AI18)</f>
        <v>0</v>
      </c>
      <c r="S18" s="341">
        <f>'Base Costs'!S18*(1+$AI18)</f>
        <v>0</v>
      </c>
      <c r="T18" s="341">
        <f>'Base Costs'!T18*(1+$AI18)</f>
        <v>0</v>
      </c>
      <c r="U18" s="341">
        <f>'Base Costs'!U18*(1+$AI18)</f>
        <v>315874.95860000001</v>
      </c>
      <c r="V18" s="341">
        <f>'Base Costs'!V18*(1+$AI18)</f>
        <v>2089636.8635999998</v>
      </c>
      <c r="W18" s="287">
        <f>'Base Costs'!W18*(1+$AI18)</f>
        <v>24298.388999999999</v>
      </c>
      <c r="X18" s="321">
        <f>'Base Costs'!X18*(1+$AI18)</f>
        <v>0</v>
      </c>
      <c r="Y18" s="287">
        <f t="shared" si="10"/>
        <v>0</v>
      </c>
      <c r="Z18" s="287">
        <f t="shared" si="1"/>
        <v>0</v>
      </c>
      <c r="AA18" s="341">
        <f t="shared" si="2"/>
        <v>0</v>
      </c>
      <c r="AB18" s="341">
        <f t="shared" si="3"/>
        <v>0</v>
      </c>
      <c r="AC18" s="341">
        <f t="shared" si="4"/>
        <v>0</v>
      </c>
      <c r="AD18" s="341">
        <f t="shared" si="5"/>
        <v>315874.95860000001</v>
      </c>
      <c r="AE18" s="341">
        <f t="shared" si="6"/>
        <v>2089636.8635999998</v>
      </c>
      <c r="AF18" s="287">
        <f t="shared" si="7"/>
        <v>24298.388999999999</v>
      </c>
      <c r="AG18" s="287">
        <f t="shared" si="8"/>
        <v>0</v>
      </c>
      <c r="AH18" s="322">
        <f>IF($H18,0,IFERROR(IF(VALUE(LEFT(D18,4))&gt;VALUE(LEFT(Parameters!$B$66,4))+1,O18-SUM(R18:X18),0),0))</f>
        <v>0</v>
      </c>
      <c r="AI18" s="325">
        <f>IF(E18=0,0,INDEX(Parameters!$D$5:$D$35,MATCH(E18,Parameters!$B$5:$B$35,0)))</f>
        <v>2.46E-2</v>
      </c>
    </row>
    <row r="19" spans="1:35" ht="12.75" x14ac:dyDescent="0.2">
      <c r="A19" s="313" t="str">
        <f>'Base Costs'!A19</f>
        <v>ND1205-1</v>
      </c>
      <c r="B19" s="314" t="str">
        <f>'Base Costs'!B19</f>
        <v>Information Technology applications program</v>
      </c>
      <c r="C19" s="314" t="str">
        <f>'Base Costs'!C19</f>
        <v>Information Technology</v>
      </c>
      <c r="D19" s="333" t="str">
        <f>'Base Costs'!D19</f>
        <v>2018/19</v>
      </c>
      <c r="E19" s="333">
        <f>'Base Costs'!E19</f>
        <v>18</v>
      </c>
      <c r="F19" s="315"/>
      <c r="G19" s="315"/>
      <c r="H19" s="316">
        <f>'Input Data Sheet'!J19</f>
        <v>1</v>
      </c>
      <c r="I19" s="316"/>
      <c r="J19" s="316"/>
      <c r="K19" s="316"/>
      <c r="L19" s="316"/>
      <c r="M19" s="316"/>
      <c r="N19" s="316"/>
      <c r="O19" s="287">
        <f t="shared" si="9"/>
        <v>5169798.4000000004</v>
      </c>
      <c r="P19" s="320">
        <f>'Base Costs'!P19*(1+$AI19)</f>
        <v>0</v>
      </c>
      <c r="Q19" s="287">
        <f>'Base Costs'!Q19*(1+$AI19)</f>
        <v>0</v>
      </c>
      <c r="R19" s="341">
        <f>'Base Costs'!R19*(1+$AI19)</f>
        <v>1426609.6</v>
      </c>
      <c r="S19" s="341">
        <f>'Base Costs'!S19*(1+$AI19)</f>
        <v>506313.60000000003</v>
      </c>
      <c r="T19" s="341">
        <f>'Base Costs'!T19*(1+$AI19)</f>
        <v>875056</v>
      </c>
      <c r="U19" s="341">
        <f>'Base Costs'!U19*(1+$AI19)</f>
        <v>1715209.6</v>
      </c>
      <c r="V19" s="341">
        <f>'Base Costs'!V19*(1+$AI19)</f>
        <v>646609.6</v>
      </c>
      <c r="W19" s="287">
        <f>'Base Costs'!W19*(1+$AI19)</f>
        <v>0</v>
      </c>
      <c r="X19" s="321">
        <f>'Base Costs'!X19*(1+$AI19)</f>
        <v>0</v>
      </c>
      <c r="Y19" s="287">
        <f t="shared" si="10"/>
        <v>0</v>
      </c>
      <c r="Z19" s="287">
        <f t="shared" si="1"/>
        <v>0</v>
      </c>
      <c r="AA19" s="341">
        <f t="shared" si="2"/>
        <v>1426609.6</v>
      </c>
      <c r="AB19" s="341">
        <f t="shared" si="3"/>
        <v>506313.60000000003</v>
      </c>
      <c r="AC19" s="341">
        <f t="shared" si="4"/>
        <v>875056</v>
      </c>
      <c r="AD19" s="341">
        <f t="shared" si="5"/>
        <v>1715209.6</v>
      </c>
      <c r="AE19" s="341">
        <f t="shared" si="6"/>
        <v>646609.6</v>
      </c>
      <c r="AF19" s="287">
        <f t="shared" si="7"/>
        <v>0</v>
      </c>
      <c r="AG19" s="287">
        <f t="shared" si="8"/>
        <v>0</v>
      </c>
      <c r="AH19" s="322">
        <f>IF($H19,0,IFERROR(IF(VALUE(LEFT(D19,4))&gt;VALUE(LEFT(Parameters!$B$66,4))+1,O19-SUM(R19:X19),0),0))</f>
        <v>0</v>
      </c>
      <c r="AI19" s="325">
        <f>IF(E19=0,0,INDEX(Parameters!$D$5:$D$35,MATCH(E19,Parameters!$B$5:$B$35,0)))</f>
        <v>0</v>
      </c>
    </row>
    <row r="20" spans="1:35" ht="12.75" x14ac:dyDescent="0.2">
      <c r="A20" s="313" t="str">
        <f>'Base Costs'!A20</f>
        <v>ND1205-2</v>
      </c>
      <c r="B20" s="314" t="str">
        <f>'Base Costs'!B20</f>
        <v>Information Technology applications program</v>
      </c>
      <c r="C20" s="314" t="str">
        <f>'Base Costs'!C20</f>
        <v>Operational Support Systems</v>
      </c>
      <c r="D20" s="333" t="str">
        <f>'Base Costs'!D20</f>
        <v>2018/19</v>
      </c>
      <c r="E20" s="333">
        <f>'Base Costs'!E20</f>
        <v>18</v>
      </c>
      <c r="F20" s="315"/>
      <c r="G20" s="315"/>
      <c r="H20" s="316">
        <f>'Input Data Sheet'!J20</f>
        <v>1</v>
      </c>
      <c r="I20" s="316"/>
      <c r="J20" s="316"/>
      <c r="K20" s="316"/>
      <c r="L20" s="316"/>
      <c r="M20" s="316"/>
      <c r="N20" s="316"/>
      <c r="O20" s="287">
        <f t="shared" si="9"/>
        <v>4772121.5999999996</v>
      </c>
      <c r="P20" s="320">
        <f>'Base Costs'!P20*(1+$AI20)</f>
        <v>0</v>
      </c>
      <c r="Q20" s="287">
        <f>'Base Costs'!Q20*(1+$AI20)</f>
        <v>0</v>
      </c>
      <c r="R20" s="341">
        <f>'Base Costs'!R20*(1+$AI20)</f>
        <v>1316870.3999999999</v>
      </c>
      <c r="S20" s="341">
        <f>'Base Costs'!S20*(1+$AI20)</f>
        <v>467366.39999999997</v>
      </c>
      <c r="T20" s="341">
        <f>'Base Costs'!T20*(1+$AI20)</f>
        <v>807744</v>
      </c>
      <c r="U20" s="341">
        <f>'Base Costs'!U20*(1+$AI20)</f>
        <v>1583270.4</v>
      </c>
      <c r="V20" s="341">
        <f>'Base Costs'!V20*(1+$AI20)</f>
        <v>596870.40000000002</v>
      </c>
      <c r="W20" s="287">
        <f>'Base Costs'!W20*(1+$AI20)</f>
        <v>0</v>
      </c>
      <c r="X20" s="321">
        <f>'Base Costs'!X20*(1+$AI20)</f>
        <v>0</v>
      </c>
      <c r="Y20" s="287">
        <f t="shared" si="10"/>
        <v>0</v>
      </c>
      <c r="Z20" s="287">
        <f t="shared" si="1"/>
        <v>0</v>
      </c>
      <c r="AA20" s="341">
        <f t="shared" si="2"/>
        <v>1316870.3999999999</v>
      </c>
      <c r="AB20" s="341">
        <f t="shared" si="3"/>
        <v>467366.39999999997</v>
      </c>
      <c r="AC20" s="341">
        <f t="shared" si="4"/>
        <v>807744</v>
      </c>
      <c r="AD20" s="341">
        <f t="shared" si="5"/>
        <v>1583270.4</v>
      </c>
      <c r="AE20" s="341">
        <f t="shared" si="6"/>
        <v>596870.40000000002</v>
      </c>
      <c r="AF20" s="287">
        <f t="shared" si="7"/>
        <v>0</v>
      </c>
      <c r="AG20" s="287">
        <f t="shared" si="8"/>
        <v>0</v>
      </c>
      <c r="AH20" s="322">
        <f>IF($H20,0,IFERROR(IF(VALUE(LEFT(D20,4))&gt;VALUE(LEFT(Parameters!$B$66,4))+1,O20-SUM(R20:X20),0),0))</f>
        <v>0</v>
      </c>
      <c r="AI20" s="325">
        <f>IF(E20=0,0,INDEX(Parameters!$D$5:$D$35,MATCH(E20,Parameters!$B$5:$B$35,0)))</f>
        <v>0</v>
      </c>
    </row>
    <row r="21" spans="1:35" ht="12.75" x14ac:dyDescent="0.2">
      <c r="A21" s="313" t="str">
        <f>'Base Costs'!A21</f>
        <v>ND1206-1</v>
      </c>
      <c r="B21" s="314" t="str">
        <f>'Base Costs'!B21</f>
        <v>Information Technology desktop program</v>
      </c>
      <c r="C21" s="314" t="str">
        <f>'Base Costs'!C21</f>
        <v>Information Technology</v>
      </c>
      <c r="D21" s="333" t="str">
        <f>'Base Costs'!D21</f>
        <v>2018/19</v>
      </c>
      <c r="E21" s="333">
        <f>'Base Costs'!E21</f>
        <v>18</v>
      </c>
      <c r="F21" s="315"/>
      <c r="G21" s="315"/>
      <c r="H21" s="316">
        <f>'Input Data Sheet'!J21</f>
        <v>1</v>
      </c>
      <c r="I21" s="316"/>
      <c r="J21" s="316"/>
      <c r="K21" s="316"/>
      <c r="L21" s="316"/>
      <c r="M21" s="316"/>
      <c r="N21" s="316"/>
      <c r="O21" s="287">
        <f t="shared" si="9"/>
        <v>382843.2</v>
      </c>
      <c r="P21" s="320">
        <f>'Base Costs'!P21*(1+$AI21)</f>
        <v>0</v>
      </c>
      <c r="Q21" s="287">
        <f>'Base Costs'!Q21*(1+$AI21)</f>
        <v>0</v>
      </c>
      <c r="R21" s="341">
        <f>'Base Costs'!R21*(1+$AI21)</f>
        <v>71731.360000000015</v>
      </c>
      <c r="S21" s="341">
        <f>'Base Costs'!S21*(1+$AI21)</f>
        <v>91511.840000000011</v>
      </c>
      <c r="T21" s="341">
        <f>'Base Costs'!T21*(1+$AI21)</f>
        <v>74100</v>
      </c>
      <c r="U21" s="341">
        <f>'Base Costs'!U21*(1+$AI21)</f>
        <v>86096.319999999992</v>
      </c>
      <c r="V21" s="341">
        <f>'Base Costs'!V21*(1+$AI21)</f>
        <v>59403.680000000008</v>
      </c>
      <c r="W21" s="287">
        <f>'Base Costs'!W21*(1+$AI21)</f>
        <v>0</v>
      </c>
      <c r="X21" s="321">
        <f>'Base Costs'!X21*(1+$AI21)</f>
        <v>0</v>
      </c>
      <c r="Y21" s="287">
        <f t="shared" si="10"/>
        <v>0</v>
      </c>
      <c r="Z21" s="287">
        <f t="shared" si="1"/>
        <v>0</v>
      </c>
      <c r="AA21" s="341">
        <f t="shared" si="2"/>
        <v>71731.360000000015</v>
      </c>
      <c r="AB21" s="341">
        <f t="shared" si="3"/>
        <v>91511.840000000011</v>
      </c>
      <c r="AC21" s="341">
        <f t="shared" si="4"/>
        <v>74100</v>
      </c>
      <c r="AD21" s="341">
        <f t="shared" si="5"/>
        <v>86096.319999999992</v>
      </c>
      <c r="AE21" s="341">
        <f t="shared" si="6"/>
        <v>59403.680000000008</v>
      </c>
      <c r="AF21" s="287">
        <f t="shared" si="7"/>
        <v>0</v>
      </c>
      <c r="AG21" s="287">
        <f t="shared" si="8"/>
        <v>0</v>
      </c>
      <c r="AH21" s="322">
        <f>IF($H21,0,IFERROR(IF(VALUE(LEFT(D21,4))&gt;VALUE(LEFT(Parameters!$B$66,4))+1,O21-SUM(R21:X21),0),0))</f>
        <v>0</v>
      </c>
      <c r="AI21" s="325">
        <f>IF(E21=0,0,INDEX(Parameters!$D$5:$D$35,MATCH(E21,Parameters!$B$5:$B$35,0)))</f>
        <v>0</v>
      </c>
    </row>
    <row r="22" spans="1:35" ht="12.75" x14ac:dyDescent="0.2">
      <c r="A22" s="313" t="str">
        <f>'Base Costs'!A22</f>
        <v>ND1206-2</v>
      </c>
      <c r="B22" s="314" t="str">
        <f>'Base Costs'!B22</f>
        <v>Information Technology desktop program</v>
      </c>
      <c r="C22" s="314" t="str">
        <f>'Base Costs'!C22</f>
        <v>Operational Support Systems</v>
      </c>
      <c r="D22" s="333" t="str">
        <f>'Base Costs'!D22</f>
        <v>2018/19</v>
      </c>
      <c r="E22" s="333">
        <f>'Base Costs'!E22</f>
        <v>18</v>
      </c>
      <c r="F22" s="315"/>
      <c r="G22" s="315"/>
      <c r="H22" s="316">
        <f>'Input Data Sheet'!J22</f>
        <v>1</v>
      </c>
      <c r="I22" s="316"/>
      <c r="J22" s="316"/>
      <c r="K22" s="316"/>
      <c r="L22" s="316"/>
      <c r="M22" s="316"/>
      <c r="N22" s="316"/>
      <c r="O22" s="287">
        <f t="shared" si="9"/>
        <v>2009926.8</v>
      </c>
      <c r="P22" s="320">
        <f>'Base Costs'!P22*(1+$AI22)</f>
        <v>0</v>
      </c>
      <c r="Q22" s="287">
        <f>'Base Costs'!Q22*(1+$AI22)</f>
        <v>0</v>
      </c>
      <c r="R22" s="341">
        <f>'Base Costs'!R22*(1+$AI22)</f>
        <v>376589.64</v>
      </c>
      <c r="S22" s="341">
        <f>'Base Costs'!S22*(1+$AI22)</f>
        <v>480437.16000000003</v>
      </c>
      <c r="T22" s="341">
        <f>'Base Costs'!T22*(1+$AI22)</f>
        <v>389025</v>
      </c>
      <c r="U22" s="341">
        <f>'Base Costs'!U22*(1+$AI22)</f>
        <v>452005.68</v>
      </c>
      <c r="V22" s="341">
        <f>'Base Costs'!V22*(1+$AI22)</f>
        <v>311869.32</v>
      </c>
      <c r="W22" s="287">
        <f>'Base Costs'!W22*(1+$AI22)</f>
        <v>0</v>
      </c>
      <c r="X22" s="321">
        <f>'Base Costs'!X22*(1+$AI22)</f>
        <v>0</v>
      </c>
      <c r="Y22" s="287">
        <f t="shared" si="10"/>
        <v>0</v>
      </c>
      <c r="Z22" s="287">
        <f t="shared" si="1"/>
        <v>0</v>
      </c>
      <c r="AA22" s="341">
        <f t="shared" si="2"/>
        <v>376589.64</v>
      </c>
      <c r="AB22" s="341">
        <f t="shared" si="3"/>
        <v>480437.16000000003</v>
      </c>
      <c r="AC22" s="341">
        <f t="shared" si="4"/>
        <v>389025</v>
      </c>
      <c r="AD22" s="341">
        <f t="shared" si="5"/>
        <v>452005.68</v>
      </c>
      <c r="AE22" s="341">
        <f t="shared" si="6"/>
        <v>311869.32</v>
      </c>
      <c r="AF22" s="287">
        <f t="shared" si="7"/>
        <v>0</v>
      </c>
      <c r="AG22" s="287">
        <f t="shared" si="8"/>
        <v>0</v>
      </c>
      <c r="AH22" s="322">
        <f>IF($H22,0,IFERROR(IF(VALUE(LEFT(D22,4))&gt;VALUE(LEFT(Parameters!$B$66,4))+1,O22-SUM(R22:X22),0),0))</f>
        <v>0</v>
      </c>
      <c r="AI22" s="325">
        <f>IF(E22=0,0,INDEX(Parameters!$D$5:$D$35,MATCH(E22,Parameters!$B$5:$B$35,0)))</f>
        <v>0</v>
      </c>
    </row>
    <row r="23" spans="1:35" ht="12.75" x14ac:dyDescent="0.2">
      <c r="A23" s="313" t="str">
        <f>'Base Costs'!A23</f>
        <v>ND1207-1</v>
      </c>
      <c r="B23" s="314" t="str">
        <f>'Base Costs'!B23</f>
        <v>Information Technology infrastructure program</v>
      </c>
      <c r="C23" s="314" t="str">
        <f>'Base Costs'!C23</f>
        <v>Information Technology</v>
      </c>
      <c r="D23" s="333" t="str">
        <f>'Base Costs'!D23</f>
        <v>2018/19</v>
      </c>
      <c r="E23" s="333">
        <f>'Base Costs'!E23</f>
        <v>18</v>
      </c>
      <c r="F23" s="315"/>
      <c r="G23" s="315"/>
      <c r="H23" s="316">
        <f>'Input Data Sheet'!J23</f>
        <v>1</v>
      </c>
      <c r="I23" s="316"/>
      <c r="J23" s="316"/>
      <c r="K23" s="316"/>
      <c r="L23" s="316"/>
      <c r="M23" s="316"/>
      <c r="N23" s="316"/>
      <c r="O23" s="287">
        <f t="shared" si="9"/>
        <v>814005.76000000001</v>
      </c>
      <c r="P23" s="320">
        <f>'Base Costs'!P23*(1+$AI23)</f>
        <v>0</v>
      </c>
      <c r="Q23" s="287">
        <f>'Base Costs'!Q23*(1+$AI23)</f>
        <v>0</v>
      </c>
      <c r="R23" s="341">
        <f>'Base Costs'!R23*(1+$AI23)</f>
        <v>85188.319999999992</v>
      </c>
      <c r="S23" s="341">
        <f>'Base Costs'!S23*(1+$AI23)</f>
        <v>429633.12000000005</v>
      </c>
      <c r="T23" s="341">
        <f>'Base Costs'!T23*(1+$AI23)</f>
        <v>188550.72</v>
      </c>
      <c r="U23" s="341">
        <f>'Base Costs'!U23*(1+$AI23)</f>
        <v>50618.080000000002</v>
      </c>
      <c r="V23" s="341">
        <f>'Base Costs'!V23*(1+$AI23)</f>
        <v>60015.520000000004</v>
      </c>
      <c r="W23" s="287">
        <f>'Base Costs'!W23*(1+$AI23)</f>
        <v>0</v>
      </c>
      <c r="X23" s="321">
        <f>'Base Costs'!X23*(1+$AI23)</f>
        <v>0</v>
      </c>
      <c r="Y23" s="287">
        <f t="shared" si="10"/>
        <v>0</v>
      </c>
      <c r="Z23" s="287">
        <f t="shared" si="1"/>
        <v>0</v>
      </c>
      <c r="AA23" s="341">
        <f t="shared" si="2"/>
        <v>85188.319999999992</v>
      </c>
      <c r="AB23" s="341">
        <f t="shared" si="3"/>
        <v>429633.12000000005</v>
      </c>
      <c r="AC23" s="341">
        <f t="shared" si="4"/>
        <v>188550.72</v>
      </c>
      <c r="AD23" s="341">
        <f t="shared" si="5"/>
        <v>50618.080000000002</v>
      </c>
      <c r="AE23" s="341">
        <f t="shared" si="6"/>
        <v>60015.520000000004</v>
      </c>
      <c r="AF23" s="287">
        <f t="shared" si="7"/>
        <v>0</v>
      </c>
      <c r="AG23" s="287">
        <f t="shared" si="8"/>
        <v>0</v>
      </c>
      <c r="AH23" s="322">
        <f>IF($H23,0,IFERROR(IF(VALUE(LEFT(D23,4))&gt;VALUE(LEFT(Parameters!$B$66,4))+1,O23-SUM(R23:X23),0),0))</f>
        <v>0</v>
      </c>
      <c r="AI23" s="325">
        <f>IF(E23=0,0,INDEX(Parameters!$D$5:$D$35,MATCH(E23,Parameters!$B$5:$B$35,0)))</f>
        <v>0</v>
      </c>
    </row>
    <row r="24" spans="1:35" ht="12.75" x14ac:dyDescent="0.2">
      <c r="A24" s="313" t="str">
        <f>'Base Costs'!A24</f>
        <v>ND1207-2</v>
      </c>
      <c r="B24" s="314" t="str">
        <f>'Base Costs'!B24</f>
        <v>Information Technology infrastructure program</v>
      </c>
      <c r="C24" s="314" t="str">
        <f>'Base Costs'!C24</f>
        <v>Operational Support Systems</v>
      </c>
      <c r="D24" s="333" t="str">
        <f>'Base Costs'!D24</f>
        <v>2018/19</v>
      </c>
      <c r="E24" s="333">
        <f>'Base Costs'!E24</f>
        <v>18</v>
      </c>
      <c r="F24" s="315"/>
      <c r="G24" s="315"/>
      <c r="H24" s="316">
        <f>'Input Data Sheet'!J24</f>
        <v>1</v>
      </c>
      <c r="I24" s="316"/>
      <c r="J24" s="316"/>
      <c r="K24" s="316"/>
      <c r="L24" s="316"/>
      <c r="M24" s="316"/>
      <c r="N24" s="316"/>
      <c r="O24" s="287">
        <f t="shared" si="9"/>
        <v>4273530.2399999993</v>
      </c>
      <c r="P24" s="320">
        <f>'Base Costs'!P24*(1+$AI24)</f>
        <v>0</v>
      </c>
      <c r="Q24" s="287">
        <f>'Base Costs'!Q24*(1+$AI24)</f>
        <v>0</v>
      </c>
      <c r="R24" s="341">
        <f>'Base Costs'!R24*(1+$AI24)</f>
        <v>447238.67999999993</v>
      </c>
      <c r="S24" s="341">
        <f>'Base Costs'!S24*(1+$AI24)</f>
        <v>2255573.88</v>
      </c>
      <c r="T24" s="341">
        <f>'Base Costs'!T24*(1+$AI24)</f>
        <v>989891.27999999991</v>
      </c>
      <c r="U24" s="341">
        <f>'Base Costs'!U24*(1+$AI24)</f>
        <v>265744.92</v>
      </c>
      <c r="V24" s="341">
        <f>'Base Costs'!V24*(1+$AI24)</f>
        <v>315081.48000000004</v>
      </c>
      <c r="W24" s="287">
        <f>'Base Costs'!W24*(1+$AI24)</f>
        <v>0</v>
      </c>
      <c r="X24" s="321">
        <f>'Base Costs'!X24*(1+$AI24)</f>
        <v>0</v>
      </c>
      <c r="Y24" s="287">
        <f t="shared" si="10"/>
        <v>0</v>
      </c>
      <c r="Z24" s="287">
        <f t="shared" si="1"/>
        <v>0</v>
      </c>
      <c r="AA24" s="341">
        <f t="shared" si="2"/>
        <v>447238.67999999993</v>
      </c>
      <c r="AB24" s="341">
        <f t="shared" si="3"/>
        <v>2255573.88</v>
      </c>
      <c r="AC24" s="341">
        <f t="shared" si="4"/>
        <v>989891.27999999991</v>
      </c>
      <c r="AD24" s="341">
        <f t="shared" si="5"/>
        <v>265744.92</v>
      </c>
      <c r="AE24" s="341">
        <f t="shared" si="6"/>
        <v>315081.48000000004</v>
      </c>
      <c r="AF24" s="287">
        <f t="shared" si="7"/>
        <v>0</v>
      </c>
      <c r="AG24" s="287">
        <f t="shared" si="8"/>
        <v>0</v>
      </c>
      <c r="AH24" s="322">
        <f>IF($H24,0,IFERROR(IF(VALUE(LEFT(D24,4))&gt;VALUE(LEFT(Parameters!$B$66,4))+1,O24-SUM(R24:X24),0),0))</f>
        <v>0</v>
      </c>
      <c r="AI24" s="325">
        <f>IF(E24=0,0,INDEX(Parameters!$D$5:$D$35,MATCH(E24,Parameters!$B$5:$B$35,0)))</f>
        <v>0</v>
      </c>
    </row>
    <row r="25" spans="1:35" ht="12.75" x14ac:dyDescent="0.2">
      <c r="A25" s="313" t="str">
        <f>'Base Costs'!A25</f>
        <v>ND1260-1</v>
      </c>
      <c r="B25" s="314" t="str">
        <f>'Base Costs'!B25</f>
        <v>Information Technology security system program</v>
      </c>
      <c r="C25" s="314" t="str">
        <f>'Base Costs'!C25</f>
        <v>Information Technology</v>
      </c>
      <c r="D25" s="333" t="str">
        <f>'Base Costs'!D25</f>
        <v>2018/19</v>
      </c>
      <c r="E25" s="333">
        <f>'Base Costs'!E25</f>
        <v>18</v>
      </c>
      <c r="F25" s="315"/>
      <c r="G25" s="315"/>
      <c r="H25" s="316">
        <f>'Input Data Sheet'!J25</f>
        <v>1</v>
      </c>
      <c r="I25" s="316"/>
      <c r="J25" s="316"/>
      <c r="K25" s="316"/>
      <c r="L25" s="316"/>
      <c r="M25" s="316"/>
      <c r="N25" s="316"/>
      <c r="O25" s="287">
        <f t="shared" si="9"/>
        <v>278148</v>
      </c>
      <c r="P25" s="320">
        <f>'Base Costs'!P25*(1+$AI25)</f>
        <v>0</v>
      </c>
      <c r="Q25" s="287">
        <f>'Base Costs'!Q25*(1+$AI25)</f>
        <v>0</v>
      </c>
      <c r="R25" s="341">
        <f>'Base Costs'!R25*(1+$AI25)</f>
        <v>75800.159999999989</v>
      </c>
      <c r="S25" s="341">
        <f>'Base Costs'!S25*(1+$AI25)</f>
        <v>27863.360000000001</v>
      </c>
      <c r="T25" s="341">
        <f>'Base Costs'!T25*(1+$AI25)</f>
        <v>100006.24</v>
      </c>
      <c r="U25" s="341">
        <f>'Base Costs'!U25*(1+$AI25)</f>
        <v>54784.160000000003</v>
      </c>
      <c r="V25" s="341">
        <f>'Base Costs'!V25*(1+$AI25)</f>
        <v>19694.079999999998</v>
      </c>
      <c r="W25" s="287">
        <f>'Base Costs'!W25*(1+$AI25)</f>
        <v>0</v>
      </c>
      <c r="X25" s="321">
        <f>'Base Costs'!X25*(1+$AI25)</f>
        <v>0</v>
      </c>
      <c r="Y25" s="287">
        <f t="shared" si="10"/>
        <v>0</v>
      </c>
      <c r="Z25" s="287">
        <f t="shared" si="1"/>
        <v>0</v>
      </c>
      <c r="AA25" s="341">
        <f t="shared" si="2"/>
        <v>75800.159999999989</v>
      </c>
      <c r="AB25" s="341">
        <f t="shared" si="3"/>
        <v>27863.360000000001</v>
      </c>
      <c r="AC25" s="341">
        <f t="shared" si="4"/>
        <v>100006.24</v>
      </c>
      <c r="AD25" s="341">
        <f t="shared" si="5"/>
        <v>54784.160000000003</v>
      </c>
      <c r="AE25" s="341">
        <f t="shared" si="6"/>
        <v>19694.079999999998</v>
      </c>
      <c r="AF25" s="287">
        <f t="shared" si="7"/>
        <v>0</v>
      </c>
      <c r="AG25" s="287">
        <f t="shared" si="8"/>
        <v>0</v>
      </c>
      <c r="AH25" s="322">
        <f>IF($H25,0,IFERROR(IF(VALUE(LEFT(D25,4))&gt;VALUE(LEFT(Parameters!$B$66,4))+1,O25-SUM(R25:X25),0),0))</f>
        <v>0</v>
      </c>
      <c r="AI25" s="325">
        <f>IF(E25=0,0,INDEX(Parameters!$D$5:$D$35,MATCH(E25,Parameters!$B$5:$B$35,0)))</f>
        <v>0</v>
      </c>
    </row>
    <row r="26" spans="1:35" ht="12.75" x14ac:dyDescent="0.2">
      <c r="A26" s="313" t="str">
        <f>'Base Costs'!A26</f>
        <v>ND1260-2</v>
      </c>
      <c r="B26" s="314" t="str">
        <f>'Base Costs'!B26</f>
        <v>Information Technology security system program</v>
      </c>
      <c r="C26" s="314" t="str">
        <f>'Base Costs'!C26</f>
        <v>Operational Support Systems</v>
      </c>
      <c r="D26" s="333" t="str">
        <f>'Base Costs'!D26</f>
        <v>2018/19</v>
      </c>
      <c r="E26" s="333">
        <f>'Base Costs'!E26</f>
        <v>18</v>
      </c>
      <c r="F26" s="315"/>
      <c r="G26" s="315"/>
      <c r="H26" s="316">
        <f>'Input Data Sheet'!J26</f>
        <v>1</v>
      </c>
      <c r="I26" s="316"/>
      <c r="J26" s="316"/>
      <c r="K26" s="316"/>
      <c r="L26" s="316"/>
      <c r="M26" s="316"/>
      <c r="N26" s="316"/>
      <c r="O26" s="287">
        <f t="shared" si="9"/>
        <v>1460277</v>
      </c>
      <c r="P26" s="320">
        <f>'Base Costs'!P26*(1+$AI26)</f>
        <v>0</v>
      </c>
      <c r="Q26" s="287">
        <f>'Base Costs'!Q26*(1+$AI26)</f>
        <v>0</v>
      </c>
      <c r="R26" s="341">
        <f>'Base Costs'!R26*(1+$AI26)</f>
        <v>397950.83999999997</v>
      </c>
      <c r="S26" s="341">
        <f>'Base Costs'!S26*(1+$AI26)</f>
        <v>146282.63999999998</v>
      </c>
      <c r="T26" s="341">
        <f>'Base Costs'!T26*(1+$AI26)</f>
        <v>525032.76</v>
      </c>
      <c r="U26" s="341">
        <f>'Base Costs'!U26*(1+$AI26)</f>
        <v>287616.83999999997</v>
      </c>
      <c r="V26" s="341">
        <f>'Base Costs'!V26*(1+$AI26)</f>
        <v>103393.92</v>
      </c>
      <c r="W26" s="287">
        <f>'Base Costs'!W26*(1+$AI26)</f>
        <v>0</v>
      </c>
      <c r="X26" s="321">
        <f>'Base Costs'!X26*(1+$AI26)</f>
        <v>0</v>
      </c>
      <c r="Y26" s="287">
        <f t="shared" si="10"/>
        <v>0</v>
      </c>
      <c r="Z26" s="287">
        <f t="shared" si="1"/>
        <v>0</v>
      </c>
      <c r="AA26" s="341">
        <f t="shared" si="2"/>
        <v>397950.83999999997</v>
      </c>
      <c r="AB26" s="341">
        <f t="shared" si="3"/>
        <v>146282.63999999998</v>
      </c>
      <c r="AC26" s="341">
        <f t="shared" si="4"/>
        <v>525032.76</v>
      </c>
      <c r="AD26" s="341">
        <f t="shared" si="5"/>
        <v>287616.83999999997</v>
      </c>
      <c r="AE26" s="341">
        <f t="shared" si="6"/>
        <v>103393.92</v>
      </c>
      <c r="AF26" s="287">
        <f t="shared" si="7"/>
        <v>0</v>
      </c>
      <c r="AG26" s="287">
        <f t="shared" si="8"/>
        <v>0</v>
      </c>
      <c r="AH26" s="322">
        <f>IF($H26,0,IFERROR(IF(VALUE(LEFT(D26,4))&gt;VALUE(LEFT(Parameters!$B$66,4))+1,O26-SUM(R26:X26),0),0))</f>
        <v>0</v>
      </c>
      <c r="AI26" s="325">
        <f>IF(E26=0,0,INDEX(Parameters!$D$5:$D$35,MATCH(E26,Parameters!$B$5:$B$35,0)))</f>
        <v>0</v>
      </c>
    </row>
    <row r="27" spans="1:35" ht="12.75" x14ac:dyDescent="0.2">
      <c r="A27" s="313" t="str">
        <f>'Base Costs'!A27</f>
        <v>ND1062</v>
      </c>
      <c r="B27" s="314" t="str">
        <f>'Base Costs'!B27</f>
        <v>Insourcing Drawing Management</v>
      </c>
      <c r="C27" s="314" t="str">
        <f>'Base Costs'!C27</f>
        <v>Operational Support Systems</v>
      </c>
      <c r="D27" s="333" t="str">
        <f>'Base Costs'!D27</f>
        <v>2014/15</v>
      </c>
      <c r="E27" s="333">
        <f>'Base Costs'!E27</f>
        <v>0</v>
      </c>
      <c r="F27" s="315"/>
      <c r="G27" s="315"/>
      <c r="H27" s="316">
        <f>'Input Data Sheet'!J27</f>
        <v>0</v>
      </c>
      <c r="I27" s="316"/>
      <c r="J27" s="316"/>
      <c r="K27" s="316"/>
      <c r="L27" s="316"/>
      <c r="M27" s="316"/>
      <c r="N27" s="316"/>
      <c r="O27" s="287">
        <f t="shared" si="9"/>
        <v>505001.42355509161</v>
      </c>
      <c r="P27" s="320">
        <f>'Base Costs'!P27*(1+$AI27)</f>
        <v>0</v>
      </c>
      <c r="Q27" s="287">
        <f>'Base Costs'!Q27*(1+$AI27)</f>
        <v>0</v>
      </c>
      <c r="R27" s="341">
        <f>'Base Costs'!R27*(1+$AI27)</f>
        <v>505001.42355509161</v>
      </c>
      <c r="S27" s="341">
        <f>'Base Costs'!S27*(1+$AI27)</f>
        <v>0</v>
      </c>
      <c r="T27" s="341">
        <f>'Base Costs'!T27*(1+$AI27)</f>
        <v>0</v>
      </c>
      <c r="U27" s="341">
        <f>'Base Costs'!U27*(1+$AI27)</f>
        <v>0</v>
      </c>
      <c r="V27" s="341">
        <f>'Base Costs'!V27*(1+$AI27)</f>
        <v>0</v>
      </c>
      <c r="W27" s="287">
        <f>'Base Costs'!W27*(1+$AI27)</f>
        <v>0</v>
      </c>
      <c r="X27" s="321">
        <f>'Base Costs'!X27*(1+$AI27)</f>
        <v>0</v>
      </c>
      <c r="Y27" s="287">
        <f t="shared" si="10"/>
        <v>0</v>
      </c>
      <c r="Z27" s="287">
        <f t="shared" si="1"/>
        <v>0</v>
      </c>
      <c r="AA27" s="341">
        <f t="shared" si="2"/>
        <v>505001.42355509161</v>
      </c>
      <c r="AB27" s="341">
        <f t="shared" si="3"/>
        <v>0</v>
      </c>
      <c r="AC27" s="341">
        <f t="shared" si="4"/>
        <v>0</v>
      </c>
      <c r="AD27" s="341">
        <f t="shared" si="5"/>
        <v>0</v>
      </c>
      <c r="AE27" s="341">
        <f t="shared" si="6"/>
        <v>0</v>
      </c>
      <c r="AF27" s="287">
        <f t="shared" si="7"/>
        <v>0</v>
      </c>
      <c r="AG27" s="287">
        <f t="shared" si="8"/>
        <v>0</v>
      </c>
      <c r="AH27" s="322">
        <f>IF($H27,0,IFERROR(IF(VALUE(LEFT(D27,4))&gt;VALUE(LEFT(Parameters!$B$66,4))+1,O27-SUM(R27:X27),0),0))</f>
        <v>0</v>
      </c>
      <c r="AI27" s="325">
        <f>IF(E27=0,0,INDEX(Parameters!$D$5:$D$35,MATCH(E27,Parameters!$B$5:$B$35,0)))</f>
        <v>0</v>
      </c>
    </row>
    <row r="28" spans="1:35" ht="12.75" x14ac:dyDescent="0.2">
      <c r="A28" s="313" t="str">
        <f>'Base Costs'!A28</f>
        <v>ND0948</v>
      </c>
      <c r="B28" s="314" t="str">
        <f>'Base Costs'!B28</f>
        <v>Lindisfarne Substation transformer T2 and T3 replacement</v>
      </c>
      <c r="C28" s="314" t="str">
        <f>'Base Costs'!C28</f>
        <v>Asset Renewal</v>
      </c>
      <c r="D28" s="333" t="str">
        <f>'Base Costs'!D28</f>
        <v>2018/19</v>
      </c>
      <c r="E28" s="333">
        <f>'Base Costs'!E28</f>
        <v>11</v>
      </c>
      <c r="F28" s="315"/>
      <c r="G28" s="315"/>
      <c r="H28" s="316">
        <f>'Input Data Sheet'!J28</f>
        <v>0</v>
      </c>
      <c r="I28" s="316"/>
      <c r="J28" s="316"/>
      <c r="K28" s="316"/>
      <c r="L28" s="316"/>
      <c r="M28" s="316"/>
      <c r="N28" s="316"/>
      <c r="O28" s="287">
        <f t="shared" si="9"/>
        <v>5958049</v>
      </c>
      <c r="P28" s="320">
        <f>'Base Costs'!P28*(1+$AI28)</f>
        <v>0</v>
      </c>
      <c r="Q28" s="287">
        <f>'Base Costs'!Q28*(1+$AI28)</f>
        <v>0</v>
      </c>
      <c r="R28" s="341">
        <f>'Base Costs'!R28*(1+$AI28)</f>
        <v>0</v>
      </c>
      <c r="S28" s="341">
        <f>'Base Costs'!S28*(1+$AI28)</f>
        <v>0</v>
      </c>
      <c r="T28" s="341">
        <f>'Base Costs'!T28*(1+$AI28)</f>
        <v>51230</v>
      </c>
      <c r="U28" s="341">
        <f>'Base Costs'!U28*(1+$AI28)</f>
        <v>4320738.2</v>
      </c>
      <c r="V28" s="341">
        <f>'Base Costs'!V28*(1+$AI28)</f>
        <v>1586080.8</v>
      </c>
      <c r="W28" s="287">
        <f>'Base Costs'!W28*(1+$AI28)</f>
        <v>0</v>
      </c>
      <c r="X28" s="321">
        <f>'Base Costs'!X28*(1+$AI28)</f>
        <v>0</v>
      </c>
      <c r="Y28" s="287">
        <f t="shared" si="10"/>
        <v>0</v>
      </c>
      <c r="Z28" s="287">
        <f t="shared" si="1"/>
        <v>0</v>
      </c>
      <c r="AA28" s="341">
        <f t="shared" si="2"/>
        <v>0</v>
      </c>
      <c r="AB28" s="341">
        <f t="shared" si="3"/>
        <v>0</v>
      </c>
      <c r="AC28" s="341">
        <f t="shared" si="4"/>
        <v>0</v>
      </c>
      <c r="AD28" s="341">
        <f t="shared" si="5"/>
        <v>0</v>
      </c>
      <c r="AE28" s="341">
        <f t="shared" si="6"/>
        <v>5958049</v>
      </c>
      <c r="AF28" s="287">
        <f t="shared" si="7"/>
        <v>0</v>
      </c>
      <c r="AG28" s="287">
        <f t="shared" si="8"/>
        <v>0</v>
      </c>
      <c r="AH28" s="322">
        <f>IF($H28,0,IFERROR(IF(VALUE(LEFT(D28,4))&gt;VALUE(LEFT(Parameters!$B$66,4))+1,O28-SUM(R28:X28),0),0))</f>
        <v>0</v>
      </c>
      <c r="AI28" s="325">
        <f>IF(E28=0,0,INDEX(Parameters!$D$5:$D$35,MATCH(E28,Parameters!$B$5:$B$35,0)))</f>
        <v>2.46E-2</v>
      </c>
    </row>
    <row r="29" spans="1:35" ht="12.75" x14ac:dyDescent="0.2">
      <c r="A29" s="313" t="str">
        <f>'Base Costs'!A29</f>
        <v>ND0949</v>
      </c>
      <c r="B29" s="314" t="str">
        <f>'Base Costs'!B29</f>
        <v>Meadowbank Substation 110 kV redevelopment</v>
      </c>
      <c r="C29" s="314" t="str">
        <f>'Base Costs'!C29</f>
        <v>Asset Renewal</v>
      </c>
      <c r="D29" s="333" t="str">
        <f>'Base Costs'!D29</f>
        <v>2014/15</v>
      </c>
      <c r="E29" s="333">
        <f>'Base Costs'!E29</f>
        <v>0</v>
      </c>
      <c r="F29" s="315"/>
      <c r="G29" s="315"/>
      <c r="H29" s="316">
        <f>'Input Data Sheet'!J29</f>
        <v>0</v>
      </c>
      <c r="I29" s="316"/>
      <c r="J29" s="316"/>
      <c r="K29" s="316"/>
      <c r="L29" s="316"/>
      <c r="M29" s="316"/>
      <c r="N29" s="316"/>
      <c r="O29" s="287">
        <f t="shared" si="9"/>
        <v>6108067.4916959293</v>
      </c>
      <c r="P29" s="320">
        <f>'Base Costs'!P29*(1+$AI29)</f>
        <v>0</v>
      </c>
      <c r="Q29" s="287">
        <f>'Base Costs'!Q29*(1+$AI29)</f>
        <v>2014288.6969725729</v>
      </c>
      <c r="R29" s="341">
        <f>'Base Costs'!R29*(1+$AI29)</f>
        <v>4093778.7947233561</v>
      </c>
      <c r="S29" s="341">
        <f>'Base Costs'!S29*(1+$AI29)</f>
        <v>0</v>
      </c>
      <c r="T29" s="341">
        <f>'Base Costs'!T29*(1+$AI29)</f>
        <v>0</v>
      </c>
      <c r="U29" s="341">
        <f>'Base Costs'!U29*(1+$AI29)</f>
        <v>0</v>
      </c>
      <c r="V29" s="341">
        <f>'Base Costs'!V29*(1+$AI29)</f>
        <v>0</v>
      </c>
      <c r="W29" s="287">
        <f>'Base Costs'!W29*(1+$AI29)</f>
        <v>0</v>
      </c>
      <c r="X29" s="321">
        <f>'Base Costs'!X29*(1+$AI29)</f>
        <v>0</v>
      </c>
      <c r="Y29" s="287">
        <f t="shared" si="10"/>
        <v>0</v>
      </c>
      <c r="Z29" s="287">
        <f t="shared" si="1"/>
        <v>0</v>
      </c>
      <c r="AA29" s="341">
        <f t="shared" si="2"/>
        <v>6108067.4916959293</v>
      </c>
      <c r="AB29" s="341">
        <f t="shared" si="3"/>
        <v>0</v>
      </c>
      <c r="AC29" s="341">
        <f t="shared" si="4"/>
        <v>0</v>
      </c>
      <c r="AD29" s="341">
        <f t="shared" si="5"/>
        <v>0</v>
      </c>
      <c r="AE29" s="341">
        <f t="shared" si="6"/>
        <v>0</v>
      </c>
      <c r="AF29" s="287">
        <f t="shared" si="7"/>
        <v>0</v>
      </c>
      <c r="AG29" s="287">
        <f t="shared" si="8"/>
        <v>0</v>
      </c>
      <c r="AH29" s="322">
        <f>IF($H29,0,IFERROR(IF(VALUE(LEFT(D29,4))&gt;VALUE(LEFT(Parameters!$B$66,4))+1,O29-SUM(R29:X29),0),0))</f>
        <v>2014288.6969725732</v>
      </c>
      <c r="AI29" s="325">
        <f>IF(E29=0,0,INDEX(Parameters!$D$5:$D$35,MATCH(E29,Parameters!$B$5:$B$35,0)))</f>
        <v>0</v>
      </c>
    </row>
    <row r="30" spans="1:35" ht="12.75" x14ac:dyDescent="0.2">
      <c r="A30" s="313" t="str">
        <f>'Base Costs'!A30</f>
        <v>ND1232</v>
      </c>
      <c r="B30" s="314" t="str">
        <f>'Base Costs'!B30</f>
        <v>Network Modelling Enhancement program</v>
      </c>
      <c r="C30" s="314" t="str">
        <f>'Base Costs'!C30</f>
        <v>Operational Support Systems</v>
      </c>
      <c r="D30" s="333" t="str">
        <f>'Base Costs'!D30</f>
        <v>2018/19</v>
      </c>
      <c r="E30" s="333">
        <f>'Base Costs'!E30</f>
        <v>18</v>
      </c>
      <c r="F30" s="315"/>
      <c r="G30" s="315"/>
      <c r="H30" s="316">
        <f>'Input Data Sheet'!J30</f>
        <v>1</v>
      </c>
      <c r="I30" s="316"/>
      <c r="J30" s="316"/>
      <c r="K30" s="316"/>
      <c r="L30" s="316"/>
      <c r="M30" s="316"/>
      <c r="N30" s="316"/>
      <c r="O30" s="287">
        <f t="shared" si="9"/>
        <v>770000</v>
      </c>
      <c r="P30" s="320">
        <f>'Base Costs'!P30*(1+$AI30)</f>
        <v>0</v>
      </c>
      <c r="Q30" s="287">
        <f>'Base Costs'!Q30*(1+$AI30)</f>
        <v>0</v>
      </c>
      <c r="R30" s="341">
        <f>'Base Costs'!R30*(1+$AI30)</f>
        <v>323400</v>
      </c>
      <c r="S30" s="341">
        <f>'Base Costs'!S30*(1+$AI30)</f>
        <v>100100</v>
      </c>
      <c r="T30" s="341">
        <f>'Base Costs'!T30*(1+$AI30)</f>
        <v>223300</v>
      </c>
      <c r="U30" s="341">
        <f>'Base Costs'!U30*(1+$AI30)</f>
        <v>100100</v>
      </c>
      <c r="V30" s="341">
        <f>'Base Costs'!V30*(1+$AI30)</f>
        <v>23100</v>
      </c>
      <c r="W30" s="287">
        <f>'Base Costs'!W30*(1+$AI30)</f>
        <v>0</v>
      </c>
      <c r="X30" s="321">
        <f>'Base Costs'!X30*(1+$AI30)</f>
        <v>0</v>
      </c>
      <c r="Y30" s="287">
        <f t="shared" si="10"/>
        <v>0</v>
      </c>
      <c r="Z30" s="287">
        <f t="shared" si="1"/>
        <v>0</v>
      </c>
      <c r="AA30" s="341">
        <f t="shared" si="2"/>
        <v>323400</v>
      </c>
      <c r="AB30" s="341">
        <f t="shared" si="3"/>
        <v>100100</v>
      </c>
      <c r="AC30" s="341">
        <f t="shared" si="4"/>
        <v>223300</v>
      </c>
      <c r="AD30" s="341">
        <f t="shared" si="5"/>
        <v>100100</v>
      </c>
      <c r="AE30" s="341">
        <f t="shared" si="6"/>
        <v>23100</v>
      </c>
      <c r="AF30" s="287">
        <f t="shared" si="7"/>
        <v>0</v>
      </c>
      <c r="AG30" s="287">
        <f t="shared" si="8"/>
        <v>0</v>
      </c>
      <c r="AH30" s="322">
        <f>IF($H30,0,IFERROR(IF(VALUE(LEFT(D30,4))&gt;VALUE(LEFT(Parameters!$B$66,4))+1,O30-SUM(R30:X30),0),0))</f>
        <v>0</v>
      </c>
      <c r="AI30" s="325">
        <f>IF(E30=0,0,INDEX(Parameters!$D$5:$D$35,MATCH(E30,Parameters!$B$5:$B$35,0)))</f>
        <v>0</v>
      </c>
    </row>
    <row r="31" spans="1:35" ht="12.75" x14ac:dyDescent="0.2">
      <c r="A31" s="313" t="str">
        <f>'Base Costs'!A31</f>
        <v>ND1233</v>
      </c>
      <c r="B31" s="314" t="str">
        <f>'Base Costs'!B31</f>
        <v>Network Operations and Control System enhancement program</v>
      </c>
      <c r="C31" s="314" t="str">
        <f>'Base Costs'!C31</f>
        <v>Operational Support Systems</v>
      </c>
      <c r="D31" s="333" t="str">
        <f>'Base Costs'!D31</f>
        <v>2018/19</v>
      </c>
      <c r="E31" s="333">
        <f>'Base Costs'!E31</f>
        <v>18</v>
      </c>
      <c r="F31" s="315"/>
      <c r="G31" s="315"/>
      <c r="H31" s="316">
        <f>'Input Data Sheet'!J31</f>
        <v>1</v>
      </c>
      <c r="I31" s="316"/>
      <c r="J31" s="316"/>
      <c r="K31" s="316"/>
      <c r="L31" s="316"/>
      <c r="M31" s="316"/>
      <c r="N31" s="316"/>
      <c r="O31" s="287">
        <f t="shared" si="9"/>
        <v>3601000</v>
      </c>
      <c r="P31" s="320">
        <f>'Base Costs'!P31*(1+$AI31)</f>
        <v>0</v>
      </c>
      <c r="Q31" s="287">
        <f>'Base Costs'!Q31*(1+$AI31)</f>
        <v>0</v>
      </c>
      <c r="R31" s="341">
        <f>'Base Costs'!R31*(1+$AI31)</f>
        <v>580000</v>
      </c>
      <c r="S31" s="341">
        <f>'Base Costs'!S31*(1+$AI31)</f>
        <v>385250</v>
      </c>
      <c r="T31" s="341">
        <f>'Base Costs'!T31*(1+$AI31)</f>
        <v>1215250</v>
      </c>
      <c r="U31" s="341">
        <f>'Base Costs'!U31*(1+$AI31)</f>
        <v>835250</v>
      </c>
      <c r="V31" s="341">
        <f>'Base Costs'!V31*(1+$AI31)</f>
        <v>585250</v>
      </c>
      <c r="W31" s="287">
        <f>'Base Costs'!W31*(1+$AI31)</f>
        <v>0</v>
      </c>
      <c r="X31" s="321">
        <f>'Base Costs'!X31*(1+$AI31)</f>
        <v>0</v>
      </c>
      <c r="Y31" s="287">
        <f t="shared" si="10"/>
        <v>0</v>
      </c>
      <c r="Z31" s="287">
        <f t="shared" si="1"/>
        <v>0</v>
      </c>
      <c r="AA31" s="341">
        <f t="shared" si="2"/>
        <v>580000</v>
      </c>
      <c r="AB31" s="341">
        <f t="shared" si="3"/>
        <v>385250</v>
      </c>
      <c r="AC31" s="341">
        <f t="shared" si="4"/>
        <v>1215250</v>
      </c>
      <c r="AD31" s="341">
        <f t="shared" si="5"/>
        <v>835250</v>
      </c>
      <c r="AE31" s="341">
        <f t="shared" si="6"/>
        <v>585250</v>
      </c>
      <c r="AF31" s="287">
        <f t="shared" si="7"/>
        <v>0</v>
      </c>
      <c r="AG31" s="287">
        <f t="shared" si="8"/>
        <v>0</v>
      </c>
      <c r="AH31" s="322">
        <f>IF($H31,0,IFERROR(IF(VALUE(LEFT(D31,4))&gt;VALUE(LEFT(Parameters!$B$66,4))+1,O31-SUM(R31:X31),0),0))</f>
        <v>0</v>
      </c>
      <c r="AI31" s="325">
        <f>IF(E31=0,0,INDEX(Parameters!$D$5:$D$35,MATCH(E31,Parameters!$B$5:$B$35,0)))</f>
        <v>0</v>
      </c>
    </row>
    <row r="32" spans="1:35" ht="12.75" x14ac:dyDescent="0.2">
      <c r="A32" s="313" t="str">
        <f>'Base Costs'!A32</f>
        <v>ND1219</v>
      </c>
      <c r="B32" s="314" t="str">
        <f>'Base Costs'!B32</f>
        <v>Newton - Queenstown Security Augmentation</v>
      </c>
      <c r="C32" s="314" t="str">
        <f>'Base Costs'!C32</f>
        <v>Augmentation</v>
      </c>
      <c r="D32" s="333" t="str">
        <f>'Base Costs'!D32</f>
        <v>2016/17</v>
      </c>
      <c r="E32" s="333">
        <f>'Base Costs'!E32</f>
        <v>2</v>
      </c>
      <c r="F32" s="315"/>
      <c r="G32" s="315"/>
      <c r="H32" s="316">
        <f>'Input Data Sheet'!J32</f>
        <v>0</v>
      </c>
      <c r="I32" s="316"/>
      <c r="J32" s="316"/>
      <c r="K32" s="316"/>
      <c r="L32" s="316"/>
      <c r="M32" s="316"/>
      <c r="N32" s="316"/>
      <c r="O32" s="287">
        <f t="shared" si="9"/>
        <v>12777926.911599999</v>
      </c>
      <c r="P32" s="320">
        <f>'Base Costs'!P32*(1+$AI32)</f>
        <v>0</v>
      </c>
      <c r="Q32" s="287">
        <f>'Base Costs'!Q32*(1+$AI32)</f>
        <v>0</v>
      </c>
      <c r="R32" s="341">
        <f>'Base Costs'!R32*(1+$AI32)</f>
        <v>348346.53739999997</v>
      </c>
      <c r="S32" s="341">
        <f>'Base Costs'!S32*(1+$AI32)</f>
        <v>3953397.6953999996</v>
      </c>
      <c r="T32" s="341">
        <f>'Base Costs'!T32*(1+$AI32)</f>
        <v>8476182.6787999999</v>
      </c>
      <c r="U32" s="341">
        <f>'Base Costs'!U32*(1+$AI32)</f>
        <v>0</v>
      </c>
      <c r="V32" s="341">
        <f>'Base Costs'!V32*(1+$AI32)</f>
        <v>0</v>
      </c>
      <c r="W32" s="287">
        <f>'Base Costs'!W32*(1+$AI32)</f>
        <v>0</v>
      </c>
      <c r="X32" s="321">
        <f>'Base Costs'!X32*(1+$AI32)</f>
        <v>0</v>
      </c>
      <c r="Y32" s="287">
        <f t="shared" si="10"/>
        <v>0</v>
      </c>
      <c r="Z32" s="287">
        <f t="shared" si="1"/>
        <v>0</v>
      </c>
      <c r="AA32" s="341">
        <f t="shared" si="2"/>
        <v>0</v>
      </c>
      <c r="AB32" s="341">
        <f t="shared" si="3"/>
        <v>0</v>
      </c>
      <c r="AC32" s="341">
        <f t="shared" si="4"/>
        <v>12777926.911599999</v>
      </c>
      <c r="AD32" s="341">
        <f t="shared" si="5"/>
        <v>0</v>
      </c>
      <c r="AE32" s="341">
        <f t="shared" si="6"/>
        <v>0</v>
      </c>
      <c r="AF32" s="287">
        <f t="shared" si="7"/>
        <v>0</v>
      </c>
      <c r="AG32" s="287">
        <f t="shared" si="8"/>
        <v>0</v>
      </c>
      <c r="AH32" s="322">
        <f>IF($H32,0,IFERROR(IF(VALUE(LEFT(D32,4))&gt;VALUE(LEFT(Parameters!$B$66,4))+1,O32-SUM(R32:X32),0),0))</f>
        <v>0</v>
      </c>
      <c r="AI32" s="325">
        <f>IF(E32=0,0,INDEX(Parameters!$D$5:$D$35,MATCH(E32,Parameters!$B$5:$B$35,0)))</f>
        <v>2.07E-2</v>
      </c>
    </row>
    <row r="33" spans="1:35" ht="12.75" x14ac:dyDescent="0.2">
      <c r="A33" s="313" t="str">
        <f>'Base Costs'!A33</f>
        <v>ND1220</v>
      </c>
      <c r="B33" s="314" t="str">
        <f>'Base Costs'!B33</f>
        <v>North Hobart Substation 11 kV connection point</v>
      </c>
      <c r="C33" s="314" t="str">
        <f>'Base Costs'!C33</f>
        <v>Connection</v>
      </c>
      <c r="D33" s="333" t="str">
        <f>'Base Costs'!D33</f>
        <v>2016/17</v>
      </c>
      <c r="E33" s="333">
        <f>'Base Costs'!E33</f>
        <v>9</v>
      </c>
      <c r="F33" s="315"/>
      <c r="G33" s="315"/>
      <c r="H33" s="316">
        <f>'Input Data Sheet'!J33</f>
        <v>0</v>
      </c>
      <c r="I33" s="316"/>
      <c r="J33" s="316"/>
      <c r="K33" s="316"/>
      <c r="L33" s="316"/>
      <c r="M33" s="316"/>
      <c r="N33" s="316"/>
      <c r="O33" s="287">
        <f t="shared" si="9"/>
        <v>4373532.7642000001</v>
      </c>
      <c r="P33" s="320">
        <f>'Base Costs'!P33*(1+$AI33)</f>
        <v>0</v>
      </c>
      <c r="Q33" s="287">
        <f>'Base Costs'!Q33*(1+$AI33)</f>
        <v>0</v>
      </c>
      <c r="R33" s="341">
        <f>'Base Costs'!R33*(1+$AI33)</f>
        <v>589250.53379999998</v>
      </c>
      <c r="S33" s="341">
        <f>'Base Costs'!S33*(1+$AI33)</f>
        <v>2626071.3166</v>
      </c>
      <c r="T33" s="341">
        <f>'Base Costs'!T33*(1+$AI33)</f>
        <v>1158210.9138</v>
      </c>
      <c r="U33" s="341">
        <f>'Base Costs'!U33*(1+$AI33)</f>
        <v>0</v>
      </c>
      <c r="V33" s="341">
        <f>'Base Costs'!V33*(1+$AI33)</f>
        <v>0</v>
      </c>
      <c r="W33" s="287">
        <f>'Base Costs'!W33*(1+$AI33)</f>
        <v>0</v>
      </c>
      <c r="X33" s="321">
        <f>'Base Costs'!X33*(1+$AI33)</f>
        <v>0</v>
      </c>
      <c r="Y33" s="287">
        <f t="shared" si="10"/>
        <v>0</v>
      </c>
      <c r="Z33" s="287">
        <f t="shared" si="1"/>
        <v>0</v>
      </c>
      <c r="AA33" s="341">
        <f t="shared" si="2"/>
        <v>0</v>
      </c>
      <c r="AB33" s="341">
        <f t="shared" si="3"/>
        <v>0</v>
      </c>
      <c r="AC33" s="341">
        <f t="shared" si="4"/>
        <v>4373532.7642000001</v>
      </c>
      <c r="AD33" s="341">
        <f t="shared" si="5"/>
        <v>0</v>
      </c>
      <c r="AE33" s="341">
        <f t="shared" si="6"/>
        <v>0</v>
      </c>
      <c r="AF33" s="287">
        <f t="shared" si="7"/>
        <v>0</v>
      </c>
      <c r="AG33" s="287">
        <f t="shared" si="8"/>
        <v>0</v>
      </c>
      <c r="AH33" s="322">
        <f>IF($H33,0,IFERROR(IF(VALUE(LEFT(D33,4))&gt;VALUE(LEFT(Parameters!$B$66,4))+1,O33-SUM(R33:X33),0),0))</f>
        <v>0</v>
      </c>
      <c r="AI33" s="325">
        <f>IF(E33=0,0,INDEX(Parameters!$D$5:$D$35,MATCH(E33,Parameters!$B$5:$B$35,0)))</f>
        <v>2.46E-2</v>
      </c>
    </row>
    <row r="34" spans="1:35" ht="12.75" x14ac:dyDescent="0.2">
      <c r="A34" s="313" t="str">
        <f>'Base Costs'!A34</f>
        <v>ND1031</v>
      </c>
      <c r="B34" s="314" t="str">
        <f>'Base Costs'!B34</f>
        <v>Northern OPGW Program</v>
      </c>
      <c r="C34" s="314" t="str">
        <f>'Base Costs'!C34</f>
        <v>Asset Renewal</v>
      </c>
      <c r="D34" s="333" t="str">
        <f>'Base Costs'!D34</f>
        <v>2014/15</v>
      </c>
      <c r="E34" s="333">
        <f>'Base Costs'!E34</f>
        <v>0</v>
      </c>
      <c r="F34" s="315"/>
      <c r="G34" s="315"/>
      <c r="H34" s="316">
        <f>'Input Data Sheet'!J34</f>
        <v>0</v>
      </c>
      <c r="I34" s="316"/>
      <c r="J34" s="316"/>
      <c r="K34" s="316"/>
      <c r="L34" s="316"/>
      <c r="M34" s="316"/>
      <c r="N34" s="316"/>
      <c r="O34" s="287">
        <f t="shared" si="9"/>
        <v>130538.10382461803</v>
      </c>
      <c r="P34" s="320">
        <f>'Base Costs'!P34*(1+$AI34)</f>
        <v>0</v>
      </c>
      <c r="Q34" s="287">
        <f>'Base Costs'!Q34*(1+$AI34)</f>
        <v>0</v>
      </c>
      <c r="R34" s="341">
        <f>'Base Costs'!R34*(1+$AI34)</f>
        <v>130538.10382461803</v>
      </c>
      <c r="S34" s="341">
        <f>'Base Costs'!S34*(1+$AI34)</f>
        <v>0</v>
      </c>
      <c r="T34" s="341">
        <f>'Base Costs'!T34*(1+$AI34)</f>
        <v>0</v>
      </c>
      <c r="U34" s="341">
        <f>'Base Costs'!U34*(1+$AI34)</f>
        <v>0</v>
      </c>
      <c r="V34" s="341">
        <f>'Base Costs'!V34*(1+$AI34)</f>
        <v>0</v>
      </c>
      <c r="W34" s="287">
        <f>'Base Costs'!W34*(1+$AI34)</f>
        <v>0</v>
      </c>
      <c r="X34" s="321">
        <f>'Base Costs'!X34*(1+$AI34)</f>
        <v>0</v>
      </c>
      <c r="Y34" s="287">
        <f t="shared" si="10"/>
        <v>0</v>
      </c>
      <c r="Z34" s="287">
        <f t="shared" si="1"/>
        <v>0</v>
      </c>
      <c r="AA34" s="341">
        <f t="shared" si="2"/>
        <v>130538.10382461803</v>
      </c>
      <c r="AB34" s="341">
        <f t="shared" si="3"/>
        <v>0</v>
      </c>
      <c r="AC34" s="341">
        <f t="shared" si="4"/>
        <v>0</v>
      </c>
      <c r="AD34" s="341">
        <f t="shared" si="5"/>
        <v>0</v>
      </c>
      <c r="AE34" s="341">
        <f t="shared" si="6"/>
        <v>0</v>
      </c>
      <c r="AF34" s="287">
        <f t="shared" si="7"/>
        <v>0</v>
      </c>
      <c r="AG34" s="287">
        <f t="shared" si="8"/>
        <v>0</v>
      </c>
      <c r="AH34" s="322">
        <f>IF($H34,0,IFERROR(IF(VALUE(LEFT(D34,4))&gt;VALUE(LEFT(Parameters!$B$66,4))+1,O34-SUM(R34:X34),0),0))</f>
        <v>0</v>
      </c>
      <c r="AI34" s="325">
        <f>IF(E34=0,0,INDEX(Parameters!$D$5:$D$35,MATCH(E34,Parameters!$B$5:$B$35,0)))</f>
        <v>0</v>
      </c>
    </row>
    <row r="35" spans="1:35" ht="12.75" x14ac:dyDescent="0.2">
      <c r="A35" s="313" t="str">
        <f>'Base Costs'!A35</f>
        <v>ND0790</v>
      </c>
      <c r="B35" s="314" t="str">
        <f>'Base Costs'!B35</f>
        <v>Office equipment and minor assets</v>
      </c>
      <c r="C35" s="314" t="str">
        <f>'Base Costs'!C35</f>
        <v>Business support</v>
      </c>
      <c r="D35" s="333" t="str">
        <f>'Base Costs'!D35</f>
        <v>2018/19</v>
      </c>
      <c r="E35" s="333">
        <f>'Base Costs'!E35</f>
        <v>18</v>
      </c>
      <c r="F35" s="315"/>
      <c r="G35" s="315"/>
      <c r="H35" s="316">
        <f>'Input Data Sheet'!J35</f>
        <v>1</v>
      </c>
      <c r="I35" s="316"/>
      <c r="J35" s="316"/>
      <c r="K35" s="316"/>
      <c r="L35" s="316"/>
      <c r="M35" s="316"/>
      <c r="N35" s="316"/>
      <c r="O35" s="287">
        <f t="shared" si="9"/>
        <v>400000</v>
      </c>
      <c r="P35" s="320">
        <f>'Base Costs'!P35*(1+$AI35)</f>
        <v>0</v>
      </c>
      <c r="Q35" s="287">
        <f>'Base Costs'!Q35*(1+$AI35)</f>
        <v>0</v>
      </c>
      <c r="R35" s="341">
        <f>'Base Costs'!R35*(1+$AI35)</f>
        <v>80000</v>
      </c>
      <c r="S35" s="341">
        <f>'Base Costs'!S35*(1+$AI35)</f>
        <v>80000</v>
      </c>
      <c r="T35" s="341">
        <f>'Base Costs'!T35*(1+$AI35)</f>
        <v>80000</v>
      </c>
      <c r="U35" s="341">
        <f>'Base Costs'!U35*(1+$AI35)</f>
        <v>80000</v>
      </c>
      <c r="V35" s="341">
        <f>'Base Costs'!V35*(1+$AI35)</f>
        <v>80000</v>
      </c>
      <c r="W35" s="287">
        <f>'Base Costs'!W35*(1+$AI35)</f>
        <v>0</v>
      </c>
      <c r="X35" s="321">
        <f>'Base Costs'!X35*(1+$AI35)</f>
        <v>0</v>
      </c>
      <c r="Y35" s="287">
        <f t="shared" si="10"/>
        <v>0</v>
      </c>
      <c r="Z35" s="287">
        <f t="shared" si="1"/>
        <v>0</v>
      </c>
      <c r="AA35" s="341">
        <f t="shared" si="2"/>
        <v>80000</v>
      </c>
      <c r="AB35" s="341">
        <f t="shared" si="3"/>
        <v>80000</v>
      </c>
      <c r="AC35" s="341">
        <f t="shared" si="4"/>
        <v>80000</v>
      </c>
      <c r="AD35" s="341">
        <f t="shared" si="5"/>
        <v>80000</v>
      </c>
      <c r="AE35" s="341">
        <f t="shared" si="6"/>
        <v>80000</v>
      </c>
      <c r="AF35" s="287">
        <f t="shared" si="7"/>
        <v>0</v>
      </c>
      <c r="AG35" s="287">
        <f t="shared" si="8"/>
        <v>0</v>
      </c>
      <c r="AH35" s="322">
        <f>IF($H35,0,IFERROR(IF(VALUE(LEFT(D35,4))&gt;VALUE(LEFT(Parameters!$B$66,4))+1,O35-SUM(R35:X35),0),0))</f>
        <v>0</v>
      </c>
      <c r="AI35" s="325">
        <f>IF(E35=0,0,INDEX(Parameters!$D$5:$D$35,MATCH(E35,Parameters!$B$5:$B$35,0)))</f>
        <v>0</v>
      </c>
    </row>
    <row r="36" spans="1:35" ht="12.75" x14ac:dyDescent="0.2">
      <c r="A36" s="313" t="str">
        <f>'Base Costs'!A36</f>
        <v>ND1348</v>
      </c>
      <c r="B36" s="314" t="str">
        <f>'Base Costs'!B36</f>
        <v>Operations Building accommodation expansion</v>
      </c>
      <c r="C36" s="314" t="str">
        <f>'Base Costs'!C36</f>
        <v>Business Support</v>
      </c>
      <c r="D36" s="333" t="str">
        <f>'Base Costs'!D36</f>
        <v>2014/15</v>
      </c>
      <c r="E36" s="333">
        <f>'Base Costs'!E36</f>
        <v>0</v>
      </c>
      <c r="F36" s="315"/>
      <c r="G36" s="315"/>
      <c r="H36" s="316">
        <f>'Input Data Sheet'!J36</f>
        <v>0</v>
      </c>
      <c r="I36" s="316"/>
      <c r="J36" s="316"/>
      <c r="K36" s="316"/>
      <c r="L36" s="316"/>
      <c r="M36" s="316"/>
      <c r="N36" s="316"/>
      <c r="O36" s="287">
        <f t="shared" si="9"/>
        <v>400046.88241434947</v>
      </c>
      <c r="P36" s="320">
        <f>'Base Costs'!P36*(1+$AI36)</f>
        <v>0</v>
      </c>
      <c r="Q36" s="287">
        <f>'Base Costs'!Q36*(1+$AI36)</f>
        <v>157217.42431432096</v>
      </c>
      <c r="R36" s="341">
        <f>'Base Costs'!R36*(1+$AI36)</f>
        <v>242829.45810002848</v>
      </c>
      <c r="S36" s="341">
        <f>'Base Costs'!S36*(1+$AI36)</f>
        <v>0</v>
      </c>
      <c r="T36" s="341">
        <f>'Base Costs'!T36*(1+$AI36)</f>
        <v>0</v>
      </c>
      <c r="U36" s="341">
        <f>'Base Costs'!U36*(1+$AI36)</f>
        <v>0</v>
      </c>
      <c r="V36" s="341">
        <f>'Base Costs'!V36*(1+$AI36)</f>
        <v>0</v>
      </c>
      <c r="W36" s="287">
        <f>'Base Costs'!W36*(1+$AI36)</f>
        <v>0</v>
      </c>
      <c r="X36" s="321">
        <f>'Base Costs'!X36*(1+$AI36)</f>
        <v>0</v>
      </c>
      <c r="Y36" s="287">
        <f t="shared" si="10"/>
        <v>0</v>
      </c>
      <c r="Z36" s="287">
        <f t="shared" si="1"/>
        <v>0</v>
      </c>
      <c r="AA36" s="341">
        <f t="shared" si="2"/>
        <v>400046.88241434947</v>
      </c>
      <c r="AB36" s="341">
        <f t="shared" si="3"/>
        <v>0</v>
      </c>
      <c r="AC36" s="341">
        <f t="shared" si="4"/>
        <v>0</v>
      </c>
      <c r="AD36" s="341">
        <f t="shared" si="5"/>
        <v>0</v>
      </c>
      <c r="AE36" s="341">
        <f t="shared" si="6"/>
        <v>0</v>
      </c>
      <c r="AF36" s="287">
        <f t="shared" si="7"/>
        <v>0</v>
      </c>
      <c r="AG36" s="287">
        <f t="shared" si="8"/>
        <v>0</v>
      </c>
      <c r="AH36" s="322">
        <f>IF($H36,0,IFERROR(IF(VALUE(LEFT(D36,4))&gt;VALUE(LEFT(Parameters!$B$66,4))+1,O36-SUM(R36:X36),0),0))</f>
        <v>157217.42431432099</v>
      </c>
      <c r="AI36" s="325">
        <f>IF(E36=0,0,INDEX(Parameters!$D$5:$D$35,MATCH(E36,Parameters!$B$5:$B$35,0)))</f>
        <v>0</v>
      </c>
    </row>
    <row r="37" spans="1:35" ht="12.75" x14ac:dyDescent="0.2">
      <c r="A37" s="313" t="str">
        <f>'Base Costs'!A37</f>
        <v>ND1221</v>
      </c>
      <c r="B37" s="314" t="str">
        <f>'Base Costs'!B37</f>
        <v>Operations Building air conditioning renewal</v>
      </c>
      <c r="C37" s="314" t="str">
        <f>'Base Costs'!C37</f>
        <v>Business support</v>
      </c>
      <c r="D37" s="333" t="str">
        <f>'Base Costs'!D37</f>
        <v>2018/19</v>
      </c>
      <c r="E37" s="333">
        <f>'Base Costs'!E37</f>
        <v>18</v>
      </c>
      <c r="F37" s="315"/>
      <c r="G37" s="315"/>
      <c r="H37" s="316">
        <f>'Input Data Sheet'!J37</f>
        <v>0</v>
      </c>
      <c r="I37" s="316"/>
      <c r="J37" s="316"/>
      <c r="K37" s="316"/>
      <c r="L37" s="316"/>
      <c r="M37" s="316"/>
      <c r="N37" s="316"/>
      <c r="O37" s="287">
        <f t="shared" si="9"/>
        <v>346150</v>
      </c>
      <c r="P37" s="320">
        <f>'Base Costs'!P37*(1+$AI37)</f>
        <v>0</v>
      </c>
      <c r="Q37" s="287">
        <f>'Base Costs'!Q37*(1+$AI37)</f>
        <v>0</v>
      </c>
      <c r="R37" s="341">
        <f>'Base Costs'!R37*(1+$AI37)</f>
        <v>159850</v>
      </c>
      <c r="S37" s="341">
        <f>'Base Costs'!S37*(1+$AI37)</f>
        <v>46000</v>
      </c>
      <c r="T37" s="341">
        <f>'Base Costs'!T37*(1+$AI37)</f>
        <v>51750</v>
      </c>
      <c r="U37" s="341">
        <f>'Base Costs'!U37*(1+$AI37)</f>
        <v>56350</v>
      </c>
      <c r="V37" s="341">
        <f>'Base Costs'!V37*(1+$AI37)</f>
        <v>32200</v>
      </c>
      <c r="W37" s="287">
        <f>'Base Costs'!W37*(1+$AI37)</f>
        <v>0</v>
      </c>
      <c r="X37" s="321">
        <f>'Base Costs'!X37*(1+$AI37)</f>
        <v>0</v>
      </c>
      <c r="Y37" s="287">
        <f t="shared" si="10"/>
        <v>0</v>
      </c>
      <c r="Z37" s="287">
        <f t="shared" si="1"/>
        <v>0</v>
      </c>
      <c r="AA37" s="341">
        <f t="shared" si="2"/>
        <v>0</v>
      </c>
      <c r="AB37" s="341">
        <f t="shared" si="3"/>
        <v>0</v>
      </c>
      <c r="AC37" s="341">
        <f t="shared" si="4"/>
        <v>0</v>
      </c>
      <c r="AD37" s="341">
        <f t="shared" si="5"/>
        <v>0</v>
      </c>
      <c r="AE37" s="341">
        <f t="shared" si="6"/>
        <v>346150</v>
      </c>
      <c r="AF37" s="287">
        <f t="shared" si="7"/>
        <v>0</v>
      </c>
      <c r="AG37" s="287">
        <f t="shared" si="8"/>
        <v>0</v>
      </c>
      <c r="AH37" s="322">
        <f>IF($H37,0,IFERROR(IF(VALUE(LEFT(D37,4))&gt;VALUE(LEFT(Parameters!$B$66,4))+1,O37-SUM(R37:X37),0),0))</f>
        <v>0</v>
      </c>
      <c r="AI37" s="325">
        <f>IF(E37=0,0,INDEX(Parameters!$D$5:$D$35,MATCH(E37,Parameters!$B$5:$B$35,0)))</f>
        <v>0</v>
      </c>
    </row>
    <row r="38" spans="1:35" ht="12.75" x14ac:dyDescent="0.2">
      <c r="A38" s="313" t="str">
        <f>'Base Costs'!A38</f>
        <v>ND1275</v>
      </c>
      <c r="B38" s="314" t="str">
        <f>'Base Costs'!B38</f>
        <v>Operations Building compliance program</v>
      </c>
      <c r="C38" s="314" t="str">
        <f>'Base Costs'!C38</f>
        <v>Business support</v>
      </c>
      <c r="D38" s="333" t="str">
        <f>'Base Costs'!D38</f>
        <v>2015/16</v>
      </c>
      <c r="E38" s="333">
        <f>'Base Costs'!E38</f>
        <v>18</v>
      </c>
      <c r="F38" s="315"/>
      <c r="G38" s="315"/>
      <c r="H38" s="316">
        <f>'Input Data Sheet'!J38</f>
        <v>0</v>
      </c>
      <c r="I38" s="316"/>
      <c r="J38" s="316"/>
      <c r="K38" s="316"/>
      <c r="L38" s="316"/>
      <c r="M38" s="316"/>
      <c r="N38" s="316"/>
      <c r="O38" s="287">
        <f t="shared" si="9"/>
        <v>700000</v>
      </c>
      <c r="P38" s="320">
        <f>'Base Costs'!P38*(1+$AI38)</f>
        <v>0</v>
      </c>
      <c r="Q38" s="287">
        <f>'Base Costs'!Q38*(1+$AI38)</f>
        <v>0</v>
      </c>
      <c r="R38" s="341">
        <f>'Base Costs'!R38*(1+$AI38)</f>
        <v>105000</v>
      </c>
      <c r="S38" s="341">
        <f>'Base Costs'!S38*(1+$AI38)</f>
        <v>595000</v>
      </c>
      <c r="T38" s="341">
        <f>'Base Costs'!T38*(1+$AI38)</f>
        <v>0</v>
      </c>
      <c r="U38" s="341">
        <f>'Base Costs'!U38*(1+$AI38)</f>
        <v>0</v>
      </c>
      <c r="V38" s="341">
        <f>'Base Costs'!V38*(1+$AI38)</f>
        <v>0</v>
      </c>
      <c r="W38" s="287">
        <f>'Base Costs'!W38*(1+$AI38)</f>
        <v>0</v>
      </c>
      <c r="X38" s="321">
        <f>'Base Costs'!X38*(1+$AI38)</f>
        <v>0</v>
      </c>
      <c r="Y38" s="287">
        <f t="shared" si="10"/>
        <v>0</v>
      </c>
      <c r="Z38" s="287">
        <f t="shared" si="1"/>
        <v>0</v>
      </c>
      <c r="AA38" s="341">
        <f t="shared" si="2"/>
        <v>0</v>
      </c>
      <c r="AB38" s="341">
        <f t="shared" si="3"/>
        <v>700000</v>
      </c>
      <c r="AC38" s="341">
        <f t="shared" si="4"/>
        <v>0</v>
      </c>
      <c r="AD38" s="341">
        <f t="shared" si="5"/>
        <v>0</v>
      </c>
      <c r="AE38" s="341">
        <f t="shared" si="6"/>
        <v>0</v>
      </c>
      <c r="AF38" s="287">
        <f t="shared" si="7"/>
        <v>0</v>
      </c>
      <c r="AG38" s="287">
        <f t="shared" si="8"/>
        <v>0</v>
      </c>
      <c r="AH38" s="322">
        <f>IF($H38,0,IFERROR(IF(VALUE(LEFT(D38,4))&gt;VALUE(LEFT(Parameters!$B$66,4))+1,O38-SUM(R38:X38),0),0))</f>
        <v>0</v>
      </c>
      <c r="AI38" s="325">
        <f>IF(E38=0,0,INDEX(Parameters!$D$5:$D$35,MATCH(E38,Parameters!$B$5:$B$35,0)))</f>
        <v>0</v>
      </c>
    </row>
    <row r="39" spans="1:35" ht="12.75" x14ac:dyDescent="0.2">
      <c r="A39" s="313" t="str">
        <f>'Base Costs'!A39</f>
        <v>ND1253</v>
      </c>
      <c r="B39" s="314" t="str">
        <f>'Base Costs'!B39</f>
        <v>Port Latta Substation structure renewal</v>
      </c>
      <c r="C39" s="314" t="str">
        <f>'Base Costs'!C39</f>
        <v>Asset Renewal</v>
      </c>
      <c r="D39" s="333" t="str">
        <f>'Base Costs'!D39</f>
        <v>2014/15</v>
      </c>
      <c r="E39" s="333">
        <f>'Base Costs'!E39</f>
        <v>9</v>
      </c>
      <c r="F39" s="315"/>
      <c r="G39" s="315"/>
      <c r="H39" s="316">
        <f>'Input Data Sheet'!J39</f>
        <v>0</v>
      </c>
      <c r="I39" s="316"/>
      <c r="J39" s="316"/>
      <c r="K39" s="316"/>
      <c r="L39" s="316"/>
      <c r="M39" s="316"/>
      <c r="N39" s="316"/>
      <c r="O39" s="287">
        <f t="shared" si="9"/>
        <v>1488190.5159999998</v>
      </c>
      <c r="P39" s="320">
        <f>'Base Costs'!P39*(1+$AI39)</f>
        <v>0</v>
      </c>
      <c r="Q39" s="287">
        <f>'Base Costs'!Q39*(1+$AI39)</f>
        <v>22436.6908</v>
      </c>
      <c r="R39" s="341">
        <f>'Base Costs'!R39*(1+$AI39)</f>
        <v>1465753.8251999998</v>
      </c>
      <c r="S39" s="341">
        <f>'Base Costs'!S39*(1+$AI39)</f>
        <v>0</v>
      </c>
      <c r="T39" s="341">
        <f>'Base Costs'!T39*(1+$AI39)</f>
        <v>0</v>
      </c>
      <c r="U39" s="341">
        <f>'Base Costs'!U39*(1+$AI39)</f>
        <v>0</v>
      </c>
      <c r="V39" s="341">
        <f>'Base Costs'!V39*(1+$AI39)</f>
        <v>0</v>
      </c>
      <c r="W39" s="287">
        <f>'Base Costs'!W39*(1+$AI39)</f>
        <v>0</v>
      </c>
      <c r="X39" s="321">
        <f>'Base Costs'!X39*(1+$AI39)</f>
        <v>0</v>
      </c>
      <c r="Y39" s="287">
        <f t="shared" si="10"/>
        <v>0</v>
      </c>
      <c r="Z39" s="287">
        <f t="shared" si="1"/>
        <v>0</v>
      </c>
      <c r="AA39" s="341">
        <f t="shared" si="2"/>
        <v>1488190.5159999998</v>
      </c>
      <c r="AB39" s="341">
        <f t="shared" si="3"/>
        <v>0</v>
      </c>
      <c r="AC39" s="341">
        <f t="shared" si="4"/>
        <v>0</v>
      </c>
      <c r="AD39" s="341">
        <f t="shared" si="5"/>
        <v>0</v>
      </c>
      <c r="AE39" s="341">
        <f t="shared" si="6"/>
        <v>0</v>
      </c>
      <c r="AF39" s="287">
        <f t="shared" si="7"/>
        <v>0</v>
      </c>
      <c r="AG39" s="287">
        <f t="shared" si="8"/>
        <v>0</v>
      </c>
      <c r="AH39" s="322">
        <f>IF($H39,0,IFERROR(IF(VALUE(LEFT(D39,4))&gt;VALUE(LEFT(Parameters!$B$66,4))+1,O39-SUM(R39:X39),0),0))</f>
        <v>22436.690799999982</v>
      </c>
      <c r="AI39" s="325">
        <f>IF(E39=0,0,INDEX(Parameters!$D$5:$D$35,MATCH(E39,Parameters!$B$5:$B$35,0)))</f>
        <v>2.46E-2</v>
      </c>
    </row>
    <row r="40" spans="1:35" x14ac:dyDescent="0.3">
      <c r="A40" s="313" t="str">
        <f>'Base Costs'!A40</f>
        <v>ND0958</v>
      </c>
      <c r="B40" s="314" t="str">
        <f>'Base Costs'!B40</f>
        <v>Queenstown Substation Transformer T1 replacement</v>
      </c>
      <c r="C40" s="314" t="str">
        <f>'Base Costs'!C40</f>
        <v>Asset Renewal</v>
      </c>
      <c r="D40" s="333" t="str">
        <f>'Base Costs'!D40</f>
        <v>2014/15</v>
      </c>
      <c r="E40" s="333">
        <f>'Base Costs'!E40</f>
        <v>0</v>
      </c>
      <c r="F40" s="315"/>
      <c r="G40" s="315"/>
      <c r="H40" s="316">
        <f>'Input Data Sheet'!J40</f>
        <v>0</v>
      </c>
      <c r="I40" s="316"/>
      <c r="J40" s="316"/>
      <c r="K40" s="316"/>
      <c r="L40" s="316"/>
      <c r="M40" s="316"/>
      <c r="N40" s="316"/>
      <c r="O40" s="287">
        <f t="shared" si="9"/>
        <v>14292.493119483725</v>
      </c>
      <c r="P40" s="320">
        <f>'Base Costs'!P40*(1+$AI40)</f>
        <v>0</v>
      </c>
      <c r="Q40" s="287">
        <f>'Base Costs'!Q40*(1+$AI40)</f>
        <v>0</v>
      </c>
      <c r="R40" s="341">
        <f>'Base Costs'!R40*(1+$AI40)</f>
        <v>14292.493119483725</v>
      </c>
      <c r="S40" s="341">
        <f>'Base Costs'!S40*(1+$AI40)</f>
        <v>0</v>
      </c>
      <c r="T40" s="341">
        <f>'Base Costs'!T40*(1+$AI40)</f>
        <v>0</v>
      </c>
      <c r="U40" s="341">
        <f>'Base Costs'!U40*(1+$AI40)</f>
        <v>0</v>
      </c>
      <c r="V40" s="341">
        <f>'Base Costs'!V40*(1+$AI40)</f>
        <v>0</v>
      </c>
      <c r="W40" s="287">
        <f>'Base Costs'!W40*(1+$AI40)</f>
        <v>0</v>
      </c>
      <c r="X40" s="321">
        <f>'Base Costs'!X40*(1+$AI40)</f>
        <v>0</v>
      </c>
      <c r="Y40" s="287">
        <f t="shared" si="10"/>
        <v>0</v>
      </c>
      <c r="Z40" s="287">
        <f t="shared" si="1"/>
        <v>0</v>
      </c>
      <c r="AA40" s="341">
        <f t="shared" si="2"/>
        <v>14292.493119483725</v>
      </c>
      <c r="AB40" s="341">
        <f t="shared" si="3"/>
        <v>0</v>
      </c>
      <c r="AC40" s="341">
        <f t="shared" si="4"/>
        <v>0</v>
      </c>
      <c r="AD40" s="341">
        <f t="shared" si="5"/>
        <v>0</v>
      </c>
      <c r="AE40" s="341">
        <f t="shared" si="6"/>
        <v>0</v>
      </c>
      <c r="AF40" s="287">
        <f t="shared" si="7"/>
        <v>0</v>
      </c>
      <c r="AG40" s="287">
        <f t="shared" si="8"/>
        <v>0</v>
      </c>
      <c r="AH40" s="322">
        <f>IF($H40,0,IFERROR(IF(VALUE(LEFT(D40,4))&gt;VALUE(LEFT(Parameters!$B$66,4))+1,O40-SUM(R40:X40),0),0))</f>
        <v>0</v>
      </c>
      <c r="AI40" s="325">
        <f>IF(E40=0,0,INDEX(Parameters!$D$5:$D$35,MATCH(E40,Parameters!$B$5:$B$35,0)))</f>
        <v>0</v>
      </c>
    </row>
    <row r="41" spans="1:35" x14ac:dyDescent="0.3">
      <c r="A41" s="313" t="str">
        <f>'Base Costs'!A41</f>
        <v>ND1254</v>
      </c>
      <c r="B41" s="314" t="str">
        <f>'Base Costs'!B41</f>
        <v>Railton Substation 110 kV post insulator and busbar renewal</v>
      </c>
      <c r="C41" s="314" t="str">
        <f>'Base Costs'!C41</f>
        <v>Asset Renewal</v>
      </c>
      <c r="D41" s="333" t="str">
        <f>'Base Costs'!D41</f>
        <v>2015/16</v>
      </c>
      <c r="E41" s="333">
        <f>'Base Costs'!E41</f>
        <v>9</v>
      </c>
      <c r="F41" s="315"/>
      <c r="G41" s="315"/>
      <c r="H41" s="316">
        <f>'Input Data Sheet'!J41</f>
        <v>0</v>
      </c>
      <c r="I41" s="316"/>
      <c r="J41" s="316"/>
      <c r="K41" s="316"/>
      <c r="L41" s="316"/>
      <c r="M41" s="316"/>
      <c r="N41" s="316"/>
      <c r="O41" s="287">
        <f t="shared" si="9"/>
        <v>1008004.5537999999</v>
      </c>
      <c r="P41" s="320">
        <f>'Base Costs'!P41*(1+$AI41)</f>
        <v>0</v>
      </c>
      <c r="Q41" s="287">
        <f>'Base Costs'!Q41*(1+$AI41)</f>
        <v>135809.70540000001</v>
      </c>
      <c r="R41" s="341">
        <f>'Base Costs'!R41*(1+$AI41)</f>
        <v>605252.73659999995</v>
      </c>
      <c r="S41" s="341">
        <f>'Base Costs'!S41*(1+$AI41)</f>
        <v>266942.11180000001</v>
      </c>
      <c r="T41" s="341">
        <f>'Base Costs'!T41*(1+$AI41)</f>
        <v>0</v>
      </c>
      <c r="U41" s="341">
        <f>'Base Costs'!U41*(1+$AI41)</f>
        <v>0</v>
      </c>
      <c r="V41" s="341">
        <f>'Base Costs'!V41*(1+$AI41)</f>
        <v>0</v>
      </c>
      <c r="W41" s="287">
        <f>'Base Costs'!W41*(1+$AI41)</f>
        <v>0</v>
      </c>
      <c r="X41" s="321">
        <f>'Base Costs'!X41*(1+$AI41)</f>
        <v>0</v>
      </c>
      <c r="Y41" s="287">
        <f t="shared" si="10"/>
        <v>0</v>
      </c>
      <c r="Z41" s="287">
        <f t="shared" si="1"/>
        <v>0</v>
      </c>
      <c r="AA41" s="341">
        <f t="shared" si="2"/>
        <v>0</v>
      </c>
      <c r="AB41" s="341">
        <f t="shared" si="3"/>
        <v>1008004.5537999999</v>
      </c>
      <c r="AC41" s="341">
        <f t="shared" si="4"/>
        <v>0</v>
      </c>
      <c r="AD41" s="341">
        <f t="shared" si="5"/>
        <v>0</v>
      </c>
      <c r="AE41" s="341">
        <f t="shared" si="6"/>
        <v>0</v>
      </c>
      <c r="AF41" s="287">
        <f t="shared" si="7"/>
        <v>0</v>
      </c>
      <c r="AG41" s="287">
        <f t="shared" si="8"/>
        <v>0</v>
      </c>
      <c r="AH41" s="322">
        <f>IF($H41,0,IFERROR(IF(VALUE(LEFT(D41,4))&gt;VALUE(LEFT(Parameters!$B$66,4))+1,O41-SUM(R41:X41),0),0))</f>
        <v>135809.70539999986</v>
      </c>
      <c r="AI41" s="325">
        <f>IF(E41=0,0,INDEX(Parameters!$D$5:$D$35,MATCH(E41,Parameters!$B$5:$B$35,0)))</f>
        <v>2.46E-2</v>
      </c>
    </row>
    <row r="42" spans="1:35" x14ac:dyDescent="0.3">
      <c r="A42" s="313" t="str">
        <f>'Base Costs'!A42</f>
        <v>ND1308</v>
      </c>
      <c r="B42" s="314" t="str">
        <f>'Base Costs'!B42</f>
        <v>Reyrolle Type LMT Switchgear renewal program</v>
      </c>
      <c r="C42" s="314" t="str">
        <f>'Base Costs'!C42</f>
        <v>Asset Renewal</v>
      </c>
      <c r="D42" s="333" t="str">
        <f>'Base Costs'!D42</f>
        <v>2016/17</v>
      </c>
      <c r="E42" s="333">
        <f>'Base Costs'!E42</f>
        <v>9</v>
      </c>
      <c r="F42" s="315"/>
      <c r="G42" s="315"/>
      <c r="H42" s="316">
        <f>'Input Data Sheet'!J42</f>
        <v>1</v>
      </c>
      <c r="I42" s="316"/>
      <c r="J42" s="316"/>
      <c r="K42" s="316"/>
      <c r="L42" s="316"/>
      <c r="M42" s="316"/>
      <c r="N42" s="316"/>
      <c r="O42" s="287">
        <f t="shared" ref="O42:O100" si="11">SUM(P42:X42)</f>
        <v>3337019.74</v>
      </c>
      <c r="P42" s="320">
        <f>'Base Costs'!P42*(1+$AI42)</f>
        <v>0</v>
      </c>
      <c r="Q42" s="287">
        <f>'Base Costs'!Q42*(1+$AI42)</f>
        <v>0</v>
      </c>
      <c r="R42" s="341">
        <f>'Base Costs'!R42*(1+$AI42)</f>
        <v>449600.62760000001</v>
      </c>
      <c r="S42" s="341">
        <f>'Base Costs'!S42*(1+$AI42)</f>
        <v>2003700.5877999999</v>
      </c>
      <c r="T42" s="341">
        <f>'Base Costs'!T42*(1+$AI42)</f>
        <v>883718.5246</v>
      </c>
      <c r="U42" s="341">
        <f>'Base Costs'!U42*(1+$AI42)</f>
        <v>0</v>
      </c>
      <c r="V42" s="341">
        <f>'Base Costs'!V42*(1+$AI42)</f>
        <v>0</v>
      </c>
      <c r="W42" s="287">
        <f>'Base Costs'!W42*(1+$AI42)</f>
        <v>0</v>
      </c>
      <c r="X42" s="321">
        <f>'Base Costs'!X42*(1+$AI42)</f>
        <v>0</v>
      </c>
      <c r="Y42" s="287">
        <f t="shared" si="10"/>
        <v>0</v>
      </c>
      <c r="Z42" s="287">
        <f t="shared" si="1"/>
        <v>0</v>
      </c>
      <c r="AA42" s="341">
        <f t="shared" si="2"/>
        <v>449600.62760000001</v>
      </c>
      <c r="AB42" s="341">
        <f t="shared" si="3"/>
        <v>2003700.5877999999</v>
      </c>
      <c r="AC42" s="341">
        <f t="shared" si="4"/>
        <v>883718.5246</v>
      </c>
      <c r="AD42" s="341">
        <f t="shared" si="5"/>
        <v>0</v>
      </c>
      <c r="AE42" s="341">
        <f t="shared" si="6"/>
        <v>0</v>
      </c>
      <c r="AF42" s="287">
        <f t="shared" si="7"/>
        <v>0</v>
      </c>
      <c r="AG42" s="287">
        <f t="shared" si="8"/>
        <v>0</v>
      </c>
      <c r="AH42" s="322">
        <f>IF($H42,0,IFERROR(IF(VALUE(LEFT(D42,4))&gt;VALUE(LEFT(Parameters!$B$66,4))+1,O42-SUM(R42:X42),0),0))</f>
        <v>0</v>
      </c>
      <c r="AI42" s="325">
        <f>IF(E42=0,0,INDEX(Parameters!$D$5:$D$35,MATCH(E42,Parameters!$B$5:$B$35,0)))</f>
        <v>2.46E-2</v>
      </c>
    </row>
    <row r="43" spans="1:35" x14ac:dyDescent="0.3">
      <c r="A43" s="313" t="str">
        <f>'Base Costs'!A43</f>
        <v>ND1313</v>
      </c>
      <c r="B43" s="314" t="str">
        <f>'Base Costs'!B43</f>
        <v>Rosebery Substation transformer capacity augmentation</v>
      </c>
      <c r="C43" s="314" t="str">
        <f>'Base Costs'!C43</f>
        <v>Connection</v>
      </c>
      <c r="D43" s="333" t="str">
        <f>'Base Costs'!D43</f>
        <v>2016/17</v>
      </c>
      <c r="E43" s="333">
        <f>'Base Costs'!E43</f>
        <v>11</v>
      </c>
      <c r="F43" s="315"/>
      <c r="G43" s="315"/>
      <c r="H43" s="316">
        <f>'Input Data Sheet'!J43</f>
        <v>0</v>
      </c>
      <c r="I43" s="316"/>
      <c r="J43" s="316"/>
      <c r="K43" s="316"/>
      <c r="L43" s="316"/>
      <c r="M43" s="316"/>
      <c r="N43" s="316"/>
      <c r="O43" s="287">
        <f t="shared" si="11"/>
        <v>5640923.0048000002</v>
      </c>
      <c r="P43" s="320">
        <f>'Base Costs'!P43*(1+$AI43)</f>
        <v>0</v>
      </c>
      <c r="Q43" s="287">
        <f>'Base Costs'!Q43*(1+$AI43)</f>
        <v>0</v>
      </c>
      <c r="R43" s="341">
        <f>'Base Costs'!R43*(1+$AI43)</f>
        <v>647213.18039999995</v>
      </c>
      <c r="S43" s="341">
        <f>'Base Costs'!S43*(1+$AI43)</f>
        <v>4885343.0054000001</v>
      </c>
      <c r="T43" s="341">
        <f>'Base Costs'!T43*(1+$AI43)</f>
        <v>108366.81899999999</v>
      </c>
      <c r="U43" s="341">
        <f>'Base Costs'!U43*(1+$AI43)</f>
        <v>0</v>
      </c>
      <c r="V43" s="341">
        <f>'Base Costs'!V43*(1+$AI43)</f>
        <v>0</v>
      </c>
      <c r="W43" s="287">
        <f>'Base Costs'!W43*(1+$AI43)</f>
        <v>0</v>
      </c>
      <c r="X43" s="321">
        <f>'Base Costs'!X43*(1+$AI43)</f>
        <v>0</v>
      </c>
      <c r="Y43" s="287">
        <f t="shared" si="10"/>
        <v>0</v>
      </c>
      <c r="Z43" s="287">
        <f t="shared" si="1"/>
        <v>0</v>
      </c>
      <c r="AA43" s="341">
        <f t="shared" si="2"/>
        <v>0</v>
      </c>
      <c r="AB43" s="341">
        <f t="shared" si="3"/>
        <v>0</v>
      </c>
      <c r="AC43" s="341">
        <f t="shared" si="4"/>
        <v>5640923.0048000002</v>
      </c>
      <c r="AD43" s="341">
        <f t="shared" si="5"/>
        <v>0</v>
      </c>
      <c r="AE43" s="341">
        <f t="shared" si="6"/>
        <v>0</v>
      </c>
      <c r="AF43" s="287">
        <f t="shared" si="7"/>
        <v>0</v>
      </c>
      <c r="AG43" s="287">
        <f t="shared" si="8"/>
        <v>0</v>
      </c>
      <c r="AH43" s="322">
        <f>IF($H43,0,IFERROR(IF(VALUE(LEFT(D43,4))&gt;VALUE(LEFT(Parameters!$B$66,4))+1,O43-SUM(R43:X43),0),0))</f>
        <v>0</v>
      </c>
      <c r="AI43" s="325">
        <f>IF(E43=0,0,INDEX(Parameters!$D$5:$D$35,MATCH(E43,Parameters!$B$5:$B$35,0)))</f>
        <v>2.46E-2</v>
      </c>
    </row>
    <row r="44" spans="1:35" x14ac:dyDescent="0.3">
      <c r="A44" s="313" t="str">
        <f>'Base Costs'!A44</f>
        <v>ND1224</v>
      </c>
      <c r="B44" s="314" t="str">
        <f>'Base Costs'!B44</f>
        <v>SCADA System renewal program</v>
      </c>
      <c r="C44" s="314" t="str">
        <f>'Base Costs'!C44</f>
        <v>Asset Renewal</v>
      </c>
      <c r="D44" s="333" t="str">
        <f>'Base Costs'!D44</f>
        <v>2016/17</v>
      </c>
      <c r="E44" s="333">
        <f>'Base Costs'!E44</f>
        <v>13</v>
      </c>
      <c r="F44" s="315"/>
      <c r="G44" s="315"/>
      <c r="H44" s="316">
        <f>'Input Data Sheet'!J44</f>
        <v>1</v>
      </c>
      <c r="I44" s="316"/>
      <c r="J44" s="316"/>
      <c r="K44" s="316"/>
      <c r="L44" s="316"/>
      <c r="M44" s="316"/>
      <c r="N44" s="316"/>
      <c r="O44" s="287">
        <f t="shared" si="11"/>
        <v>3380312.1637999997</v>
      </c>
      <c r="P44" s="320">
        <f>'Base Costs'!P44*(1+$AI44)</f>
        <v>0</v>
      </c>
      <c r="Q44" s="287">
        <f>'Base Costs'!Q44*(1+$AI44)</f>
        <v>0</v>
      </c>
      <c r="R44" s="341">
        <f>'Base Costs'!R44*(1+$AI44)</f>
        <v>439440.69399999996</v>
      </c>
      <c r="S44" s="341">
        <f>'Base Costs'!S44*(1+$AI44)</f>
        <v>2907067.8665999998</v>
      </c>
      <c r="T44" s="341">
        <f>'Base Costs'!T44*(1+$AI44)</f>
        <v>33803.603199999998</v>
      </c>
      <c r="U44" s="341">
        <f>'Base Costs'!U44*(1+$AI44)</f>
        <v>0</v>
      </c>
      <c r="V44" s="341">
        <f>'Base Costs'!V44*(1+$AI44)</f>
        <v>0</v>
      </c>
      <c r="W44" s="287">
        <f>'Base Costs'!W44*(1+$AI44)</f>
        <v>0</v>
      </c>
      <c r="X44" s="321">
        <f>'Base Costs'!X44*(1+$AI44)</f>
        <v>0</v>
      </c>
      <c r="Y44" s="287">
        <f t="shared" si="10"/>
        <v>0</v>
      </c>
      <c r="Z44" s="287">
        <f t="shared" si="1"/>
        <v>0</v>
      </c>
      <c r="AA44" s="341">
        <f t="shared" si="2"/>
        <v>439440.69399999996</v>
      </c>
      <c r="AB44" s="341">
        <f t="shared" si="3"/>
        <v>2907067.8665999998</v>
      </c>
      <c r="AC44" s="341">
        <f t="shared" si="4"/>
        <v>33803.603199999998</v>
      </c>
      <c r="AD44" s="341">
        <f t="shared" si="5"/>
        <v>0</v>
      </c>
      <c r="AE44" s="341">
        <f t="shared" si="6"/>
        <v>0</v>
      </c>
      <c r="AF44" s="287">
        <f t="shared" si="7"/>
        <v>0</v>
      </c>
      <c r="AG44" s="287">
        <f t="shared" si="8"/>
        <v>0</v>
      </c>
      <c r="AH44" s="322">
        <f>IF($H44,0,IFERROR(IF(VALUE(LEFT(D44,4))&gt;VALUE(LEFT(Parameters!$B$66,4))+1,O44-SUM(R44:X44),0),0))</f>
        <v>0</v>
      </c>
      <c r="AI44" s="325">
        <f>IF(E44=0,0,INDEX(Parameters!$D$5:$D$35,MATCH(E44,Parameters!$B$5:$B$35,0)))</f>
        <v>2.46E-2</v>
      </c>
    </row>
    <row r="45" spans="1:35" x14ac:dyDescent="0.3">
      <c r="A45" s="313" t="str">
        <f>'Base Costs'!A45</f>
        <v>ND1192</v>
      </c>
      <c r="B45" s="314" t="str">
        <f>'Base Costs'!B45</f>
        <v>Smart Transmission Grid Development program</v>
      </c>
      <c r="C45" s="314" t="str">
        <f>'Base Costs'!C45</f>
        <v>Operational Support Systems</v>
      </c>
      <c r="D45" s="333" t="str">
        <f>'Base Costs'!D45</f>
        <v>2018/19</v>
      </c>
      <c r="E45" s="333">
        <f>'Base Costs'!E45</f>
        <v>18</v>
      </c>
      <c r="F45" s="315"/>
      <c r="G45" s="315"/>
      <c r="H45" s="316">
        <f>'Input Data Sheet'!J45</f>
        <v>1</v>
      </c>
      <c r="I45" s="316"/>
      <c r="J45" s="316"/>
      <c r="K45" s="316"/>
      <c r="L45" s="316"/>
      <c r="M45" s="316"/>
      <c r="N45" s="316"/>
      <c r="O45" s="287">
        <f t="shared" si="11"/>
        <v>1500000</v>
      </c>
      <c r="P45" s="320">
        <f>'Base Costs'!P45*(1+$AI45)</f>
        <v>0</v>
      </c>
      <c r="Q45" s="287">
        <f>'Base Costs'!Q45*(1+$AI45)</f>
        <v>0</v>
      </c>
      <c r="R45" s="341">
        <f>'Base Costs'!R45*(1+$AI45)</f>
        <v>300000</v>
      </c>
      <c r="S45" s="341">
        <f>'Base Costs'!S45*(1+$AI45)</f>
        <v>300000</v>
      </c>
      <c r="T45" s="341">
        <f>'Base Costs'!T45*(1+$AI45)</f>
        <v>300000</v>
      </c>
      <c r="U45" s="341">
        <f>'Base Costs'!U45*(1+$AI45)</f>
        <v>300000</v>
      </c>
      <c r="V45" s="341">
        <f>'Base Costs'!V45*(1+$AI45)</f>
        <v>300000</v>
      </c>
      <c r="W45" s="287">
        <f>'Base Costs'!W45*(1+$AI45)</f>
        <v>0</v>
      </c>
      <c r="X45" s="321">
        <f>'Base Costs'!X45*(1+$AI45)</f>
        <v>0</v>
      </c>
      <c r="Y45" s="287">
        <f t="shared" si="10"/>
        <v>0</v>
      </c>
      <c r="Z45" s="287">
        <f t="shared" si="1"/>
        <v>0</v>
      </c>
      <c r="AA45" s="341">
        <f t="shared" si="2"/>
        <v>300000</v>
      </c>
      <c r="AB45" s="341">
        <f t="shared" si="3"/>
        <v>300000</v>
      </c>
      <c r="AC45" s="341">
        <f t="shared" si="4"/>
        <v>300000</v>
      </c>
      <c r="AD45" s="341">
        <f t="shared" si="5"/>
        <v>300000</v>
      </c>
      <c r="AE45" s="341">
        <f t="shared" si="6"/>
        <v>300000</v>
      </c>
      <c r="AF45" s="287">
        <f t="shared" si="7"/>
        <v>0</v>
      </c>
      <c r="AG45" s="287">
        <f t="shared" si="8"/>
        <v>0</v>
      </c>
      <c r="AH45" s="322">
        <f>IF($H45,0,IFERROR(IF(VALUE(LEFT(D45,4))&gt;VALUE(LEFT(Parameters!$B$66,4))+1,O45-SUM(R45:X45),0),0))</f>
        <v>0</v>
      </c>
      <c r="AI45" s="325">
        <f>IF(E45=0,0,INDEX(Parameters!$D$5:$D$35,MATCH(E45,Parameters!$B$5:$B$35,0)))</f>
        <v>0</v>
      </c>
    </row>
    <row r="46" spans="1:35" x14ac:dyDescent="0.3">
      <c r="A46" s="313" t="str">
        <f>'Base Costs'!A46</f>
        <v>ND1312</v>
      </c>
      <c r="B46" s="314" t="str">
        <f>'Base Costs'!B46</f>
        <v>Southern transmission system rationalisation program</v>
      </c>
      <c r="C46" s="314" t="str">
        <f>'Base Costs'!C46</f>
        <v>Asset Renewal</v>
      </c>
      <c r="D46" s="333" t="str">
        <f>'Base Costs'!D46</f>
        <v>2020/21</v>
      </c>
      <c r="E46" s="333">
        <f>'Base Costs'!E46</f>
        <v>10</v>
      </c>
      <c r="F46" s="315"/>
      <c r="G46" s="315"/>
      <c r="H46" s="316">
        <f>'Input Data Sheet'!J46</f>
        <v>0</v>
      </c>
      <c r="I46" s="316"/>
      <c r="J46" s="316"/>
      <c r="K46" s="316"/>
      <c r="L46" s="316"/>
      <c r="M46" s="316"/>
      <c r="N46" s="316"/>
      <c r="O46" s="287">
        <f t="shared" si="11"/>
        <v>8444655.8629999999</v>
      </c>
      <c r="P46" s="320">
        <f>'Base Costs'!P46*(1+$AI46)</f>
        <v>0</v>
      </c>
      <c r="Q46" s="287">
        <f>'Base Costs'!Q46*(1+$AI46)</f>
        <v>0</v>
      </c>
      <c r="R46" s="341">
        <f>'Base Costs'!R46*(1+$AI46)</f>
        <v>0</v>
      </c>
      <c r="S46" s="341">
        <f>'Base Costs'!S46*(1+$AI46)</f>
        <v>0</v>
      </c>
      <c r="T46" s="341">
        <f>'Base Costs'!T46*(1+$AI46)</f>
        <v>0</v>
      </c>
      <c r="U46" s="341">
        <f>'Base Costs'!U46*(1+$AI46)</f>
        <v>0</v>
      </c>
      <c r="V46" s="341">
        <f>'Base Costs'!V46*(1+$AI46)</f>
        <v>2576265.5105999997</v>
      </c>
      <c r="W46" s="287">
        <f>'Base Costs'!W46*(1+$AI46)</f>
        <v>5868390.3524000002</v>
      </c>
      <c r="X46" s="321">
        <f>'Base Costs'!X46*(1+$AI46)</f>
        <v>0</v>
      </c>
      <c r="Y46" s="287">
        <f t="shared" si="10"/>
        <v>0</v>
      </c>
      <c r="Z46" s="287">
        <f t="shared" si="1"/>
        <v>0</v>
      </c>
      <c r="AA46" s="341">
        <f t="shared" si="2"/>
        <v>0</v>
      </c>
      <c r="AB46" s="341">
        <f t="shared" si="3"/>
        <v>0</v>
      </c>
      <c r="AC46" s="341">
        <f t="shared" si="4"/>
        <v>0</v>
      </c>
      <c r="AD46" s="341">
        <f t="shared" si="5"/>
        <v>0</v>
      </c>
      <c r="AE46" s="341">
        <f t="shared" si="6"/>
        <v>0</v>
      </c>
      <c r="AF46" s="287">
        <f t="shared" si="7"/>
        <v>0</v>
      </c>
      <c r="AG46" s="287">
        <f t="shared" si="8"/>
        <v>8444655.8629999999</v>
      </c>
      <c r="AH46" s="322">
        <f>IF($H46,0,IFERROR(IF(VALUE(LEFT(D46,4))&gt;VALUE(LEFT(Parameters!$B$66,4))+1,O46-SUM(R46:X46),0),0))</f>
        <v>0</v>
      </c>
      <c r="AI46" s="325">
        <f>IF(E46=0,0,INDEX(Parameters!$D$5:$D$35,MATCH(E46,Parameters!$B$5:$B$35,0)))</f>
        <v>2.46E-2</v>
      </c>
    </row>
    <row r="47" spans="1:35" x14ac:dyDescent="0.3">
      <c r="A47" s="313" t="str">
        <f>'Base Costs'!A47</f>
        <v>ND0941</v>
      </c>
      <c r="B47" s="314" t="str">
        <f>'Base Costs'!B47</f>
        <v>St Marys Substation transformer capacity augmentation</v>
      </c>
      <c r="C47" s="314" t="str">
        <f>'Base Costs'!C47</f>
        <v>Connection</v>
      </c>
      <c r="D47" s="333" t="str">
        <f>'Base Costs'!D47</f>
        <v>2017/18</v>
      </c>
      <c r="E47" s="333">
        <f>'Base Costs'!E47</f>
        <v>11</v>
      </c>
      <c r="F47" s="315"/>
      <c r="G47" s="315"/>
      <c r="H47" s="316">
        <f>'Input Data Sheet'!J47</f>
        <v>0</v>
      </c>
      <c r="I47" s="316"/>
      <c r="J47" s="316"/>
      <c r="K47" s="316"/>
      <c r="L47" s="316"/>
      <c r="M47" s="316"/>
      <c r="N47" s="316"/>
      <c r="O47" s="287">
        <f t="shared" si="11"/>
        <v>3352461.4865999995</v>
      </c>
      <c r="P47" s="320">
        <f>'Base Costs'!P47*(1+$AI47)</f>
        <v>0</v>
      </c>
      <c r="Q47" s="287">
        <f>'Base Costs'!Q47*(1+$AI47)</f>
        <v>0</v>
      </c>
      <c r="R47" s="341">
        <f>'Base Costs'!R47*(1+$AI47)</f>
        <v>0</v>
      </c>
      <c r="S47" s="341">
        <f>'Base Costs'!S47*(1+$AI47)</f>
        <v>201420.99099999998</v>
      </c>
      <c r="T47" s="341">
        <f>'Base Costs'!T47*(1+$AI47)</f>
        <v>2162533.0551999998</v>
      </c>
      <c r="U47" s="341">
        <f>'Base Costs'!U47*(1+$AI47)</f>
        <v>988507.44039999996</v>
      </c>
      <c r="V47" s="341">
        <f>'Base Costs'!V47*(1+$AI47)</f>
        <v>0</v>
      </c>
      <c r="W47" s="287">
        <f>'Base Costs'!W47*(1+$AI47)</f>
        <v>0</v>
      </c>
      <c r="X47" s="321">
        <f>'Base Costs'!X47*(1+$AI47)</f>
        <v>0</v>
      </c>
      <c r="Y47" s="287">
        <f t="shared" si="10"/>
        <v>0</v>
      </c>
      <c r="Z47" s="287">
        <f t="shared" si="1"/>
        <v>0</v>
      </c>
      <c r="AA47" s="341">
        <f t="shared" si="2"/>
        <v>0</v>
      </c>
      <c r="AB47" s="341">
        <f t="shared" si="3"/>
        <v>0</v>
      </c>
      <c r="AC47" s="341">
        <f t="shared" si="4"/>
        <v>0</v>
      </c>
      <c r="AD47" s="341">
        <f t="shared" si="5"/>
        <v>3352461.4865999995</v>
      </c>
      <c r="AE47" s="341">
        <f t="shared" si="6"/>
        <v>0</v>
      </c>
      <c r="AF47" s="287">
        <f t="shared" si="7"/>
        <v>0</v>
      </c>
      <c r="AG47" s="287">
        <f t="shared" si="8"/>
        <v>0</v>
      </c>
      <c r="AH47" s="322">
        <f>IF($H47,0,IFERROR(IF(VALUE(LEFT(D47,4))&gt;VALUE(LEFT(Parameters!$B$66,4))+1,O47-SUM(R47:X47),0),0))</f>
        <v>0</v>
      </c>
      <c r="AI47" s="325">
        <f>IF(E47=0,0,INDEX(Parameters!$D$5:$D$35,MATCH(E47,Parameters!$B$5:$B$35,0)))</f>
        <v>2.46E-2</v>
      </c>
    </row>
    <row r="48" spans="1:35" x14ac:dyDescent="0.3">
      <c r="A48" s="313" t="str">
        <f>'Base Costs'!A48</f>
        <v>ND1261</v>
      </c>
      <c r="B48" s="314" t="str">
        <f>'Base Costs'!B48</f>
        <v>Strategic Easement and Land Acquisition</v>
      </c>
      <c r="C48" s="314" t="str">
        <f>'Base Costs'!C48</f>
        <v>Physical Security / Compliance</v>
      </c>
      <c r="D48" s="333" t="str">
        <f>'Base Costs'!D48</f>
        <v>2018/19</v>
      </c>
      <c r="E48" s="333">
        <f>'Base Costs'!E48</f>
        <v>15</v>
      </c>
      <c r="F48" s="315"/>
      <c r="G48" s="315"/>
      <c r="H48" s="316">
        <f>'Input Data Sheet'!J48</f>
        <v>1</v>
      </c>
      <c r="I48" s="316"/>
      <c r="J48" s="316"/>
      <c r="K48" s="316"/>
      <c r="L48" s="316"/>
      <c r="M48" s="316"/>
      <c r="N48" s="316"/>
      <c r="O48" s="287">
        <f t="shared" si="11"/>
        <v>1835410</v>
      </c>
      <c r="P48" s="320">
        <f>'Base Costs'!P48*(1+$AI48)</f>
        <v>0</v>
      </c>
      <c r="Q48" s="287">
        <f>'Base Costs'!Q48*(1+$AI48)</f>
        <v>0</v>
      </c>
      <c r="R48" s="341">
        <f>'Base Costs'!R48*(1+$AI48)</f>
        <v>367082</v>
      </c>
      <c r="S48" s="341">
        <f>'Base Costs'!S48*(1+$AI48)</f>
        <v>367082</v>
      </c>
      <c r="T48" s="341">
        <f>'Base Costs'!T48*(1+$AI48)</f>
        <v>367082</v>
      </c>
      <c r="U48" s="341">
        <f>'Base Costs'!U48*(1+$AI48)</f>
        <v>367082</v>
      </c>
      <c r="V48" s="341">
        <f>'Base Costs'!V48*(1+$AI48)</f>
        <v>367082</v>
      </c>
      <c r="W48" s="287">
        <f>'Base Costs'!W48*(1+$AI48)</f>
        <v>0</v>
      </c>
      <c r="X48" s="321">
        <f>'Base Costs'!X48*(1+$AI48)</f>
        <v>0</v>
      </c>
      <c r="Y48" s="287">
        <f t="shared" si="10"/>
        <v>0</v>
      </c>
      <c r="Z48" s="287">
        <f t="shared" si="1"/>
        <v>0</v>
      </c>
      <c r="AA48" s="341">
        <f t="shared" si="2"/>
        <v>367082</v>
      </c>
      <c r="AB48" s="341">
        <f t="shared" si="3"/>
        <v>367082</v>
      </c>
      <c r="AC48" s="341">
        <f t="shared" si="4"/>
        <v>367082</v>
      </c>
      <c r="AD48" s="341">
        <f t="shared" si="5"/>
        <v>367082</v>
      </c>
      <c r="AE48" s="341">
        <f t="shared" si="6"/>
        <v>367082</v>
      </c>
      <c r="AF48" s="287">
        <f t="shared" si="7"/>
        <v>0</v>
      </c>
      <c r="AG48" s="287">
        <f t="shared" si="8"/>
        <v>0</v>
      </c>
      <c r="AH48" s="322">
        <f>IF($H48,0,IFERROR(IF(VALUE(LEFT(D48,4))&gt;VALUE(LEFT(Parameters!$B$66,4))+1,O48-SUM(R48:X48),0),0))</f>
        <v>0</v>
      </c>
      <c r="AI48" s="325">
        <f>IF(E48=0,0,INDEX(Parameters!$D$5:$D$35,MATCH(E48,Parameters!$B$5:$B$35,0)))</f>
        <v>0</v>
      </c>
    </row>
    <row r="49" spans="1:35" x14ac:dyDescent="0.3">
      <c r="A49" s="313" t="str">
        <f>'Base Costs'!A49</f>
        <v>ND1341</v>
      </c>
      <c r="B49" s="314" t="str">
        <f>'Base Costs'!B49</f>
        <v>Strategic spare 110/22/11 kV 17/25 MVA supply transformer</v>
      </c>
      <c r="C49" s="314" t="str">
        <f>'Base Costs'!C49</f>
        <v>Inventory / Spares</v>
      </c>
      <c r="D49" s="333" t="str">
        <f>'Base Costs'!D49</f>
        <v>2016/17</v>
      </c>
      <c r="E49" s="333">
        <f>'Base Costs'!E49</f>
        <v>11</v>
      </c>
      <c r="F49" s="315"/>
      <c r="G49" s="315"/>
      <c r="H49" s="316">
        <f>'Input Data Sheet'!J49</f>
        <v>0</v>
      </c>
      <c r="I49" s="316"/>
      <c r="J49" s="316"/>
      <c r="K49" s="316"/>
      <c r="L49" s="316"/>
      <c r="M49" s="316"/>
      <c r="N49" s="316"/>
      <c r="O49" s="287">
        <f t="shared" si="11"/>
        <v>1489556.3077999998</v>
      </c>
      <c r="P49" s="320">
        <f>'Base Costs'!P49*(1+$AI49)</f>
        <v>0</v>
      </c>
      <c r="Q49" s="287">
        <f>'Base Costs'!Q49*(1+$AI49)</f>
        <v>0</v>
      </c>
      <c r="R49" s="341">
        <f>'Base Costs'!R49*(1+$AI49)</f>
        <v>185134.97399999999</v>
      </c>
      <c r="S49" s="341">
        <f>'Base Costs'!S49*(1+$AI49)</f>
        <v>1278177.2293999998</v>
      </c>
      <c r="T49" s="341">
        <f>'Base Costs'!T49*(1+$AI49)</f>
        <v>26244.1044</v>
      </c>
      <c r="U49" s="341">
        <f>'Base Costs'!U49*(1+$AI49)</f>
        <v>0</v>
      </c>
      <c r="V49" s="341">
        <f>'Base Costs'!V49*(1+$AI49)</f>
        <v>0</v>
      </c>
      <c r="W49" s="287">
        <f>'Base Costs'!W49*(1+$AI49)</f>
        <v>0</v>
      </c>
      <c r="X49" s="321">
        <f>'Base Costs'!X49*(1+$AI49)</f>
        <v>0</v>
      </c>
      <c r="Y49" s="287">
        <f t="shared" si="10"/>
        <v>0</v>
      </c>
      <c r="Z49" s="287">
        <f t="shared" si="1"/>
        <v>0</v>
      </c>
      <c r="AA49" s="341">
        <f t="shared" si="2"/>
        <v>0</v>
      </c>
      <c r="AB49" s="341">
        <f t="shared" si="3"/>
        <v>0</v>
      </c>
      <c r="AC49" s="341">
        <f t="shared" si="4"/>
        <v>1489556.3077999998</v>
      </c>
      <c r="AD49" s="341">
        <f t="shared" si="5"/>
        <v>0</v>
      </c>
      <c r="AE49" s="341">
        <f t="shared" si="6"/>
        <v>0</v>
      </c>
      <c r="AF49" s="287">
        <f t="shared" si="7"/>
        <v>0</v>
      </c>
      <c r="AG49" s="287">
        <f t="shared" si="8"/>
        <v>0</v>
      </c>
      <c r="AH49" s="322">
        <f>IF($H49,0,IFERROR(IF(VALUE(LEFT(D49,4))&gt;VALUE(LEFT(Parameters!$B$66,4))+1,O49-SUM(R49:X49),0),0))</f>
        <v>0</v>
      </c>
      <c r="AI49" s="325">
        <f>IF(E49=0,0,INDEX(Parameters!$D$5:$D$35,MATCH(E49,Parameters!$B$5:$B$35,0)))</f>
        <v>2.46E-2</v>
      </c>
    </row>
    <row r="50" spans="1:35" x14ac:dyDescent="0.3">
      <c r="A50" s="313" t="str">
        <f>'Base Costs'!A50</f>
        <v>ND1342</v>
      </c>
      <c r="B50" s="314" t="str">
        <f>'Base Costs'!B50</f>
        <v>Strategic spare 110/33/22/11 kV 30/60 MVA supply transformer</v>
      </c>
      <c r="C50" s="314" t="str">
        <f>'Base Costs'!C50</f>
        <v>Inventory / Spares</v>
      </c>
      <c r="D50" s="333" t="str">
        <f>'Base Costs'!D50</f>
        <v>2016/17</v>
      </c>
      <c r="E50" s="333">
        <f>'Base Costs'!E50</f>
        <v>11</v>
      </c>
      <c r="F50" s="315"/>
      <c r="G50" s="315"/>
      <c r="H50" s="316">
        <f>'Input Data Sheet'!J50</f>
        <v>0</v>
      </c>
      <c r="I50" s="316"/>
      <c r="J50" s="316"/>
      <c r="K50" s="316"/>
      <c r="L50" s="316"/>
      <c r="M50" s="316"/>
      <c r="N50" s="316"/>
      <c r="O50" s="287">
        <f t="shared" si="11"/>
        <v>2049200</v>
      </c>
      <c r="P50" s="320">
        <f>'Base Costs'!P50*(1+$AI50)</f>
        <v>0</v>
      </c>
      <c r="Q50" s="287">
        <f>'Base Costs'!Q50*(1+$AI50)</f>
        <v>0</v>
      </c>
      <c r="R50" s="341">
        <f>'Base Costs'!R50*(1+$AI50)</f>
        <v>286888</v>
      </c>
      <c r="S50" s="341">
        <f>'Base Costs'!S50*(1+$AI50)</f>
        <v>1731574</v>
      </c>
      <c r="T50" s="341">
        <f>'Base Costs'!T50*(1+$AI50)</f>
        <v>30738</v>
      </c>
      <c r="U50" s="341">
        <f>'Base Costs'!U50*(1+$AI50)</f>
        <v>0</v>
      </c>
      <c r="V50" s="341">
        <f>'Base Costs'!V50*(1+$AI50)</f>
        <v>0</v>
      </c>
      <c r="W50" s="287">
        <f>'Base Costs'!W50*(1+$AI50)</f>
        <v>0</v>
      </c>
      <c r="X50" s="321">
        <f>'Base Costs'!X50*(1+$AI50)</f>
        <v>0</v>
      </c>
      <c r="Y50" s="287">
        <f t="shared" si="10"/>
        <v>0</v>
      </c>
      <c r="Z50" s="287">
        <f t="shared" si="1"/>
        <v>0</v>
      </c>
      <c r="AA50" s="341">
        <f t="shared" si="2"/>
        <v>0</v>
      </c>
      <c r="AB50" s="341">
        <f t="shared" si="3"/>
        <v>0</v>
      </c>
      <c r="AC50" s="341">
        <f t="shared" si="4"/>
        <v>2049200</v>
      </c>
      <c r="AD50" s="341">
        <f t="shared" si="5"/>
        <v>0</v>
      </c>
      <c r="AE50" s="341">
        <f t="shared" si="6"/>
        <v>0</v>
      </c>
      <c r="AF50" s="287">
        <f t="shared" si="7"/>
        <v>0</v>
      </c>
      <c r="AG50" s="287">
        <f t="shared" si="8"/>
        <v>0</v>
      </c>
      <c r="AH50" s="322">
        <f>IF($H50,0,IFERROR(IF(VALUE(LEFT(D50,4))&gt;VALUE(LEFT(Parameters!$B$66,4))+1,O50-SUM(R50:X50),0),0))</f>
        <v>0</v>
      </c>
      <c r="AI50" s="325">
        <f>IF(E50=0,0,INDEX(Parameters!$D$5:$D$35,MATCH(E50,Parameters!$B$5:$B$35,0)))</f>
        <v>2.46E-2</v>
      </c>
    </row>
    <row r="51" spans="1:35" x14ac:dyDescent="0.3">
      <c r="A51" s="313" t="str">
        <f>'Base Costs'!A51</f>
        <v>ND1340</v>
      </c>
      <c r="B51" s="314" t="str">
        <f>'Base Costs'!B51</f>
        <v>Strategic spare 33 kV switchgear</v>
      </c>
      <c r="C51" s="314" t="str">
        <f>'Base Costs'!C51</f>
        <v>Inventory / Spares</v>
      </c>
      <c r="D51" s="333" t="str">
        <f>'Base Costs'!D51</f>
        <v>2015/16</v>
      </c>
      <c r="E51" s="333">
        <f>'Base Costs'!E51</f>
        <v>8</v>
      </c>
      <c r="F51" s="315"/>
      <c r="G51" s="315"/>
      <c r="H51" s="316">
        <f>'Input Data Sheet'!J51</f>
        <v>0</v>
      </c>
      <c r="I51" s="316"/>
      <c r="J51" s="316"/>
      <c r="K51" s="316"/>
      <c r="L51" s="316"/>
      <c r="M51" s="316"/>
      <c r="N51" s="316"/>
      <c r="O51" s="287">
        <f t="shared" si="11"/>
        <v>665990</v>
      </c>
      <c r="P51" s="320">
        <f>'Base Costs'!P51*(1+$AI51)</f>
        <v>0</v>
      </c>
      <c r="Q51" s="287">
        <f>'Base Costs'!Q51*(1+$AI51)</f>
        <v>0</v>
      </c>
      <c r="R51" s="341">
        <f>'Base Costs'!R51*(1+$AI51)</f>
        <v>231559.59999999998</v>
      </c>
      <c r="S51" s="341">
        <f>'Base Costs'!S51*(1+$AI51)</f>
        <v>434430.39999999997</v>
      </c>
      <c r="T51" s="341">
        <f>'Base Costs'!T51*(1+$AI51)</f>
        <v>0</v>
      </c>
      <c r="U51" s="341">
        <f>'Base Costs'!U51*(1+$AI51)</f>
        <v>0</v>
      </c>
      <c r="V51" s="341">
        <f>'Base Costs'!V51*(1+$AI51)</f>
        <v>0</v>
      </c>
      <c r="W51" s="287">
        <f>'Base Costs'!W51*(1+$AI51)</f>
        <v>0</v>
      </c>
      <c r="X51" s="321">
        <f>'Base Costs'!X51*(1+$AI51)</f>
        <v>0</v>
      </c>
      <c r="Y51" s="287">
        <f t="shared" si="10"/>
        <v>0</v>
      </c>
      <c r="Z51" s="287">
        <f t="shared" si="1"/>
        <v>0</v>
      </c>
      <c r="AA51" s="341">
        <f t="shared" si="2"/>
        <v>0</v>
      </c>
      <c r="AB51" s="341">
        <f t="shared" si="3"/>
        <v>665990</v>
      </c>
      <c r="AC51" s="341">
        <f t="shared" si="4"/>
        <v>0</v>
      </c>
      <c r="AD51" s="341">
        <f t="shared" si="5"/>
        <v>0</v>
      </c>
      <c r="AE51" s="341">
        <f t="shared" si="6"/>
        <v>0</v>
      </c>
      <c r="AF51" s="287">
        <f t="shared" si="7"/>
        <v>0</v>
      </c>
      <c r="AG51" s="287">
        <f t="shared" si="8"/>
        <v>0</v>
      </c>
      <c r="AH51" s="322">
        <f>IF($H51,0,IFERROR(IF(VALUE(LEFT(D51,4))&gt;VALUE(LEFT(Parameters!$B$66,4))+1,O51-SUM(R51:X51),0),0))</f>
        <v>0</v>
      </c>
      <c r="AI51" s="325">
        <f>IF(E51=0,0,INDEX(Parameters!$D$5:$D$35,MATCH(E51,Parameters!$B$5:$B$35,0)))</f>
        <v>2.46E-2</v>
      </c>
    </row>
    <row r="52" spans="1:35" x14ac:dyDescent="0.3">
      <c r="A52" s="313" t="str">
        <f>'Base Costs'!A52</f>
        <v>ND1118</v>
      </c>
      <c r="B52" s="314" t="str">
        <f>'Base Costs'!B52</f>
        <v>Strategic spare dual secondary winding 110/11-6.6 kV 45-45 MVA supply transformer</v>
      </c>
      <c r="C52" s="314" t="str">
        <f>'Base Costs'!C52</f>
        <v>Inventory / Spares</v>
      </c>
      <c r="D52" s="333" t="str">
        <f>'Base Costs'!D52</f>
        <v>2016/17</v>
      </c>
      <c r="E52" s="333">
        <f>'Base Costs'!E52</f>
        <v>11</v>
      </c>
      <c r="F52" s="315"/>
      <c r="G52" s="315"/>
      <c r="H52" s="316">
        <f>'Input Data Sheet'!J52</f>
        <v>0</v>
      </c>
      <c r="I52" s="316"/>
      <c r="J52" s="316"/>
      <c r="K52" s="316"/>
      <c r="L52" s="316"/>
      <c r="M52" s="316"/>
      <c r="N52" s="316"/>
      <c r="O52" s="287">
        <f t="shared" si="11"/>
        <v>2305350</v>
      </c>
      <c r="P52" s="320">
        <f>'Base Costs'!P52*(1+$AI52)</f>
        <v>0</v>
      </c>
      <c r="Q52" s="287">
        <f>'Base Costs'!Q52*(1+$AI52)</f>
        <v>0</v>
      </c>
      <c r="R52" s="341">
        <f>'Base Costs'!R52*(1+$AI52)</f>
        <v>322749</v>
      </c>
      <c r="S52" s="341">
        <f>'Base Costs'!S52*(1+$AI52)</f>
        <v>1867333.5</v>
      </c>
      <c r="T52" s="341">
        <f>'Base Costs'!T52*(1+$AI52)</f>
        <v>115267.5</v>
      </c>
      <c r="U52" s="341">
        <f>'Base Costs'!U52*(1+$AI52)</f>
        <v>0</v>
      </c>
      <c r="V52" s="341">
        <f>'Base Costs'!V52*(1+$AI52)</f>
        <v>0</v>
      </c>
      <c r="W52" s="287">
        <f>'Base Costs'!W52*(1+$AI52)</f>
        <v>0</v>
      </c>
      <c r="X52" s="321">
        <f>'Base Costs'!X52*(1+$AI52)</f>
        <v>0</v>
      </c>
      <c r="Y52" s="287">
        <f t="shared" si="10"/>
        <v>0</v>
      </c>
      <c r="Z52" s="287">
        <f t="shared" si="1"/>
        <v>0</v>
      </c>
      <c r="AA52" s="341">
        <f t="shared" si="2"/>
        <v>0</v>
      </c>
      <c r="AB52" s="341">
        <f t="shared" si="3"/>
        <v>0</v>
      </c>
      <c r="AC52" s="341">
        <f t="shared" si="4"/>
        <v>2305350</v>
      </c>
      <c r="AD52" s="341">
        <f t="shared" si="5"/>
        <v>0</v>
      </c>
      <c r="AE52" s="341">
        <f t="shared" si="6"/>
        <v>0</v>
      </c>
      <c r="AF52" s="287">
        <f t="shared" si="7"/>
        <v>0</v>
      </c>
      <c r="AG52" s="287">
        <f t="shared" si="8"/>
        <v>0</v>
      </c>
      <c r="AH52" s="322">
        <f>IF($H52,0,IFERROR(IF(VALUE(LEFT(D52,4))&gt;VALUE(LEFT(Parameters!$B$66,4))+1,O52-SUM(R52:X52),0),0))</f>
        <v>0</v>
      </c>
      <c r="AI52" s="325">
        <f>IF(E52=0,0,INDEX(Parameters!$D$5:$D$35,MATCH(E52,Parameters!$B$5:$B$35,0)))</f>
        <v>2.46E-2</v>
      </c>
    </row>
    <row r="53" spans="1:35" x14ac:dyDescent="0.3">
      <c r="A53" s="313" t="str">
        <f>'Base Costs'!A53</f>
        <v>ND1343</v>
      </c>
      <c r="B53" s="314" t="str">
        <f>'Base Costs'!B53</f>
        <v>Strategic spare mobile 110/33/22/11 kV substation</v>
      </c>
      <c r="C53" s="314" t="str">
        <f>'Base Costs'!C53</f>
        <v>Inventory / Spares</v>
      </c>
      <c r="D53" s="333" t="str">
        <f>'Base Costs'!D53</f>
        <v>2016/17</v>
      </c>
      <c r="E53" s="333" t="str">
        <f>'Base Costs'!E53</f>
        <v>7a</v>
      </c>
      <c r="F53" s="315"/>
      <c r="G53" s="315"/>
      <c r="H53" s="316">
        <f>'Input Data Sheet'!J53</f>
        <v>0</v>
      </c>
      <c r="I53" s="316"/>
      <c r="J53" s="316"/>
      <c r="K53" s="316"/>
      <c r="L53" s="316"/>
      <c r="M53" s="316"/>
      <c r="N53" s="316"/>
      <c r="O53" s="287">
        <f t="shared" si="11"/>
        <v>6492160</v>
      </c>
      <c r="P53" s="320">
        <f>'Base Costs'!P53*(1+$AI53)</f>
        <v>0</v>
      </c>
      <c r="Q53" s="287">
        <f>'Base Costs'!Q53*(1+$AI53)</f>
        <v>0</v>
      </c>
      <c r="R53" s="341">
        <f>'Base Costs'!R53*(1+$AI53)</f>
        <v>260295.03999999998</v>
      </c>
      <c r="S53" s="341">
        <f>'Base Costs'!S53*(1+$AI53)</f>
        <v>2507275.2352</v>
      </c>
      <c r="T53" s="341">
        <f>'Base Costs'!T53*(1+$AI53)</f>
        <v>3724589.7248</v>
      </c>
      <c r="U53" s="341">
        <f>'Base Costs'!U53*(1+$AI53)</f>
        <v>0</v>
      </c>
      <c r="V53" s="341">
        <f>'Base Costs'!V53*(1+$AI53)</f>
        <v>0</v>
      </c>
      <c r="W53" s="287">
        <f>'Base Costs'!W53*(1+$AI53)</f>
        <v>0</v>
      </c>
      <c r="X53" s="321">
        <f>'Base Costs'!X53*(1+$AI53)</f>
        <v>0</v>
      </c>
      <c r="Y53" s="287">
        <f t="shared" si="10"/>
        <v>0</v>
      </c>
      <c r="Z53" s="287">
        <f t="shared" si="1"/>
        <v>0</v>
      </c>
      <c r="AA53" s="341">
        <f t="shared" si="2"/>
        <v>0</v>
      </c>
      <c r="AB53" s="341">
        <f t="shared" si="3"/>
        <v>0</v>
      </c>
      <c r="AC53" s="341">
        <f t="shared" si="4"/>
        <v>6492160</v>
      </c>
      <c r="AD53" s="341">
        <f t="shared" si="5"/>
        <v>0</v>
      </c>
      <c r="AE53" s="341">
        <f t="shared" si="6"/>
        <v>0</v>
      </c>
      <c r="AF53" s="287">
        <f t="shared" si="7"/>
        <v>0</v>
      </c>
      <c r="AG53" s="287">
        <f t="shared" si="8"/>
        <v>0</v>
      </c>
      <c r="AH53" s="322">
        <f>IF($H53,0,IFERROR(IF(VALUE(LEFT(D53,4))&gt;VALUE(LEFT(Parameters!$B$66,4))+1,O53-SUM(R53:X53),0),0))</f>
        <v>0</v>
      </c>
      <c r="AI53" s="325">
        <f>IF(E53=0,0,INDEX(Parameters!$D$5:$D$35,MATCH(E53,Parameters!$B$5:$B$35,0)))</f>
        <v>1.44E-2</v>
      </c>
    </row>
    <row r="54" spans="1:35" x14ac:dyDescent="0.3">
      <c r="A54" s="313" t="str">
        <f>'Base Costs'!A54</f>
        <v>ND1204</v>
      </c>
      <c r="B54" s="314" t="str">
        <f>'Base Costs'!B54</f>
        <v>Substation AC distribution system renewal program</v>
      </c>
      <c r="C54" s="314" t="str">
        <f>'Base Costs'!C54</f>
        <v>Asset Renewal</v>
      </c>
      <c r="D54" s="333" t="str">
        <f>'Base Costs'!D54</f>
        <v>2017/18</v>
      </c>
      <c r="E54" s="333">
        <f>'Base Costs'!E54</f>
        <v>8</v>
      </c>
      <c r="F54" s="315"/>
      <c r="G54" s="315"/>
      <c r="H54" s="316">
        <f>'Input Data Sheet'!J54</f>
        <v>1</v>
      </c>
      <c r="I54" s="316"/>
      <c r="J54" s="316"/>
      <c r="K54" s="316"/>
      <c r="L54" s="316"/>
      <c r="M54" s="316"/>
      <c r="N54" s="316"/>
      <c r="O54" s="287">
        <f t="shared" si="11"/>
        <v>2143053.36</v>
      </c>
      <c r="P54" s="320">
        <f>'Base Costs'!P54*(1+$AI54)</f>
        <v>0</v>
      </c>
      <c r="Q54" s="287">
        <f>'Base Costs'!Q54*(1+$AI54)</f>
        <v>0</v>
      </c>
      <c r="R54" s="341">
        <f>'Base Costs'!R54*(1+$AI54)</f>
        <v>0</v>
      </c>
      <c r="S54" s="341">
        <f>'Base Costs'!S54*(1+$AI54)</f>
        <v>0</v>
      </c>
      <c r="T54" s="341">
        <f>'Base Costs'!T54*(1+$AI54)</f>
        <v>176587.76079999999</v>
      </c>
      <c r="U54" s="341">
        <f>'Base Costs'!U54*(1+$AI54)</f>
        <v>828605.29059999995</v>
      </c>
      <c r="V54" s="341">
        <f>'Base Costs'!V54*(1+$AI54)</f>
        <v>1137860.3085999999</v>
      </c>
      <c r="W54" s="287">
        <f>'Base Costs'!W54*(1+$AI54)</f>
        <v>0</v>
      </c>
      <c r="X54" s="321">
        <f>'Base Costs'!X54*(1+$AI54)</f>
        <v>0</v>
      </c>
      <c r="Y54" s="287">
        <f t="shared" si="10"/>
        <v>0</v>
      </c>
      <c r="Z54" s="287">
        <f t="shared" si="1"/>
        <v>0</v>
      </c>
      <c r="AA54" s="341">
        <f t="shared" si="2"/>
        <v>0</v>
      </c>
      <c r="AB54" s="341">
        <f t="shared" si="3"/>
        <v>0</v>
      </c>
      <c r="AC54" s="341">
        <f t="shared" si="4"/>
        <v>176587.76079999999</v>
      </c>
      <c r="AD54" s="341">
        <f t="shared" si="5"/>
        <v>828605.29059999995</v>
      </c>
      <c r="AE54" s="341">
        <f t="shared" si="6"/>
        <v>1137860.3085999999</v>
      </c>
      <c r="AF54" s="287">
        <f t="shared" si="7"/>
        <v>0</v>
      </c>
      <c r="AG54" s="287">
        <f t="shared" si="8"/>
        <v>0</v>
      </c>
      <c r="AH54" s="322">
        <f>IF($H54,0,IFERROR(IF(VALUE(LEFT(D54,4))&gt;VALUE(LEFT(Parameters!$B$66,4))+1,O54-SUM(R54:X54),0),0))</f>
        <v>0</v>
      </c>
      <c r="AI54" s="325">
        <f>IF(E54=0,0,INDEX(Parameters!$D$5:$D$35,MATCH(E54,Parameters!$B$5:$B$35,0)))</f>
        <v>2.46E-2</v>
      </c>
    </row>
    <row r="55" spans="1:35" x14ac:dyDescent="0.3">
      <c r="A55" s="313" t="str">
        <f>'Base Costs'!A55</f>
        <v>ND0989</v>
      </c>
      <c r="B55" s="314" t="str">
        <f>'Base Costs'!B55</f>
        <v>Substation AC supply replacement program</v>
      </c>
      <c r="C55" s="314" t="str">
        <f>'Base Costs'!C55</f>
        <v>Asset Renewal</v>
      </c>
      <c r="D55" s="333" t="str">
        <f>'Base Costs'!D55</f>
        <v>2014/15</v>
      </c>
      <c r="E55" s="333">
        <f>'Base Costs'!E55</f>
        <v>0</v>
      </c>
      <c r="F55" s="315"/>
      <c r="G55" s="315"/>
      <c r="H55" s="316">
        <f>'Input Data Sheet'!J55</f>
        <v>0</v>
      </c>
      <c r="I55" s="316"/>
      <c r="J55" s="316"/>
      <c r="K55" s="316"/>
      <c r="L55" s="316"/>
      <c r="M55" s="316"/>
      <c r="N55" s="316"/>
      <c r="O55" s="287">
        <f t="shared" si="11"/>
        <v>323963.17737496441</v>
      </c>
      <c r="P55" s="320">
        <f>'Base Costs'!P55*(1+$AI55)</f>
        <v>0</v>
      </c>
      <c r="Q55" s="287">
        <f>'Base Costs'!Q55*(1+$AI55)</f>
        <v>0</v>
      </c>
      <c r="R55" s="341">
        <f>'Base Costs'!R55*(1+$AI55)</f>
        <v>323963.17737496441</v>
      </c>
      <c r="S55" s="341">
        <f>'Base Costs'!S55*(1+$AI55)</f>
        <v>0</v>
      </c>
      <c r="T55" s="341">
        <f>'Base Costs'!T55*(1+$AI55)</f>
        <v>0</v>
      </c>
      <c r="U55" s="341">
        <f>'Base Costs'!U55*(1+$AI55)</f>
        <v>0</v>
      </c>
      <c r="V55" s="341">
        <f>'Base Costs'!V55*(1+$AI55)</f>
        <v>0</v>
      </c>
      <c r="W55" s="287">
        <f>'Base Costs'!W55*(1+$AI55)</f>
        <v>0</v>
      </c>
      <c r="X55" s="321">
        <f>'Base Costs'!X55*(1+$AI55)</f>
        <v>0</v>
      </c>
      <c r="Y55" s="287">
        <f t="shared" si="10"/>
        <v>0</v>
      </c>
      <c r="Z55" s="287">
        <f t="shared" si="1"/>
        <v>0</v>
      </c>
      <c r="AA55" s="341">
        <f t="shared" si="2"/>
        <v>323963.17737496441</v>
      </c>
      <c r="AB55" s="341">
        <f t="shared" si="3"/>
        <v>0</v>
      </c>
      <c r="AC55" s="341">
        <f t="shared" si="4"/>
        <v>0</v>
      </c>
      <c r="AD55" s="341">
        <f t="shared" si="5"/>
        <v>0</v>
      </c>
      <c r="AE55" s="341">
        <f t="shared" si="6"/>
        <v>0</v>
      </c>
      <c r="AF55" s="287">
        <f t="shared" si="7"/>
        <v>0</v>
      </c>
      <c r="AG55" s="287">
        <f t="shared" si="8"/>
        <v>0</v>
      </c>
      <c r="AH55" s="322">
        <f>IF($H55,0,IFERROR(IF(VALUE(LEFT(D55,4))&gt;VALUE(LEFT(Parameters!$B$66,4))+1,O55-SUM(R55:X55),0),0))</f>
        <v>0</v>
      </c>
      <c r="AI55" s="325">
        <f>IF(E55=0,0,INDEX(Parameters!$D$5:$D$35,MATCH(E55,Parameters!$B$5:$B$35,0)))</f>
        <v>0</v>
      </c>
    </row>
    <row r="56" spans="1:35" x14ac:dyDescent="0.3">
      <c r="A56" s="313" t="str">
        <f>'Base Costs'!A56</f>
        <v>ND1002</v>
      </c>
      <c r="B56" s="314" t="str">
        <f>'Base Costs'!B56</f>
        <v>Substation condition based monitoring program</v>
      </c>
      <c r="C56" s="314" t="str">
        <f>'Base Costs'!C56</f>
        <v>Operational Support Systems</v>
      </c>
      <c r="D56" s="333" t="str">
        <f>'Base Costs'!D56</f>
        <v>2018/19</v>
      </c>
      <c r="E56" s="333">
        <f>'Base Costs'!E56</f>
        <v>8</v>
      </c>
      <c r="F56" s="315"/>
      <c r="G56" s="315"/>
      <c r="H56" s="316">
        <f>'Input Data Sheet'!J56</f>
        <v>1</v>
      </c>
      <c r="I56" s="316"/>
      <c r="J56" s="316"/>
      <c r="K56" s="316"/>
      <c r="L56" s="316"/>
      <c r="M56" s="316"/>
      <c r="N56" s="316"/>
      <c r="O56" s="287">
        <f t="shared" si="11"/>
        <v>1516408</v>
      </c>
      <c r="P56" s="320">
        <f>'Base Costs'!P56*(1+$AI56)</f>
        <v>0</v>
      </c>
      <c r="Q56" s="287">
        <f>'Base Costs'!Q56*(1+$AI56)</f>
        <v>0</v>
      </c>
      <c r="R56" s="341">
        <f>'Base Costs'!R56*(1+$AI56)</f>
        <v>303281.59999999998</v>
      </c>
      <c r="S56" s="341">
        <f>'Base Costs'!S56*(1+$AI56)</f>
        <v>303281.59999999998</v>
      </c>
      <c r="T56" s="341">
        <f>'Base Costs'!T56*(1+$AI56)</f>
        <v>303281.59999999998</v>
      </c>
      <c r="U56" s="341">
        <f>'Base Costs'!U56*(1+$AI56)</f>
        <v>303281.59999999998</v>
      </c>
      <c r="V56" s="341">
        <f>'Base Costs'!V56*(1+$AI56)</f>
        <v>303281.59999999998</v>
      </c>
      <c r="W56" s="287">
        <f>'Base Costs'!W56*(1+$AI56)</f>
        <v>0</v>
      </c>
      <c r="X56" s="321">
        <f>'Base Costs'!X56*(1+$AI56)</f>
        <v>0</v>
      </c>
      <c r="Y56" s="287">
        <f t="shared" si="10"/>
        <v>0</v>
      </c>
      <c r="Z56" s="287">
        <f t="shared" si="1"/>
        <v>0</v>
      </c>
      <c r="AA56" s="341">
        <f t="shared" si="2"/>
        <v>303281.59999999998</v>
      </c>
      <c r="AB56" s="341">
        <f t="shared" si="3"/>
        <v>303281.59999999998</v>
      </c>
      <c r="AC56" s="341">
        <f t="shared" si="4"/>
        <v>303281.59999999998</v>
      </c>
      <c r="AD56" s="341">
        <f t="shared" si="5"/>
        <v>303281.59999999998</v>
      </c>
      <c r="AE56" s="341">
        <f t="shared" si="6"/>
        <v>303281.59999999998</v>
      </c>
      <c r="AF56" s="287">
        <f t="shared" si="7"/>
        <v>0</v>
      </c>
      <c r="AG56" s="287">
        <f t="shared" si="8"/>
        <v>0</v>
      </c>
      <c r="AH56" s="322">
        <f>IF($H56,0,IFERROR(IF(VALUE(LEFT(D56,4))&gt;VALUE(LEFT(Parameters!$B$66,4))+1,O56-SUM(R56:X56),0),0))</f>
        <v>0</v>
      </c>
      <c r="AI56" s="325">
        <f>IF(E56=0,0,INDEX(Parameters!$D$5:$D$35,MATCH(E56,Parameters!$B$5:$B$35,0)))</f>
        <v>2.46E-2</v>
      </c>
    </row>
    <row r="57" spans="1:35" x14ac:dyDescent="0.3">
      <c r="A57" s="313" t="str">
        <f>'Base Costs'!A57</f>
        <v>ND0981</v>
      </c>
      <c r="B57" s="314" t="str">
        <f>'Base Costs'!B57</f>
        <v>Substation DC distribution system renewal program</v>
      </c>
      <c r="C57" s="314" t="str">
        <f>'Base Costs'!C57</f>
        <v>Asset Renewal</v>
      </c>
      <c r="D57" s="333" t="str">
        <f>'Base Costs'!D57</f>
        <v>2018/19</v>
      </c>
      <c r="E57" s="333">
        <f>'Base Costs'!E57</f>
        <v>9</v>
      </c>
      <c r="F57" s="315"/>
      <c r="G57" s="315"/>
      <c r="H57" s="316">
        <f>'Input Data Sheet'!J57</f>
        <v>1</v>
      </c>
      <c r="I57" s="316"/>
      <c r="J57" s="316"/>
      <c r="K57" s="316"/>
      <c r="L57" s="316"/>
      <c r="M57" s="316"/>
      <c r="N57" s="316"/>
      <c r="O57" s="287">
        <f t="shared" si="11"/>
        <v>3391548.9519999996</v>
      </c>
      <c r="P57" s="320">
        <f>'Base Costs'!P57*(1+$AI57)</f>
        <v>0</v>
      </c>
      <c r="Q57" s="287">
        <f>'Base Costs'!Q57*(1+$AI57)</f>
        <v>0</v>
      </c>
      <c r="R57" s="341">
        <f>'Base Costs'!R57*(1+$AI57)</f>
        <v>0</v>
      </c>
      <c r="S57" s="341">
        <f>'Base Costs'!S57*(1+$AI57)</f>
        <v>0</v>
      </c>
      <c r="T57" s="341">
        <f>'Base Costs'!T57*(1+$AI57)</f>
        <v>456947.00959999999</v>
      </c>
      <c r="U57" s="341">
        <f>'Base Costs'!U57*(1+$AI57)</f>
        <v>2036442.7053999999</v>
      </c>
      <c r="V57" s="341">
        <f>'Base Costs'!V57*(1+$AI57)</f>
        <v>898159.23699999996</v>
      </c>
      <c r="W57" s="287">
        <f>'Base Costs'!W57*(1+$AI57)</f>
        <v>0</v>
      </c>
      <c r="X57" s="321">
        <f>'Base Costs'!X57*(1+$AI57)</f>
        <v>0</v>
      </c>
      <c r="Y57" s="287">
        <f t="shared" si="10"/>
        <v>0</v>
      </c>
      <c r="Z57" s="287">
        <f t="shared" si="1"/>
        <v>0</v>
      </c>
      <c r="AA57" s="341">
        <f t="shared" si="2"/>
        <v>0</v>
      </c>
      <c r="AB57" s="341">
        <f t="shared" si="3"/>
        <v>0</v>
      </c>
      <c r="AC57" s="341">
        <f t="shared" si="4"/>
        <v>456947.00959999999</v>
      </c>
      <c r="AD57" s="341">
        <f t="shared" si="5"/>
        <v>2036442.7053999999</v>
      </c>
      <c r="AE57" s="341">
        <f t="shared" si="6"/>
        <v>898159.23699999996</v>
      </c>
      <c r="AF57" s="287">
        <f t="shared" si="7"/>
        <v>0</v>
      </c>
      <c r="AG57" s="287">
        <f t="shared" si="8"/>
        <v>0</v>
      </c>
      <c r="AH57" s="322">
        <f>IF($H57,0,IFERROR(IF(VALUE(LEFT(D57,4))&gt;VALUE(LEFT(Parameters!$B$66,4))+1,O57-SUM(R57:X57),0),0))</f>
        <v>0</v>
      </c>
      <c r="AI57" s="325">
        <f>IF(E57=0,0,INDEX(Parameters!$D$5:$D$35,MATCH(E57,Parameters!$B$5:$B$35,0)))</f>
        <v>2.46E-2</v>
      </c>
    </row>
    <row r="58" spans="1:35" x14ac:dyDescent="0.3">
      <c r="A58" s="313" t="str">
        <f>'Base Costs'!A58</f>
        <v>ND1259</v>
      </c>
      <c r="B58" s="314" t="str">
        <f>'Base Costs'!B58</f>
        <v>Substation Disconnector and Earth Switch renewal program</v>
      </c>
      <c r="C58" s="314" t="str">
        <f>'Base Costs'!C58</f>
        <v>Asset Renewal</v>
      </c>
      <c r="D58" s="333" t="str">
        <f>'Base Costs'!D58</f>
        <v>2017/18</v>
      </c>
      <c r="E58" s="333">
        <f>'Base Costs'!E58</f>
        <v>9</v>
      </c>
      <c r="F58" s="315"/>
      <c r="G58" s="315"/>
      <c r="H58" s="316">
        <f>'Input Data Sheet'!J58</f>
        <v>1</v>
      </c>
      <c r="I58" s="316"/>
      <c r="J58" s="316"/>
      <c r="K58" s="316"/>
      <c r="L58" s="316"/>
      <c r="M58" s="316"/>
      <c r="N58" s="316"/>
      <c r="O58" s="287">
        <f t="shared" si="11"/>
        <v>7903418.0851999987</v>
      </c>
      <c r="P58" s="320">
        <f>'Base Costs'!P58*(1+$AI58)</f>
        <v>0</v>
      </c>
      <c r="Q58" s="287">
        <f>'Base Costs'!Q58*(1+$AI58)</f>
        <v>0</v>
      </c>
      <c r="R58" s="341">
        <f>'Base Costs'!R58*(1+$AI58)</f>
        <v>0</v>
      </c>
      <c r="S58" s="341">
        <f>'Base Costs'!S58*(1+$AI58)</f>
        <v>1064836.0419999999</v>
      </c>
      <c r="T58" s="341">
        <f>'Base Costs'!T58*(1+$AI58)</f>
        <v>4745577.3193999995</v>
      </c>
      <c r="U58" s="341">
        <f>'Base Costs'!U58*(1+$AI58)</f>
        <v>2093004.7237999998</v>
      </c>
      <c r="V58" s="341">
        <f>'Base Costs'!V58*(1+$AI58)</f>
        <v>0</v>
      </c>
      <c r="W58" s="287">
        <f>'Base Costs'!W58*(1+$AI58)</f>
        <v>0</v>
      </c>
      <c r="X58" s="321">
        <f>'Base Costs'!X58*(1+$AI58)</f>
        <v>0</v>
      </c>
      <c r="Y58" s="287">
        <f t="shared" si="10"/>
        <v>0</v>
      </c>
      <c r="Z58" s="287">
        <f t="shared" si="1"/>
        <v>0</v>
      </c>
      <c r="AA58" s="341">
        <f t="shared" si="2"/>
        <v>0</v>
      </c>
      <c r="AB58" s="341">
        <f t="shared" si="3"/>
        <v>1064836.0419999999</v>
      </c>
      <c r="AC58" s="341">
        <f t="shared" si="4"/>
        <v>4745577.3193999995</v>
      </c>
      <c r="AD58" s="341">
        <f t="shared" si="5"/>
        <v>2093004.7237999998</v>
      </c>
      <c r="AE58" s="341">
        <f t="shared" si="6"/>
        <v>0</v>
      </c>
      <c r="AF58" s="287">
        <f t="shared" si="7"/>
        <v>0</v>
      </c>
      <c r="AG58" s="287">
        <f t="shared" si="8"/>
        <v>0</v>
      </c>
      <c r="AH58" s="322">
        <f>IF($H58,0,IFERROR(IF(VALUE(LEFT(D58,4))&gt;VALUE(LEFT(Parameters!$B$66,4))+1,O58-SUM(R58:X58),0),0))</f>
        <v>0</v>
      </c>
      <c r="AI58" s="325">
        <f>IF(E58=0,0,INDEX(Parameters!$D$5:$D$35,MATCH(E58,Parameters!$B$5:$B$35,0)))</f>
        <v>2.46E-2</v>
      </c>
    </row>
    <row r="59" spans="1:35" x14ac:dyDescent="0.3">
      <c r="A59" s="313" t="str">
        <f>'Base Costs'!A59</f>
        <v>ND1209</v>
      </c>
      <c r="B59" s="314" t="str">
        <f>'Base Costs'!B59</f>
        <v>Substation EHV Bus Bar protection renewal program</v>
      </c>
      <c r="C59" s="314" t="str">
        <f>'Base Costs'!C59</f>
        <v>Asset Renewal</v>
      </c>
      <c r="D59" s="333" t="str">
        <f>'Base Costs'!D59</f>
        <v>2019/20</v>
      </c>
      <c r="E59" s="333">
        <f>'Base Costs'!E59</f>
        <v>13</v>
      </c>
      <c r="F59" s="315"/>
      <c r="G59" s="315"/>
      <c r="H59" s="316">
        <f>'Input Data Sheet'!J59</f>
        <v>1</v>
      </c>
      <c r="I59" s="316"/>
      <c r="J59" s="316"/>
      <c r="K59" s="316"/>
      <c r="L59" s="316"/>
      <c r="M59" s="316"/>
      <c r="N59" s="316"/>
      <c r="O59" s="287">
        <f t="shared" si="11"/>
        <v>3904074.3640000001</v>
      </c>
      <c r="P59" s="320">
        <f>'Base Costs'!P59*(1+$AI59)</f>
        <v>0</v>
      </c>
      <c r="Q59" s="287">
        <f>'Base Costs'!Q59*(1+$AI59)</f>
        <v>0</v>
      </c>
      <c r="R59" s="341">
        <f>'Base Costs'!R59*(1+$AI59)</f>
        <v>0</v>
      </c>
      <c r="S59" s="341">
        <f>'Base Costs'!S59*(1+$AI59)</f>
        <v>0</v>
      </c>
      <c r="T59" s="341">
        <f>'Base Costs'!T59*(1+$AI59)</f>
        <v>0</v>
      </c>
      <c r="U59" s="341">
        <f>'Base Costs'!U59*(1+$AI59)</f>
        <v>507529.46239999996</v>
      </c>
      <c r="V59" s="341">
        <f>'Base Costs'!V59*(1+$AI59)</f>
        <v>3357504.5677999998</v>
      </c>
      <c r="W59" s="287">
        <f>'Base Costs'!W59*(1+$AI59)</f>
        <v>39040.3338</v>
      </c>
      <c r="X59" s="321">
        <f>'Base Costs'!X59*(1+$AI59)</f>
        <v>0</v>
      </c>
      <c r="Y59" s="287">
        <f t="shared" si="10"/>
        <v>0</v>
      </c>
      <c r="Z59" s="287">
        <f t="shared" si="1"/>
        <v>0</v>
      </c>
      <c r="AA59" s="341">
        <f t="shared" si="2"/>
        <v>0</v>
      </c>
      <c r="AB59" s="341">
        <f t="shared" si="3"/>
        <v>0</v>
      </c>
      <c r="AC59" s="341">
        <f t="shared" si="4"/>
        <v>0</v>
      </c>
      <c r="AD59" s="341">
        <f t="shared" si="5"/>
        <v>507529.46239999996</v>
      </c>
      <c r="AE59" s="341">
        <f t="shared" si="6"/>
        <v>3357504.5677999998</v>
      </c>
      <c r="AF59" s="287">
        <f t="shared" si="7"/>
        <v>39040.3338</v>
      </c>
      <c r="AG59" s="287">
        <f t="shared" si="8"/>
        <v>0</v>
      </c>
      <c r="AH59" s="322">
        <f>IF($H59,0,IFERROR(IF(VALUE(LEFT(D59,4))&gt;VALUE(LEFT(Parameters!$B$66,4))+1,O59-SUM(R59:X59),0),0))</f>
        <v>0</v>
      </c>
      <c r="AI59" s="325">
        <f>IF(E59=0,0,INDEX(Parameters!$D$5:$D$35,MATCH(E59,Parameters!$B$5:$B$35,0)))</f>
        <v>2.46E-2</v>
      </c>
    </row>
    <row r="60" spans="1:35" x14ac:dyDescent="0.3">
      <c r="A60" s="313" t="str">
        <f>'Base Costs'!A60</f>
        <v>ND1098</v>
      </c>
      <c r="B60" s="314" t="str">
        <f>'Base Costs'!B60</f>
        <v>Substation fire suppression renewal program</v>
      </c>
      <c r="C60" s="314" t="str">
        <f>'Base Costs'!C60</f>
        <v>Physical Security / Compliance</v>
      </c>
      <c r="D60" s="333" t="str">
        <f>'Base Costs'!D60</f>
        <v>2018/19</v>
      </c>
      <c r="E60" s="333">
        <f>'Base Costs'!E60</f>
        <v>9</v>
      </c>
      <c r="F60" s="315"/>
      <c r="G60" s="315"/>
      <c r="H60" s="316">
        <f>'Input Data Sheet'!J60</f>
        <v>1</v>
      </c>
      <c r="I60" s="316"/>
      <c r="J60" s="316"/>
      <c r="K60" s="316"/>
      <c r="L60" s="316"/>
      <c r="M60" s="316"/>
      <c r="N60" s="316"/>
      <c r="O60" s="287">
        <f t="shared" si="11"/>
        <v>4270619.8909999998</v>
      </c>
      <c r="P60" s="320">
        <f>'Base Costs'!P60*(1+$AI60)</f>
        <v>0</v>
      </c>
      <c r="Q60" s="287">
        <f>'Base Costs'!Q60*(1+$AI60)</f>
        <v>0</v>
      </c>
      <c r="R60" s="341">
        <f>'Base Costs'!R60*(1+$AI60)</f>
        <v>854123.97820000001</v>
      </c>
      <c r="S60" s="341">
        <f>'Base Costs'!S60*(1+$AI60)</f>
        <v>854123.97820000001</v>
      </c>
      <c r="T60" s="341">
        <f>'Base Costs'!T60*(1+$AI60)</f>
        <v>854123.97820000001</v>
      </c>
      <c r="U60" s="341">
        <f>'Base Costs'!U60*(1+$AI60)</f>
        <v>854123.97820000001</v>
      </c>
      <c r="V60" s="341">
        <f>'Base Costs'!V60*(1+$AI60)</f>
        <v>854123.97820000001</v>
      </c>
      <c r="W60" s="287">
        <f>'Base Costs'!W60*(1+$AI60)</f>
        <v>0</v>
      </c>
      <c r="X60" s="321">
        <f>'Base Costs'!X60*(1+$AI60)</f>
        <v>0</v>
      </c>
      <c r="Y60" s="287">
        <f t="shared" si="10"/>
        <v>0</v>
      </c>
      <c r="Z60" s="287">
        <f t="shared" si="1"/>
        <v>0</v>
      </c>
      <c r="AA60" s="341">
        <f t="shared" si="2"/>
        <v>854123.97820000001</v>
      </c>
      <c r="AB60" s="341">
        <f t="shared" si="3"/>
        <v>854123.97820000001</v>
      </c>
      <c r="AC60" s="341">
        <f t="shared" si="4"/>
        <v>854123.97820000001</v>
      </c>
      <c r="AD60" s="341">
        <f t="shared" si="5"/>
        <v>854123.97820000001</v>
      </c>
      <c r="AE60" s="341">
        <f t="shared" si="6"/>
        <v>854123.97820000001</v>
      </c>
      <c r="AF60" s="287">
        <f t="shared" si="7"/>
        <v>0</v>
      </c>
      <c r="AG60" s="287">
        <f t="shared" si="8"/>
        <v>0</v>
      </c>
      <c r="AH60" s="322">
        <f>IF($H60,0,IFERROR(IF(VALUE(LEFT(D60,4))&gt;VALUE(LEFT(Parameters!$B$66,4))+1,O60-SUM(R60:X60),0),0))</f>
        <v>0</v>
      </c>
      <c r="AI60" s="325">
        <f>IF(E60=0,0,INDEX(Parameters!$D$5:$D$35,MATCH(E60,Parameters!$B$5:$B$35,0)))</f>
        <v>2.46E-2</v>
      </c>
    </row>
    <row r="61" spans="1:35" x14ac:dyDescent="0.3">
      <c r="A61" s="313" t="str">
        <f>'Base Costs'!A61</f>
        <v>ND1339</v>
      </c>
      <c r="B61" s="314" t="str">
        <f>'Base Costs'!B61</f>
        <v>Substation HV switchgear replacement program</v>
      </c>
      <c r="C61" s="314" t="str">
        <f>'Base Costs'!C61</f>
        <v>Asset Renewal</v>
      </c>
      <c r="D61" s="333" t="str">
        <f>'Base Costs'!D61</f>
        <v>2016/17</v>
      </c>
      <c r="E61" s="333">
        <f>'Base Costs'!E61</f>
        <v>9</v>
      </c>
      <c r="F61" s="315"/>
      <c r="G61" s="315"/>
      <c r="H61" s="316">
        <f>'Input Data Sheet'!J61</f>
        <v>1</v>
      </c>
      <c r="I61" s="316"/>
      <c r="J61" s="316"/>
      <c r="K61" s="316"/>
      <c r="L61" s="316"/>
      <c r="M61" s="316"/>
      <c r="N61" s="316"/>
      <c r="O61" s="287">
        <f t="shared" si="11"/>
        <v>3644996.0572000002</v>
      </c>
      <c r="P61" s="320">
        <f>'Base Costs'!P61*(1+$AI61)</f>
        <v>0</v>
      </c>
      <c r="Q61" s="287">
        <f>'Base Costs'!Q61*(1+$AI61)</f>
        <v>0</v>
      </c>
      <c r="R61" s="341">
        <f>'Base Costs'!R61*(1+$AI61)</f>
        <v>491093.85379999998</v>
      </c>
      <c r="S61" s="341">
        <f>'Base Costs'!S61*(1+$AI61)</f>
        <v>2188624.4942000001</v>
      </c>
      <c r="T61" s="341">
        <f>'Base Costs'!T61*(1+$AI61)</f>
        <v>965277.70919999992</v>
      </c>
      <c r="U61" s="341">
        <f>'Base Costs'!U61*(1+$AI61)</f>
        <v>0</v>
      </c>
      <c r="V61" s="341">
        <f>'Base Costs'!V61*(1+$AI61)</f>
        <v>0</v>
      </c>
      <c r="W61" s="287">
        <f>'Base Costs'!W61*(1+$AI61)</f>
        <v>0</v>
      </c>
      <c r="X61" s="321">
        <f>'Base Costs'!X61*(1+$AI61)</f>
        <v>0</v>
      </c>
      <c r="Y61" s="287">
        <f t="shared" si="10"/>
        <v>0</v>
      </c>
      <c r="Z61" s="287">
        <f t="shared" si="1"/>
        <v>0</v>
      </c>
      <c r="AA61" s="341">
        <f t="shared" si="2"/>
        <v>491093.85379999998</v>
      </c>
      <c r="AB61" s="341">
        <f t="shared" si="3"/>
        <v>2188624.4942000001</v>
      </c>
      <c r="AC61" s="341">
        <f t="shared" si="4"/>
        <v>965277.70919999992</v>
      </c>
      <c r="AD61" s="341">
        <f t="shared" si="5"/>
        <v>0</v>
      </c>
      <c r="AE61" s="341">
        <f t="shared" si="6"/>
        <v>0</v>
      </c>
      <c r="AF61" s="287">
        <f t="shared" si="7"/>
        <v>0</v>
      </c>
      <c r="AG61" s="287">
        <f t="shared" si="8"/>
        <v>0</v>
      </c>
      <c r="AH61" s="322">
        <f>IF($H61,0,IFERROR(IF(VALUE(LEFT(D61,4))&gt;VALUE(LEFT(Parameters!$B$66,4))+1,O61-SUM(R61:X61),0),0))</f>
        <v>0</v>
      </c>
      <c r="AI61" s="325">
        <f>IF(E61=0,0,INDEX(Parameters!$D$5:$D$35,MATCH(E61,Parameters!$B$5:$B$35,0)))</f>
        <v>2.46E-2</v>
      </c>
    </row>
    <row r="62" spans="1:35" x14ac:dyDescent="0.3">
      <c r="A62" s="313" t="str">
        <f>'Base Costs'!A62</f>
        <v>ND1309</v>
      </c>
      <c r="B62" s="314" t="str">
        <f>'Base Costs'!B62</f>
        <v>Substation Lightning Protection enhancement program</v>
      </c>
      <c r="C62" s="314" t="str">
        <f>'Base Costs'!C62</f>
        <v>Asset Renewal</v>
      </c>
      <c r="D62" s="333" t="str">
        <f>'Base Costs'!D62</f>
        <v>2018/19</v>
      </c>
      <c r="E62" s="333">
        <f>'Base Costs'!E62</f>
        <v>9</v>
      </c>
      <c r="F62" s="315"/>
      <c r="G62" s="315"/>
      <c r="H62" s="316">
        <f>'Input Data Sheet'!J62</f>
        <v>0</v>
      </c>
      <c r="I62" s="316"/>
      <c r="J62" s="316"/>
      <c r="K62" s="316"/>
      <c r="L62" s="316"/>
      <c r="M62" s="316"/>
      <c r="N62" s="316"/>
      <c r="O62" s="287">
        <f t="shared" si="11"/>
        <v>2568938.5959999999</v>
      </c>
      <c r="P62" s="320">
        <f>'Base Costs'!P62*(1+$AI62)</f>
        <v>0</v>
      </c>
      <c r="Q62" s="287">
        <f>'Base Costs'!Q62*(1+$AI62)</f>
        <v>0</v>
      </c>
      <c r="R62" s="341">
        <f>'Base Costs'!R62*(1+$AI62)</f>
        <v>0</v>
      </c>
      <c r="S62" s="341">
        <f>'Base Costs'!S62*(1+$AI62)</f>
        <v>0</v>
      </c>
      <c r="T62" s="341">
        <f>'Base Costs'!T62*(1+$AI62)</f>
        <v>346116.02759999997</v>
      </c>
      <c r="U62" s="341">
        <f>'Base Costs'!U62*(1+$AI62)</f>
        <v>1542509.6849999998</v>
      </c>
      <c r="V62" s="341">
        <f>'Base Costs'!V62*(1+$AI62)</f>
        <v>680312.88339999993</v>
      </c>
      <c r="W62" s="287">
        <f>'Base Costs'!W62*(1+$AI62)</f>
        <v>0</v>
      </c>
      <c r="X62" s="321">
        <f>'Base Costs'!X62*(1+$AI62)</f>
        <v>0</v>
      </c>
      <c r="Y62" s="287">
        <f t="shared" si="10"/>
        <v>0</v>
      </c>
      <c r="Z62" s="287">
        <f t="shared" si="1"/>
        <v>0</v>
      </c>
      <c r="AA62" s="341">
        <f t="shared" si="2"/>
        <v>0</v>
      </c>
      <c r="AB62" s="341">
        <f t="shared" si="3"/>
        <v>0</v>
      </c>
      <c r="AC62" s="341">
        <f t="shared" si="4"/>
        <v>0</v>
      </c>
      <c r="AD62" s="341">
        <f t="shared" si="5"/>
        <v>0</v>
      </c>
      <c r="AE62" s="341">
        <f t="shared" si="6"/>
        <v>2568938.5959999999</v>
      </c>
      <c r="AF62" s="287">
        <f t="shared" si="7"/>
        <v>0</v>
      </c>
      <c r="AG62" s="287">
        <f t="shared" si="8"/>
        <v>0</v>
      </c>
      <c r="AH62" s="322">
        <f>IF($H62,0,IFERROR(IF(VALUE(LEFT(D62,4))&gt;VALUE(LEFT(Parameters!$B$66,4))+1,O62-SUM(R62:X62),0),0))</f>
        <v>0</v>
      </c>
      <c r="AI62" s="325">
        <f>IF(E62=0,0,INDEX(Parameters!$D$5:$D$35,MATCH(E62,Parameters!$B$5:$B$35,0)))</f>
        <v>2.46E-2</v>
      </c>
    </row>
    <row r="63" spans="1:35" x14ac:dyDescent="0.3">
      <c r="A63" s="313" t="str">
        <f>'Base Costs'!A63</f>
        <v>ND1226</v>
      </c>
      <c r="B63" s="314" t="str">
        <f>'Base Costs'!B63</f>
        <v>Substation Power transformer refurbishment program</v>
      </c>
      <c r="C63" s="314" t="str">
        <f>'Base Costs'!C63</f>
        <v>Asset Renewal</v>
      </c>
      <c r="D63" s="333" t="str">
        <f>'Base Costs'!D63</f>
        <v>2016/17</v>
      </c>
      <c r="E63" s="333">
        <f>'Base Costs'!E63</f>
        <v>11</v>
      </c>
      <c r="F63" s="315"/>
      <c r="G63" s="315"/>
      <c r="H63" s="316">
        <f>'Input Data Sheet'!J63</f>
        <v>1</v>
      </c>
      <c r="I63" s="316"/>
      <c r="J63" s="316"/>
      <c r="K63" s="316"/>
      <c r="L63" s="316"/>
      <c r="M63" s="316"/>
      <c r="N63" s="316"/>
      <c r="O63" s="287">
        <f t="shared" si="11"/>
        <v>1310369.1368</v>
      </c>
      <c r="P63" s="320">
        <f>'Base Costs'!P63*(1+$AI63)</f>
        <v>0</v>
      </c>
      <c r="Q63" s="287">
        <f>'Base Costs'!Q63*(1+$AI63)</f>
        <v>0</v>
      </c>
      <c r="R63" s="341">
        <f>'Base Costs'!R63*(1+$AI63)</f>
        <v>183451.55619999999</v>
      </c>
      <c r="S63" s="341">
        <f>'Base Costs'!S63*(1+$AI63)</f>
        <v>1107261.6542</v>
      </c>
      <c r="T63" s="341">
        <f>'Base Costs'!T63*(1+$AI63)</f>
        <v>19655.9264</v>
      </c>
      <c r="U63" s="341">
        <f>'Base Costs'!U63*(1+$AI63)</f>
        <v>0</v>
      </c>
      <c r="V63" s="341">
        <f>'Base Costs'!V63*(1+$AI63)</f>
        <v>0</v>
      </c>
      <c r="W63" s="287">
        <f>'Base Costs'!W63*(1+$AI63)</f>
        <v>0</v>
      </c>
      <c r="X63" s="321">
        <f>'Base Costs'!X63*(1+$AI63)</f>
        <v>0</v>
      </c>
      <c r="Y63" s="287">
        <f t="shared" si="10"/>
        <v>0</v>
      </c>
      <c r="Z63" s="287">
        <f t="shared" si="1"/>
        <v>0</v>
      </c>
      <c r="AA63" s="341">
        <f t="shared" si="2"/>
        <v>183451.55619999999</v>
      </c>
      <c r="AB63" s="341">
        <f t="shared" si="3"/>
        <v>1107261.6542</v>
      </c>
      <c r="AC63" s="341">
        <f t="shared" si="4"/>
        <v>19655.9264</v>
      </c>
      <c r="AD63" s="341">
        <f t="shared" si="5"/>
        <v>0</v>
      </c>
      <c r="AE63" s="341">
        <f t="shared" si="6"/>
        <v>0</v>
      </c>
      <c r="AF63" s="287">
        <f t="shared" si="7"/>
        <v>0</v>
      </c>
      <c r="AG63" s="287">
        <f t="shared" si="8"/>
        <v>0</v>
      </c>
      <c r="AH63" s="322">
        <f>IF($H63,0,IFERROR(IF(VALUE(LEFT(D63,4))&gt;VALUE(LEFT(Parameters!$B$66,4))+1,O63-SUM(R63:X63),0),0))</f>
        <v>0</v>
      </c>
      <c r="AI63" s="325">
        <f>IF(E63=0,0,INDEX(Parameters!$D$5:$D$35,MATCH(E63,Parameters!$B$5:$B$35,0)))</f>
        <v>2.46E-2</v>
      </c>
    </row>
    <row r="64" spans="1:35" x14ac:dyDescent="0.3">
      <c r="A64" s="313" t="str">
        <f>'Base Costs'!A64</f>
        <v>ND1256</v>
      </c>
      <c r="B64" s="314" t="str">
        <f>'Base Costs'!B64</f>
        <v>Substation site infrastructure program</v>
      </c>
      <c r="C64" s="314" t="str">
        <f>'Base Costs'!C64</f>
        <v>Asset Renewal</v>
      </c>
      <c r="D64" s="333" t="str">
        <f>'Base Costs'!D64</f>
        <v>2015/16</v>
      </c>
      <c r="E64" s="333">
        <f>'Base Costs'!E64</f>
        <v>8</v>
      </c>
      <c r="F64" s="315"/>
      <c r="G64" s="315"/>
      <c r="H64" s="316">
        <f>'Input Data Sheet'!J64</f>
        <v>1</v>
      </c>
      <c r="I64" s="316"/>
      <c r="J64" s="316"/>
      <c r="K64" s="316"/>
      <c r="L64" s="316"/>
      <c r="M64" s="316"/>
      <c r="N64" s="316"/>
      <c r="O64" s="287">
        <f t="shared" si="11"/>
        <v>3502859.4468</v>
      </c>
      <c r="P64" s="320">
        <f>'Base Costs'!P64*(1+$AI64)</f>
        <v>0</v>
      </c>
      <c r="Q64" s="287">
        <f>'Base Costs'!Q64*(1+$AI64)</f>
        <v>0</v>
      </c>
      <c r="R64" s="341">
        <f>'Base Costs'!R64*(1+$AI64)</f>
        <v>1215492.2013999999</v>
      </c>
      <c r="S64" s="341">
        <f>'Base Costs'!S64*(1+$AI64)</f>
        <v>2287367.2453999999</v>
      </c>
      <c r="T64" s="341">
        <f>'Base Costs'!T64*(1+$AI64)</f>
        <v>0</v>
      </c>
      <c r="U64" s="341">
        <f>'Base Costs'!U64*(1+$AI64)</f>
        <v>0</v>
      </c>
      <c r="V64" s="341">
        <f>'Base Costs'!V64*(1+$AI64)</f>
        <v>0</v>
      </c>
      <c r="W64" s="287">
        <f>'Base Costs'!W64*(1+$AI64)</f>
        <v>0</v>
      </c>
      <c r="X64" s="321">
        <f>'Base Costs'!X64*(1+$AI64)</f>
        <v>0</v>
      </c>
      <c r="Y64" s="287">
        <f t="shared" si="10"/>
        <v>0</v>
      </c>
      <c r="Z64" s="287">
        <f t="shared" si="1"/>
        <v>0</v>
      </c>
      <c r="AA64" s="341">
        <f t="shared" si="2"/>
        <v>1215492.2013999999</v>
      </c>
      <c r="AB64" s="341">
        <f t="shared" si="3"/>
        <v>2287367.2453999999</v>
      </c>
      <c r="AC64" s="341">
        <f t="shared" si="4"/>
        <v>0</v>
      </c>
      <c r="AD64" s="341">
        <f t="shared" si="5"/>
        <v>0</v>
      </c>
      <c r="AE64" s="341">
        <f t="shared" si="6"/>
        <v>0</v>
      </c>
      <c r="AF64" s="287">
        <f t="shared" si="7"/>
        <v>0</v>
      </c>
      <c r="AG64" s="287">
        <f t="shared" si="8"/>
        <v>0</v>
      </c>
      <c r="AH64" s="322">
        <f>IF($H64,0,IFERROR(IF(VALUE(LEFT(D64,4))&gt;VALUE(LEFT(Parameters!$B$66,4))+1,O64-SUM(R64:X64),0),0))</f>
        <v>0</v>
      </c>
      <c r="AI64" s="325">
        <f>IF(E64=0,0,INDEX(Parameters!$D$5:$D$35,MATCH(E64,Parameters!$B$5:$B$35,0)))</f>
        <v>2.46E-2</v>
      </c>
    </row>
    <row r="65" spans="1:35" x14ac:dyDescent="0.3">
      <c r="A65" s="313" t="str">
        <f>'Base Costs'!A65</f>
        <v>ND0990</v>
      </c>
      <c r="B65" s="314" t="str">
        <f>'Base Costs'!B65</f>
        <v>Substation VESDA and fire suppression program</v>
      </c>
      <c r="C65" s="314" t="str">
        <f>'Base Costs'!C65</f>
        <v>Asset Renewal</v>
      </c>
      <c r="D65" s="333" t="str">
        <f>'Base Costs'!D65</f>
        <v>2014/15</v>
      </c>
      <c r="E65" s="333">
        <f>'Base Costs'!E65</f>
        <v>0</v>
      </c>
      <c r="F65" s="315"/>
      <c r="G65" s="315"/>
      <c r="H65" s="316">
        <f>'Input Data Sheet'!J65</f>
        <v>0</v>
      </c>
      <c r="I65" s="316"/>
      <c r="J65" s="316"/>
      <c r="K65" s="316"/>
      <c r="L65" s="316"/>
      <c r="M65" s="316"/>
      <c r="N65" s="316"/>
      <c r="O65" s="287">
        <f t="shared" si="11"/>
        <v>2453544.6521780393</v>
      </c>
      <c r="P65" s="320">
        <f>'Base Costs'!P65*(1+$AI65)</f>
        <v>0</v>
      </c>
      <c r="Q65" s="287">
        <f>'Base Costs'!Q65*(1+$AI65)</f>
        <v>0</v>
      </c>
      <c r="R65" s="341">
        <f>'Base Costs'!R65*(1+$AI65)</f>
        <v>2453544.6521780393</v>
      </c>
      <c r="S65" s="341">
        <f>'Base Costs'!S65*(1+$AI65)</f>
        <v>0</v>
      </c>
      <c r="T65" s="341">
        <f>'Base Costs'!T65*(1+$AI65)</f>
        <v>0</v>
      </c>
      <c r="U65" s="341">
        <f>'Base Costs'!U65*(1+$AI65)</f>
        <v>0</v>
      </c>
      <c r="V65" s="341">
        <f>'Base Costs'!V65*(1+$AI65)</f>
        <v>0</v>
      </c>
      <c r="W65" s="287">
        <f>'Base Costs'!W65*(1+$AI65)</f>
        <v>0</v>
      </c>
      <c r="X65" s="321">
        <f>'Base Costs'!X65*(1+$AI65)</f>
        <v>0</v>
      </c>
      <c r="Y65" s="287">
        <f t="shared" si="10"/>
        <v>0</v>
      </c>
      <c r="Z65" s="287">
        <f t="shared" si="1"/>
        <v>0</v>
      </c>
      <c r="AA65" s="341">
        <f t="shared" si="2"/>
        <v>2453544.6521780393</v>
      </c>
      <c r="AB65" s="341">
        <f t="shared" si="3"/>
        <v>0</v>
      </c>
      <c r="AC65" s="341">
        <f t="shared" si="4"/>
        <v>0</v>
      </c>
      <c r="AD65" s="341">
        <f t="shared" si="5"/>
        <v>0</v>
      </c>
      <c r="AE65" s="341">
        <f t="shared" si="6"/>
        <v>0</v>
      </c>
      <c r="AF65" s="287">
        <f t="shared" si="7"/>
        <v>0</v>
      </c>
      <c r="AG65" s="287">
        <f t="shared" si="8"/>
        <v>0</v>
      </c>
      <c r="AH65" s="322">
        <f>IF($H65,0,IFERROR(IF(VALUE(LEFT(D65,4))&gt;VALUE(LEFT(Parameters!$B$66,4))+1,O65-SUM(R65:X65),0),0))</f>
        <v>0</v>
      </c>
      <c r="AI65" s="325">
        <f>IF(E65=0,0,INDEX(Parameters!$D$5:$D$35,MATCH(E65,Parameters!$B$5:$B$35,0)))</f>
        <v>0</v>
      </c>
    </row>
    <row r="66" spans="1:35" x14ac:dyDescent="0.3">
      <c r="A66" s="313" t="str">
        <f>'Base Costs'!A66</f>
        <v>ND1227</v>
      </c>
      <c r="B66" s="314" t="str">
        <f>'Base Costs'!B66</f>
        <v>Telecommunications bearer system program</v>
      </c>
      <c r="C66" s="314" t="str">
        <f>'Base Costs'!C66</f>
        <v>Asset Renewal</v>
      </c>
      <c r="D66" s="333" t="str">
        <f>'Base Costs'!D66</f>
        <v>2018/19</v>
      </c>
      <c r="E66" s="333">
        <f>'Base Costs'!E66</f>
        <v>13</v>
      </c>
      <c r="F66" s="315"/>
      <c r="G66" s="315"/>
      <c r="H66" s="316">
        <f>'Input Data Sheet'!J66</f>
        <v>1</v>
      </c>
      <c r="I66" s="316"/>
      <c r="J66" s="316"/>
      <c r="K66" s="316"/>
      <c r="L66" s="316"/>
      <c r="M66" s="316"/>
      <c r="N66" s="316"/>
      <c r="O66" s="287">
        <f t="shared" si="11"/>
        <v>3843571.7340000002</v>
      </c>
      <c r="P66" s="320">
        <f>'Base Costs'!P66*(1+$AI66)</f>
        <v>0</v>
      </c>
      <c r="Q66" s="287">
        <f>'Base Costs'!Q66*(1+$AI66)</f>
        <v>0</v>
      </c>
      <c r="R66" s="341">
        <f>'Base Costs'!R66*(1+$AI66)</f>
        <v>837384.06339999998</v>
      </c>
      <c r="S66" s="341">
        <f>'Base Costs'!S66*(1+$AI66)</f>
        <v>651843.34779999999</v>
      </c>
      <c r="T66" s="341">
        <f>'Base Costs'!T66*(1+$AI66)</f>
        <v>1084923.325</v>
      </c>
      <c r="U66" s="341">
        <f>'Base Costs'!U66*(1+$AI66)</f>
        <v>833321.52439999999</v>
      </c>
      <c r="V66" s="341">
        <f>'Base Costs'!V66*(1+$AI66)</f>
        <v>436099.47339999996</v>
      </c>
      <c r="W66" s="287">
        <f>'Base Costs'!W66*(1+$AI66)</f>
        <v>0</v>
      </c>
      <c r="X66" s="321">
        <f>'Base Costs'!X66*(1+$AI66)</f>
        <v>0</v>
      </c>
      <c r="Y66" s="287">
        <f t="shared" si="10"/>
        <v>0</v>
      </c>
      <c r="Z66" s="287">
        <f t="shared" si="1"/>
        <v>0</v>
      </c>
      <c r="AA66" s="341">
        <f t="shared" si="2"/>
        <v>837384.06339999998</v>
      </c>
      <c r="AB66" s="341">
        <f t="shared" si="3"/>
        <v>651843.34779999999</v>
      </c>
      <c r="AC66" s="341">
        <f t="shared" si="4"/>
        <v>1084923.325</v>
      </c>
      <c r="AD66" s="341">
        <f t="shared" si="5"/>
        <v>833321.52439999999</v>
      </c>
      <c r="AE66" s="341">
        <f t="shared" si="6"/>
        <v>436099.47339999996</v>
      </c>
      <c r="AF66" s="287">
        <f t="shared" si="7"/>
        <v>0</v>
      </c>
      <c r="AG66" s="287">
        <f t="shared" si="8"/>
        <v>0</v>
      </c>
      <c r="AH66" s="322">
        <f>IF($H66,0,IFERROR(IF(VALUE(LEFT(D66,4))&gt;VALUE(LEFT(Parameters!$B$66,4))+1,O66-SUM(R66:X66),0),0))</f>
        <v>0</v>
      </c>
      <c r="AI66" s="325">
        <f>IF(E66=0,0,INDEX(Parameters!$D$5:$D$35,MATCH(E66,Parameters!$B$5:$B$35,0)))</f>
        <v>2.46E-2</v>
      </c>
    </row>
    <row r="67" spans="1:35" x14ac:dyDescent="0.3">
      <c r="A67" s="313" t="str">
        <f>'Base Costs'!A67</f>
        <v>ND1228</v>
      </c>
      <c r="B67" s="314" t="str">
        <f>'Base Costs'!B67</f>
        <v>Telecommunications ethernet system program</v>
      </c>
      <c r="C67" s="314" t="str">
        <f>'Base Costs'!C67</f>
        <v>Asset Renewal</v>
      </c>
      <c r="D67" s="333" t="str">
        <f>'Base Costs'!D67</f>
        <v>2018/19</v>
      </c>
      <c r="E67" s="333">
        <f>'Base Costs'!E67</f>
        <v>13</v>
      </c>
      <c r="F67" s="315"/>
      <c r="G67" s="315"/>
      <c r="H67" s="316">
        <f>'Input Data Sheet'!J67</f>
        <v>1</v>
      </c>
      <c r="I67" s="316"/>
      <c r="J67" s="316"/>
      <c r="K67" s="316"/>
      <c r="L67" s="316"/>
      <c r="M67" s="316"/>
      <c r="N67" s="316"/>
      <c r="O67" s="287">
        <f t="shared" si="11"/>
        <v>3597223.0575999995</v>
      </c>
      <c r="P67" s="320">
        <f>'Base Costs'!P67*(1+$AI67)</f>
        <v>0</v>
      </c>
      <c r="Q67" s="287">
        <f>'Base Costs'!Q67*(1+$AI67)</f>
        <v>0</v>
      </c>
      <c r="R67" s="341">
        <f>'Base Costs'!R67*(1+$AI67)</f>
        <v>1713626.0817999998</v>
      </c>
      <c r="S67" s="341">
        <f>'Base Costs'!S67*(1+$AI67)</f>
        <v>485259.78139999998</v>
      </c>
      <c r="T67" s="341">
        <f>'Base Costs'!T67*(1+$AI67)</f>
        <v>255670.4872</v>
      </c>
      <c r="U67" s="341">
        <f>'Base Costs'!U67*(1+$AI67)</f>
        <v>348868.10320000001</v>
      </c>
      <c r="V67" s="341">
        <f>'Base Costs'!V67*(1+$AI67)</f>
        <v>793798.60399999993</v>
      </c>
      <c r="W67" s="287">
        <f>'Base Costs'!W67*(1+$AI67)</f>
        <v>0</v>
      </c>
      <c r="X67" s="321">
        <f>'Base Costs'!X67*(1+$AI67)</f>
        <v>0</v>
      </c>
      <c r="Y67" s="287">
        <f t="shared" si="10"/>
        <v>0</v>
      </c>
      <c r="Z67" s="287">
        <f t="shared" si="1"/>
        <v>0</v>
      </c>
      <c r="AA67" s="341">
        <f t="shared" si="2"/>
        <v>1713626.0817999998</v>
      </c>
      <c r="AB67" s="341">
        <f t="shared" si="3"/>
        <v>485259.78139999998</v>
      </c>
      <c r="AC67" s="341">
        <f t="shared" si="4"/>
        <v>255670.4872</v>
      </c>
      <c r="AD67" s="341">
        <f t="shared" si="5"/>
        <v>348868.10320000001</v>
      </c>
      <c r="AE67" s="341">
        <f t="shared" si="6"/>
        <v>793798.60399999993</v>
      </c>
      <c r="AF67" s="287">
        <f t="shared" si="7"/>
        <v>0</v>
      </c>
      <c r="AG67" s="287">
        <f t="shared" si="8"/>
        <v>0</v>
      </c>
      <c r="AH67" s="322">
        <f>IF($H67,0,IFERROR(IF(VALUE(LEFT(D67,4))&gt;VALUE(LEFT(Parameters!$B$66,4))+1,O67-SUM(R67:X67),0),0))</f>
        <v>0</v>
      </c>
      <c r="AI67" s="325">
        <f>IF(E67=0,0,INDEX(Parameters!$D$5:$D$35,MATCH(E67,Parameters!$B$5:$B$35,0)))</f>
        <v>2.46E-2</v>
      </c>
    </row>
    <row r="68" spans="1:35" x14ac:dyDescent="0.3">
      <c r="A68" s="313" t="str">
        <f>'Base Costs'!A68</f>
        <v>ND1229</v>
      </c>
      <c r="B68" s="314" t="str">
        <f>'Base Costs'!B68</f>
        <v>Telecommunications multiplexer system program</v>
      </c>
      <c r="C68" s="314" t="str">
        <f>'Base Costs'!C68</f>
        <v>Asset Renewal</v>
      </c>
      <c r="D68" s="333" t="str">
        <f>'Base Costs'!D68</f>
        <v>2018/19</v>
      </c>
      <c r="E68" s="333">
        <f>'Base Costs'!E68</f>
        <v>13</v>
      </c>
      <c r="F68" s="315"/>
      <c r="G68" s="315"/>
      <c r="H68" s="316">
        <f>'Input Data Sheet'!J68</f>
        <v>1</v>
      </c>
      <c r="I68" s="316"/>
      <c r="J68" s="316"/>
      <c r="K68" s="316"/>
      <c r="L68" s="316"/>
      <c r="M68" s="316"/>
      <c r="N68" s="316"/>
      <c r="O68" s="287">
        <f t="shared" si="11"/>
        <v>6076025.5423999997</v>
      </c>
      <c r="P68" s="320">
        <f>'Base Costs'!P68*(1+$AI68)</f>
        <v>0</v>
      </c>
      <c r="Q68" s="287">
        <f>'Base Costs'!Q68*(1+$AI68)</f>
        <v>0</v>
      </c>
      <c r="R68" s="341">
        <f>'Base Costs'!R68*(1+$AI68)</f>
        <v>0</v>
      </c>
      <c r="S68" s="341">
        <f>'Base Costs'!S68*(1+$AI68)</f>
        <v>100937.44439999999</v>
      </c>
      <c r="T68" s="341">
        <f>'Base Costs'!T68*(1+$AI68)</f>
        <v>2139571.7692</v>
      </c>
      <c r="U68" s="341">
        <f>'Base Costs'!U68*(1+$AI68)</f>
        <v>3055668.6784000001</v>
      </c>
      <c r="V68" s="341">
        <f>'Base Costs'!V68*(1+$AI68)</f>
        <v>779847.65039999993</v>
      </c>
      <c r="W68" s="287">
        <f>'Base Costs'!W68*(1+$AI68)</f>
        <v>0</v>
      </c>
      <c r="X68" s="321">
        <f>'Base Costs'!X68*(1+$AI68)</f>
        <v>0</v>
      </c>
      <c r="Y68" s="287">
        <f t="shared" si="10"/>
        <v>0</v>
      </c>
      <c r="Z68" s="287">
        <f t="shared" ref="Z68:Z100" si="12">IF($H68,Q68,IF(Z$3=$D68,$O68,0))</f>
        <v>0</v>
      </c>
      <c r="AA68" s="341">
        <f t="shared" ref="AA68:AA100" si="13">IF($H68,R68,IF(AA$3=$D68,$O68,0))</f>
        <v>0</v>
      </c>
      <c r="AB68" s="341">
        <f t="shared" ref="AB68:AB100" si="14">IF($H68,S68,IF(AB$3=$D68,$O68,0))</f>
        <v>100937.44439999999</v>
      </c>
      <c r="AC68" s="341">
        <f t="shared" ref="AC68:AC100" si="15">IF($H68,T68,IF(AC$3=$D68,$O68,0))</f>
        <v>2139571.7692</v>
      </c>
      <c r="AD68" s="341">
        <f t="shared" ref="AD68:AD100" si="16">IF($H68,U68,IF(AD$3=$D68,$O68,0))</f>
        <v>3055668.6784000001</v>
      </c>
      <c r="AE68" s="341">
        <f t="shared" ref="AE68:AE100" si="17">IF($H68,V68,IF(AE$3=$D68,$O68,0))</f>
        <v>779847.65039999993</v>
      </c>
      <c r="AF68" s="287">
        <f t="shared" ref="AF68:AF100" si="18">IF($H68,W68,IF(AF$3=$D68,$O68,0))</f>
        <v>0</v>
      </c>
      <c r="AG68" s="287">
        <f t="shared" ref="AG68:AG100" si="19">IF($H68,X68,IF(AG$3=$D68,$O68,0))</f>
        <v>0</v>
      </c>
      <c r="AH68" s="322">
        <f>IF($H68,0,IFERROR(IF(VALUE(LEFT(D68,4))&gt;VALUE(LEFT(Parameters!$B$66,4))+1,O68-SUM(R68:X68),0),0))</f>
        <v>0</v>
      </c>
      <c r="AI68" s="325">
        <f>IF(E68=0,0,INDEX(Parameters!$D$5:$D$35,MATCH(E68,Parameters!$B$5:$B$35,0)))</f>
        <v>2.46E-2</v>
      </c>
    </row>
    <row r="69" spans="1:35" x14ac:dyDescent="0.3">
      <c r="A69" s="313" t="str">
        <f>'Base Costs'!A69</f>
        <v>ND1234</v>
      </c>
      <c r="B69" s="314" t="str">
        <f>'Base Costs'!B69</f>
        <v>Telecommunications Network Operation and Control System enhancement program</v>
      </c>
      <c r="C69" s="314" t="str">
        <f>'Base Costs'!C69</f>
        <v>Operational Support Systems</v>
      </c>
      <c r="D69" s="333" t="str">
        <f>'Base Costs'!D69</f>
        <v>2018/19</v>
      </c>
      <c r="E69" s="333">
        <f>'Base Costs'!E69</f>
        <v>18</v>
      </c>
      <c r="F69" s="315"/>
      <c r="G69" s="315"/>
      <c r="H69" s="316">
        <f>'Input Data Sheet'!J69</f>
        <v>1</v>
      </c>
      <c r="I69" s="316"/>
      <c r="J69" s="316"/>
      <c r="K69" s="316"/>
      <c r="L69" s="316"/>
      <c r="M69" s="316"/>
      <c r="N69" s="316"/>
      <c r="O69" s="287">
        <f t="shared" si="11"/>
        <v>1200000</v>
      </c>
      <c r="P69" s="320">
        <f>'Base Costs'!P69*(1+$AI69)</f>
        <v>0</v>
      </c>
      <c r="Q69" s="287">
        <f>'Base Costs'!Q69*(1+$AI69)</f>
        <v>0</v>
      </c>
      <c r="R69" s="341">
        <f>'Base Costs'!R69*(1+$AI69)</f>
        <v>0</v>
      </c>
      <c r="S69" s="341">
        <f>'Base Costs'!S69*(1+$AI69)</f>
        <v>600000</v>
      </c>
      <c r="T69" s="341">
        <f>'Base Costs'!T69*(1+$AI69)</f>
        <v>0</v>
      </c>
      <c r="U69" s="341">
        <f>'Base Costs'!U69*(1+$AI69)</f>
        <v>0</v>
      </c>
      <c r="V69" s="341">
        <f>'Base Costs'!V69*(1+$AI69)</f>
        <v>600000</v>
      </c>
      <c r="W69" s="287">
        <f>'Base Costs'!W69*(1+$AI69)</f>
        <v>0</v>
      </c>
      <c r="X69" s="321">
        <f>'Base Costs'!X69*(1+$AI69)</f>
        <v>0</v>
      </c>
      <c r="Y69" s="287">
        <f t="shared" ref="Y69:Y100" si="20">IF($H69,P69,IF(Y$3=$D69,$O69,0))</f>
        <v>0</v>
      </c>
      <c r="Z69" s="287">
        <f t="shared" si="12"/>
        <v>0</v>
      </c>
      <c r="AA69" s="341">
        <f t="shared" si="13"/>
        <v>0</v>
      </c>
      <c r="AB69" s="341">
        <f t="shared" si="14"/>
        <v>600000</v>
      </c>
      <c r="AC69" s="341">
        <f t="shared" si="15"/>
        <v>0</v>
      </c>
      <c r="AD69" s="341">
        <f t="shared" si="16"/>
        <v>0</v>
      </c>
      <c r="AE69" s="341">
        <f t="shared" si="17"/>
        <v>600000</v>
      </c>
      <c r="AF69" s="287">
        <f t="shared" si="18"/>
        <v>0</v>
      </c>
      <c r="AG69" s="287">
        <f t="shared" si="19"/>
        <v>0</v>
      </c>
      <c r="AH69" s="322">
        <f>IF($H69,0,IFERROR(IF(VALUE(LEFT(D69,4))&gt;VALUE(LEFT(Parameters!$B$66,4))+1,O69-SUM(R69:X69),0),0))</f>
        <v>0</v>
      </c>
      <c r="AI69" s="325">
        <f>IF(E69=0,0,INDEX(Parameters!$D$5:$D$35,MATCH(E69,Parameters!$B$5:$B$35,0)))</f>
        <v>0</v>
      </c>
    </row>
    <row r="70" spans="1:35" x14ac:dyDescent="0.3">
      <c r="A70" s="313" t="str">
        <f>'Base Costs'!A70</f>
        <v>ND1230</v>
      </c>
      <c r="B70" s="314" t="str">
        <f>'Base Costs'!B70</f>
        <v>Telecommunications site infrastructure program</v>
      </c>
      <c r="C70" s="314" t="str">
        <f>'Base Costs'!C70</f>
        <v>Asset Renewal</v>
      </c>
      <c r="D70" s="333" t="str">
        <f>'Base Costs'!D70</f>
        <v>2018/19</v>
      </c>
      <c r="E70" s="333">
        <f>'Base Costs'!E70</f>
        <v>13</v>
      </c>
      <c r="F70" s="315"/>
      <c r="G70" s="315"/>
      <c r="H70" s="316">
        <f>'Input Data Sheet'!J70</f>
        <v>1</v>
      </c>
      <c r="I70" s="316"/>
      <c r="J70" s="316"/>
      <c r="K70" s="316"/>
      <c r="L70" s="316"/>
      <c r="M70" s="316"/>
      <c r="N70" s="316"/>
      <c r="O70" s="287">
        <f t="shared" si="11"/>
        <v>1773195.3012000001</v>
      </c>
      <c r="P70" s="320">
        <f>'Base Costs'!P70*(1+$AI70)</f>
        <v>0</v>
      </c>
      <c r="Q70" s="287">
        <f>'Base Costs'!Q70*(1+$AI70)</f>
        <v>0</v>
      </c>
      <c r="R70" s="341">
        <f>'Base Costs'!R70*(1+$AI70)</f>
        <v>461722.67019999999</v>
      </c>
      <c r="S70" s="341">
        <f>'Base Costs'!S70*(1+$AI70)</f>
        <v>131995.11960000001</v>
      </c>
      <c r="T70" s="341">
        <f>'Base Costs'!T70*(1+$AI70)</f>
        <v>698651.17420000001</v>
      </c>
      <c r="U70" s="341">
        <f>'Base Costs'!U70*(1+$AI70)</f>
        <v>287962.80540000001</v>
      </c>
      <c r="V70" s="341">
        <f>'Base Costs'!V70*(1+$AI70)</f>
        <v>192863.5318</v>
      </c>
      <c r="W70" s="287">
        <f>'Base Costs'!W70*(1+$AI70)</f>
        <v>0</v>
      </c>
      <c r="X70" s="321">
        <f>'Base Costs'!X70*(1+$AI70)</f>
        <v>0</v>
      </c>
      <c r="Y70" s="287">
        <f t="shared" si="20"/>
        <v>0</v>
      </c>
      <c r="Z70" s="287">
        <f t="shared" si="12"/>
        <v>0</v>
      </c>
      <c r="AA70" s="341">
        <f t="shared" si="13"/>
        <v>461722.67019999999</v>
      </c>
      <c r="AB70" s="341">
        <f t="shared" si="14"/>
        <v>131995.11960000001</v>
      </c>
      <c r="AC70" s="341">
        <f t="shared" si="15"/>
        <v>698651.17420000001</v>
      </c>
      <c r="AD70" s="341">
        <f t="shared" si="16"/>
        <v>287962.80540000001</v>
      </c>
      <c r="AE70" s="341">
        <f t="shared" si="17"/>
        <v>192863.5318</v>
      </c>
      <c r="AF70" s="287">
        <f t="shared" si="18"/>
        <v>0</v>
      </c>
      <c r="AG70" s="287">
        <f t="shared" si="19"/>
        <v>0</v>
      </c>
      <c r="AH70" s="322">
        <f>IF($H70,0,IFERROR(IF(VALUE(LEFT(D70,4))&gt;VALUE(LEFT(Parameters!$B$66,4))+1,O70-SUM(R70:X70),0),0))</f>
        <v>0</v>
      </c>
      <c r="AI70" s="325">
        <f>IF(E70=0,0,INDEX(Parameters!$D$5:$D$35,MATCH(E70,Parameters!$B$5:$B$35,0)))</f>
        <v>2.46E-2</v>
      </c>
    </row>
    <row r="71" spans="1:35" x14ac:dyDescent="0.3">
      <c r="A71" s="313" t="str">
        <f>'Base Costs'!A71</f>
        <v>ND1231</v>
      </c>
      <c r="B71" s="314" t="str">
        <f>'Base Costs'!B71</f>
        <v>Telecommunications telephone system program</v>
      </c>
      <c r="C71" s="314" t="str">
        <f>'Base Costs'!C71</f>
        <v>Asset Renewal</v>
      </c>
      <c r="D71" s="333" t="str">
        <f>'Base Costs'!D71</f>
        <v>2017/18</v>
      </c>
      <c r="E71" s="333">
        <f>'Base Costs'!E71</f>
        <v>13</v>
      </c>
      <c r="F71" s="315"/>
      <c r="G71" s="315"/>
      <c r="H71" s="316">
        <f>'Input Data Sheet'!J71</f>
        <v>1</v>
      </c>
      <c r="I71" s="316"/>
      <c r="J71" s="316"/>
      <c r="K71" s="316"/>
      <c r="L71" s="316"/>
      <c r="M71" s="316"/>
      <c r="N71" s="316"/>
      <c r="O71" s="287">
        <f t="shared" si="11"/>
        <v>1565342.8959999999</v>
      </c>
      <c r="P71" s="320">
        <f>'Base Costs'!P71*(1+$AI71)</f>
        <v>0</v>
      </c>
      <c r="Q71" s="287">
        <f>'Base Costs'!Q71*(1+$AI71)</f>
        <v>0</v>
      </c>
      <c r="R71" s="341">
        <f>'Base Costs'!R71*(1+$AI71)</f>
        <v>0</v>
      </c>
      <c r="S71" s="341">
        <f>'Base Costs'!S71*(1+$AI71)</f>
        <v>424303.2536</v>
      </c>
      <c r="T71" s="341">
        <f>'Base Costs'!T71*(1+$AI71)</f>
        <v>409459.87339999998</v>
      </c>
      <c r="U71" s="341">
        <f>'Base Costs'!U71*(1+$AI71)</f>
        <v>731579.76899999997</v>
      </c>
      <c r="V71" s="341">
        <f>'Base Costs'!V71*(1+$AI71)</f>
        <v>0</v>
      </c>
      <c r="W71" s="287">
        <f>'Base Costs'!W71*(1+$AI71)</f>
        <v>0</v>
      </c>
      <c r="X71" s="321">
        <f>'Base Costs'!X71*(1+$AI71)</f>
        <v>0</v>
      </c>
      <c r="Y71" s="287">
        <f t="shared" si="20"/>
        <v>0</v>
      </c>
      <c r="Z71" s="287">
        <f t="shared" si="12"/>
        <v>0</v>
      </c>
      <c r="AA71" s="341">
        <f t="shared" si="13"/>
        <v>0</v>
      </c>
      <c r="AB71" s="341">
        <f t="shared" si="14"/>
        <v>424303.2536</v>
      </c>
      <c r="AC71" s="341">
        <f t="shared" si="15"/>
        <v>409459.87339999998</v>
      </c>
      <c r="AD71" s="341">
        <f t="shared" si="16"/>
        <v>731579.76899999997</v>
      </c>
      <c r="AE71" s="341">
        <f t="shared" si="17"/>
        <v>0</v>
      </c>
      <c r="AF71" s="287">
        <f t="shared" si="18"/>
        <v>0</v>
      </c>
      <c r="AG71" s="287">
        <f t="shared" si="19"/>
        <v>0</v>
      </c>
      <c r="AH71" s="322">
        <f>IF($H71,0,IFERROR(IF(VALUE(LEFT(D71,4))&gt;VALUE(LEFT(Parameters!$B$66,4))+1,O71-SUM(R71:X71),0),0))</f>
        <v>0</v>
      </c>
      <c r="AI71" s="325">
        <f>IF(E71=0,0,INDEX(Parameters!$D$5:$D$35,MATCH(E71,Parameters!$B$5:$B$35,0)))</f>
        <v>2.46E-2</v>
      </c>
    </row>
    <row r="72" spans="1:35" x14ac:dyDescent="0.3">
      <c r="A72" s="313" t="str">
        <f>'Base Costs'!A72</f>
        <v>ND1310</v>
      </c>
      <c r="B72" s="314" t="str">
        <f>'Base Costs'!B72</f>
        <v>Test equipment</v>
      </c>
      <c r="C72" s="314" t="str">
        <f>'Base Costs'!C72</f>
        <v>Inventory / Spares</v>
      </c>
      <c r="D72" s="333" t="str">
        <f>'Base Costs'!D72</f>
        <v>2018/19</v>
      </c>
      <c r="E72" s="333">
        <f>'Base Costs'!E72</f>
        <v>9</v>
      </c>
      <c r="F72" s="315"/>
      <c r="G72" s="315"/>
      <c r="H72" s="316">
        <f>'Input Data Sheet'!J72</f>
        <v>1</v>
      </c>
      <c r="I72" s="316"/>
      <c r="J72" s="316"/>
      <c r="K72" s="316"/>
      <c r="L72" s="316"/>
      <c r="M72" s="316"/>
      <c r="N72" s="316"/>
      <c r="O72" s="287">
        <f t="shared" si="11"/>
        <v>831053.05999999994</v>
      </c>
      <c r="P72" s="320">
        <f>'Base Costs'!P72*(1+$AI72)</f>
        <v>0</v>
      </c>
      <c r="Q72" s="287">
        <f>'Base Costs'!Q72*(1+$AI72)</f>
        <v>0</v>
      </c>
      <c r="R72" s="341">
        <f>'Base Costs'!R72*(1+$AI72)</f>
        <v>166210.61199999999</v>
      </c>
      <c r="S72" s="341">
        <f>'Base Costs'!S72*(1+$AI72)</f>
        <v>166210.61199999999</v>
      </c>
      <c r="T72" s="341">
        <f>'Base Costs'!T72*(1+$AI72)</f>
        <v>166210.61199999999</v>
      </c>
      <c r="U72" s="341">
        <f>'Base Costs'!U72*(1+$AI72)</f>
        <v>166210.61199999999</v>
      </c>
      <c r="V72" s="341">
        <f>'Base Costs'!V72*(1+$AI72)</f>
        <v>166210.61199999999</v>
      </c>
      <c r="W72" s="287">
        <f>'Base Costs'!W72*(1+$AI72)</f>
        <v>0</v>
      </c>
      <c r="X72" s="321">
        <f>'Base Costs'!X72*(1+$AI72)</f>
        <v>0</v>
      </c>
      <c r="Y72" s="287">
        <f t="shared" si="20"/>
        <v>0</v>
      </c>
      <c r="Z72" s="287">
        <f t="shared" si="12"/>
        <v>0</v>
      </c>
      <c r="AA72" s="341">
        <f t="shared" si="13"/>
        <v>166210.61199999999</v>
      </c>
      <c r="AB72" s="341">
        <f t="shared" si="14"/>
        <v>166210.61199999999</v>
      </c>
      <c r="AC72" s="341">
        <f t="shared" si="15"/>
        <v>166210.61199999999</v>
      </c>
      <c r="AD72" s="341">
        <f t="shared" si="16"/>
        <v>166210.61199999999</v>
      </c>
      <c r="AE72" s="341">
        <f t="shared" si="17"/>
        <v>166210.61199999999</v>
      </c>
      <c r="AF72" s="287">
        <f t="shared" si="18"/>
        <v>0</v>
      </c>
      <c r="AG72" s="287">
        <f t="shared" si="19"/>
        <v>0</v>
      </c>
      <c r="AH72" s="322">
        <f>IF($H72,0,IFERROR(IF(VALUE(LEFT(D72,4))&gt;VALUE(LEFT(Parameters!$B$66,4))+1,O72-SUM(R72:X72),0),0))</f>
        <v>0</v>
      </c>
      <c r="AI72" s="325">
        <f>IF(E72=0,0,INDEX(Parameters!$D$5:$D$35,MATCH(E72,Parameters!$B$5:$B$35,0)))</f>
        <v>2.46E-2</v>
      </c>
    </row>
    <row r="73" spans="1:35" x14ac:dyDescent="0.3">
      <c r="A73" s="313" t="str">
        <f>'Base Costs'!A73</f>
        <v>ND1235</v>
      </c>
      <c r="B73" s="314" t="str">
        <f>'Base Costs'!B73</f>
        <v>Transformer protection renewal program</v>
      </c>
      <c r="C73" s="314" t="str">
        <f>'Base Costs'!C73</f>
        <v>Asset Renewal</v>
      </c>
      <c r="D73" s="333" t="str">
        <f>'Base Costs'!D73</f>
        <v>2017/18</v>
      </c>
      <c r="E73" s="333">
        <f>'Base Costs'!E73</f>
        <v>13</v>
      </c>
      <c r="F73" s="315"/>
      <c r="G73" s="315"/>
      <c r="H73" s="316">
        <f>'Input Data Sheet'!J73</f>
        <v>1</v>
      </c>
      <c r="I73" s="316"/>
      <c r="J73" s="316"/>
      <c r="K73" s="316"/>
      <c r="L73" s="316"/>
      <c r="M73" s="316"/>
      <c r="N73" s="316"/>
      <c r="O73" s="287">
        <f t="shared" si="11"/>
        <v>6012307.7176000001</v>
      </c>
      <c r="P73" s="320">
        <f>'Base Costs'!P73*(1+$AI73)</f>
        <v>0</v>
      </c>
      <c r="Q73" s="287">
        <f>'Base Costs'!Q73*(1+$AI73)</f>
        <v>0</v>
      </c>
      <c r="R73" s="341">
        <f>'Base Costs'!R73*(1+$AI73)</f>
        <v>0</v>
      </c>
      <c r="S73" s="341">
        <f>'Base Costs'!S73*(1+$AI73)</f>
        <v>781599.71639999992</v>
      </c>
      <c r="T73" s="341">
        <f>'Base Costs'!T73*(1+$AI73)</f>
        <v>5170584.4731999999</v>
      </c>
      <c r="U73" s="341">
        <f>'Base Costs'!U73*(1+$AI73)</f>
        <v>60123.527999999998</v>
      </c>
      <c r="V73" s="341">
        <f>'Base Costs'!V73*(1+$AI73)</f>
        <v>0</v>
      </c>
      <c r="W73" s="287">
        <f>'Base Costs'!W73*(1+$AI73)</f>
        <v>0</v>
      </c>
      <c r="X73" s="321">
        <f>'Base Costs'!X73*(1+$AI73)</f>
        <v>0</v>
      </c>
      <c r="Y73" s="287">
        <f t="shared" si="20"/>
        <v>0</v>
      </c>
      <c r="Z73" s="287">
        <f t="shared" si="12"/>
        <v>0</v>
      </c>
      <c r="AA73" s="341">
        <f t="shared" si="13"/>
        <v>0</v>
      </c>
      <c r="AB73" s="341">
        <f t="shared" si="14"/>
        <v>781599.71639999992</v>
      </c>
      <c r="AC73" s="341">
        <f t="shared" si="15"/>
        <v>5170584.4731999999</v>
      </c>
      <c r="AD73" s="341">
        <f t="shared" si="16"/>
        <v>60123.527999999998</v>
      </c>
      <c r="AE73" s="341">
        <f t="shared" si="17"/>
        <v>0</v>
      </c>
      <c r="AF73" s="287">
        <f t="shared" si="18"/>
        <v>0</v>
      </c>
      <c r="AG73" s="287">
        <f t="shared" si="19"/>
        <v>0</v>
      </c>
      <c r="AH73" s="322">
        <f>IF($H73,0,IFERROR(IF(VALUE(LEFT(D73,4))&gt;VALUE(LEFT(Parameters!$B$66,4))+1,O73-SUM(R73:X73),0),0))</f>
        <v>0</v>
      </c>
      <c r="AI73" s="325">
        <f>IF(E73=0,0,INDEX(Parameters!$D$5:$D$35,MATCH(E73,Parameters!$B$5:$B$35,0)))</f>
        <v>2.46E-2</v>
      </c>
    </row>
    <row r="74" spans="1:35" x14ac:dyDescent="0.3">
      <c r="A74" s="313" t="str">
        <f>'Base Costs'!A74</f>
        <v>ND0925</v>
      </c>
      <c r="B74" s="314" t="str">
        <f>'Base Costs'!B74</f>
        <v>Transmission line access track renewal program</v>
      </c>
      <c r="C74" s="314" t="str">
        <f>'Base Costs'!C74</f>
        <v>Physical Security / Compliance</v>
      </c>
      <c r="D74" s="333" t="str">
        <f>'Base Costs'!D74</f>
        <v>2018/19</v>
      </c>
      <c r="E74" s="333">
        <f>'Base Costs'!E74</f>
        <v>6</v>
      </c>
      <c r="F74" s="315"/>
      <c r="G74" s="315"/>
      <c r="H74" s="316">
        <f>'Input Data Sheet'!J74</f>
        <v>1</v>
      </c>
      <c r="I74" s="316"/>
      <c r="J74" s="316"/>
      <c r="K74" s="316"/>
      <c r="L74" s="316"/>
      <c r="M74" s="316"/>
      <c r="N74" s="316"/>
      <c r="O74" s="287">
        <f t="shared" si="11"/>
        <v>3773578.0440000002</v>
      </c>
      <c r="P74" s="320">
        <f>'Base Costs'!P74*(1+$AI74)</f>
        <v>0</v>
      </c>
      <c r="Q74" s="287">
        <f>'Base Costs'!Q74*(1+$AI74)</f>
        <v>0</v>
      </c>
      <c r="R74" s="341">
        <f>'Base Costs'!R74*(1+$AI74)</f>
        <v>754715.60880000005</v>
      </c>
      <c r="S74" s="341">
        <f>'Base Costs'!S74*(1+$AI74)</f>
        <v>754715.60880000005</v>
      </c>
      <c r="T74" s="341">
        <f>'Base Costs'!T74*(1+$AI74)</f>
        <v>754715.60880000005</v>
      </c>
      <c r="U74" s="341">
        <f>'Base Costs'!U74*(1+$AI74)</f>
        <v>754715.60880000005</v>
      </c>
      <c r="V74" s="341">
        <f>'Base Costs'!V74*(1+$AI74)</f>
        <v>754715.60880000005</v>
      </c>
      <c r="W74" s="287">
        <f>'Base Costs'!W74*(1+$AI74)</f>
        <v>0</v>
      </c>
      <c r="X74" s="321">
        <f>'Base Costs'!X74*(1+$AI74)</f>
        <v>0</v>
      </c>
      <c r="Y74" s="287">
        <f t="shared" si="20"/>
        <v>0</v>
      </c>
      <c r="Z74" s="287">
        <f t="shared" si="12"/>
        <v>0</v>
      </c>
      <c r="AA74" s="341">
        <f t="shared" si="13"/>
        <v>754715.60880000005</v>
      </c>
      <c r="AB74" s="341">
        <f t="shared" si="14"/>
        <v>754715.60880000005</v>
      </c>
      <c r="AC74" s="341">
        <f t="shared" si="15"/>
        <v>754715.60880000005</v>
      </c>
      <c r="AD74" s="341">
        <f t="shared" si="16"/>
        <v>754715.60880000005</v>
      </c>
      <c r="AE74" s="341">
        <f t="shared" si="17"/>
        <v>754715.60880000005</v>
      </c>
      <c r="AF74" s="287">
        <f t="shared" si="18"/>
        <v>0</v>
      </c>
      <c r="AG74" s="287">
        <f t="shared" si="19"/>
        <v>0</v>
      </c>
      <c r="AH74" s="322">
        <f>IF($H74,0,IFERROR(IF(VALUE(LEFT(D74,4))&gt;VALUE(LEFT(Parameters!$B$66,4))+1,O74-SUM(R74:X74),0),0))</f>
        <v>0</v>
      </c>
      <c r="AI74" s="325">
        <f>IF(E74=0,0,INDEX(Parameters!$D$5:$D$35,MATCH(E74,Parameters!$B$5:$B$35,0)))</f>
        <v>1.72E-2</v>
      </c>
    </row>
    <row r="75" spans="1:35" x14ac:dyDescent="0.3">
      <c r="A75" s="313" t="str">
        <f>'Base Costs'!A75</f>
        <v>ND1244</v>
      </c>
      <c r="B75" s="314" t="str">
        <f>'Base Costs'!B75</f>
        <v>Transmission line access track security system compliance program</v>
      </c>
      <c r="C75" s="314" t="str">
        <f>'Base Costs'!C75</f>
        <v>Physical Security / Compliance</v>
      </c>
      <c r="D75" s="333" t="str">
        <f>'Base Costs'!D75</f>
        <v>2018/19</v>
      </c>
      <c r="E75" s="333">
        <f>'Base Costs'!E75</f>
        <v>6</v>
      </c>
      <c r="F75" s="315"/>
      <c r="G75" s="315"/>
      <c r="H75" s="316">
        <f>'Input Data Sheet'!J75</f>
        <v>1</v>
      </c>
      <c r="I75" s="316"/>
      <c r="J75" s="316"/>
      <c r="K75" s="316"/>
      <c r="L75" s="316"/>
      <c r="M75" s="316"/>
      <c r="N75" s="316"/>
      <c r="O75" s="287">
        <f t="shared" si="11"/>
        <v>621000.60000000009</v>
      </c>
      <c r="P75" s="320">
        <f>'Base Costs'!P75*(1+$AI75)</f>
        <v>0</v>
      </c>
      <c r="Q75" s="287">
        <f>'Base Costs'!Q75*(1+$AI75)</f>
        <v>0</v>
      </c>
      <c r="R75" s="341">
        <f>'Base Costs'!R75*(1+$AI75)</f>
        <v>62100.060000000012</v>
      </c>
      <c r="S75" s="341">
        <f>'Base Costs'!S75*(1+$AI75)</f>
        <v>139725.13500000004</v>
      </c>
      <c r="T75" s="341">
        <f>'Base Costs'!T75*(1+$AI75)</f>
        <v>139725.13500000004</v>
      </c>
      <c r="U75" s="341">
        <f>'Base Costs'!U75*(1+$AI75)</f>
        <v>139725.13500000004</v>
      </c>
      <c r="V75" s="341">
        <f>'Base Costs'!V75*(1+$AI75)</f>
        <v>139725.13500000004</v>
      </c>
      <c r="W75" s="287">
        <f>'Base Costs'!W75*(1+$AI75)</f>
        <v>0</v>
      </c>
      <c r="X75" s="321">
        <f>'Base Costs'!X75*(1+$AI75)</f>
        <v>0</v>
      </c>
      <c r="Y75" s="287">
        <f t="shared" si="20"/>
        <v>0</v>
      </c>
      <c r="Z75" s="287">
        <f t="shared" si="12"/>
        <v>0</v>
      </c>
      <c r="AA75" s="341">
        <f t="shared" si="13"/>
        <v>62100.060000000012</v>
      </c>
      <c r="AB75" s="341">
        <f t="shared" si="14"/>
        <v>139725.13500000004</v>
      </c>
      <c r="AC75" s="341">
        <f t="shared" si="15"/>
        <v>139725.13500000004</v>
      </c>
      <c r="AD75" s="341">
        <f t="shared" si="16"/>
        <v>139725.13500000004</v>
      </c>
      <c r="AE75" s="341">
        <f t="shared" si="17"/>
        <v>139725.13500000004</v>
      </c>
      <c r="AF75" s="287">
        <f t="shared" si="18"/>
        <v>0</v>
      </c>
      <c r="AG75" s="287">
        <f t="shared" si="19"/>
        <v>0</v>
      </c>
      <c r="AH75" s="322">
        <f>IF($H75,0,IFERROR(IF(VALUE(LEFT(D75,4))&gt;VALUE(LEFT(Parameters!$B$66,4))+1,O75-SUM(R75:X75),0),0))</f>
        <v>0</v>
      </c>
      <c r="AI75" s="325">
        <f>IF(E75=0,0,INDEX(Parameters!$D$5:$D$35,MATCH(E75,Parameters!$B$5:$B$35,0)))</f>
        <v>1.72E-2</v>
      </c>
    </row>
    <row r="76" spans="1:35" x14ac:dyDescent="0.3">
      <c r="A76" s="313" t="str">
        <f>'Base Costs'!A76</f>
        <v>ND1238</v>
      </c>
      <c r="B76" s="314" t="str">
        <f>'Base Costs'!B76</f>
        <v>Transmission line anode renewal program</v>
      </c>
      <c r="C76" s="314" t="str">
        <f>'Base Costs'!C76</f>
        <v>Asset Renewal</v>
      </c>
      <c r="D76" s="333" t="str">
        <f>'Base Costs'!D76</f>
        <v>2018/19</v>
      </c>
      <c r="E76" s="333">
        <f>'Base Costs'!E76</f>
        <v>15</v>
      </c>
      <c r="F76" s="315"/>
      <c r="G76" s="315"/>
      <c r="H76" s="316">
        <f>'Input Data Sheet'!J76</f>
        <v>1</v>
      </c>
      <c r="I76" s="316"/>
      <c r="J76" s="316"/>
      <c r="K76" s="316"/>
      <c r="L76" s="316"/>
      <c r="M76" s="316"/>
      <c r="N76" s="316"/>
      <c r="O76" s="287">
        <f t="shared" si="11"/>
        <v>3939945</v>
      </c>
      <c r="P76" s="320">
        <f>'Base Costs'!P76*(1+$AI76)</f>
        <v>0</v>
      </c>
      <c r="Q76" s="287">
        <f>'Base Costs'!Q76*(1+$AI76)</f>
        <v>0</v>
      </c>
      <c r="R76" s="341">
        <f>'Base Costs'!R76*(1+$AI76)</f>
        <v>393994.5</v>
      </c>
      <c r="S76" s="341">
        <f>'Base Costs'!S76*(1+$AI76)</f>
        <v>886487.625</v>
      </c>
      <c r="T76" s="341">
        <f>'Base Costs'!T76*(1+$AI76)</f>
        <v>886487.625</v>
      </c>
      <c r="U76" s="341">
        <f>'Base Costs'!U76*(1+$AI76)</f>
        <v>886487.625</v>
      </c>
      <c r="V76" s="341">
        <f>'Base Costs'!V76*(1+$AI76)</f>
        <v>886487.625</v>
      </c>
      <c r="W76" s="287">
        <f>'Base Costs'!W76*(1+$AI76)</f>
        <v>0</v>
      </c>
      <c r="X76" s="321">
        <f>'Base Costs'!X76*(1+$AI76)</f>
        <v>0</v>
      </c>
      <c r="Y76" s="287">
        <f t="shared" si="20"/>
        <v>0</v>
      </c>
      <c r="Z76" s="287">
        <f t="shared" si="12"/>
        <v>0</v>
      </c>
      <c r="AA76" s="341">
        <f t="shared" si="13"/>
        <v>393994.5</v>
      </c>
      <c r="AB76" s="341">
        <f t="shared" si="14"/>
        <v>886487.625</v>
      </c>
      <c r="AC76" s="341">
        <f t="shared" si="15"/>
        <v>886487.625</v>
      </c>
      <c r="AD76" s="341">
        <f t="shared" si="16"/>
        <v>886487.625</v>
      </c>
      <c r="AE76" s="341">
        <f t="shared" si="17"/>
        <v>886487.625</v>
      </c>
      <c r="AF76" s="287">
        <f t="shared" si="18"/>
        <v>0</v>
      </c>
      <c r="AG76" s="287">
        <f t="shared" si="19"/>
        <v>0</v>
      </c>
      <c r="AH76" s="322">
        <f>IF($H76,0,IFERROR(IF(VALUE(LEFT(D76,4))&gt;VALUE(LEFT(Parameters!$B$66,4))+1,O76-SUM(R76:X76),0),0))</f>
        <v>0</v>
      </c>
      <c r="AI76" s="325">
        <f>IF(E76=0,0,INDEX(Parameters!$D$5:$D$35,MATCH(E76,Parameters!$B$5:$B$35,0)))</f>
        <v>0</v>
      </c>
    </row>
    <row r="77" spans="1:35" x14ac:dyDescent="0.3">
      <c r="A77" s="313" t="str">
        <f>'Base Costs'!A77</f>
        <v>ND0928</v>
      </c>
      <c r="B77" s="314" t="str">
        <f>'Base Costs'!B77</f>
        <v>Transmission line conductor assembly renewal program</v>
      </c>
      <c r="C77" s="314" t="str">
        <f>'Base Costs'!C77</f>
        <v>Asset Renewal</v>
      </c>
      <c r="D77" s="333" t="str">
        <f>'Base Costs'!D77</f>
        <v>2018/19</v>
      </c>
      <c r="E77" s="333">
        <f>'Base Costs'!E77</f>
        <v>6</v>
      </c>
      <c r="F77" s="315"/>
      <c r="G77" s="315"/>
      <c r="H77" s="316">
        <f>'Input Data Sheet'!J77</f>
        <v>1</v>
      </c>
      <c r="I77" s="316"/>
      <c r="J77" s="316"/>
      <c r="K77" s="316"/>
      <c r="L77" s="316"/>
      <c r="M77" s="316"/>
      <c r="N77" s="316"/>
      <c r="O77" s="287">
        <f t="shared" si="11"/>
        <v>4372247.0352000007</v>
      </c>
      <c r="P77" s="320">
        <f>'Base Costs'!P77*(1+$AI77)</f>
        <v>0</v>
      </c>
      <c r="Q77" s="287">
        <f>'Base Costs'!Q77*(1+$AI77)</f>
        <v>0</v>
      </c>
      <c r="R77" s="341">
        <f>'Base Costs'!R77*(1+$AI77)</f>
        <v>437224.70352000004</v>
      </c>
      <c r="S77" s="341">
        <f>'Base Costs'!S77*(1+$AI77)</f>
        <v>983755.58292000007</v>
      </c>
      <c r="T77" s="341">
        <f>'Base Costs'!T77*(1+$AI77)</f>
        <v>983755.58292000007</v>
      </c>
      <c r="U77" s="341">
        <f>'Base Costs'!U77*(1+$AI77)</f>
        <v>983755.58292000007</v>
      </c>
      <c r="V77" s="341">
        <f>'Base Costs'!V77*(1+$AI77)</f>
        <v>983755.58292000007</v>
      </c>
      <c r="W77" s="287">
        <f>'Base Costs'!W77*(1+$AI77)</f>
        <v>0</v>
      </c>
      <c r="X77" s="321">
        <f>'Base Costs'!X77*(1+$AI77)</f>
        <v>0</v>
      </c>
      <c r="Y77" s="287">
        <f t="shared" si="20"/>
        <v>0</v>
      </c>
      <c r="Z77" s="287">
        <f t="shared" si="12"/>
        <v>0</v>
      </c>
      <c r="AA77" s="341">
        <f t="shared" si="13"/>
        <v>437224.70352000004</v>
      </c>
      <c r="AB77" s="341">
        <f t="shared" si="14"/>
        <v>983755.58292000007</v>
      </c>
      <c r="AC77" s="341">
        <f t="shared" si="15"/>
        <v>983755.58292000007</v>
      </c>
      <c r="AD77" s="341">
        <f t="shared" si="16"/>
        <v>983755.58292000007</v>
      </c>
      <c r="AE77" s="341">
        <f t="shared" si="17"/>
        <v>983755.58292000007</v>
      </c>
      <c r="AF77" s="287">
        <f t="shared" si="18"/>
        <v>0</v>
      </c>
      <c r="AG77" s="287">
        <f t="shared" si="19"/>
        <v>0</v>
      </c>
      <c r="AH77" s="322">
        <f>IF($H77,0,IFERROR(IF(VALUE(LEFT(D77,4))&gt;VALUE(LEFT(Parameters!$B$66,4))+1,O77-SUM(R77:X77),0),0))</f>
        <v>0</v>
      </c>
      <c r="AI77" s="325">
        <f>IF(E77=0,0,INDEX(Parameters!$D$5:$D$35,MATCH(E77,Parameters!$B$5:$B$35,0)))</f>
        <v>1.72E-2</v>
      </c>
    </row>
    <row r="78" spans="1:35" x14ac:dyDescent="0.3">
      <c r="A78" s="313" t="str">
        <f>'Base Costs'!A78</f>
        <v>ND1239</v>
      </c>
      <c r="B78" s="314" t="str">
        <f>'Base Costs'!B78</f>
        <v>Transmission line fall arrest system installation program</v>
      </c>
      <c r="C78" s="314" t="str">
        <f>'Base Costs'!C78</f>
        <v>Physical Security / Compliance</v>
      </c>
      <c r="D78" s="333" t="str">
        <f>'Base Costs'!D78</f>
        <v>2018/19</v>
      </c>
      <c r="E78" s="333">
        <f>'Base Costs'!E78</f>
        <v>6</v>
      </c>
      <c r="F78" s="315"/>
      <c r="G78" s="315"/>
      <c r="H78" s="316">
        <f>'Input Data Sheet'!J78</f>
        <v>1</v>
      </c>
      <c r="I78" s="316"/>
      <c r="J78" s="316"/>
      <c r="K78" s="316"/>
      <c r="L78" s="316"/>
      <c r="M78" s="316"/>
      <c r="N78" s="316"/>
      <c r="O78" s="287">
        <f t="shared" si="11"/>
        <v>865891.50000000012</v>
      </c>
      <c r="P78" s="320">
        <f>'Base Costs'!P78*(1+$AI78)</f>
        <v>0</v>
      </c>
      <c r="Q78" s="287">
        <f>'Base Costs'!Q78*(1+$AI78)</f>
        <v>0</v>
      </c>
      <c r="R78" s="341">
        <f>'Base Costs'!R78*(1+$AI78)</f>
        <v>86589.150000000009</v>
      </c>
      <c r="S78" s="341">
        <f>'Base Costs'!S78*(1+$AI78)</f>
        <v>194825.58750000002</v>
      </c>
      <c r="T78" s="341">
        <f>'Base Costs'!T78*(1+$AI78)</f>
        <v>194825.58750000002</v>
      </c>
      <c r="U78" s="341">
        <f>'Base Costs'!U78*(1+$AI78)</f>
        <v>194825.58750000002</v>
      </c>
      <c r="V78" s="341">
        <f>'Base Costs'!V78*(1+$AI78)</f>
        <v>194825.58750000002</v>
      </c>
      <c r="W78" s="287">
        <f>'Base Costs'!W78*(1+$AI78)</f>
        <v>0</v>
      </c>
      <c r="X78" s="321">
        <f>'Base Costs'!X78*(1+$AI78)</f>
        <v>0</v>
      </c>
      <c r="Y78" s="287">
        <f t="shared" si="20"/>
        <v>0</v>
      </c>
      <c r="Z78" s="287">
        <f t="shared" si="12"/>
        <v>0</v>
      </c>
      <c r="AA78" s="341">
        <f t="shared" si="13"/>
        <v>86589.150000000009</v>
      </c>
      <c r="AB78" s="341">
        <f t="shared" si="14"/>
        <v>194825.58750000002</v>
      </c>
      <c r="AC78" s="341">
        <f t="shared" si="15"/>
        <v>194825.58750000002</v>
      </c>
      <c r="AD78" s="341">
        <f t="shared" si="16"/>
        <v>194825.58750000002</v>
      </c>
      <c r="AE78" s="341">
        <f t="shared" si="17"/>
        <v>194825.58750000002</v>
      </c>
      <c r="AF78" s="287">
        <f t="shared" si="18"/>
        <v>0</v>
      </c>
      <c r="AG78" s="287">
        <f t="shared" si="19"/>
        <v>0</v>
      </c>
      <c r="AH78" s="322">
        <f>IF($H78,0,IFERROR(IF(VALUE(LEFT(D78,4))&gt;VALUE(LEFT(Parameters!$B$66,4))+1,O78-SUM(R78:X78),0),0))</f>
        <v>0</v>
      </c>
      <c r="AI78" s="325">
        <f>IF(E78=0,0,INDEX(Parameters!$D$5:$D$35,MATCH(E78,Parameters!$B$5:$B$35,0)))</f>
        <v>1.72E-2</v>
      </c>
    </row>
    <row r="79" spans="1:35" x14ac:dyDescent="0.3">
      <c r="A79" s="313" t="str">
        <f>'Base Costs'!A79</f>
        <v>ND0929</v>
      </c>
      <c r="B79" s="314" t="str">
        <f>'Base Costs'!B79</f>
        <v>Transmission line foundation renewal program</v>
      </c>
      <c r="C79" s="314" t="str">
        <f>'Base Costs'!C79</f>
        <v>Asset Renewal</v>
      </c>
      <c r="D79" s="333" t="str">
        <f>'Base Costs'!D79</f>
        <v>2018/19</v>
      </c>
      <c r="E79" s="333">
        <f>'Base Costs'!E79</f>
        <v>6</v>
      </c>
      <c r="F79" s="315"/>
      <c r="G79" s="315"/>
      <c r="H79" s="316">
        <f>'Input Data Sheet'!J79</f>
        <v>1</v>
      </c>
      <c r="I79" s="316"/>
      <c r="J79" s="316"/>
      <c r="K79" s="316"/>
      <c r="L79" s="316"/>
      <c r="M79" s="316"/>
      <c r="N79" s="316"/>
      <c r="O79" s="287">
        <f t="shared" si="11"/>
        <v>4480888.0640000002</v>
      </c>
      <c r="P79" s="320">
        <f>'Base Costs'!P79*(1+$AI79)</f>
        <v>0</v>
      </c>
      <c r="Q79" s="287">
        <f>'Base Costs'!Q79*(1+$AI79)</f>
        <v>0</v>
      </c>
      <c r="R79" s="341">
        <f>'Base Costs'!R79*(1+$AI79)</f>
        <v>448088.80640000006</v>
      </c>
      <c r="S79" s="341">
        <f>'Base Costs'!S79*(1+$AI79)</f>
        <v>1008199.8144000001</v>
      </c>
      <c r="T79" s="341">
        <f>'Base Costs'!T79*(1+$AI79)</f>
        <v>1008199.8144000001</v>
      </c>
      <c r="U79" s="341">
        <f>'Base Costs'!U79*(1+$AI79)</f>
        <v>1008199.8144000001</v>
      </c>
      <c r="V79" s="341">
        <f>'Base Costs'!V79*(1+$AI79)</f>
        <v>1008199.8144000001</v>
      </c>
      <c r="W79" s="287">
        <f>'Base Costs'!W79*(1+$AI79)</f>
        <v>0</v>
      </c>
      <c r="X79" s="321">
        <f>'Base Costs'!X79*(1+$AI79)</f>
        <v>0</v>
      </c>
      <c r="Y79" s="287">
        <f t="shared" si="20"/>
        <v>0</v>
      </c>
      <c r="Z79" s="287">
        <f t="shared" si="12"/>
        <v>0</v>
      </c>
      <c r="AA79" s="341">
        <f t="shared" si="13"/>
        <v>448088.80640000006</v>
      </c>
      <c r="AB79" s="341">
        <f t="shared" si="14"/>
        <v>1008199.8144000001</v>
      </c>
      <c r="AC79" s="341">
        <f t="shared" si="15"/>
        <v>1008199.8144000001</v>
      </c>
      <c r="AD79" s="341">
        <f t="shared" si="16"/>
        <v>1008199.8144000001</v>
      </c>
      <c r="AE79" s="341">
        <f t="shared" si="17"/>
        <v>1008199.8144000001</v>
      </c>
      <c r="AF79" s="287">
        <f t="shared" si="18"/>
        <v>0</v>
      </c>
      <c r="AG79" s="287">
        <f t="shared" si="19"/>
        <v>0</v>
      </c>
      <c r="AH79" s="322">
        <f>IF($H79,0,IFERROR(IF(VALUE(LEFT(D79,4))&gt;VALUE(LEFT(Parameters!$B$66,4))+1,O79-SUM(R79:X79),0),0))</f>
        <v>0</v>
      </c>
      <c r="AI79" s="325">
        <f>IF(E79=0,0,INDEX(Parameters!$D$5:$D$35,MATCH(E79,Parameters!$B$5:$B$35,0)))</f>
        <v>1.72E-2</v>
      </c>
    </row>
    <row r="80" spans="1:35" x14ac:dyDescent="0.3">
      <c r="A80" s="313" t="str">
        <f>'Base Costs'!A80</f>
        <v>ND0924</v>
      </c>
      <c r="B80" s="314" t="str">
        <f>'Base Costs'!B80</f>
        <v>Transmission line insulator assembly renewal program</v>
      </c>
      <c r="C80" s="314" t="str">
        <f>'Base Costs'!C80</f>
        <v>Asset Renewal</v>
      </c>
      <c r="D80" s="333" t="str">
        <f>'Base Costs'!D80</f>
        <v>2018/19</v>
      </c>
      <c r="E80" s="333">
        <f>'Base Costs'!E80</f>
        <v>6</v>
      </c>
      <c r="F80" s="315"/>
      <c r="G80" s="315"/>
      <c r="H80" s="316">
        <f>'Input Data Sheet'!J80</f>
        <v>1</v>
      </c>
      <c r="I80" s="316"/>
      <c r="J80" s="316"/>
      <c r="K80" s="316"/>
      <c r="L80" s="316"/>
      <c r="M80" s="316"/>
      <c r="N80" s="316"/>
      <c r="O80" s="287">
        <f t="shared" si="11"/>
        <v>11881913.200000001</v>
      </c>
      <c r="P80" s="320">
        <f>'Base Costs'!P80*(1+$AI80)</f>
        <v>0</v>
      </c>
      <c r="Q80" s="287">
        <f>'Base Costs'!Q80*(1+$AI80)</f>
        <v>0</v>
      </c>
      <c r="R80" s="341">
        <f>'Base Costs'!R80*(1+$AI80)</f>
        <v>1188191.32</v>
      </c>
      <c r="S80" s="341">
        <f>'Base Costs'!S80*(1+$AI80)</f>
        <v>2673430.4700000002</v>
      </c>
      <c r="T80" s="341">
        <f>'Base Costs'!T80*(1+$AI80)</f>
        <v>2673430.4700000002</v>
      </c>
      <c r="U80" s="341">
        <f>'Base Costs'!U80*(1+$AI80)</f>
        <v>2673430.4700000002</v>
      </c>
      <c r="V80" s="341">
        <f>'Base Costs'!V80*(1+$AI80)</f>
        <v>2673430.4700000002</v>
      </c>
      <c r="W80" s="287">
        <f>'Base Costs'!W80*(1+$AI80)</f>
        <v>0</v>
      </c>
      <c r="X80" s="321">
        <f>'Base Costs'!X80*(1+$AI80)</f>
        <v>0</v>
      </c>
      <c r="Y80" s="287">
        <f t="shared" si="20"/>
        <v>0</v>
      </c>
      <c r="Z80" s="287">
        <f t="shared" si="12"/>
        <v>0</v>
      </c>
      <c r="AA80" s="341">
        <f t="shared" si="13"/>
        <v>1188191.32</v>
      </c>
      <c r="AB80" s="341">
        <f t="shared" si="14"/>
        <v>2673430.4700000002</v>
      </c>
      <c r="AC80" s="341">
        <f t="shared" si="15"/>
        <v>2673430.4700000002</v>
      </c>
      <c r="AD80" s="341">
        <f t="shared" si="16"/>
        <v>2673430.4700000002</v>
      </c>
      <c r="AE80" s="341">
        <f t="shared" si="17"/>
        <v>2673430.4700000002</v>
      </c>
      <c r="AF80" s="287">
        <f t="shared" si="18"/>
        <v>0</v>
      </c>
      <c r="AG80" s="287">
        <f t="shared" si="19"/>
        <v>0</v>
      </c>
      <c r="AH80" s="322">
        <f>IF($H80,0,IFERROR(IF(VALUE(LEFT(D80,4))&gt;VALUE(LEFT(Parameters!$B$66,4))+1,O80-SUM(R80:X80),0),0))</f>
        <v>0</v>
      </c>
      <c r="AI80" s="325">
        <f>IF(E80=0,0,INDEX(Parameters!$D$5:$D$35,MATCH(E80,Parameters!$B$5:$B$35,0)))</f>
        <v>1.72E-2</v>
      </c>
    </row>
    <row r="81" spans="1:35" x14ac:dyDescent="0.3">
      <c r="A81" s="313" t="str">
        <f>'Base Costs'!A81</f>
        <v>ND1242</v>
      </c>
      <c r="B81" s="314" t="str">
        <f>'Base Costs'!B81</f>
        <v>Transmission line K-pole renewal program</v>
      </c>
      <c r="C81" s="314" t="str">
        <f>'Base Costs'!C81</f>
        <v>Asset Renewal</v>
      </c>
      <c r="D81" s="333" t="str">
        <f>'Base Costs'!D81</f>
        <v>2015/16</v>
      </c>
      <c r="E81" s="333">
        <f>'Base Costs'!E81</f>
        <v>6</v>
      </c>
      <c r="F81" s="315"/>
      <c r="G81" s="315"/>
      <c r="H81" s="316">
        <f>'Input Data Sheet'!J81</f>
        <v>1</v>
      </c>
      <c r="I81" s="316"/>
      <c r="J81" s="316"/>
      <c r="K81" s="316"/>
      <c r="L81" s="316"/>
      <c r="M81" s="316"/>
      <c r="N81" s="316"/>
      <c r="O81" s="287">
        <f t="shared" si="11"/>
        <v>5363390.4400000004</v>
      </c>
      <c r="P81" s="320">
        <f>'Base Costs'!P81*(1+$AI81)</f>
        <v>0</v>
      </c>
      <c r="Q81" s="287">
        <f>'Base Costs'!Q81*(1+$AI81)</f>
        <v>0</v>
      </c>
      <c r="R81" s="341">
        <f>'Base Costs'!R81*(1+$AI81)</f>
        <v>2577344.7408000003</v>
      </c>
      <c r="S81" s="341">
        <f>'Base Costs'!S81*(1+$AI81)</f>
        <v>2786045.6992000001</v>
      </c>
      <c r="T81" s="341">
        <f>'Base Costs'!T81*(1+$AI81)</f>
        <v>0</v>
      </c>
      <c r="U81" s="341">
        <f>'Base Costs'!U81*(1+$AI81)</f>
        <v>0</v>
      </c>
      <c r="V81" s="341">
        <f>'Base Costs'!V81*(1+$AI81)</f>
        <v>0</v>
      </c>
      <c r="W81" s="287">
        <f>'Base Costs'!W81*(1+$AI81)</f>
        <v>0</v>
      </c>
      <c r="X81" s="321">
        <f>'Base Costs'!X81*(1+$AI81)</f>
        <v>0</v>
      </c>
      <c r="Y81" s="287">
        <f t="shared" si="20"/>
        <v>0</v>
      </c>
      <c r="Z81" s="287">
        <f t="shared" si="12"/>
        <v>0</v>
      </c>
      <c r="AA81" s="341">
        <f t="shared" si="13"/>
        <v>2577344.7408000003</v>
      </c>
      <c r="AB81" s="341">
        <f t="shared" si="14"/>
        <v>2786045.6992000001</v>
      </c>
      <c r="AC81" s="341">
        <f t="shared" si="15"/>
        <v>0</v>
      </c>
      <c r="AD81" s="341">
        <f t="shared" si="16"/>
        <v>0</v>
      </c>
      <c r="AE81" s="341">
        <f t="shared" si="17"/>
        <v>0</v>
      </c>
      <c r="AF81" s="287">
        <f t="shared" si="18"/>
        <v>0</v>
      </c>
      <c r="AG81" s="287">
        <f t="shared" si="19"/>
        <v>0</v>
      </c>
      <c r="AH81" s="322">
        <f>IF($H81,0,IFERROR(IF(VALUE(LEFT(D81,4))&gt;VALUE(LEFT(Parameters!$B$66,4))+1,O81-SUM(R81:X81),0),0))</f>
        <v>0</v>
      </c>
      <c r="AI81" s="325">
        <f>IF(E81=0,0,INDEX(Parameters!$D$5:$D$35,MATCH(E81,Parameters!$B$5:$B$35,0)))</f>
        <v>1.72E-2</v>
      </c>
    </row>
    <row r="82" spans="1:35" x14ac:dyDescent="0.3">
      <c r="A82" s="313" t="str">
        <f>'Base Costs'!A82</f>
        <v>ND1243</v>
      </c>
      <c r="B82" s="314" t="str">
        <f>'Base Costs'!B82</f>
        <v>Transmission line light detection and ranging program</v>
      </c>
      <c r="C82" s="314" t="str">
        <f>'Base Costs'!C82</f>
        <v>Operational Support Systems</v>
      </c>
      <c r="D82" s="333" t="str">
        <f>'Base Costs'!D82</f>
        <v>2014/15</v>
      </c>
      <c r="E82" s="333">
        <f>'Base Costs'!E82</f>
        <v>15</v>
      </c>
      <c r="F82" s="315"/>
      <c r="G82" s="315"/>
      <c r="H82" s="316">
        <f>'Input Data Sheet'!J82</f>
        <v>1</v>
      </c>
      <c r="I82" s="316"/>
      <c r="J82" s="316"/>
      <c r="K82" s="316"/>
      <c r="L82" s="316"/>
      <c r="M82" s="316"/>
      <c r="N82" s="316"/>
      <c r="O82" s="287">
        <f t="shared" si="11"/>
        <v>1556600</v>
      </c>
      <c r="P82" s="320">
        <f>'Base Costs'!P82*(1+$AI82)</f>
        <v>0</v>
      </c>
      <c r="Q82" s="287">
        <f>'Base Costs'!Q82*(1+$AI82)</f>
        <v>36041</v>
      </c>
      <c r="R82" s="341">
        <f>'Base Costs'!R82*(1+$AI82)</f>
        <v>1520559</v>
      </c>
      <c r="S82" s="341">
        <f>'Base Costs'!S82*(1+$AI82)</f>
        <v>0</v>
      </c>
      <c r="T82" s="341">
        <f>'Base Costs'!T82*(1+$AI82)</f>
        <v>0</v>
      </c>
      <c r="U82" s="341">
        <f>'Base Costs'!U82*(1+$AI82)</f>
        <v>0</v>
      </c>
      <c r="V82" s="341">
        <f>'Base Costs'!V82*(1+$AI82)</f>
        <v>0</v>
      </c>
      <c r="W82" s="287">
        <f>'Base Costs'!W82*(1+$AI82)</f>
        <v>0</v>
      </c>
      <c r="X82" s="321">
        <f>'Base Costs'!X82*(1+$AI82)</f>
        <v>0</v>
      </c>
      <c r="Y82" s="287">
        <f t="shared" si="20"/>
        <v>0</v>
      </c>
      <c r="Z82" s="287">
        <f t="shared" si="12"/>
        <v>36041</v>
      </c>
      <c r="AA82" s="341">
        <f t="shared" si="13"/>
        <v>1520559</v>
      </c>
      <c r="AB82" s="341">
        <f t="shared" si="14"/>
        <v>0</v>
      </c>
      <c r="AC82" s="341">
        <f t="shared" si="15"/>
        <v>0</v>
      </c>
      <c r="AD82" s="341">
        <f t="shared" si="16"/>
        <v>0</v>
      </c>
      <c r="AE82" s="341">
        <f t="shared" si="17"/>
        <v>0</v>
      </c>
      <c r="AF82" s="287">
        <f t="shared" si="18"/>
        <v>0</v>
      </c>
      <c r="AG82" s="287">
        <f t="shared" si="19"/>
        <v>0</v>
      </c>
      <c r="AH82" s="322">
        <f>IF($H82,0,IFERROR(IF(VALUE(LEFT(D82,4))&gt;VALUE(LEFT(Parameters!$B$66,4))+1,O82-SUM(R82:X82),0),0))</f>
        <v>0</v>
      </c>
      <c r="AI82" s="325">
        <f>IF(E82=0,0,INDEX(Parameters!$D$5:$D$35,MATCH(E82,Parameters!$B$5:$B$35,0)))</f>
        <v>0</v>
      </c>
    </row>
    <row r="83" spans="1:35" x14ac:dyDescent="0.3">
      <c r="A83" s="313" t="str">
        <f>'Base Costs'!A83</f>
        <v>ND1236</v>
      </c>
      <c r="B83" s="314" t="str">
        <f>'Base Costs'!B83</f>
        <v>Transmission line protection renewal program</v>
      </c>
      <c r="C83" s="314" t="str">
        <f>'Base Costs'!C83</f>
        <v>Asset Renewal</v>
      </c>
      <c r="D83" s="333" t="str">
        <f>'Base Costs'!D83</f>
        <v>2018/19</v>
      </c>
      <c r="E83" s="333">
        <f>'Base Costs'!E83</f>
        <v>13</v>
      </c>
      <c r="F83" s="315"/>
      <c r="G83" s="315"/>
      <c r="H83" s="316">
        <f>'Input Data Sheet'!J83</f>
        <v>1</v>
      </c>
      <c r="I83" s="316"/>
      <c r="J83" s="316"/>
      <c r="K83" s="316"/>
      <c r="L83" s="316"/>
      <c r="M83" s="316"/>
      <c r="N83" s="316"/>
      <c r="O83" s="287">
        <f t="shared" si="11"/>
        <v>4043518.3255999996</v>
      </c>
      <c r="P83" s="320">
        <f>'Base Costs'!P83*(1+$AI83)</f>
        <v>0</v>
      </c>
      <c r="Q83" s="287">
        <f>'Base Costs'!Q83*(1+$AI83)</f>
        <v>0</v>
      </c>
      <c r="R83" s="341">
        <f>'Base Costs'!R83*(1+$AI83)</f>
        <v>0</v>
      </c>
      <c r="S83" s="341">
        <f>'Base Costs'!S83*(1+$AI83)</f>
        <v>0</v>
      </c>
      <c r="T83" s="341">
        <f>'Base Costs'!T83*(1+$AI83)</f>
        <v>504163.65139999997</v>
      </c>
      <c r="U83" s="341">
        <f>'Base Costs'!U83*(1+$AI83)</f>
        <v>3496745.6585999997</v>
      </c>
      <c r="V83" s="341">
        <f>'Base Costs'!V83*(1+$AI83)</f>
        <v>42609.015599999999</v>
      </c>
      <c r="W83" s="287">
        <f>'Base Costs'!W83*(1+$AI83)</f>
        <v>0</v>
      </c>
      <c r="X83" s="321">
        <f>'Base Costs'!X83*(1+$AI83)</f>
        <v>0</v>
      </c>
      <c r="Y83" s="287">
        <f t="shared" si="20"/>
        <v>0</v>
      </c>
      <c r="Z83" s="287">
        <f t="shared" si="12"/>
        <v>0</v>
      </c>
      <c r="AA83" s="341">
        <f t="shared" si="13"/>
        <v>0</v>
      </c>
      <c r="AB83" s="341">
        <f t="shared" si="14"/>
        <v>0</v>
      </c>
      <c r="AC83" s="341">
        <f t="shared" si="15"/>
        <v>504163.65139999997</v>
      </c>
      <c r="AD83" s="341">
        <f t="shared" si="16"/>
        <v>3496745.6585999997</v>
      </c>
      <c r="AE83" s="341">
        <f t="shared" si="17"/>
        <v>42609.015599999999</v>
      </c>
      <c r="AF83" s="287">
        <f t="shared" si="18"/>
        <v>0</v>
      </c>
      <c r="AG83" s="287">
        <f t="shared" si="19"/>
        <v>0</v>
      </c>
      <c r="AH83" s="322">
        <f>IF($H83,0,IFERROR(IF(VALUE(LEFT(D83,4))&gt;VALUE(LEFT(Parameters!$B$66,4))+1,O83-SUM(R83:X83),0),0))</f>
        <v>0</v>
      </c>
      <c r="AI83" s="325">
        <f>IF(E83=0,0,INDEX(Parameters!$D$5:$D$35,MATCH(E83,Parameters!$B$5:$B$35,0)))</f>
        <v>2.46E-2</v>
      </c>
    </row>
    <row r="84" spans="1:35" x14ac:dyDescent="0.3">
      <c r="A84" s="313" t="str">
        <f>'Base Costs'!A84</f>
        <v>ND0822</v>
      </c>
      <c r="B84" s="314" t="str">
        <f>'Base Costs'!B84</f>
        <v>Transmission line signage compliance program</v>
      </c>
      <c r="C84" s="314" t="str">
        <f>'Base Costs'!C84</f>
        <v>Physical Security / Compliance</v>
      </c>
      <c r="D84" s="333" t="str">
        <f>'Base Costs'!D84</f>
        <v>2018/19</v>
      </c>
      <c r="E84" s="333">
        <f>'Base Costs'!E84</f>
        <v>6</v>
      </c>
      <c r="F84" s="315"/>
      <c r="G84" s="315"/>
      <c r="H84" s="316">
        <f>'Input Data Sheet'!J84</f>
        <v>1</v>
      </c>
      <c r="I84" s="316"/>
      <c r="J84" s="316"/>
      <c r="K84" s="316"/>
      <c r="L84" s="316"/>
      <c r="M84" s="316"/>
      <c r="N84" s="316"/>
      <c r="O84" s="287">
        <f t="shared" si="11"/>
        <v>1639726.4000000004</v>
      </c>
      <c r="P84" s="320">
        <f>'Base Costs'!P84*(1+$AI84)</f>
        <v>0</v>
      </c>
      <c r="Q84" s="287">
        <f>'Base Costs'!Q84*(1+$AI84)</f>
        <v>0</v>
      </c>
      <c r="R84" s="341">
        <f>'Base Costs'!R84*(1+$AI84)</f>
        <v>163972.64000000001</v>
      </c>
      <c r="S84" s="341">
        <f>'Base Costs'!S84*(1+$AI84)</f>
        <v>368938.44000000006</v>
      </c>
      <c r="T84" s="341">
        <f>'Base Costs'!T84*(1+$AI84)</f>
        <v>368938.44000000006</v>
      </c>
      <c r="U84" s="341">
        <f>'Base Costs'!U84*(1+$AI84)</f>
        <v>368938.44000000006</v>
      </c>
      <c r="V84" s="341">
        <f>'Base Costs'!V84*(1+$AI84)</f>
        <v>368938.44000000006</v>
      </c>
      <c r="W84" s="287">
        <f>'Base Costs'!W84*(1+$AI84)</f>
        <v>0</v>
      </c>
      <c r="X84" s="321">
        <f>'Base Costs'!X84*(1+$AI84)</f>
        <v>0</v>
      </c>
      <c r="Y84" s="287">
        <f t="shared" si="20"/>
        <v>0</v>
      </c>
      <c r="Z84" s="287">
        <f t="shared" si="12"/>
        <v>0</v>
      </c>
      <c r="AA84" s="341">
        <f t="shared" si="13"/>
        <v>163972.64000000001</v>
      </c>
      <c r="AB84" s="341">
        <f t="shared" si="14"/>
        <v>368938.44000000006</v>
      </c>
      <c r="AC84" s="341">
        <f t="shared" si="15"/>
        <v>368938.44000000006</v>
      </c>
      <c r="AD84" s="341">
        <f t="shared" si="16"/>
        <v>368938.44000000006</v>
      </c>
      <c r="AE84" s="341">
        <f t="shared" si="17"/>
        <v>368938.44000000006</v>
      </c>
      <c r="AF84" s="287">
        <f t="shared" si="18"/>
        <v>0</v>
      </c>
      <c r="AG84" s="287">
        <f t="shared" si="19"/>
        <v>0</v>
      </c>
      <c r="AH84" s="322">
        <f>IF($H84,0,IFERROR(IF(VALUE(LEFT(D84,4))&gt;VALUE(LEFT(Parameters!$B$66,4))+1,O84-SUM(R84:X84),0),0))</f>
        <v>0</v>
      </c>
      <c r="AI84" s="325">
        <f>IF(E84=0,0,INDEX(Parameters!$D$5:$D$35,MATCH(E84,Parameters!$B$5:$B$35,0)))</f>
        <v>1.72E-2</v>
      </c>
    </row>
    <row r="85" spans="1:35" x14ac:dyDescent="0.3">
      <c r="A85" s="313" t="str">
        <f>'Base Costs'!A85</f>
        <v>ND1268</v>
      </c>
      <c r="B85" s="314" t="str">
        <f>'Base Costs'!B85</f>
        <v>Transmission line support assembly refurbishment program</v>
      </c>
      <c r="C85" s="314" t="str">
        <f>'Base Costs'!C85</f>
        <v>Asset Renewal</v>
      </c>
      <c r="D85" s="333" t="str">
        <f>'Base Costs'!D85</f>
        <v>2018/19</v>
      </c>
      <c r="E85" s="333">
        <f>'Base Costs'!E85</f>
        <v>6</v>
      </c>
      <c r="F85" s="315"/>
      <c r="G85" s="315"/>
      <c r="H85" s="316">
        <f>'Input Data Sheet'!J85</f>
        <v>1</v>
      </c>
      <c r="I85" s="316"/>
      <c r="J85" s="316"/>
      <c r="K85" s="316"/>
      <c r="L85" s="316"/>
      <c r="M85" s="316"/>
      <c r="N85" s="316"/>
      <c r="O85" s="287">
        <f t="shared" si="11"/>
        <v>2288395.8572</v>
      </c>
      <c r="P85" s="320">
        <f>'Base Costs'!P85*(1+$AI85)</f>
        <v>0</v>
      </c>
      <c r="Q85" s="287">
        <f>'Base Costs'!Q85*(1+$AI85)</f>
        <v>0</v>
      </c>
      <c r="R85" s="341">
        <f>'Base Costs'!R85*(1+$AI85)</f>
        <v>228839.58572000003</v>
      </c>
      <c r="S85" s="341">
        <f>'Base Costs'!S85*(1+$AI85)</f>
        <v>514889.06787000003</v>
      </c>
      <c r="T85" s="341">
        <f>'Base Costs'!T85*(1+$AI85)</f>
        <v>514889.06787000003</v>
      </c>
      <c r="U85" s="341">
        <f>'Base Costs'!U85*(1+$AI85)</f>
        <v>514889.06787000003</v>
      </c>
      <c r="V85" s="341">
        <f>'Base Costs'!V85*(1+$AI85)</f>
        <v>514889.06787000003</v>
      </c>
      <c r="W85" s="287">
        <f>'Base Costs'!W85*(1+$AI85)</f>
        <v>0</v>
      </c>
      <c r="X85" s="321">
        <f>'Base Costs'!X85*(1+$AI85)</f>
        <v>0</v>
      </c>
      <c r="Y85" s="287">
        <f t="shared" si="20"/>
        <v>0</v>
      </c>
      <c r="Z85" s="287">
        <f t="shared" si="12"/>
        <v>0</v>
      </c>
      <c r="AA85" s="341">
        <f t="shared" si="13"/>
        <v>228839.58572000003</v>
      </c>
      <c r="AB85" s="341">
        <f t="shared" si="14"/>
        <v>514889.06787000003</v>
      </c>
      <c r="AC85" s="341">
        <f t="shared" si="15"/>
        <v>514889.06787000003</v>
      </c>
      <c r="AD85" s="341">
        <f t="shared" si="16"/>
        <v>514889.06787000003</v>
      </c>
      <c r="AE85" s="341">
        <f t="shared" si="17"/>
        <v>514889.06787000003</v>
      </c>
      <c r="AF85" s="287">
        <f t="shared" si="18"/>
        <v>0</v>
      </c>
      <c r="AG85" s="287">
        <f t="shared" si="19"/>
        <v>0</v>
      </c>
      <c r="AH85" s="322">
        <f>IF($H85,0,IFERROR(IF(VALUE(LEFT(D85,4))&gt;VALUE(LEFT(Parameters!$B$66,4))+1,O85-SUM(R85:X85),0),0))</f>
        <v>0</v>
      </c>
      <c r="AI85" s="325">
        <f>IF(E85=0,0,INDEX(Parameters!$D$5:$D$35,MATCH(E85,Parameters!$B$5:$B$35,0)))</f>
        <v>1.72E-2</v>
      </c>
    </row>
    <row r="86" spans="1:35" x14ac:dyDescent="0.3">
      <c r="A86" s="313" t="str">
        <f>'Base Costs'!A86</f>
        <v>ND0926</v>
      </c>
      <c r="B86" s="314" t="str">
        <f>'Base Costs'!B86</f>
        <v>Transmission line support assembly renewal program</v>
      </c>
      <c r="C86" s="314" t="str">
        <f>'Base Costs'!C86</f>
        <v>Asset Renewal</v>
      </c>
      <c r="D86" s="333" t="str">
        <f>'Base Costs'!D86</f>
        <v>2018/19</v>
      </c>
      <c r="E86" s="333">
        <f>'Base Costs'!E86</f>
        <v>6</v>
      </c>
      <c r="F86" s="315"/>
      <c r="G86" s="315"/>
      <c r="H86" s="316">
        <f>'Input Data Sheet'!J86</f>
        <v>1</v>
      </c>
      <c r="I86" s="316"/>
      <c r="J86" s="316"/>
      <c r="K86" s="316"/>
      <c r="L86" s="316"/>
      <c r="M86" s="316"/>
      <c r="N86" s="316"/>
      <c r="O86" s="287">
        <f t="shared" si="11"/>
        <v>2041218.2916000001</v>
      </c>
      <c r="P86" s="320">
        <f>'Base Costs'!P86*(1+$AI86)</f>
        <v>0</v>
      </c>
      <c r="Q86" s="287">
        <f>'Base Costs'!Q86*(1+$AI86)</f>
        <v>0</v>
      </c>
      <c r="R86" s="341">
        <f>'Base Costs'!R86*(1+$AI86)</f>
        <v>204121.82916000002</v>
      </c>
      <c r="S86" s="341">
        <f>'Base Costs'!S86*(1+$AI86)</f>
        <v>459274.11561000004</v>
      </c>
      <c r="T86" s="341">
        <f>'Base Costs'!T86*(1+$AI86)</f>
        <v>459274.11561000004</v>
      </c>
      <c r="U86" s="341">
        <f>'Base Costs'!U86*(1+$AI86)</f>
        <v>459274.11561000004</v>
      </c>
      <c r="V86" s="341">
        <f>'Base Costs'!V86*(1+$AI86)</f>
        <v>459274.11561000004</v>
      </c>
      <c r="W86" s="287">
        <f>'Base Costs'!W86*(1+$AI86)</f>
        <v>0</v>
      </c>
      <c r="X86" s="321">
        <f>'Base Costs'!X86*(1+$AI86)</f>
        <v>0</v>
      </c>
      <c r="Y86" s="287">
        <f t="shared" si="20"/>
        <v>0</v>
      </c>
      <c r="Z86" s="287">
        <f t="shared" si="12"/>
        <v>0</v>
      </c>
      <c r="AA86" s="341">
        <f t="shared" si="13"/>
        <v>204121.82916000002</v>
      </c>
      <c r="AB86" s="341">
        <f t="shared" si="14"/>
        <v>459274.11561000004</v>
      </c>
      <c r="AC86" s="341">
        <f t="shared" si="15"/>
        <v>459274.11561000004</v>
      </c>
      <c r="AD86" s="341">
        <f t="shared" si="16"/>
        <v>459274.11561000004</v>
      </c>
      <c r="AE86" s="341">
        <f t="shared" si="17"/>
        <v>459274.11561000004</v>
      </c>
      <c r="AF86" s="287">
        <f t="shared" si="18"/>
        <v>0</v>
      </c>
      <c r="AG86" s="287">
        <f t="shared" si="19"/>
        <v>0</v>
      </c>
      <c r="AH86" s="322">
        <f>IF($H86,0,IFERROR(IF(VALUE(LEFT(D86,4))&gt;VALUE(LEFT(Parameters!$B$66,4))+1,O86-SUM(R86:X86),0),0))</f>
        <v>0</v>
      </c>
      <c r="AI86" s="325">
        <f>IF(E86=0,0,INDEX(Parameters!$D$5:$D$35,MATCH(E86,Parameters!$B$5:$B$35,0)))</f>
        <v>1.72E-2</v>
      </c>
    </row>
    <row r="87" spans="1:35" x14ac:dyDescent="0.3">
      <c r="A87" s="313" t="str">
        <f>'Base Costs'!A87</f>
        <v>ND0966</v>
      </c>
      <c r="B87" s="314" t="str">
        <f>'Base Costs'!B87</f>
        <v>Transmission line wood pole renewal program</v>
      </c>
      <c r="C87" s="314" t="str">
        <f>'Base Costs'!C87</f>
        <v>Asset Renewal</v>
      </c>
      <c r="D87" s="333" t="str">
        <f>'Base Costs'!D87</f>
        <v>2017/18</v>
      </c>
      <c r="E87" s="333">
        <f>'Base Costs'!E87</f>
        <v>6</v>
      </c>
      <c r="F87" s="315"/>
      <c r="G87" s="315"/>
      <c r="H87" s="316">
        <f>'Input Data Sheet'!J87</f>
        <v>1</v>
      </c>
      <c r="I87" s="316"/>
      <c r="J87" s="316"/>
      <c r="K87" s="316"/>
      <c r="L87" s="316"/>
      <c r="M87" s="316"/>
      <c r="N87" s="316"/>
      <c r="O87" s="287">
        <f t="shared" si="11"/>
        <v>2233211.7400000002</v>
      </c>
      <c r="P87" s="320">
        <f>'Base Costs'!P87*(1+$AI87)</f>
        <v>0</v>
      </c>
      <c r="Q87" s="287">
        <f>'Base Costs'!Q87*(1+$AI87)</f>
        <v>0</v>
      </c>
      <c r="R87" s="341">
        <f>'Base Costs'!R87*(1+$AI87)</f>
        <v>0</v>
      </c>
      <c r="S87" s="341">
        <f>'Base Costs'!S87*(1+$AI87)</f>
        <v>0</v>
      </c>
      <c r="T87" s="341">
        <f>'Base Costs'!T87*(1+$AI87)</f>
        <v>1073156.172</v>
      </c>
      <c r="U87" s="341">
        <f>'Base Costs'!U87*(1+$AI87)</f>
        <v>1160055.5680000002</v>
      </c>
      <c r="V87" s="341">
        <f>'Base Costs'!V87*(1+$AI87)</f>
        <v>0</v>
      </c>
      <c r="W87" s="287">
        <f>'Base Costs'!W87*(1+$AI87)</f>
        <v>0</v>
      </c>
      <c r="X87" s="321">
        <f>'Base Costs'!X87*(1+$AI87)</f>
        <v>0</v>
      </c>
      <c r="Y87" s="287">
        <f t="shared" si="20"/>
        <v>0</v>
      </c>
      <c r="Z87" s="287">
        <f t="shared" si="12"/>
        <v>0</v>
      </c>
      <c r="AA87" s="341">
        <f t="shared" si="13"/>
        <v>0</v>
      </c>
      <c r="AB87" s="341">
        <f t="shared" si="14"/>
        <v>0</v>
      </c>
      <c r="AC87" s="341">
        <f t="shared" si="15"/>
        <v>1073156.172</v>
      </c>
      <c r="AD87" s="341">
        <f t="shared" si="16"/>
        <v>1160055.5680000002</v>
      </c>
      <c r="AE87" s="341">
        <f t="shared" si="17"/>
        <v>0</v>
      </c>
      <c r="AF87" s="287">
        <f t="shared" si="18"/>
        <v>0</v>
      </c>
      <c r="AG87" s="287">
        <f t="shared" si="19"/>
        <v>0</v>
      </c>
      <c r="AH87" s="322">
        <f>IF($H87,0,IFERROR(IF(VALUE(LEFT(D87,4))&gt;VALUE(LEFT(Parameters!$B$66,4))+1,O87-SUM(R87:X87),0),0))</f>
        <v>0</v>
      </c>
      <c r="AI87" s="325">
        <f>IF(E87=0,0,INDEX(Parameters!$D$5:$D$35,MATCH(E87,Parameters!$B$5:$B$35,0)))</f>
        <v>1.72E-2</v>
      </c>
    </row>
    <row r="88" spans="1:35" x14ac:dyDescent="0.3">
      <c r="A88" s="313" t="str">
        <f>'Base Costs'!A88</f>
        <v>ND1311</v>
      </c>
      <c r="B88" s="314" t="str">
        <f>'Base Costs'!B88</f>
        <v>Trevallyn Office Building compliance program</v>
      </c>
      <c r="C88" s="314" t="str">
        <f>'Base Costs'!C88</f>
        <v>Business support</v>
      </c>
      <c r="D88" s="333" t="str">
        <f>'Base Costs'!D88</f>
        <v>2016/17</v>
      </c>
      <c r="E88" s="333">
        <f>'Base Costs'!E88</f>
        <v>18</v>
      </c>
      <c r="F88" s="315"/>
      <c r="G88" s="315"/>
      <c r="H88" s="316">
        <f>'Input Data Sheet'!J88</f>
        <v>0</v>
      </c>
      <c r="I88" s="316"/>
      <c r="J88" s="316"/>
      <c r="K88" s="316"/>
      <c r="L88" s="316"/>
      <c r="M88" s="316"/>
      <c r="N88" s="316"/>
      <c r="O88" s="287">
        <f t="shared" si="11"/>
        <v>440000</v>
      </c>
      <c r="P88" s="320">
        <f>'Base Costs'!P88*(1+$AI88)</f>
        <v>0</v>
      </c>
      <c r="Q88" s="287">
        <f>'Base Costs'!Q88*(1+$AI88)</f>
        <v>0</v>
      </c>
      <c r="R88" s="341">
        <f>'Base Costs'!R88*(1+$AI88)</f>
        <v>0</v>
      </c>
      <c r="S88" s="341">
        <f>'Base Costs'!S88*(1+$AI88)</f>
        <v>132000</v>
      </c>
      <c r="T88" s="341">
        <f>'Base Costs'!T88*(1+$AI88)</f>
        <v>308000</v>
      </c>
      <c r="U88" s="341">
        <f>'Base Costs'!U88*(1+$AI88)</f>
        <v>0</v>
      </c>
      <c r="V88" s="341">
        <f>'Base Costs'!V88*(1+$AI88)</f>
        <v>0</v>
      </c>
      <c r="W88" s="287">
        <f>'Base Costs'!W88*(1+$AI88)</f>
        <v>0</v>
      </c>
      <c r="X88" s="321">
        <f>'Base Costs'!X88*(1+$AI88)</f>
        <v>0</v>
      </c>
      <c r="Y88" s="287">
        <f t="shared" si="20"/>
        <v>0</v>
      </c>
      <c r="Z88" s="287">
        <f t="shared" si="12"/>
        <v>0</v>
      </c>
      <c r="AA88" s="341">
        <f t="shared" si="13"/>
        <v>0</v>
      </c>
      <c r="AB88" s="341">
        <f t="shared" si="14"/>
        <v>0</v>
      </c>
      <c r="AC88" s="341">
        <f t="shared" si="15"/>
        <v>440000</v>
      </c>
      <c r="AD88" s="341">
        <f t="shared" si="16"/>
        <v>0</v>
      </c>
      <c r="AE88" s="341">
        <f t="shared" si="17"/>
        <v>0</v>
      </c>
      <c r="AF88" s="287">
        <f t="shared" si="18"/>
        <v>0</v>
      </c>
      <c r="AG88" s="287">
        <f t="shared" si="19"/>
        <v>0</v>
      </c>
      <c r="AH88" s="322">
        <f>IF($H88,0,IFERROR(IF(VALUE(LEFT(D88,4))&gt;VALUE(LEFT(Parameters!$B$66,4))+1,O88-SUM(R88:X88),0),0))</f>
        <v>0</v>
      </c>
      <c r="AI88" s="325">
        <f>IF(E88=0,0,INDEX(Parameters!$D$5:$D$35,MATCH(E88,Parameters!$B$5:$B$35,0)))</f>
        <v>0</v>
      </c>
    </row>
    <row r="89" spans="1:35" x14ac:dyDescent="0.3">
      <c r="A89" s="313" t="str">
        <f>'Base Costs'!A89</f>
        <v>ND0709</v>
      </c>
      <c r="B89" s="314" t="str">
        <f>'Base Costs'!B89</f>
        <v>Tungatinah Substation 110 kV redevelopment</v>
      </c>
      <c r="C89" s="314" t="str">
        <f>'Base Costs'!C89</f>
        <v>Asset Renewal</v>
      </c>
      <c r="D89" s="333" t="str">
        <f>'Base Costs'!D89</f>
        <v>2014/15</v>
      </c>
      <c r="E89" s="333">
        <f>'Base Costs'!E89</f>
        <v>0</v>
      </c>
      <c r="F89" s="315"/>
      <c r="G89" s="315"/>
      <c r="H89" s="316">
        <f>'Input Data Sheet'!J89</f>
        <v>0</v>
      </c>
      <c r="I89" s="316"/>
      <c r="J89" s="316"/>
      <c r="K89" s="316"/>
      <c r="L89" s="316"/>
      <c r="M89" s="316"/>
      <c r="N89" s="316"/>
      <c r="O89" s="287">
        <f t="shared" si="11"/>
        <v>3900482.3536110851</v>
      </c>
      <c r="P89" s="320">
        <f>'Base Costs'!P89*(1+$AI89)</f>
        <v>0</v>
      </c>
      <c r="Q89" s="287">
        <f>'Base Costs'!Q89*(1+$AI89)</f>
        <v>0</v>
      </c>
      <c r="R89" s="341">
        <f>'Base Costs'!R89*(1+$AI89)</f>
        <v>3900482.3536110851</v>
      </c>
      <c r="S89" s="341">
        <f>'Base Costs'!S89*(1+$AI89)</f>
        <v>0</v>
      </c>
      <c r="T89" s="341">
        <f>'Base Costs'!T89*(1+$AI89)</f>
        <v>0</v>
      </c>
      <c r="U89" s="341">
        <f>'Base Costs'!U89*(1+$AI89)</f>
        <v>0</v>
      </c>
      <c r="V89" s="341">
        <f>'Base Costs'!V89*(1+$AI89)</f>
        <v>0</v>
      </c>
      <c r="W89" s="287">
        <f>'Base Costs'!W89*(1+$AI89)</f>
        <v>0</v>
      </c>
      <c r="X89" s="321">
        <f>'Base Costs'!X89*(1+$AI89)</f>
        <v>0</v>
      </c>
      <c r="Y89" s="287">
        <f t="shared" si="20"/>
        <v>0</v>
      </c>
      <c r="Z89" s="287">
        <f t="shared" si="12"/>
        <v>0</v>
      </c>
      <c r="AA89" s="341">
        <f t="shared" si="13"/>
        <v>3900482.3536110851</v>
      </c>
      <c r="AB89" s="341">
        <f t="shared" si="14"/>
        <v>0</v>
      </c>
      <c r="AC89" s="341">
        <f t="shared" si="15"/>
        <v>0</v>
      </c>
      <c r="AD89" s="341">
        <f t="shared" si="16"/>
        <v>0</v>
      </c>
      <c r="AE89" s="341">
        <f t="shared" si="17"/>
        <v>0</v>
      </c>
      <c r="AF89" s="287">
        <f t="shared" si="18"/>
        <v>0</v>
      </c>
      <c r="AG89" s="287">
        <f t="shared" si="19"/>
        <v>0</v>
      </c>
      <c r="AH89" s="322">
        <f>IF($H89,0,IFERROR(IF(VALUE(LEFT(D89,4))&gt;VALUE(LEFT(Parameters!$B$66,4))+1,O89-SUM(R89:X89),0),0))</f>
        <v>0</v>
      </c>
      <c r="AI89" s="325">
        <f>IF(E89=0,0,INDEX(Parameters!$D$5:$D$35,MATCH(E89,Parameters!$B$5:$B$35,0)))</f>
        <v>0</v>
      </c>
    </row>
    <row r="90" spans="1:35" x14ac:dyDescent="0.3">
      <c r="A90" s="313" t="str">
        <f>'Base Costs'!A90</f>
        <v>ND1114</v>
      </c>
      <c r="B90" s="314" t="str">
        <f>'Base Costs'!B90</f>
        <v>Waddamana - Palmerston 220 kV Security Augmentation</v>
      </c>
      <c r="C90" s="314" t="str">
        <f>'Base Costs'!C90</f>
        <v>Augmentation</v>
      </c>
      <c r="D90" s="333" t="str">
        <f>'Base Costs'!D90</f>
        <v>2018/19</v>
      </c>
      <c r="E90" s="333">
        <f>'Base Costs'!E90</f>
        <v>4</v>
      </c>
      <c r="F90" s="315"/>
      <c r="G90" s="315"/>
      <c r="H90" s="316">
        <f>'Input Data Sheet'!J90</f>
        <v>0</v>
      </c>
      <c r="I90" s="316"/>
      <c r="J90" s="316"/>
      <c r="K90" s="316"/>
      <c r="L90" s="316"/>
      <c r="M90" s="316"/>
      <c r="N90" s="316"/>
      <c r="O90" s="287">
        <f t="shared" si="11"/>
        <v>18637072.671599999</v>
      </c>
      <c r="P90" s="320">
        <f>'Base Costs'!P90*(1+$AI90)</f>
        <v>0</v>
      </c>
      <c r="Q90" s="287">
        <f>'Base Costs'!Q90*(1+$AI90)</f>
        <v>0</v>
      </c>
      <c r="R90" s="341">
        <f>'Base Costs'!R90*(1+$AI90)</f>
        <v>0</v>
      </c>
      <c r="S90" s="341">
        <f>'Base Costs'!S90*(1+$AI90)</f>
        <v>0</v>
      </c>
      <c r="T90" s="341">
        <f>'Base Costs'!T90*(1+$AI90)</f>
        <v>566813.77069999999</v>
      </c>
      <c r="U90" s="341">
        <f>'Base Costs'!U90*(1+$AI90)</f>
        <v>8148432.6033999994</v>
      </c>
      <c r="V90" s="341">
        <f>'Base Costs'!V90*(1+$AI90)</f>
        <v>9921826.2974999994</v>
      </c>
      <c r="W90" s="287">
        <f>'Base Costs'!W90*(1+$AI90)</f>
        <v>0</v>
      </c>
      <c r="X90" s="321">
        <f>'Base Costs'!X90*(1+$AI90)</f>
        <v>0</v>
      </c>
      <c r="Y90" s="287">
        <f t="shared" si="20"/>
        <v>0</v>
      </c>
      <c r="Z90" s="287">
        <f t="shared" si="12"/>
        <v>0</v>
      </c>
      <c r="AA90" s="341">
        <f t="shared" si="13"/>
        <v>0</v>
      </c>
      <c r="AB90" s="341">
        <f t="shared" si="14"/>
        <v>0</v>
      </c>
      <c r="AC90" s="341">
        <f t="shared" si="15"/>
        <v>0</v>
      </c>
      <c r="AD90" s="341">
        <f t="shared" si="16"/>
        <v>0</v>
      </c>
      <c r="AE90" s="341">
        <f t="shared" si="17"/>
        <v>18637072.671599999</v>
      </c>
      <c r="AF90" s="287">
        <f t="shared" si="18"/>
        <v>0</v>
      </c>
      <c r="AG90" s="287">
        <f t="shared" si="19"/>
        <v>0</v>
      </c>
      <c r="AH90" s="322">
        <f>IF($H90,0,IFERROR(IF(VALUE(LEFT(D90,4))&gt;VALUE(LEFT(Parameters!$B$66,4))+1,O90-SUM(R90:X90),0),0))</f>
        <v>0</v>
      </c>
      <c r="AI90" s="325">
        <f>IF(E90=0,0,INDEX(Parameters!$D$5:$D$35,MATCH(E90,Parameters!$B$5:$B$35,0)))</f>
        <v>2.4899999999999999E-2</v>
      </c>
    </row>
    <row r="91" spans="1:35" x14ac:dyDescent="0.3">
      <c r="A91" s="313" t="str">
        <f>'Base Costs'!A91</f>
        <v>ND0730</v>
      </c>
      <c r="B91" s="314" t="str">
        <f>'Base Costs'!B91</f>
        <v>Wesley Vale 11 kV to 22 kV conversion</v>
      </c>
      <c r="C91" s="314" t="str">
        <f>'Base Costs'!C91</f>
        <v>Connection</v>
      </c>
      <c r="D91" s="333" t="str">
        <f>'Base Costs'!D91</f>
        <v>2014/15</v>
      </c>
      <c r="E91" s="333">
        <f>'Base Costs'!E91</f>
        <v>9</v>
      </c>
      <c r="F91" s="315"/>
      <c r="G91" s="315"/>
      <c r="H91" s="316">
        <f>'Input Data Sheet'!J91</f>
        <v>0</v>
      </c>
      <c r="I91" s="316"/>
      <c r="J91" s="316"/>
      <c r="K91" s="316"/>
      <c r="L91" s="316"/>
      <c r="M91" s="316"/>
      <c r="N91" s="316"/>
      <c r="O91" s="287">
        <f t="shared" si="11"/>
        <v>1041876.8051999999</v>
      </c>
      <c r="P91" s="320">
        <f>'Base Costs'!P91*(1+$AI91)</f>
        <v>0</v>
      </c>
      <c r="Q91" s="287">
        <f>'Base Costs'!Q91*(1+$AI91)</f>
        <v>0</v>
      </c>
      <c r="R91" s="341">
        <f>'Base Costs'!R91*(1+$AI91)</f>
        <v>1041876.8051999999</v>
      </c>
      <c r="S91" s="341">
        <f>'Base Costs'!S91*(1+$AI91)</f>
        <v>0</v>
      </c>
      <c r="T91" s="341">
        <f>'Base Costs'!T91*(1+$AI91)</f>
        <v>0</v>
      </c>
      <c r="U91" s="341">
        <f>'Base Costs'!U91*(1+$AI91)</f>
        <v>0</v>
      </c>
      <c r="V91" s="341">
        <f>'Base Costs'!V91*(1+$AI91)</f>
        <v>0</v>
      </c>
      <c r="W91" s="287">
        <f>'Base Costs'!W91*(1+$AI91)</f>
        <v>0</v>
      </c>
      <c r="X91" s="321">
        <f>'Base Costs'!X91*(1+$AI91)</f>
        <v>0</v>
      </c>
      <c r="Y91" s="287">
        <f t="shared" si="20"/>
        <v>0</v>
      </c>
      <c r="Z91" s="287">
        <f t="shared" si="12"/>
        <v>0</v>
      </c>
      <c r="AA91" s="341">
        <f t="shared" si="13"/>
        <v>1041876.8051999999</v>
      </c>
      <c r="AB91" s="341">
        <f t="shared" si="14"/>
        <v>0</v>
      </c>
      <c r="AC91" s="341">
        <f t="shared" si="15"/>
        <v>0</v>
      </c>
      <c r="AD91" s="341">
        <f t="shared" si="16"/>
        <v>0</v>
      </c>
      <c r="AE91" s="341">
        <f t="shared" si="17"/>
        <v>0</v>
      </c>
      <c r="AF91" s="287">
        <f t="shared" si="18"/>
        <v>0</v>
      </c>
      <c r="AG91" s="287">
        <f t="shared" si="19"/>
        <v>0</v>
      </c>
      <c r="AH91" s="322">
        <f>IF($H91,0,IFERROR(IF(VALUE(LEFT(D91,4))&gt;VALUE(LEFT(Parameters!$B$66,4))+1,O91-SUM(R91:X91),0),0))</f>
        <v>0</v>
      </c>
      <c r="AI91" s="325">
        <f>IF(E91=0,0,INDEX(Parameters!$D$5:$D$35,MATCH(E91,Parameters!$B$5:$B$35,0)))</f>
        <v>2.46E-2</v>
      </c>
    </row>
    <row r="92" spans="1:35" x14ac:dyDescent="0.3">
      <c r="A92" s="313" t="str">
        <f>'Base Costs'!A92</f>
        <v>ND1001</v>
      </c>
      <c r="B92" s="314" t="str">
        <f>'Base Costs'!B92</f>
        <v>Strategic easement acquisition</v>
      </c>
      <c r="C92" s="314" t="str">
        <f>'Base Costs'!C92</f>
        <v>Land and Easements</v>
      </c>
      <c r="D92" s="333" t="str">
        <f>'Base Costs'!D92</f>
        <v>2013/14</v>
      </c>
      <c r="E92" s="333">
        <f>'Base Costs'!E92</f>
        <v>0</v>
      </c>
      <c r="F92" s="315"/>
      <c r="G92" s="315"/>
      <c r="H92" s="316">
        <f>'Input Data Sheet'!J92</f>
        <v>0</v>
      </c>
      <c r="I92" s="316"/>
      <c r="J92" s="316"/>
      <c r="K92" s="316"/>
      <c r="L92" s="316"/>
      <c r="M92" s="316"/>
      <c r="N92" s="316"/>
      <c r="O92" s="287">
        <f t="shared" si="11"/>
        <v>482246.13123609993</v>
      </c>
      <c r="P92" s="320">
        <f>'Base Costs'!P92*(1+$AI92)</f>
        <v>0</v>
      </c>
      <c r="Q92" s="287">
        <f>'Base Costs'!Q92*(1+$AI92)</f>
        <v>482246.13123609993</v>
      </c>
      <c r="R92" s="341">
        <f>'Base Costs'!R92*(1+$AI92)</f>
        <v>0</v>
      </c>
      <c r="S92" s="341">
        <f>'Base Costs'!S92*(1+$AI92)</f>
        <v>0</v>
      </c>
      <c r="T92" s="341">
        <f>'Base Costs'!T92*(1+$AI92)</f>
        <v>0</v>
      </c>
      <c r="U92" s="341">
        <f>'Base Costs'!U92*(1+$AI92)</f>
        <v>0</v>
      </c>
      <c r="V92" s="341">
        <f>'Base Costs'!V92*(1+$AI92)</f>
        <v>0</v>
      </c>
      <c r="W92" s="287">
        <f>'Base Costs'!W92*(1+$AI92)</f>
        <v>0</v>
      </c>
      <c r="X92" s="321">
        <f>'Base Costs'!X92*(1+$AI92)</f>
        <v>0</v>
      </c>
      <c r="Y92" s="287">
        <f t="shared" si="20"/>
        <v>0</v>
      </c>
      <c r="Z92" s="287">
        <f t="shared" si="12"/>
        <v>482246.13123609993</v>
      </c>
      <c r="AA92" s="341">
        <f t="shared" si="13"/>
        <v>0</v>
      </c>
      <c r="AB92" s="341">
        <f t="shared" si="14"/>
        <v>0</v>
      </c>
      <c r="AC92" s="341">
        <f t="shared" si="15"/>
        <v>0</v>
      </c>
      <c r="AD92" s="341">
        <f t="shared" si="16"/>
        <v>0</v>
      </c>
      <c r="AE92" s="341">
        <f t="shared" si="17"/>
        <v>0</v>
      </c>
      <c r="AF92" s="287">
        <f t="shared" si="18"/>
        <v>0</v>
      </c>
      <c r="AG92" s="287">
        <f t="shared" si="19"/>
        <v>0</v>
      </c>
      <c r="AH92" s="322">
        <f>IF($H92,0,IFERROR(IF(VALUE(LEFT(D92,4))&gt;VALUE(LEFT(Parameters!$B$66,4))+1,O92-SUM(R92:X92),0),0))</f>
        <v>0</v>
      </c>
      <c r="AI92" s="325">
        <f>IF(E92=0,0,INDEX(Parameters!$D$5:$D$35,MATCH(E92,Parameters!$B$5:$B$35,0)))</f>
        <v>0</v>
      </c>
    </row>
    <row r="93" spans="1:35" x14ac:dyDescent="0.3">
      <c r="A93" s="313">
        <f>'Base Costs'!A93</f>
        <v>0</v>
      </c>
      <c r="B93" s="314">
        <f>'Base Costs'!B93</f>
        <v>0</v>
      </c>
      <c r="C93" s="314">
        <f>'Base Costs'!C93</f>
        <v>0</v>
      </c>
      <c r="D93" s="333">
        <f>'Base Costs'!D93</f>
        <v>0</v>
      </c>
      <c r="E93" s="333">
        <f>'Base Costs'!E93</f>
        <v>0</v>
      </c>
      <c r="F93" s="315"/>
      <c r="G93" s="315"/>
      <c r="H93" s="316">
        <f>'Input Data Sheet'!J93</f>
        <v>0</v>
      </c>
      <c r="I93" s="316"/>
      <c r="J93" s="316"/>
      <c r="K93" s="316"/>
      <c r="L93" s="316"/>
      <c r="M93" s="316"/>
      <c r="N93" s="316"/>
      <c r="O93" s="287">
        <f t="shared" si="11"/>
        <v>0</v>
      </c>
      <c r="P93" s="320">
        <f>'Base Costs'!P93*(1+$AI93)</f>
        <v>0</v>
      </c>
      <c r="Q93" s="287">
        <f>'Base Costs'!Q93*(1+$AI93)</f>
        <v>0</v>
      </c>
      <c r="R93" s="341">
        <f>'Base Costs'!R93*(1+$AI93)</f>
        <v>0</v>
      </c>
      <c r="S93" s="341">
        <f>'Base Costs'!S93*(1+$AI93)</f>
        <v>0</v>
      </c>
      <c r="T93" s="341">
        <f>'Base Costs'!T93*(1+$AI93)</f>
        <v>0</v>
      </c>
      <c r="U93" s="341">
        <f>'Base Costs'!U93*(1+$AI93)</f>
        <v>0</v>
      </c>
      <c r="V93" s="341">
        <f>'Base Costs'!V93*(1+$AI93)</f>
        <v>0</v>
      </c>
      <c r="W93" s="287">
        <f>'Base Costs'!W93*(1+$AI93)</f>
        <v>0</v>
      </c>
      <c r="X93" s="321">
        <f>'Base Costs'!X93*(1+$AI93)</f>
        <v>0</v>
      </c>
      <c r="Y93" s="287">
        <f t="shared" si="20"/>
        <v>0</v>
      </c>
      <c r="Z93" s="287">
        <f t="shared" si="12"/>
        <v>0</v>
      </c>
      <c r="AA93" s="341">
        <f t="shared" si="13"/>
        <v>0</v>
      </c>
      <c r="AB93" s="341">
        <f t="shared" si="14"/>
        <v>0</v>
      </c>
      <c r="AC93" s="341">
        <f t="shared" si="15"/>
        <v>0</v>
      </c>
      <c r="AD93" s="341">
        <f t="shared" si="16"/>
        <v>0</v>
      </c>
      <c r="AE93" s="341">
        <f t="shared" si="17"/>
        <v>0</v>
      </c>
      <c r="AF93" s="287">
        <f t="shared" si="18"/>
        <v>0</v>
      </c>
      <c r="AG93" s="287">
        <f t="shared" si="19"/>
        <v>0</v>
      </c>
      <c r="AH93" s="322">
        <f>IF($H93,0,IFERROR(IF(VALUE(LEFT(D93,4))&gt;VALUE(LEFT(Parameters!$B$66,4))+1,O93-SUM(R93:X93),0),0))</f>
        <v>0</v>
      </c>
      <c r="AI93" s="325">
        <f>IF(E93=0,0,INDEX(Parameters!$D$5:$D$35,MATCH(E93,Parameters!$B$5:$B$35,0)))</f>
        <v>0</v>
      </c>
    </row>
    <row r="94" spans="1:35" x14ac:dyDescent="0.3">
      <c r="A94" s="313">
        <f>'Base Costs'!A94</f>
        <v>0</v>
      </c>
      <c r="B94" s="314">
        <f>'Base Costs'!B94</f>
        <v>0</v>
      </c>
      <c r="C94" s="314">
        <f>'Base Costs'!C94</f>
        <v>0</v>
      </c>
      <c r="D94" s="333">
        <f>'Base Costs'!D94</f>
        <v>0</v>
      </c>
      <c r="E94" s="333">
        <f>'Base Costs'!E94</f>
        <v>0</v>
      </c>
      <c r="F94" s="315"/>
      <c r="G94" s="315"/>
      <c r="H94" s="316">
        <f>'Input Data Sheet'!J94</f>
        <v>0</v>
      </c>
      <c r="I94" s="316"/>
      <c r="J94" s="316"/>
      <c r="K94" s="316"/>
      <c r="L94" s="316"/>
      <c r="M94" s="316"/>
      <c r="N94" s="316"/>
      <c r="O94" s="287">
        <f t="shared" si="11"/>
        <v>0</v>
      </c>
      <c r="P94" s="320">
        <f>'Base Costs'!P94*(1+$AI94)</f>
        <v>0</v>
      </c>
      <c r="Q94" s="287">
        <f>'Base Costs'!Q94*(1+$AI94)</f>
        <v>0</v>
      </c>
      <c r="R94" s="341">
        <f>'Base Costs'!R94*(1+$AI94)</f>
        <v>0</v>
      </c>
      <c r="S94" s="341">
        <f>'Base Costs'!S94*(1+$AI94)</f>
        <v>0</v>
      </c>
      <c r="T94" s="341">
        <f>'Base Costs'!T94*(1+$AI94)</f>
        <v>0</v>
      </c>
      <c r="U94" s="341">
        <f>'Base Costs'!U94*(1+$AI94)</f>
        <v>0</v>
      </c>
      <c r="V94" s="341">
        <f>'Base Costs'!V94*(1+$AI94)</f>
        <v>0</v>
      </c>
      <c r="W94" s="287">
        <f>'Base Costs'!W94*(1+$AI94)</f>
        <v>0</v>
      </c>
      <c r="X94" s="321">
        <f>'Base Costs'!X94*(1+$AI94)</f>
        <v>0</v>
      </c>
      <c r="Y94" s="287">
        <f t="shared" si="20"/>
        <v>0</v>
      </c>
      <c r="Z94" s="287">
        <f t="shared" si="12"/>
        <v>0</v>
      </c>
      <c r="AA94" s="341">
        <f t="shared" si="13"/>
        <v>0</v>
      </c>
      <c r="AB94" s="341">
        <f t="shared" si="14"/>
        <v>0</v>
      </c>
      <c r="AC94" s="341">
        <f t="shared" si="15"/>
        <v>0</v>
      </c>
      <c r="AD94" s="341">
        <f t="shared" si="16"/>
        <v>0</v>
      </c>
      <c r="AE94" s="341">
        <f t="shared" si="17"/>
        <v>0</v>
      </c>
      <c r="AF94" s="287">
        <f t="shared" si="18"/>
        <v>0</v>
      </c>
      <c r="AG94" s="287">
        <f t="shared" si="19"/>
        <v>0</v>
      </c>
      <c r="AH94" s="322">
        <f>IF($H94,0,IFERROR(IF(VALUE(LEFT(D94,4))&gt;VALUE(LEFT(Parameters!$B$66,4))+1,O94-SUM(R94:X94),0),0))</f>
        <v>0</v>
      </c>
      <c r="AI94" s="325">
        <f>IF(E94=0,0,INDEX(Parameters!$D$5:$D$35,MATCH(E94,Parameters!$B$5:$B$35,0)))</f>
        <v>0</v>
      </c>
    </row>
    <row r="95" spans="1:35" x14ac:dyDescent="0.3">
      <c r="A95" s="313">
        <f>'Base Costs'!A95</f>
        <v>0</v>
      </c>
      <c r="B95" s="314">
        <f>'Base Costs'!B95</f>
        <v>0</v>
      </c>
      <c r="C95" s="314">
        <f>'Base Costs'!C95</f>
        <v>0</v>
      </c>
      <c r="D95" s="333">
        <f>'Base Costs'!D95</f>
        <v>0</v>
      </c>
      <c r="E95" s="333">
        <f>'Base Costs'!E95</f>
        <v>0</v>
      </c>
      <c r="F95" s="315"/>
      <c r="G95" s="315"/>
      <c r="H95" s="316">
        <f>'Input Data Sheet'!J95</f>
        <v>0</v>
      </c>
      <c r="I95" s="316"/>
      <c r="J95" s="316"/>
      <c r="K95" s="316"/>
      <c r="L95" s="316"/>
      <c r="M95" s="316"/>
      <c r="N95" s="316"/>
      <c r="O95" s="287">
        <f t="shared" si="11"/>
        <v>0</v>
      </c>
      <c r="P95" s="320">
        <f>'Base Costs'!P95*(1+$AI95)</f>
        <v>0</v>
      </c>
      <c r="Q95" s="287">
        <f>'Base Costs'!Q95*(1+$AI95)</f>
        <v>0</v>
      </c>
      <c r="R95" s="341">
        <f>'Base Costs'!R95*(1+$AI95)</f>
        <v>0</v>
      </c>
      <c r="S95" s="341">
        <f>'Base Costs'!S95*(1+$AI95)</f>
        <v>0</v>
      </c>
      <c r="T95" s="341">
        <f>'Base Costs'!T95*(1+$AI95)</f>
        <v>0</v>
      </c>
      <c r="U95" s="341">
        <f>'Base Costs'!U95*(1+$AI95)</f>
        <v>0</v>
      </c>
      <c r="V95" s="341">
        <f>'Base Costs'!V95*(1+$AI95)</f>
        <v>0</v>
      </c>
      <c r="W95" s="287">
        <f>'Base Costs'!W95*(1+$AI95)</f>
        <v>0</v>
      </c>
      <c r="X95" s="321">
        <f>'Base Costs'!X95*(1+$AI95)</f>
        <v>0</v>
      </c>
      <c r="Y95" s="287">
        <f t="shared" si="20"/>
        <v>0</v>
      </c>
      <c r="Z95" s="287">
        <f t="shared" si="12"/>
        <v>0</v>
      </c>
      <c r="AA95" s="341">
        <f t="shared" si="13"/>
        <v>0</v>
      </c>
      <c r="AB95" s="341">
        <f t="shared" si="14"/>
        <v>0</v>
      </c>
      <c r="AC95" s="341">
        <f t="shared" si="15"/>
        <v>0</v>
      </c>
      <c r="AD95" s="341">
        <f t="shared" si="16"/>
        <v>0</v>
      </c>
      <c r="AE95" s="341">
        <f t="shared" si="17"/>
        <v>0</v>
      </c>
      <c r="AF95" s="287">
        <f t="shared" si="18"/>
        <v>0</v>
      </c>
      <c r="AG95" s="287">
        <f t="shared" si="19"/>
        <v>0</v>
      </c>
      <c r="AH95" s="322">
        <f>IF($H95,0,IFERROR(IF(VALUE(LEFT(D95,4))&gt;VALUE(LEFT(Parameters!$B$66,4))+1,O95-SUM(R95:X95),0),0))</f>
        <v>0</v>
      </c>
      <c r="AI95" s="325">
        <f>IF(E95=0,0,INDEX(Parameters!$D$5:$D$35,MATCH(E95,Parameters!$B$5:$B$35,0)))</f>
        <v>0</v>
      </c>
    </row>
    <row r="96" spans="1:35" x14ac:dyDescent="0.3">
      <c r="A96" s="313">
        <f>'Base Costs'!A96</f>
        <v>0</v>
      </c>
      <c r="B96" s="314">
        <f>'Base Costs'!B96</f>
        <v>0</v>
      </c>
      <c r="C96" s="314">
        <f>'Base Costs'!C96</f>
        <v>0</v>
      </c>
      <c r="D96" s="333">
        <f>'Base Costs'!D96</f>
        <v>0</v>
      </c>
      <c r="E96" s="333">
        <f>'Base Costs'!E96</f>
        <v>0</v>
      </c>
      <c r="F96" s="315"/>
      <c r="G96" s="315"/>
      <c r="H96" s="316">
        <f>'Input Data Sheet'!J96</f>
        <v>0</v>
      </c>
      <c r="I96" s="316"/>
      <c r="J96" s="316"/>
      <c r="K96" s="316"/>
      <c r="L96" s="316"/>
      <c r="M96" s="316"/>
      <c r="N96" s="316"/>
      <c r="O96" s="287">
        <f t="shared" si="11"/>
        <v>0</v>
      </c>
      <c r="P96" s="320">
        <f>'Base Costs'!P96*(1+$AI96)</f>
        <v>0</v>
      </c>
      <c r="Q96" s="287">
        <f>'Base Costs'!Q96*(1+$AI96)</f>
        <v>0</v>
      </c>
      <c r="R96" s="341">
        <f>'Base Costs'!R96*(1+$AI96)</f>
        <v>0</v>
      </c>
      <c r="S96" s="341">
        <f>'Base Costs'!S96*(1+$AI96)</f>
        <v>0</v>
      </c>
      <c r="T96" s="341">
        <f>'Base Costs'!T96*(1+$AI96)</f>
        <v>0</v>
      </c>
      <c r="U96" s="341">
        <f>'Base Costs'!U96*(1+$AI96)</f>
        <v>0</v>
      </c>
      <c r="V96" s="341">
        <f>'Base Costs'!V96*(1+$AI96)</f>
        <v>0</v>
      </c>
      <c r="W96" s="287">
        <f>'Base Costs'!W96*(1+$AI96)</f>
        <v>0</v>
      </c>
      <c r="X96" s="321">
        <f>'Base Costs'!X96*(1+$AI96)</f>
        <v>0</v>
      </c>
      <c r="Y96" s="287">
        <f t="shared" si="20"/>
        <v>0</v>
      </c>
      <c r="Z96" s="287">
        <f t="shared" si="12"/>
        <v>0</v>
      </c>
      <c r="AA96" s="341">
        <f t="shared" si="13"/>
        <v>0</v>
      </c>
      <c r="AB96" s="341">
        <f t="shared" si="14"/>
        <v>0</v>
      </c>
      <c r="AC96" s="341">
        <f t="shared" si="15"/>
        <v>0</v>
      </c>
      <c r="AD96" s="341">
        <f t="shared" si="16"/>
        <v>0</v>
      </c>
      <c r="AE96" s="341">
        <f t="shared" si="17"/>
        <v>0</v>
      </c>
      <c r="AF96" s="287">
        <f t="shared" si="18"/>
        <v>0</v>
      </c>
      <c r="AG96" s="287">
        <f t="shared" si="19"/>
        <v>0</v>
      </c>
      <c r="AH96" s="322">
        <f>IF($H96,0,IFERROR(IF(VALUE(LEFT(D96,4))&gt;VALUE(LEFT(Parameters!$B$66,4))+1,O96-SUM(R96:X96),0),0))</f>
        <v>0</v>
      </c>
      <c r="AI96" s="325">
        <f>IF(E96=0,0,INDEX(Parameters!$D$5:$D$35,MATCH(E96,Parameters!$B$5:$B$35,0)))</f>
        <v>0</v>
      </c>
    </row>
    <row r="97" spans="1:35" x14ac:dyDescent="0.3">
      <c r="A97" s="313">
        <f>'Base Costs'!A97</f>
        <v>0</v>
      </c>
      <c r="B97" s="314">
        <f>'Base Costs'!B97</f>
        <v>0</v>
      </c>
      <c r="C97" s="314">
        <f>'Base Costs'!C97</f>
        <v>0</v>
      </c>
      <c r="D97" s="333">
        <f>'Base Costs'!D97</f>
        <v>0</v>
      </c>
      <c r="E97" s="333">
        <f>'Base Costs'!E97</f>
        <v>0</v>
      </c>
      <c r="F97" s="315"/>
      <c r="G97" s="315"/>
      <c r="H97" s="316">
        <f>'Input Data Sheet'!J97</f>
        <v>0</v>
      </c>
      <c r="I97" s="316"/>
      <c r="J97" s="316"/>
      <c r="K97" s="316"/>
      <c r="L97" s="316"/>
      <c r="M97" s="316"/>
      <c r="N97" s="316"/>
      <c r="O97" s="287">
        <f t="shared" si="11"/>
        <v>0</v>
      </c>
      <c r="P97" s="320">
        <f>'Base Costs'!P97*(1+$AI97)</f>
        <v>0</v>
      </c>
      <c r="Q97" s="287">
        <f>'Base Costs'!Q97*(1+$AI97)</f>
        <v>0</v>
      </c>
      <c r="R97" s="341">
        <f>'Base Costs'!R97*(1+$AI97)</f>
        <v>0</v>
      </c>
      <c r="S97" s="341">
        <f>'Base Costs'!S97*(1+$AI97)</f>
        <v>0</v>
      </c>
      <c r="T97" s="341">
        <f>'Base Costs'!T97*(1+$AI97)</f>
        <v>0</v>
      </c>
      <c r="U97" s="341">
        <f>'Base Costs'!U97*(1+$AI97)</f>
        <v>0</v>
      </c>
      <c r="V97" s="341">
        <f>'Base Costs'!V97*(1+$AI97)</f>
        <v>0</v>
      </c>
      <c r="W97" s="287">
        <f>'Base Costs'!W97*(1+$AI97)</f>
        <v>0</v>
      </c>
      <c r="X97" s="321">
        <f>'Base Costs'!X97*(1+$AI97)</f>
        <v>0</v>
      </c>
      <c r="Y97" s="287">
        <f t="shared" si="20"/>
        <v>0</v>
      </c>
      <c r="Z97" s="287">
        <f t="shared" si="12"/>
        <v>0</v>
      </c>
      <c r="AA97" s="341">
        <f t="shared" si="13"/>
        <v>0</v>
      </c>
      <c r="AB97" s="341">
        <f t="shared" si="14"/>
        <v>0</v>
      </c>
      <c r="AC97" s="341">
        <f t="shared" si="15"/>
        <v>0</v>
      </c>
      <c r="AD97" s="341">
        <f t="shared" si="16"/>
        <v>0</v>
      </c>
      <c r="AE97" s="341">
        <f t="shared" si="17"/>
        <v>0</v>
      </c>
      <c r="AF97" s="287">
        <f t="shared" si="18"/>
        <v>0</v>
      </c>
      <c r="AG97" s="287">
        <f t="shared" si="19"/>
        <v>0</v>
      </c>
      <c r="AH97" s="322">
        <f>IF($H97,0,IFERROR(IF(VALUE(LEFT(D97,4))&gt;VALUE(LEFT(Parameters!$B$66,4))+1,O97-SUM(R97:X97),0),0))</f>
        <v>0</v>
      </c>
      <c r="AI97" s="325">
        <f>IF(E97=0,0,INDEX(Parameters!$D$5:$D$35,MATCH(E97,Parameters!$B$5:$B$35,0)))</f>
        <v>0</v>
      </c>
    </row>
    <row r="98" spans="1:35" x14ac:dyDescent="0.3">
      <c r="A98" s="313">
        <f>'Base Costs'!A98</f>
        <v>0</v>
      </c>
      <c r="B98" s="314">
        <f>'Base Costs'!B98</f>
        <v>0</v>
      </c>
      <c r="C98" s="314">
        <f>'Base Costs'!C98</f>
        <v>0</v>
      </c>
      <c r="D98" s="333">
        <f>'Base Costs'!D98</f>
        <v>0</v>
      </c>
      <c r="E98" s="333">
        <f>'Base Costs'!E98</f>
        <v>0</v>
      </c>
      <c r="F98" s="315"/>
      <c r="G98" s="315"/>
      <c r="H98" s="316">
        <f>'Input Data Sheet'!J98</f>
        <v>0</v>
      </c>
      <c r="I98" s="316"/>
      <c r="J98" s="316"/>
      <c r="K98" s="316"/>
      <c r="L98" s="316"/>
      <c r="M98" s="316"/>
      <c r="N98" s="316"/>
      <c r="O98" s="287">
        <f t="shared" si="11"/>
        <v>0</v>
      </c>
      <c r="P98" s="320">
        <f>'Base Costs'!P98*(1+$AI98)</f>
        <v>0</v>
      </c>
      <c r="Q98" s="287">
        <f>'Base Costs'!Q98*(1+$AI98)</f>
        <v>0</v>
      </c>
      <c r="R98" s="341">
        <f>'Base Costs'!R98*(1+$AI98)</f>
        <v>0</v>
      </c>
      <c r="S98" s="341">
        <f>'Base Costs'!S98*(1+$AI98)</f>
        <v>0</v>
      </c>
      <c r="T98" s="341">
        <f>'Base Costs'!T98*(1+$AI98)</f>
        <v>0</v>
      </c>
      <c r="U98" s="341">
        <f>'Base Costs'!U98*(1+$AI98)</f>
        <v>0</v>
      </c>
      <c r="V98" s="341">
        <f>'Base Costs'!V98*(1+$AI98)</f>
        <v>0</v>
      </c>
      <c r="W98" s="287">
        <f>'Base Costs'!W98*(1+$AI98)</f>
        <v>0</v>
      </c>
      <c r="X98" s="321">
        <f>'Base Costs'!X98*(1+$AI98)</f>
        <v>0</v>
      </c>
      <c r="Y98" s="287">
        <f t="shared" si="20"/>
        <v>0</v>
      </c>
      <c r="Z98" s="287">
        <f t="shared" si="12"/>
        <v>0</v>
      </c>
      <c r="AA98" s="341">
        <f t="shared" si="13"/>
        <v>0</v>
      </c>
      <c r="AB98" s="341">
        <f t="shared" si="14"/>
        <v>0</v>
      </c>
      <c r="AC98" s="341">
        <f t="shared" si="15"/>
        <v>0</v>
      </c>
      <c r="AD98" s="341">
        <f t="shared" si="16"/>
        <v>0</v>
      </c>
      <c r="AE98" s="341">
        <f t="shared" si="17"/>
        <v>0</v>
      </c>
      <c r="AF98" s="287">
        <f t="shared" si="18"/>
        <v>0</v>
      </c>
      <c r="AG98" s="287">
        <f t="shared" si="19"/>
        <v>0</v>
      </c>
      <c r="AH98" s="322">
        <f>IF($H98,0,IFERROR(IF(VALUE(LEFT(D98,4))&gt;VALUE(LEFT(Parameters!$B$66,4))+1,O98-SUM(R98:X98),0),0))</f>
        <v>0</v>
      </c>
      <c r="AI98" s="325">
        <f>IF(E98=0,0,INDEX(Parameters!$D$5:$D$35,MATCH(E98,Parameters!$B$5:$B$35,0)))</f>
        <v>0</v>
      </c>
    </row>
    <row r="99" spans="1:35" x14ac:dyDescent="0.3">
      <c r="A99" s="313">
        <f>'Base Costs'!A99</f>
        <v>0</v>
      </c>
      <c r="B99" s="314">
        <f>'Base Costs'!B99</f>
        <v>0</v>
      </c>
      <c r="C99" s="314">
        <f>'Base Costs'!C99</f>
        <v>0</v>
      </c>
      <c r="D99" s="333">
        <f>'Base Costs'!D99</f>
        <v>0</v>
      </c>
      <c r="E99" s="333">
        <f>'Base Costs'!E99</f>
        <v>0</v>
      </c>
      <c r="F99" s="315"/>
      <c r="G99" s="315"/>
      <c r="H99" s="316">
        <f>'Input Data Sheet'!J99</f>
        <v>0</v>
      </c>
      <c r="I99" s="316"/>
      <c r="J99" s="316"/>
      <c r="K99" s="316"/>
      <c r="L99" s="316"/>
      <c r="M99" s="316"/>
      <c r="N99" s="316"/>
      <c r="O99" s="287">
        <f t="shared" si="11"/>
        <v>0</v>
      </c>
      <c r="P99" s="320">
        <f>'Base Costs'!P99*(1+$AI99)</f>
        <v>0</v>
      </c>
      <c r="Q99" s="287">
        <f>'Base Costs'!Q99*(1+$AI99)</f>
        <v>0</v>
      </c>
      <c r="R99" s="341">
        <f>'Base Costs'!R99*(1+$AI99)</f>
        <v>0</v>
      </c>
      <c r="S99" s="341">
        <f>'Base Costs'!S99*(1+$AI99)</f>
        <v>0</v>
      </c>
      <c r="T99" s="341">
        <f>'Base Costs'!T99*(1+$AI99)</f>
        <v>0</v>
      </c>
      <c r="U99" s="341">
        <f>'Base Costs'!U99*(1+$AI99)</f>
        <v>0</v>
      </c>
      <c r="V99" s="341">
        <f>'Base Costs'!V99*(1+$AI99)</f>
        <v>0</v>
      </c>
      <c r="W99" s="287">
        <f>'Base Costs'!W99*(1+$AI99)</f>
        <v>0</v>
      </c>
      <c r="X99" s="321">
        <f>'Base Costs'!X99*(1+$AI99)</f>
        <v>0</v>
      </c>
      <c r="Y99" s="287">
        <f t="shared" si="20"/>
        <v>0</v>
      </c>
      <c r="Z99" s="287">
        <f t="shared" si="12"/>
        <v>0</v>
      </c>
      <c r="AA99" s="341">
        <f t="shared" si="13"/>
        <v>0</v>
      </c>
      <c r="AB99" s="341">
        <f t="shared" si="14"/>
        <v>0</v>
      </c>
      <c r="AC99" s="341">
        <f t="shared" si="15"/>
        <v>0</v>
      </c>
      <c r="AD99" s="341">
        <f t="shared" si="16"/>
        <v>0</v>
      </c>
      <c r="AE99" s="341">
        <f t="shared" si="17"/>
        <v>0</v>
      </c>
      <c r="AF99" s="287">
        <f t="shared" si="18"/>
        <v>0</v>
      </c>
      <c r="AG99" s="287">
        <f t="shared" si="19"/>
        <v>0</v>
      </c>
      <c r="AH99" s="322">
        <f>IF($H99,0,IFERROR(IF(VALUE(LEFT(D99,4))&gt;VALUE(LEFT(Parameters!$B$66,4))+1,O99-SUM(R99:X99),0),0))</f>
        <v>0</v>
      </c>
      <c r="AI99" s="325">
        <f>IF(E99=0,0,INDEX(Parameters!$D$5:$D$35,MATCH(E99,Parameters!$B$5:$B$35,0)))</f>
        <v>0</v>
      </c>
    </row>
    <row r="100" spans="1:35" x14ac:dyDescent="0.3">
      <c r="A100" s="313">
        <f>'Base Costs'!A100</f>
        <v>0</v>
      </c>
      <c r="B100" s="314">
        <f>'Base Costs'!B100</f>
        <v>0</v>
      </c>
      <c r="C100" s="314">
        <f>'Base Costs'!C100</f>
        <v>0</v>
      </c>
      <c r="D100" s="333">
        <f>'Base Costs'!D100</f>
        <v>0</v>
      </c>
      <c r="E100" s="333">
        <f>'Base Costs'!E100</f>
        <v>0</v>
      </c>
      <c r="F100" s="315"/>
      <c r="G100" s="315"/>
      <c r="H100" s="316">
        <f>'Input Data Sheet'!J100</f>
        <v>0</v>
      </c>
      <c r="I100" s="316"/>
      <c r="J100" s="316"/>
      <c r="K100" s="316"/>
      <c r="L100" s="316"/>
      <c r="M100" s="316"/>
      <c r="N100" s="316"/>
      <c r="O100" s="287">
        <f t="shared" si="11"/>
        <v>0</v>
      </c>
      <c r="P100" s="320">
        <f>'Base Costs'!P100*(1+$AI100)</f>
        <v>0</v>
      </c>
      <c r="Q100" s="287">
        <f>'Base Costs'!Q100*(1+$AI100)</f>
        <v>0</v>
      </c>
      <c r="R100" s="341">
        <f>'Base Costs'!R100*(1+$AI100)</f>
        <v>0</v>
      </c>
      <c r="S100" s="341">
        <f>'Base Costs'!S100*(1+$AI100)</f>
        <v>0</v>
      </c>
      <c r="T100" s="341">
        <f>'Base Costs'!T100*(1+$AI100)</f>
        <v>0</v>
      </c>
      <c r="U100" s="341">
        <f>'Base Costs'!U100*(1+$AI100)</f>
        <v>0</v>
      </c>
      <c r="V100" s="341">
        <f>'Base Costs'!V100*(1+$AI100)</f>
        <v>0</v>
      </c>
      <c r="W100" s="287">
        <f>'Base Costs'!W100*(1+$AI100)</f>
        <v>0</v>
      </c>
      <c r="X100" s="321">
        <f>'Base Costs'!X100*(1+$AI100)</f>
        <v>0</v>
      </c>
      <c r="Y100" s="287">
        <f t="shared" si="20"/>
        <v>0</v>
      </c>
      <c r="Z100" s="287">
        <f t="shared" si="12"/>
        <v>0</v>
      </c>
      <c r="AA100" s="341">
        <f t="shared" si="13"/>
        <v>0</v>
      </c>
      <c r="AB100" s="341">
        <f t="shared" si="14"/>
        <v>0</v>
      </c>
      <c r="AC100" s="341">
        <f t="shared" si="15"/>
        <v>0</v>
      </c>
      <c r="AD100" s="341">
        <f t="shared" si="16"/>
        <v>0</v>
      </c>
      <c r="AE100" s="341">
        <f t="shared" si="17"/>
        <v>0</v>
      </c>
      <c r="AF100" s="287">
        <f t="shared" si="18"/>
        <v>0</v>
      </c>
      <c r="AG100" s="287">
        <f t="shared" si="19"/>
        <v>0</v>
      </c>
      <c r="AH100" s="322">
        <f>IF($H100,0,IFERROR(IF(VALUE(LEFT(D100,4))&gt;VALUE(LEFT(Parameters!$B$66,4))+1,O100-SUM(R100:X100),0),0))</f>
        <v>0</v>
      </c>
      <c r="AI100" s="325">
        <f>IF(E100=0,0,INDEX(Parameters!$D$5:$D$35,MATCH(E100,Parameters!$B$5:$B$35,0)))</f>
        <v>0</v>
      </c>
    </row>
  </sheetData>
  <printOptions horizontalCentered="1"/>
  <pageMargins left="0.39370078740157483" right="0.70866141732283472" top="0.39370078740157483" bottom="0.39370078740157483" header="0" footer="0"/>
  <pageSetup paperSize="8" scale="74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0"/>
  <sheetViews>
    <sheetView topLeftCell="H1" zoomScale="80" zoomScaleNormal="80" workbookViewId="0">
      <selection activeCell="AK6" sqref="AK6"/>
    </sheetView>
  </sheetViews>
  <sheetFormatPr defaultColWidth="9.109375" defaultRowHeight="14.4" x14ac:dyDescent="0.3"/>
  <cols>
    <col min="1" max="1" width="9.33203125" style="323" customWidth="1"/>
    <col min="2" max="2" width="19" style="2" customWidth="1"/>
    <col min="3" max="3" width="16.109375" style="2" customWidth="1"/>
    <col min="4" max="4" width="7.5546875" style="335" customWidth="1"/>
    <col min="5" max="5" width="5" style="335" customWidth="1"/>
    <col min="6" max="7" width="5" style="2" customWidth="1"/>
    <col min="8" max="8" width="7.5546875" style="13" customWidth="1"/>
    <col min="9" max="13" width="4" style="13" customWidth="1"/>
    <col min="14" max="14" width="7.5546875" style="13" customWidth="1"/>
    <col min="15" max="15" width="8.6640625" style="2" customWidth="1"/>
    <col min="16" max="17" width="7.5546875" style="2" customWidth="1"/>
    <col min="18" max="22" width="7.5546875" style="342" customWidth="1"/>
    <col min="23" max="26" width="7.5546875" style="2" customWidth="1"/>
    <col min="27" max="31" width="7.5546875" style="342" customWidth="1"/>
    <col min="32" max="33" width="7.5546875" style="2" customWidth="1"/>
    <col min="34" max="34" width="8" style="2" customWidth="1"/>
    <col min="35" max="35" width="9.109375" style="329"/>
    <col min="36" max="16384" width="9.109375" style="2"/>
  </cols>
  <sheetData>
    <row r="1" spans="1:43" s="12" customFormat="1" ht="13.95" x14ac:dyDescent="0.3">
      <c r="A1" s="299"/>
      <c r="D1" s="334"/>
      <c r="E1" s="334"/>
      <c r="H1" s="300"/>
      <c r="I1" s="300"/>
      <c r="J1" s="300"/>
      <c r="K1" s="300"/>
      <c r="L1" s="300"/>
      <c r="M1" s="300"/>
      <c r="N1" s="300"/>
      <c r="P1" s="12" t="s">
        <v>88</v>
      </c>
      <c r="R1" s="337"/>
      <c r="S1" s="337"/>
      <c r="T1" s="337"/>
      <c r="U1" s="337"/>
      <c r="V1" s="337"/>
      <c r="Y1" s="12" t="s">
        <v>89</v>
      </c>
      <c r="AA1" s="337"/>
      <c r="AB1" s="337"/>
      <c r="AC1" s="337"/>
      <c r="AD1" s="337"/>
      <c r="AE1" s="337"/>
      <c r="AH1" s="12" t="s">
        <v>83</v>
      </c>
      <c r="AI1" s="12" t="s">
        <v>15</v>
      </c>
    </row>
    <row r="2" spans="1:43" s="12" customFormat="1" thickBot="1" x14ac:dyDescent="0.35">
      <c r="A2" s="12" t="s">
        <v>12</v>
      </c>
      <c r="D2" s="335"/>
      <c r="E2" s="335"/>
      <c r="F2" s="301"/>
      <c r="G2" s="301"/>
      <c r="H2" s="302"/>
      <c r="I2" s="302"/>
      <c r="J2" s="302"/>
      <c r="K2" s="302"/>
      <c r="L2" s="302"/>
      <c r="M2" s="302"/>
      <c r="N2" s="302"/>
      <c r="O2" s="303">
        <f t="shared" ref="O2:AH2" si="0">SUM(O4:O100)</f>
        <v>275485048.88545263</v>
      </c>
      <c r="P2" s="289">
        <f t="shared" si="0"/>
        <v>0</v>
      </c>
      <c r="Q2" s="289">
        <f t="shared" si="0"/>
        <v>6325802.6024744771</v>
      </c>
      <c r="R2" s="338">
        <f t="shared" si="0"/>
        <v>48601929.57818336</v>
      </c>
      <c r="S2" s="338">
        <f t="shared" si="0"/>
        <v>62980888.486922428</v>
      </c>
      <c r="T2" s="338">
        <f t="shared" si="0"/>
        <v>57048307.784476973</v>
      </c>
      <c r="U2" s="338">
        <f t="shared" si="0"/>
        <v>51157983.608700901</v>
      </c>
      <c r="V2" s="338">
        <f t="shared" si="0"/>
        <v>43137287.350521438</v>
      </c>
      <c r="W2" s="289">
        <f t="shared" si="0"/>
        <v>6232849.4741729386</v>
      </c>
      <c r="X2" s="289">
        <f t="shared" si="0"/>
        <v>0</v>
      </c>
      <c r="Y2" s="289">
        <f t="shared" si="0"/>
        <v>0</v>
      </c>
      <c r="Z2" s="289">
        <f t="shared" si="0"/>
        <v>514687.91799215437</v>
      </c>
      <c r="AA2" s="338">
        <f t="shared" si="0"/>
        <v>49868333.719727747</v>
      </c>
      <c r="AB2" s="338">
        <f t="shared" si="0"/>
        <v>42659484.640676275</v>
      </c>
      <c r="AC2" s="338">
        <f t="shared" si="0"/>
        <v>77275216.115547314</v>
      </c>
      <c r="AD2" s="338">
        <f t="shared" si="0"/>
        <v>39574345.817264654</v>
      </c>
      <c r="AE2" s="338">
        <f t="shared" si="0"/>
        <v>56653084.043289781</v>
      </c>
      <c r="AF2" s="289">
        <f t="shared" si="0"/>
        <v>66555.917477526338</v>
      </c>
      <c r="AG2" s="289">
        <f t="shared" si="0"/>
        <v>8873340.7134770826</v>
      </c>
      <c r="AH2" s="289">
        <f t="shared" si="0"/>
        <v>5811114.684482323</v>
      </c>
    </row>
    <row r="3" spans="1:43" s="312" customFormat="1" ht="45.75" customHeight="1" thickBot="1" x14ac:dyDescent="0.25">
      <c r="A3" s="304" t="str">
        <f>'Base Costs'!A3</f>
        <v>ID</v>
      </c>
      <c r="B3" s="305" t="str">
        <f>'Base Costs'!B3</f>
        <v>Projects</v>
      </c>
      <c r="C3" s="305" t="str">
        <f>'Base Costs'!C3</f>
        <v>Category</v>
      </c>
      <c r="D3" s="336" t="str">
        <f>'Base Costs'!D3</f>
        <v>Comm Yr</v>
      </c>
      <c r="E3" s="336" t="str">
        <f>'Base Costs'!E3</f>
        <v>Type</v>
      </c>
      <c r="F3" s="306"/>
      <c r="G3" s="306"/>
      <c r="H3" s="336" t="str">
        <f>'Input Data Sheet'!J3</f>
        <v>Program</v>
      </c>
      <c r="I3" s="305"/>
      <c r="J3" s="305"/>
      <c r="K3" s="305"/>
      <c r="L3" s="305"/>
      <c r="M3" s="305"/>
      <c r="N3" s="305"/>
      <c r="O3" s="307" t="s">
        <v>78</v>
      </c>
      <c r="P3" s="308" t="str">
        <f t="array" ref="P3:X3">'Base Costs'!P3:X3</f>
        <v>2012/13</v>
      </c>
      <c r="Q3" s="309" t="str">
        <v>2013/14</v>
      </c>
      <c r="R3" s="339" t="str">
        <v>2014/15</v>
      </c>
      <c r="S3" s="339" t="str">
        <v>2015/16</v>
      </c>
      <c r="T3" s="339" t="str">
        <v>2016/17</v>
      </c>
      <c r="U3" s="339" t="str">
        <v>2017/18</v>
      </c>
      <c r="V3" s="339" t="str">
        <v>2018/19</v>
      </c>
      <c r="W3" s="309" t="str">
        <v>2019/20</v>
      </c>
      <c r="X3" s="310" t="str">
        <v>2020/21</v>
      </c>
      <c r="Y3" s="308" t="str">
        <f t="array" ref="Y3:AG3">P3:X3</f>
        <v>2012/13</v>
      </c>
      <c r="Z3" s="309" t="str">
        <v>2013/14</v>
      </c>
      <c r="AA3" s="339" t="str">
        <v>2014/15</v>
      </c>
      <c r="AB3" s="339" t="str">
        <v>2015/16</v>
      </c>
      <c r="AC3" s="339" t="str">
        <v>2016/17</v>
      </c>
      <c r="AD3" s="339" t="str">
        <v>2017/18</v>
      </c>
      <c r="AE3" s="339" t="str">
        <v>2018/19</v>
      </c>
      <c r="AF3" s="309" t="str">
        <v>2019/20</v>
      </c>
      <c r="AG3" s="310" t="str">
        <v>2020/21</v>
      </c>
      <c r="AH3" s="311" t="str">
        <f>"June 20" &amp; RIGHT(Q3,2)</f>
        <v>June 2014</v>
      </c>
      <c r="AI3" s="308" t="str">
        <f t="array" ref="AI3:AQ3">P3:X3</f>
        <v>2012/13</v>
      </c>
      <c r="AJ3" s="309" t="str">
        <v>2013/14</v>
      </c>
      <c r="AK3" s="309" t="str">
        <v>2014/15</v>
      </c>
      <c r="AL3" s="309" t="str">
        <v>2015/16</v>
      </c>
      <c r="AM3" s="309" t="str">
        <v>2016/17</v>
      </c>
      <c r="AN3" s="309" t="str">
        <v>2017/18</v>
      </c>
      <c r="AO3" s="309" t="str">
        <v>2018/19</v>
      </c>
      <c r="AP3" s="309" t="str">
        <v>2019/20</v>
      </c>
      <c r="AQ3" s="310" t="str">
        <v>2020/21</v>
      </c>
    </row>
    <row r="4" spans="1:43" ht="13.95" x14ac:dyDescent="0.3">
      <c r="A4" s="313" t="str">
        <f>'Base Costs'!A4</f>
        <v>ND0826</v>
      </c>
      <c r="B4" s="314" t="str">
        <f>'Base Costs'!B4</f>
        <v>Avoca Substation 110 kV Redevelopment</v>
      </c>
      <c r="C4" s="314" t="str">
        <f>'Base Costs'!C4</f>
        <v>Asset Renewal</v>
      </c>
      <c r="D4" s="333" t="str">
        <f>'Base Costs'!D4</f>
        <v>2014/15</v>
      </c>
      <c r="E4" s="333">
        <f>'Base Costs'!E4</f>
        <v>0</v>
      </c>
      <c r="F4" s="315"/>
      <c r="G4" s="315"/>
      <c r="H4" s="316">
        <f>'Input Data Sheet'!J4</f>
        <v>0</v>
      </c>
      <c r="I4" s="316"/>
      <c r="J4" s="316"/>
      <c r="K4" s="316"/>
      <c r="L4" s="316"/>
      <c r="M4" s="316"/>
      <c r="N4" s="316"/>
      <c r="O4" s="287">
        <f>SUM(P4:X4)</f>
        <v>269400.15564202337</v>
      </c>
      <c r="P4" s="317">
        <f>(1+AI4)*'Cost+LOA'!P4</f>
        <v>0</v>
      </c>
      <c r="Q4" s="286">
        <f>(1+AJ4)*'Cost+LOA'!Q4</f>
        <v>0</v>
      </c>
      <c r="R4" s="340">
        <f>(1+AK4)*'Cost+LOA'!R4</f>
        <v>269400.15564202337</v>
      </c>
      <c r="S4" s="340">
        <f>(1+AL4)*'Cost+LOA'!S4</f>
        <v>0</v>
      </c>
      <c r="T4" s="340">
        <f>(1+AM4)*'Cost+LOA'!T4</f>
        <v>0</v>
      </c>
      <c r="U4" s="340">
        <f>(1+AN4)*'Cost+LOA'!U4</f>
        <v>0</v>
      </c>
      <c r="V4" s="340">
        <f>(1+AO4)*'Cost+LOA'!V4</f>
        <v>0</v>
      </c>
      <c r="W4" s="286">
        <f>(1+AP4)*'Cost+LOA'!W4</f>
        <v>0</v>
      </c>
      <c r="X4" s="318">
        <f>(1+AQ4)*'Cost+LOA'!X4</f>
        <v>0</v>
      </c>
      <c r="Y4" s="286">
        <f>IF($H4,P4,IF(Y$3=$D4,$O4,0))</f>
        <v>0</v>
      </c>
      <c r="Z4" s="286">
        <f t="shared" ref="Z4:AG35" si="1">IF($H4,Q4,IF(Z$3=$D4,$O4,0))</f>
        <v>0</v>
      </c>
      <c r="AA4" s="340">
        <f t="shared" si="1"/>
        <v>269400.15564202337</v>
      </c>
      <c r="AB4" s="340">
        <f t="shared" si="1"/>
        <v>0</v>
      </c>
      <c r="AC4" s="340">
        <f t="shared" si="1"/>
        <v>0</v>
      </c>
      <c r="AD4" s="340">
        <f t="shared" si="1"/>
        <v>0</v>
      </c>
      <c r="AE4" s="340">
        <f t="shared" si="1"/>
        <v>0</v>
      </c>
      <c r="AF4" s="286">
        <f t="shared" si="1"/>
        <v>0</v>
      </c>
      <c r="AG4" s="286">
        <f t="shared" si="1"/>
        <v>0</v>
      </c>
      <c r="AH4" s="319">
        <f>IF($H4,0,IFERROR(IF(VALUE(LEFT(D4,4))&gt;VALUE(LEFT(Parameters!$B$66,4))+1,O4-SUM(R4:X4),0),0))</f>
        <v>0</v>
      </c>
      <c r="AI4" s="326">
        <f>IF($E4=0,0,INDEX(Parameters!AB$43:AB$73,MATCH($E4,Parameters!$B$5:$B$35,0)))</f>
        <v>0</v>
      </c>
      <c r="AJ4" s="327">
        <f>IF($E4=0,0,INDEX(Parameters!AC$43:AC$73,MATCH($E4,Parameters!$B$5:$B$35,0)))</f>
        <v>0</v>
      </c>
      <c r="AK4" s="327">
        <f>IF($E4=0,0,INDEX(Parameters!AD$43:AD$73,MATCH($E4,Parameters!$B$5:$B$35,0)))</f>
        <v>0</v>
      </c>
      <c r="AL4" s="327">
        <f>IF($E4=0,0,INDEX(Parameters!AE$43:AE$73,MATCH($E4,Parameters!$B$5:$B$35,0)))</f>
        <v>0</v>
      </c>
      <c r="AM4" s="327">
        <f>IF($E4=0,0,INDEX(Parameters!AF$43:AF$73,MATCH($E4,Parameters!$B$5:$B$35,0)))</f>
        <v>0</v>
      </c>
      <c r="AN4" s="327">
        <f>IF($E4=0,0,INDEX(Parameters!AG$43:AG$73,MATCH($E4,Parameters!$B$5:$B$35,0)))</f>
        <v>0</v>
      </c>
      <c r="AO4" s="327">
        <f>IF($E4=0,0,INDEX(Parameters!AH$43:AH$73,MATCH($E4,Parameters!$B$5:$B$35,0)))</f>
        <v>0</v>
      </c>
      <c r="AP4" s="327">
        <f>IF($E4=0,0,INDEX(Parameters!AI$43:AI$73,MATCH($E4,Parameters!$B$5:$B$35,0)))</f>
        <v>0</v>
      </c>
      <c r="AQ4" s="328">
        <f>IF($E4=0,0,INDEX(Parameters!AJ$43:AJ$73,MATCH($E4,Parameters!$B$5:$B$35,0)))</f>
        <v>0</v>
      </c>
    </row>
    <row r="5" spans="1:43" ht="13.95" x14ac:dyDescent="0.3">
      <c r="A5" s="313" t="str">
        <f>'Base Costs'!A5</f>
        <v>ND1306</v>
      </c>
      <c r="B5" s="314" t="str">
        <f>'Base Costs'!B5</f>
        <v>Bridgewater 110 kV transmission line security augmentation</v>
      </c>
      <c r="C5" s="314" t="str">
        <f>'Base Costs'!C5</f>
        <v>Augmentation</v>
      </c>
      <c r="D5" s="333" t="str">
        <f>'Base Costs'!D5</f>
        <v>2016/17</v>
      </c>
      <c r="E5" s="333">
        <f>'Base Costs'!E5</f>
        <v>1</v>
      </c>
      <c r="F5" s="315"/>
      <c r="G5" s="315"/>
      <c r="H5" s="316">
        <f>'Input Data Sheet'!J5</f>
        <v>0</v>
      </c>
      <c r="I5" s="316"/>
      <c r="J5" s="316"/>
      <c r="K5" s="316"/>
      <c r="L5" s="316"/>
      <c r="M5" s="316"/>
      <c r="N5" s="316"/>
      <c r="O5" s="287">
        <f t="shared" ref="O5:O41" si="2">SUM(P5:X5)</f>
        <v>1559169.6676299204</v>
      </c>
      <c r="P5" s="320">
        <f>(1+AI5)*'Cost+LOA'!P5</f>
        <v>0</v>
      </c>
      <c r="Q5" s="287">
        <f>(1+AJ5)*'Cost+LOA'!Q5</f>
        <v>0</v>
      </c>
      <c r="R5" s="341">
        <f>(1+AK5)*'Cost+LOA'!R5</f>
        <v>706.84853772050099</v>
      </c>
      <c r="S5" s="341">
        <f>(1+AL5)*'Cost+LOA'!S5</f>
        <v>355783.00553819916</v>
      </c>
      <c r="T5" s="341">
        <f>(1+AM5)*'Cost+LOA'!T5</f>
        <v>1202679.8135540008</v>
      </c>
      <c r="U5" s="341">
        <f>(1+AN5)*'Cost+LOA'!U5</f>
        <v>0</v>
      </c>
      <c r="V5" s="341">
        <f>(1+AO5)*'Cost+LOA'!V5</f>
        <v>0</v>
      </c>
      <c r="W5" s="287">
        <f>(1+AP5)*'Cost+LOA'!W5</f>
        <v>0</v>
      </c>
      <c r="X5" s="321">
        <f>(1+AQ5)*'Cost+LOA'!X5</f>
        <v>0</v>
      </c>
      <c r="Y5" s="287">
        <f t="shared" ref="Y5:AF63" si="3">IF($H5,P5,IF(Y$3=$D5,$O5,0))</f>
        <v>0</v>
      </c>
      <c r="Z5" s="287">
        <f t="shared" si="1"/>
        <v>0</v>
      </c>
      <c r="AA5" s="341">
        <f t="shared" si="1"/>
        <v>0</v>
      </c>
      <c r="AB5" s="341">
        <f t="shared" si="1"/>
        <v>0</v>
      </c>
      <c r="AC5" s="341">
        <f t="shared" si="1"/>
        <v>1559169.6676299204</v>
      </c>
      <c r="AD5" s="341">
        <f t="shared" si="1"/>
        <v>0</v>
      </c>
      <c r="AE5" s="341">
        <f t="shared" si="1"/>
        <v>0</v>
      </c>
      <c r="AF5" s="287">
        <f t="shared" si="1"/>
        <v>0</v>
      </c>
      <c r="AG5" s="287">
        <f t="shared" si="1"/>
        <v>0</v>
      </c>
      <c r="AH5" s="322">
        <f>IF($H5,0,IFERROR(IF(VALUE(LEFT(D5,4))&gt;VALUE(LEFT(Parameters!$B$66,4))+1,O5-SUM(R5:X5),0),0))</f>
        <v>0</v>
      </c>
      <c r="AI5" s="326">
        <f>IF($E5=0,0,INDEX(Parameters!AB$43:AB$73,MATCH($E5,Parameters!$B$5:$B$35,0)))</f>
        <v>1.7111456734021271E-2</v>
      </c>
      <c r="AJ5" s="327">
        <f>IF($E5=0,0,INDEX(Parameters!AC$43:AC$73,MATCH($E5,Parameters!$B$5:$B$35,0)))</f>
        <v>2.2904422442392637E-2</v>
      </c>
      <c r="AK5" s="327">
        <f>IF($E5=0,0,INDEX(Parameters!AD$43:AD$73,MATCH($E5,Parameters!$B$5:$B$35,0)))</f>
        <v>2.7468112912126981E-2</v>
      </c>
      <c r="AL5" s="327">
        <f>IF($E5=0,0,INDEX(Parameters!AE$43:AE$73,MATCH($E5,Parameters!$B$5:$B$35,0)))</f>
        <v>4.2541977957082831E-2</v>
      </c>
      <c r="AM5" s="327">
        <f>IF($E5=0,0,INDEX(Parameters!AF$43:AF$73,MATCH($E5,Parameters!$B$5:$B$35,0)))</f>
        <v>5.7118119261853124E-2</v>
      </c>
      <c r="AN5" s="327">
        <f>IF($E5=0,0,INDEX(Parameters!AG$43:AG$73,MATCH($E5,Parameters!$B$5:$B$35,0)))</f>
        <v>7.0732016315182361E-2</v>
      </c>
      <c r="AO5" s="327">
        <f>IF($E5=0,0,INDEX(Parameters!AH$43:AH$73,MATCH($E5,Parameters!$B$5:$B$35,0)))</f>
        <v>8.2230449565815045E-2</v>
      </c>
      <c r="AP5" s="327">
        <f>IF($E5=0,0,INDEX(Parameters!AI$43:AI$73,MATCH($E5,Parameters!$B$5:$B$35,0)))</f>
        <v>8.2230449565815045E-2</v>
      </c>
      <c r="AQ5" s="328">
        <f>IF($E5=0,0,INDEX(Parameters!AJ$43:AJ$73,MATCH($E5,Parameters!$B$5:$B$35,0)))</f>
        <v>8.2230449565815045E-2</v>
      </c>
    </row>
    <row r="6" spans="1:43" ht="13.95" x14ac:dyDescent="0.3">
      <c r="A6" s="313" t="str">
        <f>'Base Costs'!A6</f>
        <v>ND0908</v>
      </c>
      <c r="B6" s="314" t="str">
        <f>'Base Costs'!B6</f>
        <v>Burnie Substation 110 kV redevelopment</v>
      </c>
      <c r="C6" s="314" t="str">
        <f>'Base Costs'!C6</f>
        <v>Asset Renewal</v>
      </c>
      <c r="D6" s="333" t="str">
        <f>'Base Costs'!D6</f>
        <v>2014/15</v>
      </c>
      <c r="E6" s="333">
        <f>'Base Costs'!E6</f>
        <v>0</v>
      </c>
      <c r="F6" s="315"/>
      <c r="G6" s="315"/>
      <c r="H6" s="316">
        <f>'Input Data Sheet'!J6</f>
        <v>0</v>
      </c>
      <c r="I6" s="316"/>
      <c r="J6" s="316"/>
      <c r="K6" s="316"/>
      <c r="L6" s="316"/>
      <c r="M6" s="316"/>
      <c r="N6" s="316"/>
      <c r="O6" s="287">
        <f t="shared" si="2"/>
        <v>27632.153364335201</v>
      </c>
      <c r="P6" s="320">
        <f>(1+AI6)*'Cost+LOA'!P6</f>
        <v>0</v>
      </c>
      <c r="Q6" s="287">
        <f>(1+AJ6)*'Cost+LOA'!Q6</f>
        <v>0</v>
      </c>
      <c r="R6" s="341">
        <f>(1+AK6)*'Cost+LOA'!R6</f>
        <v>27632.153364335201</v>
      </c>
      <c r="S6" s="341">
        <f>(1+AL6)*'Cost+LOA'!S6</f>
        <v>0</v>
      </c>
      <c r="T6" s="341">
        <f>(1+AM6)*'Cost+LOA'!T6</f>
        <v>0</v>
      </c>
      <c r="U6" s="341">
        <f>(1+AN6)*'Cost+LOA'!U6</f>
        <v>0</v>
      </c>
      <c r="V6" s="341">
        <f>(1+AO6)*'Cost+LOA'!V6</f>
        <v>0</v>
      </c>
      <c r="W6" s="287">
        <f>(1+AP6)*'Cost+LOA'!W6</f>
        <v>0</v>
      </c>
      <c r="X6" s="321">
        <f>(1+AQ6)*'Cost+LOA'!X6</f>
        <v>0</v>
      </c>
      <c r="Y6" s="287">
        <f t="shared" si="3"/>
        <v>0</v>
      </c>
      <c r="Z6" s="287">
        <f t="shared" si="1"/>
        <v>0</v>
      </c>
      <c r="AA6" s="341">
        <f t="shared" si="1"/>
        <v>27632.153364335201</v>
      </c>
      <c r="AB6" s="341">
        <f t="shared" si="1"/>
        <v>0</v>
      </c>
      <c r="AC6" s="341">
        <f t="shared" si="1"/>
        <v>0</v>
      </c>
      <c r="AD6" s="341">
        <f t="shared" si="1"/>
        <v>0</v>
      </c>
      <c r="AE6" s="341">
        <f t="shared" si="1"/>
        <v>0</v>
      </c>
      <c r="AF6" s="287">
        <f t="shared" si="1"/>
        <v>0</v>
      </c>
      <c r="AG6" s="287">
        <f t="shared" si="1"/>
        <v>0</v>
      </c>
      <c r="AH6" s="322">
        <f>IF($H6,0,IFERROR(IF(VALUE(LEFT(D6,4))&gt;VALUE(LEFT(Parameters!$B$66,4))+1,O6-SUM(R6:X6),0),0))</f>
        <v>0</v>
      </c>
      <c r="AI6" s="326">
        <f>IF($E6=0,0,INDEX(Parameters!AB$43:AB$73,MATCH($E6,Parameters!$B$5:$B$35,0)))</f>
        <v>0</v>
      </c>
      <c r="AJ6" s="327">
        <f>IF($E6=0,0,INDEX(Parameters!AC$43:AC$73,MATCH($E6,Parameters!$B$5:$B$35,0)))</f>
        <v>0</v>
      </c>
      <c r="AK6" s="327">
        <f>IF($E6=0,0,INDEX(Parameters!AD$43:AD$73,MATCH($E6,Parameters!$B$5:$B$35,0)))</f>
        <v>0</v>
      </c>
      <c r="AL6" s="327">
        <f>IF($E6=0,0,INDEX(Parameters!AE$43:AE$73,MATCH($E6,Parameters!$B$5:$B$35,0)))</f>
        <v>0</v>
      </c>
      <c r="AM6" s="327">
        <f>IF($E6=0,0,INDEX(Parameters!AF$43:AF$73,MATCH($E6,Parameters!$B$5:$B$35,0)))</f>
        <v>0</v>
      </c>
      <c r="AN6" s="327">
        <f>IF($E6=0,0,INDEX(Parameters!AG$43:AG$73,MATCH($E6,Parameters!$B$5:$B$35,0)))</f>
        <v>0</v>
      </c>
      <c r="AO6" s="327">
        <f>IF($E6=0,0,INDEX(Parameters!AH$43:AH$73,MATCH($E6,Parameters!$B$5:$B$35,0)))</f>
        <v>0</v>
      </c>
      <c r="AP6" s="327">
        <f>IF($E6=0,0,INDEX(Parameters!AI$43:AI$73,MATCH($E6,Parameters!$B$5:$B$35,0)))</f>
        <v>0</v>
      </c>
      <c r="AQ6" s="328">
        <f>IF($E6=0,0,INDEX(Parameters!AJ$43:AJ$73,MATCH($E6,Parameters!$B$5:$B$35,0)))</f>
        <v>0</v>
      </c>
    </row>
    <row r="7" spans="1:43" ht="13.95" x14ac:dyDescent="0.3">
      <c r="A7" s="313" t="str">
        <f>'Base Costs'!A7</f>
        <v>ND1307</v>
      </c>
      <c r="B7" s="314" t="str">
        <f>'Base Costs'!B7</f>
        <v>Condition Based Risk Management System (Stage 2)</v>
      </c>
      <c r="C7" s="314" t="str">
        <f>'Base Costs'!C7</f>
        <v>Operational Support Systems</v>
      </c>
      <c r="D7" s="333" t="str">
        <f>'Base Costs'!D7</f>
        <v>2018/19</v>
      </c>
      <c r="E7" s="333">
        <f>'Base Costs'!E7</f>
        <v>18</v>
      </c>
      <c r="F7" s="315"/>
      <c r="G7" s="315"/>
      <c r="H7" s="316">
        <f>'Input Data Sheet'!J7</f>
        <v>0</v>
      </c>
      <c r="I7" s="316"/>
      <c r="J7" s="316"/>
      <c r="K7" s="316"/>
      <c r="L7" s="316"/>
      <c r="M7" s="316"/>
      <c r="N7" s="316"/>
      <c r="O7" s="287">
        <f t="shared" si="2"/>
        <v>454350</v>
      </c>
      <c r="P7" s="320">
        <f>(1+AI7)*'Cost+LOA'!P7</f>
        <v>0</v>
      </c>
      <c r="Q7" s="287">
        <f>(1+AJ7)*'Cost+LOA'!Q7</f>
        <v>0</v>
      </c>
      <c r="R7" s="341">
        <f>(1+AK7)*'Cost+LOA'!R7</f>
        <v>0</v>
      </c>
      <c r="S7" s="341">
        <f>(1+AL7)*'Cost+LOA'!S7</f>
        <v>0</v>
      </c>
      <c r="T7" s="341">
        <f>(1+AM7)*'Cost+LOA'!T7</f>
        <v>0</v>
      </c>
      <c r="U7" s="341">
        <f>(1+AN7)*'Cost+LOA'!U7</f>
        <v>0</v>
      </c>
      <c r="V7" s="341">
        <f>(1+AO7)*'Cost+LOA'!V7</f>
        <v>454350</v>
      </c>
      <c r="W7" s="287">
        <f>(1+AP7)*'Cost+LOA'!W7</f>
        <v>0</v>
      </c>
      <c r="X7" s="321">
        <f>(1+AQ7)*'Cost+LOA'!X7</f>
        <v>0</v>
      </c>
      <c r="Y7" s="287">
        <f t="shared" si="3"/>
        <v>0</v>
      </c>
      <c r="Z7" s="287">
        <f t="shared" si="1"/>
        <v>0</v>
      </c>
      <c r="AA7" s="341">
        <f t="shared" si="1"/>
        <v>0</v>
      </c>
      <c r="AB7" s="341">
        <f t="shared" si="1"/>
        <v>0</v>
      </c>
      <c r="AC7" s="341">
        <f t="shared" si="1"/>
        <v>0</v>
      </c>
      <c r="AD7" s="341">
        <f t="shared" si="1"/>
        <v>0</v>
      </c>
      <c r="AE7" s="341">
        <f t="shared" si="1"/>
        <v>454350</v>
      </c>
      <c r="AF7" s="287">
        <f t="shared" si="1"/>
        <v>0</v>
      </c>
      <c r="AG7" s="287">
        <f t="shared" si="1"/>
        <v>0</v>
      </c>
      <c r="AH7" s="322">
        <f>IF($H7,0,IFERROR(IF(VALUE(LEFT(D7,4))&gt;VALUE(LEFT(Parameters!$B$66,4))+1,O7-SUM(R7:X7),0),0))</f>
        <v>0</v>
      </c>
      <c r="AI7" s="326">
        <f>IF($E7=0,0,INDEX(Parameters!AB$43:AB$73,MATCH($E7,Parameters!$B$5:$B$35,0)))</f>
        <v>0</v>
      </c>
      <c r="AJ7" s="327">
        <f>IF($E7=0,0,INDEX(Parameters!AC$43:AC$73,MATCH($E7,Parameters!$B$5:$B$35,0)))</f>
        <v>0</v>
      </c>
      <c r="AK7" s="327">
        <f>IF($E7=0,0,INDEX(Parameters!AD$43:AD$73,MATCH($E7,Parameters!$B$5:$B$35,0)))</f>
        <v>0</v>
      </c>
      <c r="AL7" s="327">
        <f>IF($E7=0,0,INDEX(Parameters!AE$43:AE$73,MATCH($E7,Parameters!$B$5:$B$35,0)))</f>
        <v>0</v>
      </c>
      <c r="AM7" s="327">
        <f>IF($E7=0,0,INDEX(Parameters!AF$43:AF$73,MATCH($E7,Parameters!$B$5:$B$35,0)))</f>
        <v>0</v>
      </c>
      <c r="AN7" s="327">
        <f>IF($E7=0,0,INDEX(Parameters!AG$43:AG$73,MATCH($E7,Parameters!$B$5:$B$35,0)))</f>
        <v>0</v>
      </c>
      <c r="AO7" s="327">
        <f>IF($E7=0,0,INDEX(Parameters!AH$43:AH$73,MATCH($E7,Parameters!$B$5:$B$35,0)))</f>
        <v>0</v>
      </c>
      <c r="AP7" s="327">
        <f>IF($E7=0,0,INDEX(Parameters!AI$43:AI$73,MATCH($E7,Parameters!$B$5:$B$35,0)))</f>
        <v>0</v>
      </c>
      <c r="AQ7" s="328">
        <f>IF($E7=0,0,INDEX(Parameters!AJ$43:AJ$73,MATCH($E7,Parameters!$B$5:$B$35,0)))</f>
        <v>0</v>
      </c>
    </row>
    <row r="8" spans="1:43" ht="13.95" x14ac:dyDescent="0.3">
      <c r="A8" s="313" t="str">
        <f>'Base Costs'!A8</f>
        <v>TBA1</v>
      </c>
      <c r="B8" s="314" t="str">
        <f>'Base Costs'!B8</f>
        <v>Consumer engagement management system</v>
      </c>
      <c r="C8" s="314" t="str">
        <f>'Base Costs'!C8</f>
        <v>Operational Support Systems</v>
      </c>
      <c r="D8" s="333" t="str">
        <f>'Base Costs'!D8</f>
        <v>2017/18</v>
      </c>
      <c r="E8" s="333">
        <f>'Base Costs'!E8</f>
        <v>18</v>
      </c>
      <c r="F8" s="315"/>
      <c r="G8" s="315"/>
      <c r="H8" s="316">
        <f>'Input Data Sheet'!J8</f>
        <v>0</v>
      </c>
      <c r="I8" s="316"/>
      <c r="J8" s="316"/>
      <c r="K8" s="316"/>
      <c r="L8" s="316"/>
      <c r="M8" s="316"/>
      <c r="N8" s="316"/>
      <c r="O8" s="287">
        <f t="shared" si="2"/>
        <v>980000</v>
      </c>
      <c r="P8" s="320">
        <f>(1+AI8)*'Cost+LOA'!P8</f>
        <v>0</v>
      </c>
      <c r="Q8" s="287">
        <f>(1+AJ8)*'Cost+LOA'!Q8</f>
        <v>0</v>
      </c>
      <c r="R8" s="341">
        <f>(1+AK8)*'Cost+LOA'!R8</f>
        <v>155000</v>
      </c>
      <c r="S8" s="341">
        <f>(1+AL8)*'Cost+LOA'!S8</f>
        <v>480000</v>
      </c>
      <c r="T8" s="341">
        <f>(1+AM8)*'Cost+LOA'!T8</f>
        <v>265000</v>
      </c>
      <c r="U8" s="341">
        <f>(1+AN8)*'Cost+LOA'!U8</f>
        <v>80000</v>
      </c>
      <c r="V8" s="341">
        <f>(1+AO8)*'Cost+LOA'!V8</f>
        <v>0</v>
      </c>
      <c r="W8" s="287">
        <f>(1+AP8)*'Cost+LOA'!W8</f>
        <v>0</v>
      </c>
      <c r="X8" s="321">
        <f>(1+AQ8)*'Cost+LOA'!X8</f>
        <v>0</v>
      </c>
      <c r="Y8" s="287">
        <f t="shared" si="3"/>
        <v>0</v>
      </c>
      <c r="Z8" s="287">
        <f t="shared" si="1"/>
        <v>0</v>
      </c>
      <c r="AA8" s="341">
        <f t="shared" si="1"/>
        <v>0</v>
      </c>
      <c r="AB8" s="341">
        <f t="shared" si="1"/>
        <v>0</v>
      </c>
      <c r="AC8" s="341">
        <f t="shared" si="1"/>
        <v>0</v>
      </c>
      <c r="AD8" s="341">
        <f t="shared" si="1"/>
        <v>980000</v>
      </c>
      <c r="AE8" s="341">
        <f t="shared" si="1"/>
        <v>0</v>
      </c>
      <c r="AF8" s="287">
        <f t="shared" si="1"/>
        <v>0</v>
      </c>
      <c r="AG8" s="287">
        <f t="shared" si="1"/>
        <v>0</v>
      </c>
      <c r="AH8" s="322">
        <f>IF($H8,0,IFERROR(IF(VALUE(LEFT(D8,4))&gt;VALUE(LEFT(Parameters!$B$66,4))+1,O8-SUM(R8:X8),0),0))</f>
        <v>0</v>
      </c>
      <c r="AI8" s="326">
        <f>IF($E8=0,0,INDEX(Parameters!AB$43:AB$73,MATCH($E8,Parameters!$B$5:$B$35,0)))</f>
        <v>0</v>
      </c>
      <c r="AJ8" s="327">
        <f>IF($E8=0,0,INDEX(Parameters!AC$43:AC$73,MATCH($E8,Parameters!$B$5:$B$35,0)))</f>
        <v>0</v>
      </c>
      <c r="AK8" s="327">
        <f>IF($E8=0,0,INDEX(Parameters!AD$43:AD$73,MATCH($E8,Parameters!$B$5:$B$35,0)))</f>
        <v>0</v>
      </c>
      <c r="AL8" s="327">
        <f>IF($E8=0,0,INDEX(Parameters!AE$43:AE$73,MATCH($E8,Parameters!$B$5:$B$35,0)))</f>
        <v>0</v>
      </c>
      <c r="AM8" s="327">
        <f>IF($E8=0,0,INDEX(Parameters!AF$43:AF$73,MATCH($E8,Parameters!$B$5:$B$35,0)))</f>
        <v>0</v>
      </c>
      <c r="AN8" s="327">
        <f>IF($E8=0,0,INDEX(Parameters!AG$43:AG$73,MATCH($E8,Parameters!$B$5:$B$35,0)))</f>
        <v>0</v>
      </c>
      <c r="AO8" s="327">
        <f>IF($E8=0,0,INDEX(Parameters!AH$43:AH$73,MATCH($E8,Parameters!$B$5:$B$35,0)))</f>
        <v>0</v>
      </c>
      <c r="AP8" s="327">
        <f>IF($E8=0,0,INDEX(Parameters!AI$43:AI$73,MATCH($E8,Parameters!$B$5:$B$35,0)))</f>
        <v>0</v>
      </c>
      <c r="AQ8" s="328">
        <f>IF($E8=0,0,INDEX(Parameters!AJ$43:AJ$73,MATCH($E8,Parameters!$B$5:$B$35,0)))</f>
        <v>0</v>
      </c>
    </row>
    <row r="9" spans="1:43" ht="13.95" x14ac:dyDescent="0.3">
      <c r="A9" s="313" t="str">
        <f>'Base Costs'!A9</f>
        <v>ND0733</v>
      </c>
      <c r="B9" s="314" t="str">
        <f>'Base Costs'!B9</f>
        <v>Creek Road Substation 110 kV redevelopment</v>
      </c>
      <c r="C9" s="314" t="str">
        <f>'Base Costs'!C9</f>
        <v>Asset Renewal</v>
      </c>
      <c r="D9" s="333" t="str">
        <f>'Base Costs'!D9</f>
        <v>2014/15</v>
      </c>
      <c r="E9" s="333">
        <f>'Base Costs'!E9</f>
        <v>0</v>
      </c>
      <c r="F9" s="315"/>
      <c r="G9" s="315"/>
      <c r="H9" s="316">
        <f>'Input Data Sheet'!J9</f>
        <v>0</v>
      </c>
      <c r="I9" s="316"/>
      <c r="J9" s="316"/>
      <c r="K9" s="316"/>
      <c r="L9" s="316"/>
      <c r="M9" s="316"/>
      <c r="N9" s="316"/>
      <c r="O9" s="287">
        <f t="shared" si="2"/>
        <v>962930.99743760086</v>
      </c>
      <c r="P9" s="320">
        <f>(1+AI9)*'Cost+LOA'!P9</f>
        <v>0</v>
      </c>
      <c r="Q9" s="287">
        <f>(1+AJ9)*'Cost+LOA'!Q9</f>
        <v>0</v>
      </c>
      <c r="R9" s="341">
        <f>(1+AK9)*'Cost+LOA'!R9</f>
        <v>962930.99743760086</v>
      </c>
      <c r="S9" s="341">
        <f>(1+AL9)*'Cost+LOA'!S9</f>
        <v>0</v>
      </c>
      <c r="T9" s="341">
        <f>(1+AM9)*'Cost+LOA'!T9</f>
        <v>0</v>
      </c>
      <c r="U9" s="341">
        <f>(1+AN9)*'Cost+LOA'!U9</f>
        <v>0</v>
      </c>
      <c r="V9" s="341">
        <f>(1+AO9)*'Cost+LOA'!V9</f>
        <v>0</v>
      </c>
      <c r="W9" s="287">
        <f>(1+AP9)*'Cost+LOA'!W9</f>
        <v>0</v>
      </c>
      <c r="X9" s="321">
        <f>(1+AQ9)*'Cost+LOA'!X9</f>
        <v>0</v>
      </c>
      <c r="Y9" s="287">
        <f t="shared" si="3"/>
        <v>0</v>
      </c>
      <c r="Z9" s="287">
        <f t="shared" si="1"/>
        <v>0</v>
      </c>
      <c r="AA9" s="341">
        <f t="shared" si="1"/>
        <v>962930.99743760086</v>
      </c>
      <c r="AB9" s="341">
        <f t="shared" si="1"/>
        <v>0</v>
      </c>
      <c r="AC9" s="341">
        <f t="shared" si="1"/>
        <v>0</v>
      </c>
      <c r="AD9" s="341">
        <f t="shared" si="1"/>
        <v>0</v>
      </c>
      <c r="AE9" s="341">
        <f t="shared" si="1"/>
        <v>0</v>
      </c>
      <c r="AF9" s="287">
        <f t="shared" si="1"/>
        <v>0</v>
      </c>
      <c r="AG9" s="287">
        <f t="shared" si="1"/>
        <v>0</v>
      </c>
      <c r="AH9" s="322">
        <f>IF($H9,0,IFERROR(IF(VALUE(LEFT(D9,4))&gt;VALUE(LEFT(Parameters!$B$66,4))+1,O9-SUM(R9:X9),0),0))</f>
        <v>0</v>
      </c>
      <c r="AI9" s="326">
        <f>IF($E9=0,0,INDEX(Parameters!AB$43:AB$73,MATCH($E9,Parameters!$B$5:$B$35,0)))</f>
        <v>0</v>
      </c>
      <c r="AJ9" s="327">
        <f>IF($E9=0,0,INDEX(Parameters!AC$43:AC$73,MATCH($E9,Parameters!$B$5:$B$35,0)))</f>
        <v>0</v>
      </c>
      <c r="AK9" s="327">
        <f>IF($E9=0,0,INDEX(Parameters!AD$43:AD$73,MATCH($E9,Parameters!$B$5:$B$35,0)))</f>
        <v>0</v>
      </c>
      <c r="AL9" s="327">
        <f>IF($E9=0,0,INDEX(Parameters!AE$43:AE$73,MATCH($E9,Parameters!$B$5:$B$35,0)))</f>
        <v>0</v>
      </c>
      <c r="AM9" s="327">
        <f>IF($E9=0,0,INDEX(Parameters!AF$43:AF$73,MATCH($E9,Parameters!$B$5:$B$35,0)))</f>
        <v>0</v>
      </c>
      <c r="AN9" s="327">
        <f>IF($E9=0,0,INDEX(Parameters!AG$43:AG$73,MATCH($E9,Parameters!$B$5:$B$35,0)))</f>
        <v>0</v>
      </c>
      <c r="AO9" s="327">
        <f>IF($E9=0,0,INDEX(Parameters!AH$43:AH$73,MATCH($E9,Parameters!$B$5:$B$35,0)))</f>
        <v>0</v>
      </c>
      <c r="AP9" s="327">
        <f>IF($E9=0,0,INDEX(Parameters!AI$43:AI$73,MATCH($E9,Parameters!$B$5:$B$35,0)))</f>
        <v>0</v>
      </c>
      <c r="AQ9" s="328">
        <f>IF($E9=0,0,INDEX(Parameters!AJ$43:AJ$73,MATCH($E9,Parameters!$B$5:$B$35,0)))</f>
        <v>0</v>
      </c>
    </row>
    <row r="10" spans="1:43" ht="13.95" x14ac:dyDescent="0.3">
      <c r="A10" s="313" t="str">
        <f>'Base Costs'!A10</f>
        <v>TBA3</v>
      </c>
      <c r="B10" s="314" t="str">
        <f>'Base Costs'!B10</f>
        <v>Derwent Bridge transmission line redevelopment</v>
      </c>
      <c r="C10" s="314" t="str">
        <f>'Base Costs'!C10</f>
        <v>Asset Renewal</v>
      </c>
      <c r="D10" s="333" t="str">
        <f>'Base Costs'!D10</f>
        <v>2016/17</v>
      </c>
      <c r="E10" s="333">
        <f>'Base Costs'!E10</f>
        <v>1</v>
      </c>
      <c r="F10" s="315"/>
      <c r="G10" s="315"/>
      <c r="H10" s="316">
        <f>'Input Data Sheet'!J10</f>
        <v>0</v>
      </c>
      <c r="I10" s="316"/>
      <c r="J10" s="316"/>
      <c r="K10" s="316"/>
      <c r="L10" s="316"/>
      <c r="M10" s="316"/>
      <c r="N10" s="316"/>
      <c r="O10" s="287">
        <f t="shared" si="2"/>
        <v>1057968.2392802399</v>
      </c>
      <c r="P10" s="320">
        <f>(1+AI10)*'Cost+LOA'!P10</f>
        <v>0</v>
      </c>
      <c r="Q10" s="287">
        <f>(1+AJ10)*'Cost+LOA'!Q10</f>
        <v>0</v>
      </c>
      <c r="R10" s="341">
        <f>(1+AK10)*'Cost+LOA'!R10</f>
        <v>419494.68113976321</v>
      </c>
      <c r="S10" s="341">
        <f>(1+AL10)*'Cost+LOA'!S10</f>
        <v>638473.5581404767</v>
      </c>
      <c r="T10" s="341">
        <f>(1+AM10)*'Cost+LOA'!T10</f>
        <v>0</v>
      </c>
      <c r="U10" s="341">
        <f>(1+AN10)*'Cost+LOA'!U10</f>
        <v>0</v>
      </c>
      <c r="V10" s="341">
        <f>(1+AO10)*'Cost+LOA'!V10</f>
        <v>0</v>
      </c>
      <c r="W10" s="287">
        <f>(1+AP10)*'Cost+LOA'!W10</f>
        <v>0</v>
      </c>
      <c r="X10" s="321">
        <f>(1+AQ10)*'Cost+LOA'!X10</f>
        <v>0</v>
      </c>
      <c r="Y10" s="287">
        <f t="shared" si="3"/>
        <v>0</v>
      </c>
      <c r="Z10" s="287">
        <f t="shared" si="1"/>
        <v>0</v>
      </c>
      <c r="AA10" s="341">
        <f t="shared" si="1"/>
        <v>0</v>
      </c>
      <c r="AB10" s="341">
        <f t="shared" si="1"/>
        <v>0</v>
      </c>
      <c r="AC10" s="341">
        <f t="shared" si="1"/>
        <v>1057968.2392802399</v>
      </c>
      <c r="AD10" s="341">
        <f t="shared" si="1"/>
        <v>0</v>
      </c>
      <c r="AE10" s="341">
        <f t="shared" si="1"/>
        <v>0</v>
      </c>
      <c r="AF10" s="287">
        <f t="shared" si="1"/>
        <v>0</v>
      </c>
      <c r="AG10" s="287">
        <f t="shared" si="1"/>
        <v>0</v>
      </c>
      <c r="AH10" s="322">
        <f>IF($H10,0,IFERROR(IF(VALUE(LEFT(D10,4))&gt;VALUE(LEFT(Parameters!$B$66,4))+1,O10-SUM(R10:X10),0),0))</f>
        <v>0</v>
      </c>
      <c r="AI10" s="326">
        <f>IF($E10=0,0,INDEX(Parameters!AB$43:AB$73,MATCH($E10,Parameters!$B$5:$B$35,0)))</f>
        <v>1.7111456734021271E-2</v>
      </c>
      <c r="AJ10" s="327">
        <f>IF($E10=0,0,INDEX(Parameters!AC$43:AC$73,MATCH($E10,Parameters!$B$5:$B$35,0)))</f>
        <v>2.2904422442392637E-2</v>
      </c>
      <c r="AK10" s="327">
        <f>IF($E10=0,0,INDEX(Parameters!AD$43:AD$73,MATCH($E10,Parameters!$B$5:$B$35,0)))</f>
        <v>2.7468112912126981E-2</v>
      </c>
      <c r="AL10" s="327">
        <f>IF($E10=0,0,INDEX(Parameters!AE$43:AE$73,MATCH($E10,Parameters!$B$5:$B$35,0)))</f>
        <v>4.2541977957082831E-2</v>
      </c>
      <c r="AM10" s="327">
        <f>IF($E10=0,0,INDEX(Parameters!AF$43:AF$73,MATCH($E10,Parameters!$B$5:$B$35,0)))</f>
        <v>5.7118119261853124E-2</v>
      </c>
      <c r="AN10" s="327">
        <f>IF($E10=0,0,INDEX(Parameters!AG$43:AG$73,MATCH($E10,Parameters!$B$5:$B$35,0)))</f>
        <v>7.0732016315182361E-2</v>
      </c>
      <c r="AO10" s="327">
        <f>IF($E10=0,0,INDEX(Parameters!AH$43:AH$73,MATCH($E10,Parameters!$B$5:$B$35,0)))</f>
        <v>8.2230449565815045E-2</v>
      </c>
      <c r="AP10" s="327">
        <f>IF($E10=0,0,INDEX(Parameters!AI$43:AI$73,MATCH($E10,Parameters!$B$5:$B$35,0)))</f>
        <v>8.2230449565815045E-2</v>
      </c>
      <c r="AQ10" s="328">
        <f>IF($E10=0,0,INDEX(Parameters!AJ$43:AJ$73,MATCH($E10,Parameters!$B$5:$B$35,0)))</f>
        <v>8.2230449565815045E-2</v>
      </c>
    </row>
    <row r="11" spans="1:43" ht="13.95" x14ac:dyDescent="0.3">
      <c r="A11" s="313" t="str">
        <f>'Base Costs'!A11</f>
        <v>ND1211</v>
      </c>
      <c r="B11" s="314" t="str">
        <f>'Base Costs'!B11</f>
        <v>Enterprise Asset Management system</v>
      </c>
      <c r="C11" s="314" t="str">
        <f>'Base Costs'!C11</f>
        <v>Operational Support Systems</v>
      </c>
      <c r="D11" s="333" t="str">
        <f>'Base Costs'!D11</f>
        <v>2018/19</v>
      </c>
      <c r="E11" s="333">
        <f>'Base Costs'!E11</f>
        <v>18</v>
      </c>
      <c r="F11" s="315"/>
      <c r="G11" s="315"/>
      <c r="H11" s="316">
        <f>'Input Data Sheet'!J11</f>
        <v>1</v>
      </c>
      <c r="I11" s="316"/>
      <c r="J11" s="316"/>
      <c r="K11" s="316"/>
      <c r="L11" s="316"/>
      <c r="M11" s="316"/>
      <c r="N11" s="316"/>
      <c r="O11" s="287">
        <f t="shared" si="2"/>
        <v>5939000</v>
      </c>
      <c r="P11" s="320">
        <f>(1+AI11)*'Cost+LOA'!P11</f>
        <v>0</v>
      </c>
      <c r="Q11" s="287">
        <f>(1+AJ11)*'Cost+LOA'!Q11</f>
        <v>0</v>
      </c>
      <c r="R11" s="341">
        <f>(1+AK11)*'Cost+LOA'!R11</f>
        <v>300000</v>
      </c>
      <c r="S11" s="341">
        <f>(1+AL11)*'Cost+LOA'!S11</f>
        <v>3107500</v>
      </c>
      <c r="T11" s="341">
        <f>(1+AM11)*'Cost+LOA'!T11</f>
        <v>1219000</v>
      </c>
      <c r="U11" s="341">
        <f>(1+AN11)*'Cost+LOA'!U11</f>
        <v>562500</v>
      </c>
      <c r="V11" s="341">
        <f>(1+AO11)*'Cost+LOA'!V11</f>
        <v>750000</v>
      </c>
      <c r="W11" s="287">
        <f>(1+AP11)*'Cost+LOA'!W11</f>
        <v>0</v>
      </c>
      <c r="X11" s="321">
        <f>(1+AQ11)*'Cost+LOA'!X11</f>
        <v>0</v>
      </c>
      <c r="Y11" s="287">
        <f t="shared" si="3"/>
        <v>0</v>
      </c>
      <c r="Z11" s="287">
        <f t="shared" si="1"/>
        <v>0</v>
      </c>
      <c r="AA11" s="341">
        <f t="shared" si="1"/>
        <v>300000</v>
      </c>
      <c r="AB11" s="341">
        <f t="shared" si="1"/>
        <v>3107500</v>
      </c>
      <c r="AC11" s="341">
        <f t="shared" si="1"/>
        <v>1219000</v>
      </c>
      <c r="AD11" s="341">
        <f t="shared" si="1"/>
        <v>562500</v>
      </c>
      <c r="AE11" s="341">
        <f t="shared" si="1"/>
        <v>750000</v>
      </c>
      <c r="AF11" s="287">
        <f t="shared" si="1"/>
        <v>0</v>
      </c>
      <c r="AG11" s="287">
        <f t="shared" si="1"/>
        <v>0</v>
      </c>
      <c r="AH11" s="322">
        <f>IF($H11,0,IFERROR(IF(VALUE(LEFT(D11,4))&gt;VALUE(LEFT(Parameters!$B$66,4))+1,O11-SUM(R11:X11),0),0))</f>
        <v>0</v>
      </c>
      <c r="AI11" s="326">
        <f>IF($E11=0,0,INDEX(Parameters!AB$43:AB$73,MATCH($E11,Parameters!$B$5:$B$35,0)))</f>
        <v>0</v>
      </c>
      <c r="AJ11" s="327">
        <f>IF($E11=0,0,INDEX(Parameters!AC$43:AC$73,MATCH($E11,Parameters!$B$5:$B$35,0)))</f>
        <v>0</v>
      </c>
      <c r="AK11" s="327">
        <f>IF($E11=0,0,INDEX(Parameters!AD$43:AD$73,MATCH($E11,Parameters!$B$5:$B$35,0)))</f>
        <v>0</v>
      </c>
      <c r="AL11" s="327">
        <f>IF($E11=0,0,INDEX(Parameters!AE$43:AE$73,MATCH($E11,Parameters!$B$5:$B$35,0)))</f>
        <v>0</v>
      </c>
      <c r="AM11" s="327">
        <f>IF($E11=0,0,INDEX(Parameters!AF$43:AF$73,MATCH($E11,Parameters!$B$5:$B$35,0)))</f>
        <v>0</v>
      </c>
      <c r="AN11" s="327">
        <f>IF($E11=0,0,INDEX(Parameters!AG$43:AG$73,MATCH($E11,Parameters!$B$5:$B$35,0)))</f>
        <v>0</v>
      </c>
      <c r="AO11" s="327">
        <f>IF($E11=0,0,INDEX(Parameters!AH$43:AH$73,MATCH($E11,Parameters!$B$5:$B$35,0)))</f>
        <v>0</v>
      </c>
      <c r="AP11" s="327">
        <f>IF($E11=0,0,INDEX(Parameters!AI$43:AI$73,MATCH($E11,Parameters!$B$5:$B$35,0)))</f>
        <v>0</v>
      </c>
      <c r="AQ11" s="328">
        <f>IF($E11=0,0,INDEX(Parameters!AJ$43:AJ$73,MATCH($E11,Parameters!$B$5:$B$35,0)))</f>
        <v>0</v>
      </c>
    </row>
    <row r="12" spans="1:43" ht="13.95" x14ac:dyDescent="0.3">
      <c r="A12" s="313" t="str">
        <f>'Base Costs'!A12</f>
        <v>TBA2</v>
      </c>
      <c r="B12" s="314" t="str">
        <f>'Base Costs'!B12</f>
        <v>Facilities Access Control System</v>
      </c>
      <c r="C12" s="314" t="str">
        <f>'Base Costs'!C12</f>
        <v>Business support</v>
      </c>
      <c r="D12" s="333" t="str">
        <f>'Base Costs'!D12</f>
        <v>2014/15</v>
      </c>
      <c r="E12" s="333">
        <f>'Base Costs'!E12</f>
        <v>18</v>
      </c>
      <c r="F12" s="315"/>
      <c r="G12" s="315"/>
      <c r="H12" s="316">
        <f>'Input Data Sheet'!J12</f>
        <v>0</v>
      </c>
      <c r="I12" s="316"/>
      <c r="J12" s="316"/>
      <c r="K12" s="316"/>
      <c r="L12" s="316"/>
      <c r="M12" s="316"/>
      <c r="N12" s="316"/>
      <c r="O12" s="287">
        <f t="shared" si="2"/>
        <v>158278</v>
      </c>
      <c r="P12" s="320">
        <f>(1+AI12)*'Cost+LOA'!P12</f>
        <v>0</v>
      </c>
      <c r="Q12" s="287">
        <f>(1+AJ12)*'Cost+LOA'!Q12</f>
        <v>0</v>
      </c>
      <c r="R12" s="341">
        <f>(1+AK12)*'Cost+LOA'!R12</f>
        <v>158278</v>
      </c>
      <c r="S12" s="341">
        <f>(1+AL12)*'Cost+LOA'!S12</f>
        <v>0</v>
      </c>
      <c r="T12" s="341">
        <f>(1+AM12)*'Cost+LOA'!T12</f>
        <v>0</v>
      </c>
      <c r="U12" s="341">
        <f>(1+AN12)*'Cost+LOA'!U12</f>
        <v>0</v>
      </c>
      <c r="V12" s="341">
        <f>(1+AO12)*'Cost+LOA'!V12</f>
        <v>0</v>
      </c>
      <c r="W12" s="287">
        <f>(1+AP12)*'Cost+LOA'!W12</f>
        <v>0</v>
      </c>
      <c r="X12" s="321">
        <f>(1+AQ12)*'Cost+LOA'!X12</f>
        <v>0</v>
      </c>
      <c r="Y12" s="287">
        <f t="shared" si="3"/>
        <v>0</v>
      </c>
      <c r="Z12" s="287">
        <f t="shared" si="1"/>
        <v>0</v>
      </c>
      <c r="AA12" s="341">
        <f t="shared" si="1"/>
        <v>158278</v>
      </c>
      <c r="AB12" s="341">
        <f t="shared" si="1"/>
        <v>0</v>
      </c>
      <c r="AC12" s="341">
        <f t="shared" si="1"/>
        <v>0</v>
      </c>
      <c r="AD12" s="341">
        <f t="shared" si="1"/>
        <v>0</v>
      </c>
      <c r="AE12" s="341">
        <f t="shared" si="1"/>
        <v>0</v>
      </c>
      <c r="AF12" s="287">
        <f t="shared" si="1"/>
        <v>0</v>
      </c>
      <c r="AG12" s="287">
        <f t="shared" si="1"/>
        <v>0</v>
      </c>
      <c r="AH12" s="322">
        <f>IF($H12,0,IFERROR(IF(VALUE(LEFT(D12,4))&gt;VALUE(LEFT(Parameters!$B$66,4))+1,O12-SUM(R12:X12),0),0))</f>
        <v>0</v>
      </c>
      <c r="AI12" s="326">
        <f>IF($E12=0,0,INDEX(Parameters!AB$43:AB$73,MATCH($E12,Parameters!$B$5:$B$35,0)))</f>
        <v>0</v>
      </c>
      <c r="AJ12" s="327">
        <f>IF($E12=0,0,INDEX(Parameters!AC$43:AC$73,MATCH($E12,Parameters!$B$5:$B$35,0)))</f>
        <v>0</v>
      </c>
      <c r="AK12" s="327">
        <f>IF($E12=0,0,INDEX(Parameters!AD$43:AD$73,MATCH($E12,Parameters!$B$5:$B$35,0)))</f>
        <v>0</v>
      </c>
      <c r="AL12" s="327">
        <f>IF($E12=0,0,INDEX(Parameters!AE$43:AE$73,MATCH($E12,Parameters!$B$5:$B$35,0)))</f>
        <v>0</v>
      </c>
      <c r="AM12" s="327">
        <f>IF($E12=0,0,INDEX(Parameters!AF$43:AF$73,MATCH($E12,Parameters!$B$5:$B$35,0)))</f>
        <v>0</v>
      </c>
      <c r="AN12" s="327">
        <f>IF($E12=0,0,INDEX(Parameters!AG$43:AG$73,MATCH($E12,Parameters!$B$5:$B$35,0)))</f>
        <v>0</v>
      </c>
      <c r="AO12" s="327">
        <f>IF($E12=0,0,INDEX(Parameters!AH$43:AH$73,MATCH($E12,Parameters!$B$5:$B$35,0)))</f>
        <v>0</v>
      </c>
      <c r="AP12" s="327">
        <f>IF($E12=0,0,INDEX(Parameters!AI$43:AI$73,MATCH($E12,Parameters!$B$5:$B$35,0)))</f>
        <v>0</v>
      </c>
      <c r="AQ12" s="328">
        <f>IF($E12=0,0,INDEX(Parameters!AJ$43:AJ$73,MATCH($E12,Parameters!$B$5:$B$35,0)))</f>
        <v>0</v>
      </c>
    </row>
    <row r="13" spans="1:43" ht="13.95" x14ac:dyDescent="0.3">
      <c r="A13" s="313" t="str">
        <f>'Base Costs'!A13</f>
        <v>ND1116</v>
      </c>
      <c r="B13" s="314" t="str">
        <f>'Base Costs'!B13</f>
        <v>Fault Level Mitigation Program</v>
      </c>
      <c r="C13" s="314" t="str">
        <f>'Base Costs'!C13</f>
        <v>Connection</v>
      </c>
      <c r="D13" s="333" t="str">
        <f>'Base Costs'!D13</f>
        <v>2016/17</v>
      </c>
      <c r="E13" s="333">
        <f>'Base Costs'!E13</f>
        <v>9</v>
      </c>
      <c r="F13" s="315"/>
      <c r="G13" s="315"/>
      <c r="H13" s="316">
        <f>'Input Data Sheet'!J13</f>
        <v>1</v>
      </c>
      <c r="I13" s="316"/>
      <c r="J13" s="316"/>
      <c r="K13" s="316"/>
      <c r="L13" s="316"/>
      <c r="M13" s="316"/>
      <c r="N13" s="316"/>
      <c r="O13" s="287">
        <f t="shared" si="2"/>
        <v>3199530.6226001792</v>
      </c>
      <c r="P13" s="320">
        <f>(1+AI13)*'Cost+LOA'!P13</f>
        <v>0</v>
      </c>
      <c r="Q13" s="287">
        <f>(1+AJ13)*'Cost+LOA'!Q13</f>
        <v>0</v>
      </c>
      <c r="R13" s="341">
        <f>(1+AK13)*'Cost+LOA'!R13</f>
        <v>398405.29647706629</v>
      </c>
      <c r="S13" s="341">
        <f>(1+AL13)*'Cost+LOA'!S13</f>
        <v>2744701.6202334077</v>
      </c>
      <c r="T13" s="341">
        <f>(1+AM13)*'Cost+LOA'!T13</f>
        <v>56423.705889705117</v>
      </c>
      <c r="U13" s="341">
        <f>(1+AN13)*'Cost+LOA'!U13</f>
        <v>0</v>
      </c>
      <c r="V13" s="341">
        <f>(1+AO13)*'Cost+LOA'!V13</f>
        <v>0</v>
      </c>
      <c r="W13" s="287">
        <f>(1+AP13)*'Cost+LOA'!W13</f>
        <v>0</v>
      </c>
      <c r="X13" s="321">
        <f>(1+AQ13)*'Cost+LOA'!X13</f>
        <v>0</v>
      </c>
      <c r="Y13" s="287">
        <f t="shared" si="3"/>
        <v>0</v>
      </c>
      <c r="Z13" s="287">
        <f t="shared" si="1"/>
        <v>0</v>
      </c>
      <c r="AA13" s="341">
        <f t="shared" si="1"/>
        <v>398405.29647706629</v>
      </c>
      <c r="AB13" s="341">
        <f t="shared" si="1"/>
        <v>2744701.6202334077</v>
      </c>
      <c r="AC13" s="341">
        <f t="shared" si="1"/>
        <v>56423.705889705117</v>
      </c>
      <c r="AD13" s="341">
        <f t="shared" si="1"/>
        <v>0</v>
      </c>
      <c r="AE13" s="341">
        <f t="shared" si="1"/>
        <v>0</v>
      </c>
      <c r="AF13" s="287">
        <f t="shared" si="1"/>
        <v>0</v>
      </c>
      <c r="AG13" s="287">
        <f t="shared" si="1"/>
        <v>0</v>
      </c>
      <c r="AH13" s="322">
        <f>IF($H13,0,IFERROR(IF(VALUE(LEFT(D13,4))&gt;VALUE(LEFT(Parameters!$B$66,4))+1,O13-SUM(R13:X13),0),0))</f>
        <v>0</v>
      </c>
      <c r="AI13" s="326">
        <f>IF($E13=0,0,INDEX(Parameters!AB$43:AB$73,MATCH($E13,Parameters!$B$5:$B$35,0)))</f>
        <v>1.6011916566173175E-2</v>
      </c>
      <c r="AJ13" s="327">
        <f>IF($E13=0,0,INDEX(Parameters!AC$43:AC$73,MATCH($E13,Parameters!$B$5:$B$35,0)))</f>
        <v>2.220334349611542E-2</v>
      </c>
      <c r="AK13" s="327">
        <f>IF($E13=0,0,INDEX(Parameters!AD$43:AD$73,MATCH($E13,Parameters!$B$5:$B$35,0)))</f>
        <v>2.1993304367171077E-2</v>
      </c>
      <c r="AL13" s="327">
        <f>IF($E13=0,0,INDEX(Parameters!AE$43:AE$73,MATCH($E13,Parameters!$B$5:$B$35,0)))</f>
        <v>3.2181884218510155E-2</v>
      </c>
      <c r="AM13" s="327">
        <f>IF($E13=0,0,INDEX(Parameters!AF$43:AF$73,MATCH($E13,Parameters!$B$5:$B$35,0)))</f>
        <v>4.5389124224014796E-2</v>
      </c>
      <c r="AN13" s="327">
        <f>IF($E13=0,0,INDEX(Parameters!AG$43:AG$73,MATCH($E13,Parameters!$B$5:$B$35,0)))</f>
        <v>5.8163726771146271E-2</v>
      </c>
      <c r="AO13" s="327">
        <f>IF($E13=0,0,INDEX(Parameters!AH$43:AH$73,MATCH($E13,Parameters!$B$5:$B$35,0)))</f>
        <v>6.9786661473551642E-2</v>
      </c>
      <c r="AP13" s="327">
        <f>IF($E13=0,0,INDEX(Parameters!AI$43:AI$73,MATCH($E13,Parameters!$B$5:$B$35,0)))</f>
        <v>6.9786661473551642E-2</v>
      </c>
      <c r="AQ13" s="328">
        <f>IF($E13=0,0,INDEX(Parameters!AJ$43:AJ$73,MATCH($E13,Parameters!$B$5:$B$35,0)))</f>
        <v>6.9786661473551642E-2</v>
      </c>
    </row>
    <row r="14" spans="1:43" ht="13.95" x14ac:dyDescent="0.3">
      <c r="A14" s="313" t="str">
        <f>'Base Costs'!A14</f>
        <v>ND0789</v>
      </c>
      <c r="B14" s="314" t="str">
        <f>'Base Costs'!B14</f>
        <v>Fleet Vehicle Procurement program</v>
      </c>
      <c r="C14" s="314" t="str">
        <f>'Base Costs'!C14</f>
        <v>Business support</v>
      </c>
      <c r="D14" s="333" t="str">
        <f>'Base Costs'!D14</f>
        <v>2018/19</v>
      </c>
      <c r="E14" s="333">
        <f>'Base Costs'!E14</f>
        <v>18</v>
      </c>
      <c r="F14" s="315"/>
      <c r="G14" s="315"/>
      <c r="H14" s="316">
        <f>'Input Data Sheet'!J14</f>
        <v>1</v>
      </c>
      <c r="I14" s="316"/>
      <c r="J14" s="316"/>
      <c r="K14" s="316"/>
      <c r="L14" s="316"/>
      <c r="M14" s="316"/>
      <c r="N14" s="316"/>
      <c r="O14" s="287">
        <f t="shared" si="2"/>
        <v>3157000</v>
      </c>
      <c r="P14" s="320">
        <f>(1+AI14)*'Cost+LOA'!P14</f>
        <v>0</v>
      </c>
      <c r="Q14" s="287">
        <f>(1+AJ14)*'Cost+LOA'!Q14</f>
        <v>0</v>
      </c>
      <c r="R14" s="341">
        <f>(1+AK14)*'Cost+LOA'!R14</f>
        <v>640000</v>
      </c>
      <c r="S14" s="341">
        <f>(1+AL14)*'Cost+LOA'!S14</f>
        <v>957000</v>
      </c>
      <c r="T14" s="341">
        <f>(1+AM14)*'Cost+LOA'!T14</f>
        <v>600000</v>
      </c>
      <c r="U14" s="341">
        <f>(1+AN14)*'Cost+LOA'!U14</f>
        <v>200000</v>
      </c>
      <c r="V14" s="341">
        <f>(1+AO14)*'Cost+LOA'!V14</f>
        <v>760000</v>
      </c>
      <c r="W14" s="287">
        <f>(1+AP14)*'Cost+LOA'!W14</f>
        <v>0</v>
      </c>
      <c r="X14" s="321">
        <f>(1+AQ14)*'Cost+LOA'!X14</f>
        <v>0</v>
      </c>
      <c r="Y14" s="287">
        <f t="shared" si="3"/>
        <v>0</v>
      </c>
      <c r="Z14" s="287">
        <f t="shared" si="1"/>
        <v>0</v>
      </c>
      <c r="AA14" s="341">
        <f t="shared" si="1"/>
        <v>640000</v>
      </c>
      <c r="AB14" s="341">
        <f t="shared" si="1"/>
        <v>957000</v>
      </c>
      <c r="AC14" s="341">
        <f t="shared" si="1"/>
        <v>600000</v>
      </c>
      <c r="AD14" s="341">
        <f t="shared" si="1"/>
        <v>200000</v>
      </c>
      <c r="AE14" s="341">
        <f t="shared" si="1"/>
        <v>760000</v>
      </c>
      <c r="AF14" s="287">
        <f t="shared" si="1"/>
        <v>0</v>
      </c>
      <c r="AG14" s="287">
        <f t="shared" si="1"/>
        <v>0</v>
      </c>
      <c r="AH14" s="322">
        <f>IF($H14,0,IFERROR(IF(VALUE(LEFT(D14,4))&gt;VALUE(LEFT(Parameters!$B$66,4))+1,O14-SUM(R14:X14),0),0))</f>
        <v>0</v>
      </c>
      <c r="AI14" s="326">
        <f>IF($E14=0,0,INDEX(Parameters!AB$43:AB$73,MATCH($E14,Parameters!$B$5:$B$35,0)))</f>
        <v>0</v>
      </c>
      <c r="AJ14" s="327">
        <f>IF($E14=0,0,INDEX(Parameters!AC$43:AC$73,MATCH($E14,Parameters!$B$5:$B$35,0)))</f>
        <v>0</v>
      </c>
      <c r="AK14" s="327">
        <f>IF($E14=0,0,INDEX(Parameters!AD$43:AD$73,MATCH($E14,Parameters!$B$5:$B$35,0)))</f>
        <v>0</v>
      </c>
      <c r="AL14" s="327">
        <f>IF($E14=0,0,INDEX(Parameters!AE$43:AE$73,MATCH($E14,Parameters!$B$5:$B$35,0)))</f>
        <v>0</v>
      </c>
      <c r="AM14" s="327">
        <f>IF($E14=0,0,INDEX(Parameters!AF$43:AF$73,MATCH($E14,Parameters!$B$5:$B$35,0)))</f>
        <v>0</v>
      </c>
      <c r="AN14" s="327">
        <f>IF($E14=0,0,INDEX(Parameters!AG$43:AG$73,MATCH($E14,Parameters!$B$5:$B$35,0)))</f>
        <v>0</v>
      </c>
      <c r="AO14" s="327">
        <f>IF($E14=0,0,INDEX(Parameters!AH$43:AH$73,MATCH($E14,Parameters!$B$5:$B$35,0)))</f>
        <v>0</v>
      </c>
      <c r="AP14" s="327">
        <f>IF($E14=0,0,INDEX(Parameters!AI$43:AI$73,MATCH($E14,Parameters!$B$5:$B$35,0)))</f>
        <v>0</v>
      </c>
      <c r="AQ14" s="328">
        <f>IF($E14=0,0,INDEX(Parameters!AJ$43:AJ$73,MATCH($E14,Parameters!$B$5:$B$35,0)))</f>
        <v>0</v>
      </c>
    </row>
    <row r="15" spans="1:43" ht="13.95" x14ac:dyDescent="0.3">
      <c r="A15" s="313" t="str">
        <f>'Base Costs'!A15</f>
        <v>ND1240</v>
      </c>
      <c r="B15" s="314" t="str">
        <f>'Base Costs'!B15</f>
        <v>Geographical Information System renewal and data collection tools</v>
      </c>
      <c r="C15" s="314" t="str">
        <f>'Base Costs'!C15</f>
        <v>Operational Support Systems</v>
      </c>
      <c r="D15" s="333" t="str">
        <f>'Base Costs'!D15</f>
        <v>2018/19</v>
      </c>
      <c r="E15" s="333">
        <f>'Base Costs'!E15</f>
        <v>15</v>
      </c>
      <c r="F15" s="315"/>
      <c r="G15" s="315"/>
      <c r="H15" s="316">
        <f>'Input Data Sheet'!J15</f>
        <v>1</v>
      </c>
      <c r="I15" s="316"/>
      <c r="J15" s="316"/>
      <c r="K15" s="316"/>
      <c r="L15" s="316"/>
      <c r="M15" s="316"/>
      <c r="N15" s="316"/>
      <c r="O15" s="287">
        <f t="shared" si="2"/>
        <v>520152.39507174282</v>
      </c>
      <c r="P15" s="320">
        <f>(1+AI15)*'Cost+LOA'!P15</f>
        <v>0</v>
      </c>
      <c r="Q15" s="287">
        <f>(1+AJ15)*'Cost+LOA'!Q15</f>
        <v>0</v>
      </c>
      <c r="R15" s="341">
        <f>(1+AK15)*'Cost+LOA'!R15</f>
        <v>94289.192185654902</v>
      </c>
      <c r="S15" s="341">
        <f>(1+AL15)*'Cost+LOA'!S15</f>
        <v>98815.073410566329</v>
      </c>
      <c r="T15" s="341">
        <f>(1+AM15)*'Cost+LOA'!T15</f>
        <v>103656.9649080197</v>
      </c>
      <c r="U15" s="341">
        <f>(1+AN15)*'Cost+LOA'!U15</f>
        <v>108891.62930163257</v>
      </c>
      <c r="V15" s="341">
        <f>(1+AO15)*'Cost+LOA'!V15</f>
        <v>114499.53526586927</v>
      </c>
      <c r="W15" s="287">
        <f>(1+AP15)*'Cost+LOA'!W15</f>
        <v>0</v>
      </c>
      <c r="X15" s="321">
        <f>(1+AQ15)*'Cost+LOA'!X15</f>
        <v>0</v>
      </c>
      <c r="Y15" s="287">
        <f t="shared" si="3"/>
        <v>0</v>
      </c>
      <c r="Z15" s="287">
        <f t="shared" si="1"/>
        <v>0</v>
      </c>
      <c r="AA15" s="341">
        <f t="shared" si="1"/>
        <v>94289.192185654902</v>
      </c>
      <c r="AB15" s="341">
        <f t="shared" si="1"/>
        <v>98815.073410566329</v>
      </c>
      <c r="AC15" s="341">
        <f t="shared" si="1"/>
        <v>103656.9649080197</v>
      </c>
      <c r="AD15" s="341">
        <f t="shared" si="1"/>
        <v>108891.62930163257</v>
      </c>
      <c r="AE15" s="341">
        <f t="shared" si="1"/>
        <v>114499.53526586927</v>
      </c>
      <c r="AF15" s="287">
        <f t="shared" si="1"/>
        <v>0</v>
      </c>
      <c r="AG15" s="287">
        <f t="shared" si="1"/>
        <v>0</v>
      </c>
      <c r="AH15" s="322">
        <f>IF($H15,0,IFERROR(IF(VALUE(LEFT(D15,4))&gt;VALUE(LEFT(Parameters!$B$66,4))+1,O15-SUM(R15:X15),0),0))</f>
        <v>0</v>
      </c>
      <c r="AI15" s="326">
        <f>IF($E15=0,0,INDEX(Parameters!AB$43:AB$73,MATCH($E15,Parameters!$B$5:$B$35,0)))</f>
        <v>-6.2076762202790903E-2</v>
      </c>
      <c r="AJ15" s="327">
        <f>IF($E15=0,0,INDEX(Parameters!AC$43:AC$73,MATCH($E15,Parameters!$B$5:$B$35,0)))</f>
        <v>-9.9864411196846414E-2</v>
      </c>
      <c r="AK15" s="327">
        <f>IF($E15=0,0,INDEX(Parameters!AD$43:AD$73,MATCH($E15,Parameters!$B$5:$B$35,0)))</f>
        <v>-5.710807814345098E-2</v>
      </c>
      <c r="AL15" s="327">
        <f>IF($E15=0,0,INDEX(Parameters!AE$43:AE$73,MATCH($E15,Parameters!$B$5:$B$35,0)))</f>
        <v>-1.1849265894336769E-2</v>
      </c>
      <c r="AM15" s="327">
        <f>IF($E15=0,0,INDEX(Parameters!AF$43:AF$73,MATCH($E15,Parameters!$B$5:$B$35,0)))</f>
        <v>3.6569649080196998E-2</v>
      </c>
      <c r="AN15" s="327">
        <f>IF($E15=0,0,INDEX(Parameters!AG$43:AG$73,MATCH($E15,Parameters!$B$5:$B$35,0)))</f>
        <v>8.8916293016325643E-2</v>
      </c>
      <c r="AO15" s="327">
        <f>IF($E15=0,0,INDEX(Parameters!AH$43:AH$73,MATCH($E15,Parameters!$B$5:$B$35,0)))</f>
        <v>0.14499535265869268</v>
      </c>
      <c r="AP15" s="327">
        <f>IF($E15=0,0,INDEX(Parameters!AI$43:AI$73,MATCH($E15,Parameters!$B$5:$B$35,0)))</f>
        <v>0.14499535265869268</v>
      </c>
      <c r="AQ15" s="328">
        <f>IF($E15=0,0,INDEX(Parameters!AJ$43:AJ$73,MATCH($E15,Parameters!$B$5:$B$35,0)))</f>
        <v>0.14499535265869268</v>
      </c>
    </row>
    <row r="16" spans="1:43" ht="13.95" x14ac:dyDescent="0.3">
      <c r="A16" s="313" t="str">
        <f>'Base Costs'!A16</f>
        <v>ND0937</v>
      </c>
      <c r="B16" s="314" t="str">
        <f>'Base Costs'!B16</f>
        <v>George Town Substation 110 kV redevelopment</v>
      </c>
      <c r="C16" s="314" t="str">
        <f>'Base Costs'!C16</f>
        <v>Asset Renewal</v>
      </c>
      <c r="D16" s="333" t="str">
        <f>'Base Costs'!D16</f>
        <v>2014/15</v>
      </c>
      <c r="E16" s="333">
        <f>'Base Costs'!E16</f>
        <v>0</v>
      </c>
      <c r="F16" s="315"/>
      <c r="G16" s="315"/>
      <c r="H16" s="316">
        <f>'Input Data Sheet'!J16</f>
        <v>0</v>
      </c>
      <c r="I16" s="316"/>
      <c r="J16" s="316"/>
      <c r="K16" s="316"/>
      <c r="L16" s="316"/>
      <c r="M16" s="316"/>
      <c r="N16" s="316"/>
      <c r="O16" s="287">
        <f t="shared" si="2"/>
        <v>9379978.3847394902</v>
      </c>
      <c r="P16" s="320">
        <f>(1+AI16)*'Cost+LOA'!P16</f>
        <v>0</v>
      </c>
      <c r="Q16" s="287">
        <f>(1+AJ16)*'Cost+LOA'!Q16</f>
        <v>3477848.5679035783</v>
      </c>
      <c r="R16" s="341">
        <f>(1+AK16)*'Cost+LOA'!R16</f>
        <v>5902129.8168359119</v>
      </c>
      <c r="S16" s="341">
        <f>(1+AL16)*'Cost+LOA'!S16</f>
        <v>0</v>
      </c>
      <c r="T16" s="341">
        <f>(1+AM16)*'Cost+LOA'!T16</f>
        <v>0</v>
      </c>
      <c r="U16" s="341">
        <f>(1+AN16)*'Cost+LOA'!U16</f>
        <v>0</v>
      </c>
      <c r="V16" s="341">
        <f>(1+AO16)*'Cost+LOA'!V16</f>
        <v>0</v>
      </c>
      <c r="W16" s="287">
        <f>(1+AP16)*'Cost+LOA'!W16</f>
        <v>0</v>
      </c>
      <c r="X16" s="321">
        <f>(1+AQ16)*'Cost+LOA'!X16</f>
        <v>0</v>
      </c>
      <c r="Y16" s="287">
        <f t="shared" si="3"/>
        <v>0</v>
      </c>
      <c r="Z16" s="287">
        <f t="shared" si="1"/>
        <v>0</v>
      </c>
      <c r="AA16" s="341">
        <f t="shared" si="1"/>
        <v>9379978.3847394902</v>
      </c>
      <c r="AB16" s="341">
        <f t="shared" si="1"/>
        <v>0</v>
      </c>
      <c r="AC16" s="341">
        <f t="shared" si="1"/>
        <v>0</v>
      </c>
      <c r="AD16" s="341">
        <f t="shared" si="1"/>
        <v>0</v>
      </c>
      <c r="AE16" s="341">
        <f t="shared" si="1"/>
        <v>0</v>
      </c>
      <c r="AF16" s="287">
        <f t="shared" si="1"/>
        <v>0</v>
      </c>
      <c r="AG16" s="287">
        <f t="shared" si="1"/>
        <v>0</v>
      </c>
      <c r="AH16" s="322">
        <f>IF($H16,0,IFERROR(IF(VALUE(LEFT(D16,4))&gt;VALUE(LEFT(Parameters!$B$66,4))+1,O16-SUM(R16:X16),0),0))</f>
        <v>3477848.5679035783</v>
      </c>
      <c r="AI16" s="326">
        <f>IF($E16=0,0,INDEX(Parameters!AB$43:AB$73,MATCH($E16,Parameters!$B$5:$B$35,0)))</f>
        <v>0</v>
      </c>
      <c r="AJ16" s="327">
        <f>IF($E16=0,0,INDEX(Parameters!AC$43:AC$73,MATCH($E16,Parameters!$B$5:$B$35,0)))</f>
        <v>0</v>
      </c>
      <c r="AK16" s="327">
        <f>IF($E16=0,0,INDEX(Parameters!AD$43:AD$73,MATCH($E16,Parameters!$B$5:$B$35,0)))</f>
        <v>0</v>
      </c>
      <c r="AL16" s="327">
        <f>IF($E16=0,0,INDEX(Parameters!AE$43:AE$73,MATCH($E16,Parameters!$B$5:$B$35,0)))</f>
        <v>0</v>
      </c>
      <c r="AM16" s="327">
        <f>IF($E16=0,0,INDEX(Parameters!AF$43:AF$73,MATCH($E16,Parameters!$B$5:$B$35,0)))</f>
        <v>0</v>
      </c>
      <c r="AN16" s="327">
        <f>IF($E16=0,0,INDEX(Parameters!AG$43:AG$73,MATCH($E16,Parameters!$B$5:$B$35,0)))</f>
        <v>0</v>
      </c>
      <c r="AO16" s="327">
        <f>IF($E16=0,0,INDEX(Parameters!AH$43:AH$73,MATCH($E16,Parameters!$B$5:$B$35,0)))</f>
        <v>0</v>
      </c>
      <c r="AP16" s="327">
        <f>IF($E16=0,0,INDEX(Parameters!AI$43:AI$73,MATCH($E16,Parameters!$B$5:$B$35,0)))</f>
        <v>0</v>
      </c>
      <c r="AQ16" s="328">
        <f>IF($E16=0,0,INDEX(Parameters!AJ$43:AJ$73,MATCH($E16,Parameters!$B$5:$B$35,0)))</f>
        <v>0</v>
      </c>
    </row>
    <row r="17" spans="1:43" ht="13.95" x14ac:dyDescent="0.3">
      <c r="A17" s="313" t="str">
        <f>'Base Costs'!A17</f>
        <v>ND1214</v>
      </c>
      <c r="B17" s="314" t="str">
        <f>'Base Costs'!B17</f>
        <v>High Voltage switchgear refurbishment program</v>
      </c>
      <c r="C17" s="314" t="str">
        <f>'Base Costs'!C17</f>
        <v>Asset Renewal</v>
      </c>
      <c r="D17" s="333" t="str">
        <f>'Base Costs'!D17</f>
        <v>2018/19</v>
      </c>
      <c r="E17" s="333">
        <f>'Base Costs'!E17</f>
        <v>9</v>
      </c>
      <c r="F17" s="315"/>
      <c r="G17" s="315"/>
      <c r="H17" s="316">
        <f>'Input Data Sheet'!J17</f>
        <v>1</v>
      </c>
      <c r="I17" s="316"/>
      <c r="J17" s="316"/>
      <c r="K17" s="316"/>
      <c r="L17" s="316"/>
      <c r="M17" s="316"/>
      <c r="N17" s="316"/>
      <c r="O17" s="287">
        <f t="shared" si="2"/>
        <v>2517636.191079759</v>
      </c>
      <c r="P17" s="320">
        <f>(1+AI17)*'Cost+LOA'!P17</f>
        <v>0</v>
      </c>
      <c r="Q17" s="287">
        <f>(1+AJ17)*'Cost+LOA'!Q17</f>
        <v>0</v>
      </c>
      <c r="R17" s="341">
        <f>(1+AK17)*'Cost+LOA'!R17</f>
        <v>0</v>
      </c>
      <c r="S17" s="341">
        <f>(1+AL17)*'Cost+LOA'!S17</f>
        <v>0</v>
      </c>
      <c r="T17" s="341">
        <f>(1+AM17)*'Cost+LOA'!T17</f>
        <v>334679.82819600293</v>
      </c>
      <c r="U17" s="341">
        <f>(1+AN17)*'Cost+LOA'!U17</f>
        <v>1509769.1061296458</v>
      </c>
      <c r="V17" s="341">
        <f>(1+AO17)*'Cost+LOA'!V17</f>
        <v>673187.25675411057</v>
      </c>
      <c r="W17" s="287">
        <f>(1+AP17)*'Cost+LOA'!W17</f>
        <v>0</v>
      </c>
      <c r="X17" s="321">
        <f>(1+AQ17)*'Cost+LOA'!X17</f>
        <v>0</v>
      </c>
      <c r="Y17" s="287">
        <f t="shared" si="3"/>
        <v>0</v>
      </c>
      <c r="Z17" s="287">
        <f t="shared" si="1"/>
        <v>0</v>
      </c>
      <c r="AA17" s="341">
        <f t="shared" si="1"/>
        <v>0</v>
      </c>
      <c r="AB17" s="341">
        <f t="shared" si="1"/>
        <v>0</v>
      </c>
      <c r="AC17" s="341">
        <f t="shared" si="1"/>
        <v>334679.82819600293</v>
      </c>
      <c r="AD17" s="341">
        <f t="shared" si="1"/>
        <v>1509769.1061296458</v>
      </c>
      <c r="AE17" s="341">
        <f t="shared" si="1"/>
        <v>673187.25675411057</v>
      </c>
      <c r="AF17" s="287">
        <f t="shared" si="1"/>
        <v>0</v>
      </c>
      <c r="AG17" s="287">
        <f t="shared" si="1"/>
        <v>0</v>
      </c>
      <c r="AH17" s="322">
        <f>IF($H17,0,IFERROR(IF(VALUE(LEFT(D17,4))&gt;VALUE(LEFT(Parameters!$B$66,4))+1,O17-SUM(R17:X17),0),0))</f>
        <v>0</v>
      </c>
      <c r="AI17" s="326">
        <f>IF($E17=0,0,INDEX(Parameters!AB$43:AB$73,MATCH($E17,Parameters!$B$5:$B$35,0)))</f>
        <v>1.6011916566173175E-2</v>
      </c>
      <c r="AJ17" s="327">
        <f>IF($E17=0,0,INDEX(Parameters!AC$43:AC$73,MATCH($E17,Parameters!$B$5:$B$35,0)))</f>
        <v>2.220334349611542E-2</v>
      </c>
      <c r="AK17" s="327">
        <f>IF($E17=0,0,INDEX(Parameters!AD$43:AD$73,MATCH($E17,Parameters!$B$5:$B$35,0)))</f>
        <v>2.1993304367171077E-2</v>
      </c>
      <c r="AL17" s="327">
        <f>IF($E17=0,0,INDEX(Parameters!AE$43:AE$73,MATCH($E17,Parameters!$B$5:$B$35,0)))</f>
        <v>3.2181884218510155E-2</v>
      </c>
      <c r="AM17" s="327">
        <f>IF($E17=0,0,INDEX(Parameters!AF$43:AF$73,MATCH($E17,Parameters!$B$5:$B$35,0)))</f>
        <v>4.5389124224014796E-2</v>
      </c>
      <c r="AN17" s="327">
        <f>IF($E17=0,0,INDEX(Parameters!AG$43:AG$73,MATCH($E17,Parameters!$B$5:$B$35,0)))</f>
        <v>5.8163726771146271E-2</v>
      </c>
      <c r="AO17" s="327">
        <f>IF($E17=0,0,INDEX(Parameters!AH$43:AH$73,MATCH($E17,Parameters!$B$5:$B$35,0)))</f>
        <v>6.9786661473551642E-2</v>
      </c>
      <c r="AP17" s="327">
        <f>IF($E17=0,0,INDEX(Parameters!AI$43:AI$73,MATCH($E17,Parameters!$B$5:$B$35,0)))</f>
        <v>6.9786661473551642E-2</v>
      </c>
      <c r="AQ17" s="328">
        <f>IF($E17=0,0,INDEX(Parameters!AJ$43:AJ$73,MATCH($E17,Parameters!$B$5:$B$35,0)))</f>
        <v>6.9786661473551642E-2</v>
      </c>
    </row>
    <row r="18" spans="1:43" ht="13.95" x14ac:dyDescent="0.3">
      <c r="A18" s="313" t="str">
        <f>'Base Costs'!A18</f>
        <v>ND1215</v>
      </c>
      <c r="B18" s="314" t="str">
        <f>'Base Costs'!B18</f>
        <v>HV Feeder protection renewal program</v>
      </c>
      <c r="C18" s="314" t="str">
        <f>'Base Costs'!C18</f>
        <v>Asset Renewal</v>
      </c>
      <c r="D18" s="333" t="str">
        <f>'Base Costs'!D18</f>
        <v>2019/20</v>
      </c>
      <c r="E18" s="333">
        <f>'Base Costs'!E18</f>
        <v>13</v>
      </c>
      <c r="F18" s="315"/>
      <c r="G18" s="315"/>
      <c r="H18" s="316">
        <f>'Input Data Sheet'!J18</f>
        <v>1</v>
      </c>
      <c r="I18" s="316"/>
      <c r="J18" s="316"/>
      <c r="K18" s="316"/>
      <c r="L18" s="316"/>
      <c r="M18" s="316"/>
      <c r="N18" s="316"/>
      <c r="O18" s="287">
        <f t="shared" si="2"/>
        <v>2549730.4802375981</v>
      </c>
      <c r="P18" s="320">
        <f>(1+AI18)*'Cost+LOA'!P18</f>
        <v>0</v>
      </c>
      <c r="Q18" s="287">
        <f>(1+AJ18)*'Cost+LOA'!Q18</f>
        <v>0</v>
      </c>
      <c r="R18" s="341">
        <f>(1+AK18)*'Cost+LOA'!R18</f>
        <v>0</v>
      </c>
      <c r="S18" s="341">
        <f>(1+AL18)*'Cost+LOA'!S18</f>
        <v>0</v>
      </c>
      <c r="T18" s="341">
        <f>(1+AM18)*'Cost+LOA'!T18</f>
        <v>0</v>
      </c>
      <c r="U18" s="341">
        <f>(1+AN18)*'Cost+LOA'!U18</f>
        <v>328421.08204936393</v>
      </c>
      <c r="V18" s="341">
        <f>(1+AO18)*'Cost+LOA'!V18</f>
        <v>2195776.8092500684</v>
      </c>
      <c r="W18" s="287">
        <f>(1+AP18)*'Cost+LOA'!W18</f>
        <v>25532.58893816586</v>
      </c>
      <c r="X18" s="321">
        <f>(1+AQ18)*'Cost+LOA'!X18</f>
        <v>0</v>
      </c>
      <c r="Y18" s="287">
        <f t="shared" si="3"/>
        <v>0</v>
      </c>
      <c r="Z18" s="287">
        <f t="shared" si="1"/>
        <v>0</v>
      </c>
      <c r="AA18" s="341">
        <f t="shared" si="1"/>
        <v>0</v>
      </c>
      <c r="AB18" s="341">
        <f t="shared" si="1"/>
        <v>0</v>
      </c>
      <c r="AC18" s="341">
        <f t="shared" si="1"/>
        <v>0</v>
      </c>
      <c r="AD18" s="341">
        <f t="shared" si="1"/>
        <v>328421.08204936393</v>
      </c>
      <c r="AE18" s="341">
        <f t="shared" si="1"/>
        <v>2195776.8092500684</v>
      </c>
      <c r="AF18" s="287">
        <f t="shared" si="1"/>
        <v>25532.58893816586</v>
      </c>
      <c r="AG18" s="287">
        <f t="shared" si="1"/>
        <v>0</v>
      </c>
      <c r="AH18" s="322">
        <f>IF($H18,0,IFERROR(IF(VALUE(LEFT(D18,4))&gt;VALUE(LEFT(Parameters!$B$66,4))+1,O18-SUM(R18:X18),0),0))</f>
        <v>0</v>
      </c>
      <c r="AI18" s="326">
        <f>IF($E18=0,0,INDEX(Parameters!AB$43:AB$73,MATCH($E18,Parameters!$B$5:$B$35,0)))</f>
        <v>8.5297589120096277E-3</v>
      </c>
      <c r="AJ18" s="327">
        <f>IF($E18=0,0,INDEX(Parameters!AC$43:AC$73,MATCH($E18,Parameters!$B$5:$B$35,0)))</f>
        <v>9.8420696910520595E-3</v>
      </c>
      <c r="AK18" s="327">
        <f>IF($E18=0,0,INDEX(Parameters!AD$43:AD$73,MATCH($E18,Parameters!$B$5:$B$35,0)))</f>
        <v>8.1825399271048017E-3</v>
      </c>
      <c r="AL18" s="327">
        <f>IF($E18=0,0,INDEX(Parameters!AE$43:AE$73,MATCH($E18,Parameters!$B$5:$B$35,0)))</f>
        <v>1.6106132537469481E-2</v>
      </c>
      <c r="AM18" s="327">
        <f>IF($E18=0,0,INDEX(Parameters!AF$43:AF$73,MATCH($E18,Parameters!$B$5:$B$35,0)))</f>
        <v>2.8076917546595581E-2</v>
      </c>
      <c r="AN18" s="327">
        <f>IF($E18=0,0,INDEX(Parameters!AG$43:AG$73,MATCH($E18,Parameters!$B$5:$B$35,0)))</f>
        <v>3.9718638998703926E-2</v>
      </c>
      <c r="AO18" s="327">
        <f>IF($E18=0,0,INDEX(Parameters!AH$43:AH$73,MATCH($E18,Parameters!$B$5:$B$35,0)))</f>
        <v>5.0793488332327864E-2</v>
      </c>
      <c r="AP18" s="327">
        <f>IF($E18=0,0,INDEX(Parameters!AI$43:AI$73,MATCH($E18,Parameters!$B$5:$B$35,0)))</f>
        <v>5.0793488332327864E-2</v>
      </c>
      <c r="AQ18" s="328">
        <f>IF($E18=0,0,INDEX(Parameters!AJ$43:AJ$73,MATCH($E18,Parameters!$B$5:$B$35,0)))</f>
        <v>5.0793488332327864E-2</v>
      </c>
    </row>
    <row r="19" spans="1:43" ht="13.95" x14ac:dyDescent="0.3">
      <c r="A19" s="313" t="str">
        <f>'Base Costs'!A19</f>
        <v>ND1205-1</v>
      </c>
      <c r="B19" s="314" t="str">
        <f>'Base Costs'!B19</f>
        <v>Information Technology applications program</v>
      </c>
      <c r="C19" s="314" t="str">
        <f>'Base Costs'!C19</f>
        <v>Information Technology</v>
      </c>
      <c r="D19" s="333" t="str">
        <f>'Base Costs'!D19</f>
        <v>2018/19</v>
      </c>
      <c r="E19" s="333">
        <f>'Base Costs'!E19</f>
        <v>18</v>
      </c>
      <c r="F19" s="315"/>
      <c r="G19" s="315"/>
      <c r="H19" s="316">
        <f>'Input Data Sheet'!J19</f>
        <v>1</v>
      </c>
      <c r="I19" s="316"/>
      <c r="J19" s="316"/>
      <c r="K19" s="316"/>
      <c r="L19" s="316"/>
      <c r="M19" s="316"/>
      <c r="N19" s="316"/>
      <c r="O19" s="287">
        <f t="shared" si="2"/>
        <v>5169798.4000000004</v>
      </c>
      <c r="P19" s="320">
        <f>(1+AI19)*'Cost+LOA'!P19</f>
        <v>0</v>
      </c>
      <c r="Q19" s="287">
        <f>(1+AJ19)*'Cost+LOA'!Q19</f>
        <v>0</v>
      </c>
      <c r="R19" s="341">
        <f>(1+AK19)*'Cost+LOA'!R19</f>
        <v>1426609.6</v>
      </c>
      <c r="S19" s="341">
        <f>(1+AL19)*'Cost+LOA'!S19</f>
        <v>506313.60000000003</v>
      </c>
      <c r="T19" s="341">
        <f>(1+AM19)*'Cost+LOA'!T19</f>
        <v>875056</v>
      </c>
      <c r="U19" s="341">
        <f>(1+AN19)*'Cost+LOA'!U19</f>
        <v>1715209.6</v>
      </c>
      <c r="V19" s="341">
        <f>(1+AO19)*'Cost+LOA'!V19</f>
        <v>646609.6</v>
      </c>
      <c r="W19" s="287">
        <f>(1+AP19)*'Cost+LOA'!W19</f>
        <v>0</v>
      </c>
      <c r="X19" s="321">
        <f>(1+AQ19)*'Cost+LOA'!X19</f>
        <v>0</v>
      </c>
      <c r="Y19" s="287">
        <f t="shared" si="3"/>
        <v>0</v>
      </c>
      <c r="Z19" s="287">
        <f t="shared" si="1"/>
        <v>0</v>
      </c>
      <c r="AA19" s="341">
        <f t="shared" si="1"/>
        <v>1426609.6</v>
      </c>
      <c r="AB19" s="341">
        <f t="shared" si="1"/>
        <v>506313.60000000003</v>
      </c>
      <c r="AC19" s="341">
        <f t="shared" si="1"/>
        <v>875056</v>
      </c>
      <c r="AD19" s="341">
        <f t="shared" si="1"/>
        <v>1715209.6</v>
      </c>
      <c r="AE19" s="341">
        <f t="shared" si="1"/>
        <v>646609.6</v>
      </c>
      <c r="AF19" s="287">
        <f t="shared" si="1"/>
        <v>0</v>
      </c>
      <c r="AG19" s="287">
        <f t="shared" si="1"/>
        <v>0</v>
      </c>
      <c r="AH19" s="322">
        <f>IF($H19,0,IFERROR(IF(VALUE(LEFT(D19,4))&gt;VALUE(LEFT(Parameters!$B$66,4))+1,O19-SUM(R19:X19),0),0))</f>
        <v>0</v>
      </c>
      <c r="AI19" s="326">
        <f>IF($E19=0,0,INDEX(Parameters!AB$43:AB$73,MATCH($E19,Parameters!$B$5:$B$35,0)))</f>
        <v>0</v>
      </c>
      <c r="AJ19" s="327">
        <f>IF($E19=0,0,INDEX(Parameters!AC$43:AC$73,MATCH($E19,Parameters!$B$5:$B$35,0)))</f>
        <v>0</v>
      </c>
      <c r="AK19" s="327">
        <f>IF($E19=0,0,INDEX(Parameters!AD$43:AD$73,MATCH($E19,Parameters!$B$5:$B$35,0)))</f>
        <v>0</v>
      </c>
      <c r="AL19" s="327">
        <f>IF($E19=0,0,INDEX(Parameters!AE$43:AE$73,MATCH($E19,Parameters!$B$5:$B$35,0)))</f>
        <v>0</v>
      </c>
      <c r="AM19" s="327">
        <f>IF($E19=0,0,INDEX(Parameters!AF$43:AF$73,MATCH($E19,Parameters!$B$5:$B$35,0)))</f>
        <v>0</v>
      </c>
      <c r="AN19" s="327">
        <f>IF($E19=0,0,INDEX(Parameters!AG$43:AG$73,MATCH($E19,Parameters!$B$5:$B$35,0)))</f>
        <v>0</v>
      </c>
      <c r="AO19" s="327">
        <f>IF($E19=0,0,INDEX(Parameters!AH$43:AH$73,MATCH($E19,Parameters!$B$5:$B$35,0)))</f>
        <v>0</v>
      </c>
      <c r="AP19" s="327">
        <f>IF($E19=0,0,INDEX(Parameters!AI$43:AI$73,MATCH($E19,Parameters!$B$5:$B$35,0)))</f>
        <v>0</v>
      </c>
      <c r="AQ19" s="328">
        <f>IF($E19=0,0,INDEX(Parameters!AJ$43:AJ$73,MATCH($E19,Parameters!$B$5:$B$35,0)))</f>
        <v>0</v>
      </c>
    </row>
    <row r="20" spans="1:43" ht="13.95" x14ac:dyDescent="0.3">
      <c r="A20" s="313" t="str">
        <f>'Base Costs'!A20</f>
        <v>ND1205-2</v>
      </c>
      <c r="B20" s="314" t="str">
        <f>'Base Costs'!B20</f>
        <v>Information Technology applications program</v>
      </c>
      <c r="C20" s="314" t="str">
        <f>'Base Costs'!C20</f>
        <v>Operational Support Systems</v>
      </c>
      <c r="D20" s="333" t="str">
        <f>'Base Costs'!D20</f>
        <v>2018/19</v>
      </c>
      <c r="E20" s="333">
        <f>'Base Costs'!E20</f>
        <v>18</v>
      </c>
      <c r="F20" s="315"/>
      <c r="G20" s="315"/>
      <c r="H20" s="316">
        <f>'Input Data Sheet'!J20</f>
        <v>1</v>
      </c>
      <c r="I20" s="316"/>
      <c r="J20" s="316"/>
      <c r="K20" s="316"/>
      <c r="L20" s="316"/>
      <c r="M20" s="316"/>
      <c r="N20" s="316"/>
      <c r="O20" s="287">
        <f t="shared" si="2"/>
        <v>4772121.5999999996</v>
      </c>
      <c r="P20" s="320">
        <f>(1+AI20)*'Cost+LOA'!P20</f>
        <v>0</v>
      </c>
      <c r="Q20" s="287">
        <f>(1+AJ20)*'Cost+LOA'!Q20</f>
        <v>0</v>
      </c>
      <c r="R20" s="341">
        <f>(1+AK20)*'Cost+LOA'!R20</f>
        <v>1316870.3999999999</v>
      </c>
      <c r="S20" s="341">
        <f>(1+AL20)*'Cost+LOA'!S20</f>
        <v>467366.39999999997</v>
      </c>
      <c r="T20" s="341">
        <f>(1+AM20)*'Cost+LOA'!T20</f>
        <v>807744</v>
      </c>
      <c r="U20" s="341">
        <f>(1+AN20)*'Cost+LOA'!U20</f>
        <v>1583270.4</v>
      </c>
      <c r="V20" s="341">
        <f>(1+AO20)*'Cost+LOA'!V20</f>
        <v>596870.40000000002</v>
      </c>
      <c r="W20" s="287">
        <f>(1+AP20)*'Cost+LOA'!W20</f>
        <v>0</v>
      </c>
      <c r="X20" s="321">
        <f>(1+AQ20)*'Cost+LOA'!X20</f>
        <v>0</v>
      </c>
      <c r="Y20" s="287">
        <f t="shared" si="3"/>
        <v>0</v>
      </c>
      <c r="Z20" s="287">
        <f t="shared" si="1"/>
        <v>0</v>
      </c>
      <c r="AA20" s="341">
        <f t="shared" si="1"/>
        <v>1316870.3999999999</v>
      </c>
      <c r="AB20" s="341">
        <f t="shared" si="1"/>
        <v>467366.39999999997</v>
      </c>
      <c r="AC20" s="341">
        <f t="shared" si="1"/>
        <v>807744</v>
      </c>
      <c r="AD20" s="341">
        <f t="shared" si="1"/>
        <v>1583270.4</v>
      </c>
      <c r="AE20" s="341">
        <f t="shared" si="1"/>
        <v>596870.40000000002</v>
      </c>
      <c r="AF20" s="287">
        <f t="shared" si="1"/>
        <v>0</v>
      </c>
      <c r="AG20" s="287">
        <f t="shared" si="1"/>
        <v>0</v>
      </c>
      <c r="AH20" s="322">
        <f>IF($H20,0,IFERROR(IF(VALUE(LEFT(D20,4))&gt;VALUE(LEFT(Parameters!$B$66,4))+1,O20-SUM(R20:X20),0),0))</f>
        <v>0</v>
      </c>
      <c r="AI20" s="326">
        <f>IF($E20=0,0,INDEX(Parameters!AB$43:AB$73,MATCH($E20,Parameters!$B$5:$B$35,0)))</f>
        <v>0</v>
      </c>
      <c r="AJ20" s="327">
        <f>IF($E20=0,0,INDEX(Parameters!AC$43:AC$73,MATCH($E20,Parameters!$B$5:$B$35,0)))</f>
        <v>0</v>
      </c>
      <c r="AK20" s="327">
        <f>IF($E20=0,0,INDEX(Parameters!AD$43:AD$73,MATCH($E20,Parameters!$B$5:$B$35,0)))</f>
        <v>0</v>
      </c>
      <c r="AL20" s="327">
        <f>IF($E20=0,0,INDEX(Parameters!AE$43:AE$73,MATCH($E20,Parameters!$B$5:$B$35,0)))</f>
        <v>0</v>
      </c>
      <c r="AM20" s="327">
        <f>IF($E20=0,0,INDEX(Parameters!AF$43:AF$73,MATCH($E20,Parameters!$B$5:$B$35,0)))</f>
        <v>0</v>
      </c>
      <c r="AN20" s="327">
        <f>IF($E20=0,0,INDEX(Parameters!AG$43:AG$73,MATCH($E20,Parameters!$B$5:$B$35,0)))</f>
        <v>0</v>
      </c>
      <c r="AO20" s="327">
        <f>IF($E20=0,0,INDEX(Parameters!AH$43:AH$73,MATCH($E20,Parameters!$B$5:$B$35,0)))</f>
        <v>0</v>
      </c>
      <c r="AP20" s="327">
        <f>IF($E20=0,0,INDEX(Parameters!AI$43:AI$73,MATCH($E20,Parameters!$B$5:$B$35,0)))</f>
        <v>0</v>
      </c>
      <c r="AQ20" s="328">
        <f>IF($E20=0,0,INDEX(Parameters!AJ$43:AJ$73,MATCH($E20,Parameters!$B$5:$B$35,0)))</f>
        <v>0</v>
      </c>
    </row>
    <row r="21" spans="1:43" ht="13.95" x14ac:dyDescent="0.3">
      <c r="A21" s="313" t="str">
        <f>'Base Costs'!A21</f>
        <v>ND1206-1</v>
      </c>
      <c r="B21" s="314" t="str">
        <f>'Base Costs'!B21</f>
        <v>Information Technology desktop program</v>
      </c>
      <c r="C21" s="314" t="str">
        <f>'Base Costs'!C21</f>
        <v>Information Technology</v>
      </c>
      <c r="D21" s="333" t="str">
        <f>'Base Costs'!D21</f>
        <v>2018/19</v>
      </c>
      <c r="E21" s="333">
        <f>'Base Costs'!E21</f>
        <v>18</v>
      </c>
      <c r="F21" s="315"/>
      <c r="G21" s="315"/>
      <c r="H21" s="316">
        <f>'Input Data Sheet'!J21</f>
        <v>1</v>
      </c>
      <c r="I21" s="316"/>
      <c r="J21" s="316"/>
      <c r="K21" s="316"/>
      <c r="L21" s="316"/>
      <c r="M21" s="316"/>
      <c r="N21" s="316"/>
      <c r="O21" s="287">
        <f t="shared" si="2"/>
        <v>382843.2</v>
      </c>
      <c r="P21" s="320">
        <f>(1+AI21)*'Cost+LOA'!P21</f>
        <v>0</v>
      </c>
      <c r="Q21" s="287">
        <f>(1+AJ21)*'Cost+LOA'!Q21</f>
        <v>0</v>
      </c>
      <c r="R21" s="341">
        <f>(1+AK21)*'Cost+LOA'!R21</f>
        <v>71731.360000000015</v>
      </c>
      <c r="S21" s="341">
        <f>(1+AL21)*'Cost+LOA'!S21</f>
        <v>91511.840000000011</v>
      </c>
      <c r="T21" s="341">
        <f>(1+AM21)*'Cost+LOA'!T21</f>
        <v>74100</v>
      </c>
      <c r="U21" s="341">
        <f>(1+AN21)*'Cost+LOA'!U21</f>
        <v>86096.319999999992</v>
      </c>
      <c r="V21" s="341">
        <f>(1+AO21)*'Cost+LOA'!V21</f>
        <v>59403.680000000008</v>
      </c>
      <c r="W21" s="287">
        <f>(1+AP21)*'Cost+LOA'!W21</f>
        <v>0</v>
      </c>
      <c r="X21" s="321">
        <f>(1+AQ21)*'Cost+LOA'!X21</f>
        <v>0</v>
      </c>
      <c r="Y21" s="287">
        <f t="shared" si="3"/>
        <v>0</v>
      </c>
      <c r="Z21" s="287">
        <f t="shared" si="1"/>
        <v>0</v>
      </c>
      <c r="AA21" s="341">
        <f t="shared" si="1"/>
        <v>71731.360000000015</v>
      </c>
      <c r="AB21" s="341">
        <f t="shared" si="1"/>
        <v>91511.840000000011</v>
      </c>
      <c r="AC21" s="341">
        <f t="shared" si="1"/>
        <v>74100</v>
      </c>
      <c r="AD21" s="341">
        <f t="shared" si="1"/>
        <v>86096.319999999992</v>
      </c>
      <c r="AE21" s="341">
        <f t="shared" si="1"/>
        <v>59403.680000000008</v>
      </c>
      <c r="AF21" s="287">
        <f t="shared" si="1"/>
        <v>0</v>
      </c>
      <c r="AG21" s="287">
        <f t="shared" si="1"/>
        <v>0</v>
      </c>
      <c r="AH21" s="322">
        <f>IF($H21,0,IFERROR(IF(VALUE(LEFT(D21,4))&gt;VALUE(LEFT(Parameters!$B$66,4))+1,O21-SUM(R21:X21),0),0))</f>
        <v>0</v>
      </c>
      <c r="AI21" s="326">
        <f>IF($E21=0,0,INDEX(Parameters!AB$43:AB$73,MATCH($E21,Parameters!$B$5:$B$35,0)))</f>
        <v>0</v>
      </c>
      <c r="AJ21" s="327">
        <f>IF($E21=0,0,INDEX(Parameters!AC$43:AC$73,MATCH($E21,Parameters!$B$5:$B$35,0)))</f>
        <v>0</v>
      </c>
      <c r="AK21" s="327">
        <f>IF($E21=0,0,INDEX(Parameters!AD$43:AD$73,MATCH($E21,Parameters!$B$5:$B$35,0)))</f>
        <v>0</v>
      </c>
      <c r="AL21" s="327">
        <f>IF($E21=0,0,INDEX(Parameters!AE$43:AE$73,MATCH($E21,Parameters!$B$5:$B$35,0)))</f>
        <v>0</v>
      </c>
      <c r="AM21" s="327">
        <f>IF($E21=0,0,INDEX(Parameters!AF$43:AF$73,MATCH($E21,Parameters!$B$5:$B$35,0)))</f>
        <v>0</v>
      </c>
      <c r="AN21" s="327">
        <f>IF($E21=0,0,INDEX(Parameters!AG$43:AG$73,MATCH($E21,Parameters!$B$5:$B$35,0)))</f>
        <v>0</v>
      </c>
      <c r="AO21" s="327">
        <f>IF($E21=0,0,INDEX(Parameters!AH$43:AH$73,MATCH($E21,Parameters!$B$5:$B$35,0)))</f>
        <v>0</v>
      </c>
      <c r="AP21" s="327">
        <f>IF($E21=0,0,INDEX(Parameters!AI$43:AI$73,MATCH($E21,Parameters!$B$5:$B$35,0)))</f>
        <v>0</v>
      </c>
      <c r="AQ21" s="328">
        <f>IF($E21=0,0,INDEX(Parameters!AJ$43:AJ$73,MATCH($E21,Parameters!$B$5:$B$35,0)))</f>
        <v>0</v>
      </c>
    </row>
    <row r="22" spans="1:43" ht="13.95" x14ac:dyDescent="0.3">
      <c r="A22" s="313" t="str">
        <f>'Base Costs'!A22</f>
        <v>ND1206-2</v>
      </c>
      <c r="B22" s="314" t="str">
        <f>'Base Costs'!B22</f>
        <v>Information Technology desktop program</v>
      </c>
      <c r="C22" s="314" t="str">
        <f>'Base Costs'!C22</f>
        <v>Operational Support Systems</v>
      </c>
      <c r="D22" s="333" t="str">
        <f>'Base Costs'!D22</f>
        <v>2018/19</v>
      </c>
      <c r="E22" s="333">
        <f>'Base Costs'!E22</f>
        <v>18</v>
      </c>
      <c r="F22" s="315"/>
      <c r="G22" s="315"/>
      <c r="H22" s="316">
        <f>'Input Data Sheet'!J22</f>
        <v>1</v>
      </c>
      <c r="I22" s="316"/>
      <c r="J22" s="316"/>
      <c r="K22" s="316"/>
      <c r="L22" s="316"/>
      <c r="M22" s="316"/>
      <c r="N22" s="316"/>
      <c r="O22" s="287">
        <f t="shared" si="2"/>
        <v>2009926.8</v>
      </c>
      <c r="P22" s="320">
        <f>(1+AI22)*'Cost+LOA'!P22</f>
        <v>0</v>
      </c>
      <c r="Q22" s="287">
        <f>(1+AJ22)*'Cost+LOA'!Q22</f>
        <v>0</v>
      </c>
      <c r="R22" s="341">
        <f>(1+AK22)*'Cost+LOA'!R22</f>
        <v>376589.64</v>
      </c>
      <c r="S22" s="341">
        <f>(1+AL22)*'Cost+LOA'!S22</f>
        <v>480437.16000000003</v>
      </c>
      <c r="T22" s="341">
        <f>(1+AM22)*'Cost+LOA'!T22</f>
        <v>389025</v>
      </c>
      <c r="U22" s="341">
        <f>(1+AN22)*'Cost+LOA'!U22</f>
        <v>452005.68</v>
      </c>
      <c r="V22" s="341">
        <f>(1+AO22)*'Cost+LOA'!V22</f>
        <v>311869.32</v>
      </c>
      <c r="W22" s="287">
        <f>(1+AP22)*'Cost+LOA'!W22</f>
        <v>0</v>
      </c>
      <c r="X22" s="321">
        <f>(1+AQ22)*'Cost+LOA'!X22</f>
        <v>0</v>
      </c>
      <c r="Y22" s="287">
        <f t="shared" si="3"/>
        <v>0</v>
      </c>
      <c r="Z22" s="287">
        <f t="shared" si="1"/>
        <v>0</v>
      </c>
      <c r="AA22" s="341">
        <f t="shared" si="1"/>
        <v>376589.64</v>
      </c>
      <c r="AB22" s="341">
        <f t="shared" si="1"/>
        <v>480437.16000000003</v>
      </c>
      <c r="AC22" s="341">
        <f t="shared" si="1"/>
        <v>389025</v>
      </c>
      <c r="AD22" s="341">
        <f t="shared" si="1"/>
        <v>452005.68</v>
      </c>
      <c r="AE22" s="341">
        <f t="shared" si="1"/>
        <v>311869.32</v>
      </c>
      <c r="AF22" s="287">
        <f t="shared" si="1"/>
        <v>0</v>
      </c>
      <c r="AG22" s="287">
        <f t="shared" si="1"/>
        <v>0</v>
      </c>
      <c r="AH22" s="322">
        <f>IF($H22,0,IFERROR(IF(VALUE(LEFT(D22,4))&gt;VALUE(LEFT(Parameters!$B$66,4))+1,O22-SUM(R22:X22),0),0))</f>
        <v>0</v>
      </c>
      <c r="AI22" s="326">
        <f>IF($E22=0,0,INDEX(Parameters!AB$43:AB$73,MATCH($E22,Parameters!$B$5:$B$35,0)))</f>
        <v>0</v>
      </c>
      <c r="AJ22" s="327">
        <f>IF($E22=0,0,INDEX(Parameters!AC$43:AC$73,MATCH($E22,Parameters!$B$5:$B$35,0)))</f>
        <v>0</v>
      </c>
      <c r="AK22" s="327">
        <f>IF($E22=0,0,INDEX(Parameters!AD$43:AD$73,MATCH($E22,Parameters!$B$5:$B$35,0)))</f>
        <v>0</v>
      </c>
      <c r="AL22" s="327">
        <f>IF($E22=0,0,INDEX(Parameters!AE$43:AE$73,MATCH($E22,Parameters!$B$5:$B$35,0)))</f>
        <v>0</v>
      </c>
      <c r="AM22" s="327">
        <f>IF($E22=0,0,INDEX(Parameters!AF$43:AF$73,MATCH($E22,Parameters!$B$5:$B$35,0)))</f>
        <v>0</v>
      </c>
      <c r="AN22" s="327">
        <f>IF($E22=0,0,INDEX(Parameters!AG$43:AG$73,MATCH($E22,Parameters!$B$5:$B$35,0)))</f>
        <v>0</v>
      </c>
      <c r="AO22" s="327">
        <f>IF($E22=0,0,INDEX(Parameters!AH$43:AH$73,MATCH($E22,Parameters!$B$5:$B$35,0)))</f>
        <v>0</v>
      </c>
      <c r="AP22" s="327">
        <f>IF($E22=0,0,INDEX(Parameters!AI$43:AI$73,MATCH($E22,Parameters!$B$5:$B$35,0)))</f>
        <v>0</v>
      </c>
      <c r="AQ22" s="328">
        <f>IF($E22=0,0,INDEX(Parameters!AJ$43:AJ$73,MATCH($E22,Parameters!$B$5:$B$35,0)))</f>
        <v>0</v>
      </c>
    </row>
    <row r="23" spans="1:43" ht="13.95" x14ac:dyDescent="0.3">
      <c r="A23" s="313" t="str">
        <f>'Base Costs'!A23</f>
        <v>ND1207-1</v>
      </c>
      <c r="B23" s="314" t="str">
        <f>'Base Costs'!B23</f>
        <v>Information Technology infrastructure program</v>
      </c>
      <c r="C23" s="314" t="str">
        <f>'Base Costs'!C23</f>
        <v>Information Technology</v>
      </c>
      <c r="D23" s="333" t="str">
        <f>'Base Costs'!D23</f>
        <v>2018/19</v>
      </c>
      <c r="E23" s="333">
        <f>'Base Costs'!E23</f>
        <v>18</v>
      </c>
      <c r="F23" s="315"/>
      <c r="G23" s="315"/>
      <c r="H23" s="316">
        <f>'Input Data Sheet'!J23</f>
        <v>1</v>
      </c>
      <c r="I23" s="316"/>
      <c r="J23" s="316"/>
      <c r="K23" s="316"/>
      <c r="L23" s="316"/>
      <c r="M23" s="316"/>
      <c r="N23" s="316"/>
      <c r="O23" s="287">
        <f t="shared" si="2"/>
        <v>814005.76000000001</v>
      </c>
      <c r="P23" s="320">
        <f>(1+AI23)*'Cost+LOA'!P23</f>
        <v>0</v>
      </c>
      <c r="Q23" s="287">
        <f>(1+AJ23)*'Cost+LOA'!Q23</f>
        <v>0</v>
      </c>
      <c r="R23" s="341">
        <f>(1+AK23)*'Cost+LOA'!R23</f>
        <v>85188.319999999992</v>
      </c>
      <c r="S23" s="341">
        <f>(1+AL23)*'Cost+LOA'!S23</f>
        <v>429633.12000000005</v>
      </c>
      <c r="T23" s="341">
        <f>(1+AM23)*'Cost+LOA'!T23</f>
        <v>188550.72</v>
      </c>
      <c r="U23" s="341">
        <f>(1+AN23)*'Cost+LOA'!U23</f>
        <v>50618.080000000002</v>
      </c>
      <c r="V23" s="341">
        <f>(1+AO23)*'Cost+LOA'!V23</f>
        <v>60015.520000000004</v>
      </c>
      <c r="W23" s="287">
        <f>(1+AP23)*'Cost+LOA'!W23</f>
        <v>0</v>
      </c>
      <c r="X23" s="321">
        <f>(1+AQ23)*'Cost+LOA'!X23</f>
        <v>0</v>
      </c>
      <c r="Y23" s="287">
        <f t="shared" si="3"/>
        <v>0</v>
      </c>
      <c r="Z23" s="287">
        <f t="shared" si="1"/>
        <v>0</v>
      </c>
      <c r="AA23" s="341">
        <f t="shared" si="1"/>
        <v>85188.319999999992</v>
      </c>
      <c r="AB23" s="341">
        <f t="shared" si="1"/>
        <v>429633.12000000005</v>
      </c>
      <c r="AC23" s="341">
        <f t="shared" si="1"/>
        <v>188550.72</v>
      </c>
      <c r="AD23" s="341">
        <f t="shared" si="1"/>
        <v>50618.080000000002</v>
      </c>
      <c r="AE23" s="341">
        <f t="shared" si="1"/>
        <v>60015.520000000004</v>
      </c>
      <c r="AF23" s="287">
        <f t="shared" si="1"/>
        <v>0</v>
      </c>
      <c r="AG23" s="287">
        <f t="shared" si="1"/>
        <v>0</v>
      </c>
      <c r="AH23" s="322">
        <f>IF($H23,0,IFERROR(IF(VALUE(LEFT(D23,4))&gt;VALUE(LEFT(Parameters!$B$66,4))+1,O23-SUM(R23:X23),0),0))</f>
        <v>0</v>
      </c>
      <c r="AI23" s="326">
        <f>IF($E23=0,0,INDEX(Parameters!AB$43:AB$73,MATCH($E23,Parameters!$B$5:$B$35,0)))</f>
        <v>0</v>
      </c>
      <c r="AJ23" s="327">
        <f>IF($E23=0,0,INDEX(Parameters!AC$43:AC$73,MATCH($E23,Parameters!$B$5:$B$35,0)))</f>
        <v>0</v>
      </c>
      <c r="AK23" s="327">
        <f>IF($E23=0,0,INDEX(Parameters!AD$43:AD$73,MATCH($E23,Parameters!$B$5:$B$35,0)))</f>
        <v>0</v>
      </c>
      <c r="AL23" s="327">
        <f>IF($E23=0,0,INDEX(Parameters!AE$43:AE$73,MATCH($E23,Parameters!$B$5:$B$35,0)))</f>
        <v>0</v>
      </c>
      <c r="AM23" s="327">
        <f>IF($E23=0,0,INDEX(Parameters!AF$43:AF$73,MATCH($E23,Parameters!$B$5:$B$35,0)))</f>
        <v>0</v>
      </c>
      <c r="AN23" s="327">
        <f>IF($E23=0,0,INDEX(Parameters!AG$43:AG$73,MATCH($E23,Parameters!$B$5:$B$35,0)))</f>
        <v>0</v>
      </c>
      <c r="AO23" s="327">
        <f>IF($E23=0,0,INDEX(Parameters!AH$43:AH$73,MATCH($E23,Parameters!$B$5:$B$35,0)))</f>
        <v>0</v>
      </c>
      <c r="AP23" s="327">
        <f>IF($E23=0,0,INDEX(Parameters!AI$43:AI$73,MATCH($E23,Parameters!$B$5:$B$35,0)))</f>
        <v>0</v>
      </c>
      <c r="AQ23" s="328">
        <f>IF($E23=0,0,INDEX(Parameters!AJ$43:AJ$73,MATCH($E23,Parameters!$B$5:$B$35,0)))</f>
        <v>0</v>
      </c>
    </row>
    <row r="24" spans="1:43" ht="13.95" x14ac:dyDescent="0.3">
      <c r="A24" s="313" t="str">
        <f>'Base Costs'!A24</f>
        <v>ND1207-2</v>
      </c>
      <c r="B24" s="314" t="str">
        <f>'Base Costs'!B24</f>
        <v>Information Technology infrastructure program</v>
      </c>
      <c r="C24" s="314" t="str">
        <f>'Base Costs'!C24</f>
        <v>Operational Support Systems</v>
      </c>
      <c r="D24" s="333" t="str">
        <f>'Base Costs'!D24</f>
        <v>2018/19</v>
      </c>
      <c r="E24" s="333">
        <f>'Base Costs'!E24</f>
        <v>18</v>
      </c>
      <c r="F24" s="315"/>
      <c r="G24" s="315"/>
      <c r="H24" s="316">
        <f>'Input Data Sheet'!J24</f>
        <v>1</v>
      </c>
      <c r="I24" s="316"/>
      <c r="J24" s="316"/>
      <c r="K24" s="316"/>
      <c r="L24" s="316"/>
      <c r="M24" s="316"/>
      <c r="N24" s="316"/>
      <c r="O24" s="287">
        <f t="shared" si="2"/>
        <v>4273530.2399999993</v>
      </c>
      <c r="P24" s="320">
        <f>(1+AI24)*'Cost+LOA'!P24</f>
        <v>0</v>
      </c>
      <c r="Q24" s="287">
        <f>(1+AJ24)*'Cost+LOA'!Q24</f>
        <v>0</v>
      </c>
      <c r="R24" s="341">
        <f>(1+AK24)*'Cost+LOA'!R24</f>
        <v>447238.67999999993</v>
      </c>
      <c r="S24" s="341">
        <f>(1+AL24)*'Cost+LOA'!S24</f>
        <v>2255573.88</v>
      </c>
      <c r="T24" s="341">
        <f>(1+AM24)*'Cost+LOA'!T24</f>
        <v>989891.27999999991</v>
      </c>
      <c r="U24" s="341">
        <f>(1+AN24)*'Cost+LOA'!U24</f>
        <v>265744.92</v>
      </c>
      <c r="V24" s="341">
        <f>(1+AO24)*'Cost+LOA'!V24</f>
        <v>315081.48000000004</v>
      </c>
      <c r="W24" s="287">
        <f>(1+AP24)*'Cost+LOA'!W24</f>
        <v>0</v>
      </c>
      <c r="X24" s="321">
        <f>(1+AQ24)*'Cost+LOA'!X24</f>
        <v>0</v>
      </c>
      <c r="Y24" s="287">
        <f t="shared" si="3"/>
        <v>0</v>
      </c>
      <c r="Z24" s="287">
        <f t="shared" si="1"/>
        <v>0</v>
      </c>
      <c r="AA24" s="341">
        <f t="shared" si="1"/>
        <v>447238.67999999993</v>
      </c>
      <c r="AB24" s="341">
        <f t="shared" si="1"/>
        <v>2255573.88</v>
      </c>
      <c r="AC24" s="341">
        <f t="shared" si="1"/>
        <v>989891.27999999991</v>
      </c>
      <c r="AD24" s="341">
        <f t="shared" si="1"/>
        <v>265744.92</v>
      </c>
      <c r="AE24" s="341">
        <f t="shared" si="1"/>
        <v>315081.48000000004</v>
      </c>
      <c r="AF24" s="287">
        <f t="shared" si="1"/>
        <v>0</v>
      </c>
      <c r="AG24" s="287">
        <f t="shared" si="1"/>
        <v>0</v>
      </c>
      <c r="AH24" s="322">
        <f>IF($H24,0,IFERROR(IF(VALUE(LEFT(D24,4))&gt;VALUE(LEFT(Parameters!$B$66,4))+1,O24-SUM(R24:X24),0),0))</f>
        <v>0</v>
      </c>
      <c r="AI24" s="326">
        <f>IF($E24=0,0,INDEX(Parameters!AB$43:AB$73,MATCH($E24,Parameters!$B$5:$B$35,0)))</f>
        <v>0</v>
      </c>
      <c r="AJ24" s="327">
        <f>IF($E24=0,0,INDEX(Parameters!AC$43:AC$73,MATCH($E24,Parameters!$B$5:$B$35,0)))</f>
        <v>0</v>
      </c>
      <c r="AK24" s="327">
        <f>IF($E24=0,0,INDEX(Parameters!AD$43:AD$73,MATCH($E24,Parameters!$B$5:$B$35,0)))</f>
        <v>0</v>
      </c>
      <c r="AL24" s="327">
        <f>IF($E24=0,0,INDEX(Parameters!AE$43:AE$73,MATCH($E24,Parameters!$B$5:$B$35,0)))</f>
        <v>0</v>
      </c>
      <c r="AM24" s="327">
        <f>IF($E24=0,0,INDEX(Parameters!AF$43:AF$73,MATCH($E24,Parameters!$B$5:$B$35,0)))</f>
        <v>0</v>
      </c>
      <c r="AN24" s="327">
        <f>IF($E24=0,0,INDEX(Parameters!AG$43:AG$73,MATCH($E24,Parameters!$B$5:$B$35,0)))</f>
        <v>0</v>
      </c>
      <c r="AO24" s="327">
        <f>IF($E24=0,0,INDEX(Parameters!AH$43:AH$73,MATCH($E24,Parameters!$B$5:$B$35,0)))</f>
        <v>0</v>
      </c>
      <c r="AP24" s="327">
        <f>IF($E24=0,0,INDEX(Parameters!AI$43:AI$73,MATCH($E24,Parameters!$B$5:$B$35,0)))</f>
        <v>0</v>
      </c>
      <c r="AQ24" s="328">
        <f>IF($E24=0,0,INDEX(Parameters!AJ$43:AJ$73,MATCH($E24,Parameters!$B$5:$B$35,0)))</f>
        <v>0</v>
      </c>
    </row>
    <row r="25" spans="1:43" ht="13.95" x14ac:dyDescent="0.3">
      <c r="A25" s="313" t="str">
        <f>'Base Costs'!A25</f>
        <v>ND1260-1</v>
      </c>
      <c r="B25" s="314" t="str">
        <f>'Base Costs'!B25</f>
        <v>Information Technology security system program</v>
      </c>
      <c r="C25" s="314" t="str">
        <f>'Base Costs'!C25</f>
        <v>Information Technology</v>
      </c>
      <c r="D25" s="333" t="str">
        <f>'Base Costs'!D25</f>
        <v>2018/19</v>
      </c>
      <c r="E25" s="333">
        <f>'Base Costs'!E25</f>
        <v>18</v>
      </c>
      <c r="F25" s="315"/>
      <c r="G25" s="315"/>
      <c r="H25" s="316">
        <f>'Input Data Sheet'!J25</f>
        <v>1</v>
      </c>
      <c r="I25" s="316"/>
      <c r="J25" s="316"/>
      <c r="K25" s="316"/>
      <c r="L25" s="316"/>
      <c r="M25" s="316"/>
      <c r="N25" s="316"/>
      <c r="O25" s="287">
        <f t="shared" si="2"/>
        <v>278148</v>
      </c>
      <c r="P25" s="320">
        <f>(1+AI25)*'Cost+LOA'!P25</f>
        <v>0</v>
      </c>
      <c r="Q25" s="287">
        <f>(1+AJ25)*'Cost+LOA'!Q25</f>
        <v>0</v>
      </c>
      <c r="R25" s="341">
        <f>(1+AK25)*'Cost+LOA'!R25</f>
        <v>75800.159999999989</v>
      </c>
      <c r="S25" s="341">
        <f>(1+AL25)*'Cost+LOA'!S25</f>
        <v>27863.360000000001</v>
      </c>
      <c r="T25" s="341">
        <f>(1+AM25)*'Cost+LOA'!T25</f>
        <v>100006.24</v>
      </c>
      <c r="U25" s="341">
        <f>(1+AN25)*'Cost+LOA'!U25</f>
        <v>54784.160000000003</v>
      </c>
      <c r="V25" s="341">
        <f>(1+AO25)*'Cost+LOA'!V25</f>
        <v>19694.079999999998</v>
      </c>
      <c r="W25" s="287">
        <f>(1+AP25)*'Cost+LOA'!W25</f>
        <v>0</v>
      </c>
      <c r="X25" s="321">
        <f>(1+AQ25)*'Cost+LOA'!X25</f>
        <v>0</v>
      </c>
      <c r="Y25" s="287">
        <f t="shared" si="3"/>
        <v>0</v>
      </c>
      <c r="Z25" s="287">
        <f t="shared" si="1"/>
        <v>0</v>
      </c>
      <c r="AA25" s="341">
        <f t="shared" si="1"/>
        <v>75800.159999999989</v>
      </c>
      <c r="AB25" s="341">
        <f t="shared" si="1"/>
        <v>27863.360000000001</v>
      </c>
      <c r="AC25" s="341">
        <f t="shared" si="1"/>
        <v>100006.24</v>
      </c>
      <c r="AD25" s="341">
        <f t="shared" si="1"/>
        <v>54784.160000000003</v>
      </c>
      <c r="AE25" s="341">
        <f t="shared" si="1"/>
        <v>19694.079999999998</v>
      </c>
      <c r="AF25" s="287">
        <f t="shared" si="1"/>
        <v>0</v>
      </c>
      <c r="AG25" s="287">
        <f t="shared" si="1"/>
        <v>0</v>
      </c>
      <c r="AH25" s="322">
        <f>IF($H25,0,IFERROR(IF(VALUE(LEFT(D25,4))&gt;VALUE(LEFT(Parameters!$B$66,4))+1,O25-SUM(R25:X25),0),0))</f>
        <v>0</v>
      </c>
      <c r="AI25" s="326">
        <f>IF($E25=0,0,INDEX(Parameters!AB$43:AB$73,MATCH($E25,Parameters!$B$5:$B$35,0)))</f>
        <v>0</v>
      </c>
      <c r="AJ25" s="327">
        <f>IF($E25=0,0,INDEX(Parameters!AC$43:AC$73,MATCH($E25,Parameters!$B$5:$B$35,0)))</f>
        <v>0</v>
      </c>
      <c r="AK25" s="327">
        <f>IF($E25=0,0,INDEX(Parameters!AD$43:AD$73,MATCH($E25,Parameters!$B$5:$B$35,0)))</f>
        <v>0</v>
      </c>
      <c r="AL25" s="327">
        <f>IF($E25=0,0,INDEX(Parameters!AE$43:AE$73,MATCH($E25,Parameters!$B$5:$B$35,0)))</f>
        <v>0</v>
      </c>
      <c r="AM25" s="327">
        <f>IF($E25=0,0,INDEX(Parameters!AF$43:AF$73,MATCH($E25,Parameters!$B$5:$B$35,0)))</f>
        <v>0</v>
      </c>
      <c r="AN25" s="327">
        <f>IF($E25=0,0,INDEX(Parameters!AG$43:AG$73,MATCH($E25,Parameters!$B$5:$B$35,0)))</f>
        <v>0</v>
      </c>
      <c r="AO25" s="327">
        <f>IF($E25=0,0,INDEX(Parameters!AH$43:AH$73,MATCH($E25,Parameters!$B$5:$B$35,0)))</f>
        <v>0</v>
      </c>
      <c r="AP25" s="327">
        <f>IF($E25=0,0,INDEX(Parameters!AI$43:AI$73,MATCH($E25,Parameters!$B$5:$B$35,0)))</f>
        <v>0</v>
      </c>
      <c r="AQ25" s="328">
        <f>IF($E25=0,0,INDEX(Parameters!AJ$43:AJ$73,MATCH($E25,Parameters!$B$5:$B$35,0)))</f>
        <v>0</v>
      </c>
    </row>
    <row r="26" spans="1:43" ht="12.75" x14ac:dyDescent="0.2">
      <c r="A26" s="313" t="str">
        <f>'Base Costs'!A26</f>
        <v>ND1260-2</v>
      </c>
      <c r="B26" s="314" t="str">
        <f>'Base Costs'!B26</f>
        <v>Information Technology security system program</v>
      </c>
      <c r="C26" s="314" t="str">
        <f>'Base Costs'!C26</f>
        <v>Operational Support Systems</v>
      </c>
      <c r="D26" s="333" t="str">
        <f>'Base Costs'!D26</f>
        <v>2018/19</v>
      </c>
      <c r="E26" s="333">
        <f>'Base Costs'!E26</f>
        <v>18</v>
      </c>
      <c r="F26" s="315"/>
      <c r="G26" s="315"/>
      <c r="H26" s="316">
        <f>'Input Data Sheet'!J26</f>
        <v>1</v>
      </c>
      <c r="I26" s="316"/>
      <c r="J26" s="316"/>
      <c r="K26" s="316"/>
      <c r="L26" s="316"/>
      <c r="M26" s="316"/>
      <c r="N26" s="316"/>
      <c r="O26" s="287">
        <f t="shared" si="2"/>
        <v>1460277</v>
      </c>
      <c r="P26" s="320">
        <f>(1+AI26)*'Cost+LOA'!P26</f>
        <v>0</v>
      </c>
      <c r="Q26" s="287">
        <f>(1+AJ26)*'Cost+LOA'!Q26</f>
        <v>0</v>
      </c>
      <c r="R26" s="341">
        <f>(1+AK26)*'Cost+LOA'!R26</f>
        <v>397950.83999999997</v>
      </c>
      <c r="S26" s="341">
        <f>(1+AL26)*'Cost+LOA'!S26</f>
        <v>146282.63999999998</v>
      </c>
      <c r="T26" s="341">
        <f>(1+AM26)*'Cost+LOA'!T26</f>
        <v>525032.76</v>
      </c>
      <c r="U26" s="341">
        <f>(1+AN26)*'Cost+LOA'!U26</f>
        <v>287616.83999999997</v>
      </c>
      <c r="V26" s="341">
        <f>(1+AO26)*'Cost+LOA'!V26</f>
        <v>103393.92</v>
      </c>
      <c r="W26" s="287">
        <f>(1+AP26)*'Cost+LOA'!W26</f>
        <v>0</v>
      </c>
      <c r="X26" s="321">
        <f>(1+AQ26)*'Cost+LOA'!X26</f>
        <v>0</v>
      </c>
      <c r="Y26" s="287">
        <f t="shared" si="3"/>
        <v>0</v>
      </c>
      <c r="Z26" s="287">
        <f t="shared" si="1"/>
        <v>0</v>
      </c>
      <c r="AA26" s="341">
        <f t="shared" si="1"/>
        <v>397950.83999999997</v>
      </c>
      <c r="AB26" s="341">
        <f t="shared" si="1"/>
        <v>146282.63999999998</v>
      </c>
      <c r="AC26" s="341">
        <f t="shared" si="1"/>
        <v>525032.76</v>
      </c>
      <c r="AD26" s="341">
        <f t="shared" si="1"/>
        <v>287616.83999999997</v>
      </c>
      <c r="AE26" s="341">
        <f t="shared" si="1"/>
        <v>103393.92</v>
      </c>
      <c r="AF26" s="287">
        <f t="shared" si="1"/>
        <v>0</v>
      </c>
      <c r="AG26" s="287">
        <f t="shared" si="1"/>
        <v>0</v>
      </c>
      <c r="AH26" s="322">
        <f>IF($H26,0,IFERROR(IF(VALUE(LEFT(D26,4))&gt;VALUE(LEFT(Parameters!$B$66,4))+1,O26-SUM(R26:X26),0),0))</f>
        <v>0</v>
      </c>
      <c r="AI26" s="326">
        <f>IF($E26=0,0,INDEX(Parameters!AB$43:AB$73,MATCH($E26,Parameters!$B$5:$B$35,0)))</f>
        <v>0</v>
      </c>
      <c r="AJ26" s="327">
        <f>IF($E26=0,0,INDEX(Parameters!AC$43:AC$73,MATCH($E26,Parameters!$B$5:$B$35,0)))</f>
        <v>0</v>
      </c>
      <c r="AK26" s="327">
        <f>IF($E26=0,0,INDEX(Parameters!AD$43:AD$73,MATCH($E26,Parameters!$B$5:$B$35,0)))</f>
        <v>0</v>
      </c>
      <c r="AL26" s="327">
        <f>IF($E26=0,0,INDEX(Parameters!AE$43:AE$73,MATCH($E26,Parameters!$B$5:$B$35,0)))</f>
        <v>0</v>
      </c>
      <c r="AM26" s="327">
        <f>IF($E26=0,0,INDEX(Parameters!AF$43:AF$73,MATCH($E26,Parameters!$B$5:$B$35,0)))</f>
        <v>0</v>
      </c>
      <c r="AN26" s="327">
        <f>IF($E26=0,0,INDEX(Parameters!AG$43:AG$73,MATCH($E26,Parameters!$B$5:$B$35,0)))</f>
        <v>0</v>
      </c>
      <c r="AO26" s="327">
        <f>IF($E26=0,0,INDEX(Parameters!AH$43:AH$73,MATCH($E26,Parameters!$B$5:$B$35,0)))</f>
        <v>0</v>
      </c>
      <c r="AP26" s="327">
        <f>IF($E26=0,0,INDEX(Parameters!AI$43:AI$73,MATCH($E26,Parameters!$B$5:$B$35,0)))</f>
        <v>0</v>
      </c>
      <c r="AQ26" s="328">
        <f>IF($E26=0,0,INDEX(Parameters!AJ$43:AJ$73,MATCH($E26,Parameters!$B$5:$B$35,0)))</f>
        <v>0</v>
      </c>
    </row>
    <row r="27" spans="1:43" ht="12.75" x14ac:dyDescent="0.2">
      <c r="A27" s="313" t="str">
        <f>'Base Costs'!A27</f>
        <v>ND1062</v>
      </c>
      <c r="B27" s="314" t="str">
        <f>'Base Costs'!B27</f>
        <v>Insourcing Drawing Management</v>
      </c>
      <c r="C27" s="314" t="str">
        <f>'Base Costs'!C27</f>
        <v>Operational Support Systems</v>
      </c>
      <c r="D27" s="333" t="str">
        <f>'Base Costs'!D27</f>
        <v>2014/15</v>
      </c>
      <c r="E27" s="333">
        <f>'Base Costs'!E27</f>
        <v>0</v>
      </c>
      <c r="F27" s="315"/>
      <c r="G27" s="315"/>
      <c r="H27" s="316">
        <f>'Input Data Sheet'!J27</f>
        <v>0</v>
      </c>
      <c r="I27" s="316"/>
      <c r="J27" s="316"/>
      <c r="K27" s="316"/>
      <c r="L27" s="316"/>
      <c r="M27" s="316"/>
      <c r="N27" s="316"/>
      <c r="O27" s="287">
        <f t="shared" si="2"/>
        <v>505001.42355509161</v>
      </c>
      <c r="P27" s="320">
        <f>(1+AI27)*'Cost+LOA'!P27</f>
        <v>0</v>
      </c>
      <c r="Q27" s="287">
        <f>(1+AJ27)*'Cost+LOA'!Q27</f>
        <v>0</v>
      </c>
      <c r="R27" s="341">
        <f>(1+AK27)*'Cost+LOA'!R27</f>
        <v>505001.42355509161</v>
      </c>
      <c r="S27" s="341">
        <f>(1+AL27)*'Cost+LOA'!S27</f>
        <v>0</v>
      </c>
      <c r="T27" s="341">
        <f>(1+AM27)*'Cost+LOA'!T27</f>
        <v>0</v>
      </c>
      <c r="U27" s="341">
        <f>(1+AN27)*'Cost+LOA'!U27</f>
        <v>0</v>
      </c>
      <c r="V27" s="341">
        <f>(1+AO27)*'Cost+LOA'!V27</f>
        <v>0</v>
      </c>
      <c r="W27" s="287">
        <f>(1+AP27)*'Cost+LOA'!W27</f>
        <v>0</v>
      </c>
      <c r="X27" s="321">
        <f>(1+AQ27)*'Cost+LOA'!X27</f>
        <v>0</v>
      </c>
      <c r="Y27" s="287">
        <f t="shared" si="3"/>
        <v>0</v>
      </c>
      <c r="Z27" s="287">
        <f t="shared" si="1"/>
        <v>0</v>
      </c>
      <c r="AA27" s="341">
        <f t="shared" si="1"/>
        <v>505001.42355509161</v>
      </c>
      <c r="AB27" s="341">
        <f t="shared" si="1"/>
        <v>0</v>
      </c>
      <c r="AC27" s="341">
        <f t="shared" si="1"/>
        <v>0</v>
      </c>
      <c r="AD27" s="341">
        <f t="shared" si="1"/>
        <v>0</v>
      </c>
      <c r="AE27" s="341">
        <f t="shared" si="1"/>
        <v>0</v>
      </c>
      <c r="AF27" s="287">
        <f t="shared" si="1"/>
        <v>0</v>
      </c>
      <c r="AG27" s="287">
        <f t="shared" si="1"/>
        <v>0</v>
      </c>
      <c r="AH27" s="322">
        <f>IF($H27,0,IFERROR(IF(VALUE(LEFT(D27,4))&gt;VALUE(LEFT(Parameters!$B$66,4))+1,O27-SUM(R27:X27),0),0))</f>
        <v>0</v>
      </c>
      <c r="AI27" s="326">
        <f>IF($E27=0,0,INDEX(Parameters!AB$43:AB$73,MATCH($E27,Parameters!$B$5:$B$35,0)))</f>
        <v>0</v>
      </c>
      <c r="AJ27" s="327">
        <f>IF($E27=0,0,INDEX(Parameters!AC$43:AC$73,MATCH($E27,Parameters!$B$5:$B$35,0)))</f>
        <v>0</v>
      </c>
      <c r="AK27" s="327">
        <f>IF($E27=0,0,INDEX(Parameters!AD$43:AD$73,MATCH($E27,Parameters!$B$5:$B$35,0)))</f>
        <v>0</v>
      </c>
      <c r="AL27" s="327">
        <f>IF($E27=0,0,INDEX(Parameters!AE$43:AE$73,MATCH($E27,Parameters!$B$5:$B$35,0)))</f>
        <v>0</v>
      </c>
      <c r="AM27" s="327">
        <f>IF($E27=0,0,INDEX(Parameters!AF$43:AF$73,MATCH($E27,Parameters!$B$5:$B$35,0)))</f>
        <v>0</v>
      </c>
      <c r="AN27" s="327">
        <f>IF($E27=0,0,INDEX(Parameters!AG$43:AG$73,MATCH($E27,Parameters!$B$5:$B$35,0)))</f>
        <v>0</v>
      </c>
      <c r="AO27" s="327">
        <f>IF($E27=0,0,INDEX(Parameters!AH$43:AH$73,MATCH($E27,Parameters!$B$5:$B$35,0)))</f>
        <v>0</v>
      </c>
      <c r="AP27" s="327">
        <f>IF($E27=0,0,INDEX(Parameters!AI$43:AI$73,MATCH($E27,Parameters!$B$5:$B$35,0)))</f>
        <v>0</v>
      </c>
      <c r="AQ27" s="328">
        <f>IF($E27=0,0,INDEX(Parameters!AJ$43:AJ$73,MATCH($E27,Parameters!$B$5:$B$35,0)))</f>
        <v>0</v>
      </c>
    </row>
    <row r="28" spans="1:43" ht="12.75" x14ac:dyDescent="0.2">
      <c r="A28" s="313" t="str">
        <f>'Base Costs'!A28</f>
        <v>ND0948</v>
      </c>
      <c r="B28" s="314" t="str">
        <f>'Base Costs'!B28</f>
        <v>Lindisfarne Substation transformer T2 and T3 replacement</v>
      </c>
      <c r="C28" s="314" t="str">
        <f>'Base Costs'!C28</f>
        <v>Asset Renewal</v>
      </c>
      <c r="D28" s="333" t="str">
        <f>'Base Costs'!D28</f>
        <v>2018/19</v>
      </c>
      <c r="E28" s="333">
        <f>'Base Costs'!E28</f>
        <v>11</v>
      </c>
      <c r="F28" s="315"/>
      <c r="G28" s="315"/>
      <c r="H28" s="316">
        <f>'Input Data Sheet'!J28</f>
        <v>0</v>
      </c>
      <c r="I28" s="316"/>
      <c r="J28" s="316"/>
      <c r="K28" s="316"/>
      <c r="L28" s="316"/>
      <c r="M28" s="316"/>
      <c r="N28" s="316"/>
      <c r="O28" s="287">
        <f t="shared" si="2"/>
        <v>6255904.0422670003</v>
      </c>
      <c r="P28" s="320">
        <f>(1+AI28)*'Cost+LOA'!P28</f>
        <v>0</v>
      </c>
      <c r="Q28" s="287">
        <f>(1+AJ28)*'Cost+LOA'!Q28</f>
        <v>0</v>
      </c>
      <c r="R28" s="341">
        <f>(1+AK28)*'Cost+LOA'!R28</f>
        <v>0</v>
      </c>
      <c r="S28" s="341">
        <f>(1+AL28)*'Cost+LOA'!S28</f>
        <v>0</v>
      </c>
      <c r="T28" s="341">
        <f>(1+AM28)*'Cost+LOA'!T28</f>
        <v>53477.197724450649</v>
      </c>
      <c r="U28" s="341">
        <f>(1+AN28)*'Cost+LOA'!U28</f>
        <v>4532909.9247579165</v>
      </c>
      <c r="V28" s="341">
        <f>(1+AO28)*'Cost+LOA'!V28</f>
        <v>1669516.9197846334</v>
      </c>
      <c r="W28" s="287">
        <f>(1+AP28)*'Cost+LOA'!W28</f>
        <v>0</v>
      </c>
      <c r="X28" s="321">
        <f>(1+AQ28)*'Cost+LOA'!X28</f>
        <v>0</v>
      </c>
      <c r="Y28" s="287">
        <f t="shared" si="3"/>
        <v>0</v>
      </c>
      <c r="Z28" s="287">
        <f t="shared" si="1"/>
        <v>0</v>
      </c>
      <c r="AA28" s="341">
        <f t="shared" si="1"/>
        <v>0</v>
      </c>
      <c r="AB28" s="341">
        <f t="shared" si="1"/>
        <v>0</v>
      </c>
      <c r="AC28" s="341">
        <f t="shared" si="1"/>
        <v>0</v>
      </c>
      <c r="AD28" s="341">
        <f t="shared" si="1"/>
        <v>0</v>
      </c>
      <c r="AE28" s="341">
        <f t="shared" si="1"/>
        <v>6255904.0422670003</v>
      </c>
      <c r="AF28" s="287">
        <f t="shared" si="1"/>
        <v>0</v>
      </c>
      <c r="AG28" s="287">
        <f t="shared" si="1"/>
        <v>0</v>
      </c>
      <c r="AH28" s="322">
        <f>IF($H28,0,IFERROR(IF(VALUE(LEFT(D28,4))&gt;VALUE(LEFT(Parameters!$B$66,4))+1,O28-SUM(R28:X28),0),0))</f>
        <v>0</v>
      </c>
      <c r="AI28" s="326">
        <f>IF($E28=0,0,INDEX(Parameters!AB$43:AB$73,MATCH($E28,Parameters!$B$5:$B$35,0)))</f>
        <v>9.3362407106104169E-3</v>
      </c>
      <c r="AJ28" s="327">
        <f>IF($E28=0,0,INDEX(Parameters!AC$43:AC$73,MATCH($E28,Parameters!$B$5:$B$35,0)))</f>
        <v>2.7767890914151713E-2</v>
      </c>
      <c r="AK28" s="327">
        <f>IF($E28=0,0,INDEX(Parameters!AD$43:AD$73,MATCH($E28,Parameters!$B$5:$B$35,0)))</f>
        <v>2.7515444326864411E-2</v>
      </c>
      <c r="AL28" s="327">
        <f>IF($E28=0,0,INDEX(Parameters!AE$43:AE$73,MATCH($E28,Parameters!$B$5:$B$35,0)))</f>
        <v>3.7204447312591801E-2</v>
      </c>
      <c r="AM28" s="327">
        <f>IF($E28=0,0,INDEX(Parameters!AF$43:AF$73,MATCH($E28,Parameters!$B$5:$B$35,0)))</f>
        <v>4.3864878478443309E-2</v>
      </c>
      <c r="AN28" s="327">
        <f>IF($E28=0,0,INDEX(Parameters!AG$43:AG$73,MATCH($E28,Parameters!$B$5:$B$35,0)))</f>
        <v>4.9105434057059097E-2</v>
      </c>
      <c r="AO28" s="327">
        <f>IF($E28=0,0,INDEX(Parameters!AH$43:AH$73,MATCH($E28,Parameters!$B$5:$B$35,0)))</f>
        <v>5.2605213923927051E-2</v>
      </c>
      <c r="AP28" s="327">
        <f>IF($E28=0,0,INDEX(Parameters!AI$43:AI$73,MATCH($E28,Parameters!$B$5:$B$35,0)))</f>
        <v>5.2605213923927051E-2</v>
      </c>
      <c r="AQ28" s="328">
        <f>IF($E28=0,0,INDEX(Parameters!AJ$43:AJ$73,MATCH($E28,Parameters!$B$5:$B$35,0)))</f>
        <v>5.2605213923927051E-2</v>
      </c>
    </row>
    <row r="29" spans="1:43" ht="12.75" x14ac:dyDescent="0.2">
      <c r="A29" s="313" t="str">
        <f>'Base Costs'!A29</f>
        <v>ND0949</v>
      </c>
      <c r="B29" s="314" t="str">
        <f>'Base Costs'!B29</f>
        <v>Meadowbank Substation 110 kV redevelopment</v>
      </c>
      <c r="C29" s="314" t="str">
        <f>'Base Costs'!C29</f>
        <v>Asset Renewal</v>
      </c>
      <c r="D29" s="333" t="str">
        <f>'Base Costs'!D29</f>
        <v>2014/15</v>
      </c>
      <c r="E29" s="333">
        <f>'Base Costs'!E29</f>
        <v>0</v>
      </c>
      <c r="F29" s="315"/>
      <c r="G29" s="315"/>
      <c r="H29" s="316">
        <f>'Input Data Sheet'!J29</f>
        <v>0</v>
      </c>
      <c r="I29" s="316"/>
      <c r="J29" s="316"/>
      <c r="K29" s="316"/>
      <c r="L29" s="316"/>
      <c r="M29" s="316"/>
      <c r="N29" s="316"/>
      <c r="O29" s="287">
        <f t="shared" si="2"/>
        <v>6108067.4916959293</v>
      </c>
      <c r="P29" s="320">
        <f>(1+AI29)*'Cost+LOA'!P29</f>
        <v>0</v>
      </c>
      <c r="Q29" s="287">
        <f>(1+AJ29)*'Cost+LOA'!Q29</f>
        <v>2014288.6969725729</v>
      </c>
      <c r="R29" s="341">
        <f>(1+AK29)*'Cost+LOA'!R29</f>
        <v>4093778.7947233561</v>
      </c>
      <c r="S29" s="341">
        <f>(1+AL29)*'Cost+LOA'!S29</f>
        <v>0</v>
      </c>
      <c r="T29" s="341">
        <f>(1+AM29)*'Cost+LOA'!T29</f>
        <v>0</v>
      </c>
      <c r="U29" s="341">
        <f>(1+AN29)*'Cost+LOA'!U29</f>
        <v>0</v>
      </c>
      <c r="V29" s="341">
        <f>(1+AO29)*'Cost+LOA'!V29</f>
        <v>0</v>
      </c>
      <c r="W29" s="287">
        <f>(1+AP29)*'Cost+LOA'!W29</f>
        <v>0</v>
      </c>
      <c r="X29" s="321">
        <f>(1+AQ29)*'Cost+LOA'!X29</f>
        <v>0</v>
      </c>
      <c r="Y29" s="287">
        <f t="shared" si="3"/>
        <v>0</v>
      </c>
      <c r="Z29" s="287">
        <f t="shared" si="1"/>
        <v>0</v>
      </c>
      <c r="AA29" s="341">
        <f t="shared" si="1"/>
        <v>6108067.4916959293</v>
      </c>
      <c r="AB29" s="341">
        <f t="shared" si="1"/>
        <v>0</v>
      </c>
      <c r="AC29" s="341">
        <f t="shared" si="1"/>
        <v>0</v>
      </c>
      <c r="AD29" s="341">
        <f t="shared" si="1"/>
        <v>0</v>
      </c>
      <c r="AE29" s="341">
        <f t="shared" si="1"/>
        <v>0</v>
      </c>
      <c r="AF29" s="287">
        <f t="shared" si="1"/>
        <v>0</v>
      </c>
      <c r="AG29" s="287">
        <f t="shared" si="1"/>
        <v>0</v>
      </c>
      <c r="AH29" s="322">
        <f>IF($H29,0,IFERROR(IF(VALUE(LEFT(D29,4))&gt;VALUE(LEFT(Parameters!$B$66,4))+1,O29-SUM(R29:X29),0),0))</f>
        <v>2014288.6969725732</v>
      </c>
      <c r="AI29" s="326">
        <f>IF($E29=0,0,INDEX(Parameters!AB$43:AB$73,MATCH($E29,Parameters!$B$5:$B$35,0)))</f>
        <v>0</v>
      </c>
      <c r="AJ29" s="327">
        <f>IF($E29=0,0,INDEX(Parameters!AC$43:AC$73,MATCH($E29,Parameters!$B$5:$B$35,0)))</f>
        <v>0</v>
      </c>
      <c r="AK29" s="327">
        <f>IF($E29=0,0,INDEX(Parameters!AD$43:AD$73,MATCH($E29,Parameters!$B$5:$B$35,0)))</f>
        <v>0</v>
      </c>
      <c r="AL29" s="327">
        <f>IF($E29=0,0,INDEX(Parameters!AE$43:AE$73,MATCH($E29,Parameters!$B$5:$B$35,0)))</f>
        <v>0</v>
      </c>
      <c r="AM29" s="327">
        <f>IF($E29=0,0,INDEX(Parameters!AF$43:AF$73,MATCH($E29,Parameters!$B$5:$B$35,0)))</f>
        <v>0</v>
      </c>
      <c r="AN29" s="327">
        <f>IF($E29=0,0,INDEX(Parameters!AG$43:AG$73,MATCH($E29,Parameters!$B$5:$B$35,0)))</f>
        <v>0</v>
      </c>
      <c r="AO29" s="327">
        <f>IF($E29=0,0,INDEX(Parameters!AH$43:AH$73,MATCH($E29,Parameters!$B$5:$B$35,0)))</f>
        <v>0</v>
      </c>
      <c r="AP29" s="327">
        <f>IF($E29=0,0,INDEX(Parameters!AI$43:AI$73,MATCH($E29,Parameters!$B$5:$B$35,0)))</f>
        <v>0</v>
      </c>
      <c r="AQ29" s="328">
        <f>IF($E29=0,0,INDEX(Parameters!AJ$43:AJ$73,MATCH($E29,Parameters!$B$5:$B$35,0)))</f>
        <v>0</v>
      </c>
    </row>
    <row r="30" spans="1:43" ht="12.75" x14ac:dyDescent="0.2">
      <c r="A30" s="313" t="str">
        <f>'Base Costs'!A30</f>
        <v>ND1232</v>
      </c>
      <c r="B30" s="314" t="str">
        <f>'Base Costs'!B30</f>
        <v>Network Modelling Enhancement program</v>
      </c>
      <c r="C30" s="314" t="str">
        <f>'Base Costs'!C30</f>
        <v>Operational Support Systems</v>
      </c>
      <c r="D30" s="333" t="str">
        <f>'Base Costs'!D30</f>
        <v>2018/19</v>
      </c>
      <c r="E30" s="333">
        <f>'Base Costs'!E30</f>
        <v>18</v>
      </c>
      <c r="F30" s="315"/>
      <c r="G30" s="315"/>
      <c r="H30" s="316">
        <f>'Input Data Sheet'!J30</f>
        <v>1</v>
      </c>
      <c r="I30" s="316"/>
      <c r="J30" s="316"/>
      <c r="K30" s="316"/>
      <c r="L30" s="316"/>
      <c r="M30" s="316"/>
      <c r="N30" s="316"/>
      <c r="O30" s="287">
        <f t="shared" si="2"/>
        <v>770000</v>
      </c>
      <c r="P30" s="320">
        <f>(1+AI30)*'Cost+LOA'!P30</f>
        <v>0</v>
      </c>
      <c r="Q30" s="287">
        <f>(1+AJ30)*'Cost+LOA'!Q30</f>
        <v>0</v>
      </c>
      <c r="R30" s="341">
        <f>(1+AK30)*'Cost+LOA'!R30</f>
        <v>323400</v>
      </c>
      <c r="S30" s="341">
        <f>(1+AL30)*'Cost+LOA'!S30</f>
        <v>100100</v>
      </c>
      <c r="T30" s="341">
        <f>(1+AM30)*'Cost+LOA'!T30</f>
        <v>223300</v>
      </c>
      <c r="U30" s="341">
        <f>(1+AN30)*'Cost+LOA'!U30</f>
        <v>100100</v>
      </c>
      <c r="V30" s="341">
        <f>(1+AO30)*'Cost+LOA'!V30</f>
        <v>23100</v>
      </c>
      <c r="W30" s="287">
        <f>(1+AP30)*'Cost+LOA'!W30</f>
        <v>0</v>
      </c>
      <c r="X30" s="321">
        <f>(1+AQ30)*'Cost+LOA'!X30</f>
        <v>0</v>
      </c>
      <c r="Y30" s="287">
        <f t="shared" si="3"/>
        <v>0</v>
      </c>
      <c r="Z30" s="287">
        <f t="shared" si="1"/>
        <v>0</v>
      </c>
      <c r="AA30" s="341">
        <f t="shared" si="1"/>
        <v>323400</v>
      </c>
      <c r="AB30" s="341">
        <f t="shared" si="1"/>
        <v>100100</v>
      </c>
      <c r="AC30" s="341">
        <f t="shared" si="1"/>
        <v>223300</v>
      </c>
      <c r="AD30" s="341">
        <f t="shared" si="1"/>
        <v>100100</v>
      </c>
      <c r="AE30" s="341">
        <f t="shared" si="1"/>
        <v>23100</v>
      </c>
      <c r="AF30" s="287">
        <f t="shared" si="1"/>
        <v>0</v>
      </c>
      <c r="AG30" s="287">
        <f t="shared" si="1"/>
        <v>0</v>
      </c>
      <c r="AH30" s="322">
        <f>IF($H30,0,IFERROR(IF(VALUE(LEFT(D30,4))&gt;VALUE(LEFT(Parameters!$B$66,4))+1,O30-SUM(R30:X30),0),0))</f>
        <v>0</v>
      </c>
      <c r="AI30" s="326">
        <f>IF($E30=0,0,INDEX(Parameters!AB$43:AB$73,MATCH($E30,Parameters!$B$5:$B$35,0)))</f>
        <v>0</v>
      </c>
      <c r="AJ30" s="327">
        <f>IF($E30=0,0,INDEX(Parameters!AC$43:AC$73,MATCH($E30,Parameters!$B$5:$B$35,0)))</f>
        <v>0</v>
      </c>
      <c r="AK30" s="327">
        <f>IF($E30=0,0,INDEX(Parameters!AD$43:AD$73,MATCH($E30,Parameters!$B$5:$B$35,0)))</f>
        <v>0</v>
      </c>
      <c r="AL30" s="327">
        <f>IF($E30=0,0,INDEX(Parameters!AE$43:AE$73,MATCH($E30,Parameters!$B$5:$B$35,0)))</f>
        <v>0</v>
      </c>
      <c r="AM30" s="327">
        <f>IF($E30=0,0,INDEX(Parameters!AF$43:AF$73,MATCH($E30,Parameters!$B$5:$B$35,0)))</f>
        <v>0</v>
      </c>
      <c r="AN30" s="327">
        <f>IF($E30=0,0,INDEX(Parameters!AG$43:AG$73,MATCH($E30,Parameters!$B$5:$B$35,0)))</f>
        <v>0</v>
      </c>
      <c r="AO30" s="327">
        <f>IF($E30=0,0,INDEX(Parameters!AH$43:AH$73,MATCH($E30,Parameters!$B$5:$B$35,0)))</f>
        <v>0</v>
      </c>
      <c r="AP30" s="327">
        <f>IF($E30=0,0,INDEX(Parameters!AI$43:AI$73,MATCH($E30,Parameters!$B$5:$B$35,0)))</f>
        <v>0</v>
      </c>
      <c r="AQ30" s="328">
        <f>IF($E30=0,0,INDEX(Parameters!AJ$43:AJ$73,MATCH($E30,Parameters!$B$5:$B$35,0)))</f>
        <v>0</v>
      </c>
    </row>
    <row r="31" spans="1:43" ht="12.75" x14ac:dyDescent="0.2">
      <c r="A31" s="313" t="str">
        <f>'Base Costs'!A31</f>
        <v>ND1233</v>
      </c>
      <c r="B31" s="314" t="str">
        <f>'Base Costs'!B31</f>
        <v>Network Operations and Control System enhancement program</v>
      </c>
      <c r="C31" s="314" t="str">
        <f>'Base Costs'!C31</f>
        <v>Operational Support Systems</v>
      </c>
      <c r="D31" s="333" t="str">
        <f>'Base Costs'!D31</f>
        <v>2018/19</v>
      </c>
      <c r="E31" s="333">
        <f>'Base Costs'!E31</f>
        <v>18</v>
      </c>
      <c r="F31" s="315"/>
      <c r="G31" s="315"/>
      <c r="H31" s="316">
        <f>'Input Data Sheet'!J31</f>
        <v>1</v>
      </c>
      <c r="I31" s="316"/>
      <c r="J31" s="316"/>
      <c r="K31" s="316"/>
      <c r="L31" s="316"/>
      <c r="M31" s="316"/>
      <c r="N31" s="316"/>
      <c r="O31" s="287">
        <f t="shared" si="2"/>
        <v>3601000</v>
      </c>
      <c r="P31" s="320">
        <f>(1+AI31)*'Cost+LOA'!P31</f>
        <v>0</v>
      </c>
      <c r="Q31" s="287">
        <f>(1+AJ31)*'Cost+LOA'!Q31</f>
        <v>0</v>
      </c>
      <c r="R31" s="341">
        <f>(1+AK31)*'Cost+LOA'!R31</f>
        <v>580000</v>
      </c>
      <c r="S31" s="341">
        <f>(1+AL31)*'Cost+LOA'!S31</f>
        <v>385250</v>
      </c>
      <c r="T31" s="341">
        <f>(1+AM31)*'Cost+LOA'!T31</f>
        <v>1215250</v>
      </c>
      <c r="U31" s="341">
        <f>(1+AN31)*'Cost+LOA'!U31</f>
        <v>835250</v>
      </c>
      <c r="V31" s="341">
        <f>(1+AO31)*'Cost+LOA'!V31</f>
        <v>585250</v>
      </c>
      <c r="W31" s="287">
        <f>(1+AP31)*'Cost+LOA'!W31</f>
        <v>0</v>
      </c>
      <c r="X31" s="321">
        <f>(1+AQ31)*'Cost+LOA'!X31</f>
        <v>0</v>
      </c>
      <c r="Y31" s="287">
        <f t="shared" si="3"/>
        <v>0</v>
      </c>
      <c r="Z31" s="287">
        <f t="shared" si="1"/>
        <v>0</v>
      </c>
      <c r="AA31" s="341">
        <f t="shared" si="1"/>
        <v>580000</v>
      </c>
      <c r="AB31" s="341">
        <f t="shared" si="1"/>
        <v>385250</v>
      </c>
      <c r="AC31" s="341">
        <f t="shared" si="1"/>
        <v>1215250</v>
      </c>
      <c r="AD31" s="341">
        <f t="shared" si="1"/>
        <v>835250</v>
      </c>
      <c r="AE31" s="341">
        <f t="shared" si="1"/>
        <v>585250</v>
      </c>
      <c r="AF31" s="287">
        <f t="shared" si="1"/>
        <v>0</v>
      </c>
      <c r="AG31" s="287">
        <f t="shared" si="1"/>
        <v>0</v>
      </c>
      <c r="AH31" s="322">
        <f>IF($H31,0,IFERROR(IF(VALUE(LEFT(D31,4))&gt;VALUE(LEFT(Parameters!$B$66,4))+1,O31-SUM(R31:X31),0),0))</f>
        <v>0</v>
      </c>
      <c r="AI31" s="326">
        <f>IF($E31=0,0,INDEX(Parameters!AB$43:AB$73,MATCH($E31,Parameters!$B$5:$B$35,0)))</f>
        <v>0</v>
      </c>
      <c r="AJ31" s="327">
        <f>IF($E31=0,0,INDEX(Parameters!AC$43:AC$73,MATCH($E31,Parameters!$B$5:$B$35,0)))</f>
        <v>0</v>
      </c>
      <c r="AK31" s="327">
        <f>IF($E31=0,0,INDEX(Parameters!AD$43:AD$73,MATCH($E31,Parameters!$B$5:$B$35,0)))</f>
        <v>0</v>
      </c>
      <c r="AL31" s="327">
        <f>IF($E31=0,0,INDEX(Parameters!AE$43:AE$73,MATCH($E31,Parameters!$B$5:$B$35,0)))</f>
        <v>0</v>
      </c>
      <c r="AM31" s="327">
        <f>IF($E31=0,0,INDEX(Parameters!AF$43:AF$73,MATCH($E31,Parameters!$B$5:$B$35,0)))</f>
        <v>0</v>
      </c>
      <c r="AN31" s="327">
        <f>IF($E31=0,0,INDEX(Parameters!AG$43:AG$73,MATCH($E31,Parameters!$B$5:$B$35,0)))</f>
        <v>0</v>
      </c>
      <c r="AO31" s="327">
        <f>IF($E31=0,0,INDEX(Parameters!AH$43:AH$73,MATCH($E31,Parameters!$B$5:$B$35,0)))</f>
        <v>0</v>
      </c>
      <c r="AP31" s="327">
        <f>IF($E31=0,0,INDEX(Parameters!AI$43:AI$73,MATCH($E31,Parameters!$B$5:$B$35,0)))</f>
        <v>0</v>
      </c>
      <c r="AQ31" s="328">
        <f>IF($E31=0,0,INDEX(Parameters!AJ$43:AJ$73,MATCH($E31,Parameters!$B$5:$B$35,0)))</f>
        <v>0</v>
      </c>
    </row>
    <row r="32" spans="1:43" ht="12.75" x14ac:dyDescent="0.2">
      <c r="A32" s="313" t="str">
        <f>'Base Costs'!A32</f>
        <v>ND1219</v>
      </c>
      <c r="B32" s="314" t="str">
        <f>'Base Costs'!B32</f>
        <v>Newton - Queenstown Security Augmentation</v>
      </c>
      <c r="C32" s="314" t="str">
        <f>'Base Costs'!C32</f>
        <v>Augmentation</v>
      </c>
      <c r="D32" s="333" t="str">
        <f>'Base Costs'!D32</f>
        <v>2016/17</v>
      </c>
      <c r="E32" s="333">
        <f>'Base Costs'!E32</f>
        <v>2</v>
      </c>
      <c r="F32" s="315"/>
      <c r="G32" s="315"/>
      <c r="H32" s="316">
        <f>'Input Data Sheet'!J32</f>
        <v>0</v>
      </c>
      <c r="I32" s="316"/>
      <c r="J32" s="316"/>
      <c r="K32" s="316"/>
      <c r="L32" s="316"/>
      <c r="M32" s="316"/>
      <c r="N32" s="316"/>
      <c r="O32" s="287">
        <f t="shared" si="2"/>
        <v>13435198.779515155</v>
      </c>
      <c r="P32" s="320">
        <f>(1+AI32)*'Cost+LOA'!P32</f>
        <v>0</v>
      </c>
      <c r="Q32" s="287">
        <f>(1+AJ32)*'Cost+LOA'!Q32</f>
        <v>0</v>
      </c>
      <c r="R32" s="341">
        <f>(1+AK32)*'Cost+LOA'!R32</f>
        <v>357679.0769425343</v>
      </c>
      <c r="S32" s="341">
        <f>(1+AL32)*'Cost+LOA'!S32</f>
        <v>4120753.3615658581</v>
      </c>
      <c r="T32" s="341">
        <f>(1+AM32)*'Cost+LOA'!T32</f>
        <v>8956766.3410067633</v>
      </c>
      <c r="U32" s="341">
        <f>(1+AN32)*'Cost+LOA'!U32</f>
        <v>0</v>
      </c>
      <c r="V32" s="341">
        <f>(1+AO32)*'Cost+LOA'!V32</f>
        <v>0</v>
      </c>
      <c r="W32" s="287">
        <f>(1+AP32)*'Cost+LOA'!W32</f>
        <v>0</v>
      </c>
      <c r="X32" s="321">
        <f>(1+AQ32)*'Cost+LOA'!X32</f>
        <v>0</v>
      </c>
      <c r="Y32" s="287">
        <f t="shared" si="3"/>
        <v>0</v>
      </c>
      <c r="Z32" s="287">
        <f t="shared" si="1"/>
        <v>0</v>
      </c>
      <c r="AA32" s="341">
        <f t="shared" si="1"/>
        <v>0</v>
      </c>
      <c r="AB32" s="341">
        <f t="shared" si="1"/>
        <v>0</v>
      </c>
      <c r="AC32" s="341">
        <f t="shared" si="1"/>
        <v>13435198.779515155</v>
      </c>
      <c r="AD32" s="341">
        <f t="shared" si="1"/>
        <v>0</v>
      </c>
      <c r="AE32" s="341">
        <f t="shared" si="1"/>
        <v>0</v>
      </c>
      <c r="AF32" s="287">
        <f t="shared" si="1"/>
        <v>0</v>
      </c>
      <c r="AG32" s="287">
        <f t="shared" si="1"/>
        <v>0</v>
      </c>
      <c r="AH32" s="322">
        <f>IF($H32,0,IFERROR(IF(VALUE(LEFT(D32,4))&gt;VALUE(LEFT(Parameters!$B$66,4))+1,O32-SUM(R32:X32),0),0))</f>
        <v>0</v>
      </c>
      <c r="AI32" s="326">
        <f>IF($E32=0,0,INDEX(Parameters!AB$43:AB$73,MATCH($E32,Parameters!$B$5:$B$35,0)))</f>
        <v>1.5942905033582058E-2</v>
      </c>
      <c r="AJ32" s="327">
        <f>IF($E32=0,0,INDEX(Parameters!AC$43:AC$73,MATCH($E32,Parameters!$B$5:$B$35,0)))</f>
        <v>2.1622269121982823E-2</v>
      </c>
      <c r="AK32" s="327">
        <f>IF($E32=0,0,INDEX(Parameters!AD$43:AD$73,MATCH($E32,Parameters!$B$5:$B$35,0)))</f>
        <v>2.6790963998640154E-2</v>
      </c>
      <c r="AL32" s="327">
        <f>IF($E32=0,0,INDEX(Parameters!AE$43:AE$73,MATCH($E32,Parameters!$B$5:$B$35,0)))</f>
        <v>4.2332110012758606E-2</v>
      </c>
      <c r="AM32" s="327">
        <f>IF($E32=0,0,INDEX(Parameters!AF$43:AF$73,MATCH($E32,Parameters!$B$5:$B$35,0)))</f>
        <v>5.669812466509995E-2</v>
      </c>
      <c r="AN32" s="327">
        <f>IF($E32=0,0,INDEX(Parameters!AG$43:AG$73,MATCH($E32,Parameters!$B$5:$B$35,0)))</f>
        <v>6.9995705827133686E-2</v>
      </c>
      <c r="AO32" s="327">
        <f>IF($E32=0,0,INDEX(Parameters!AH$43:AH$73,MATCH($E32,Parameters!$B$5:$B$35,0)))</f>
        <v>8.1082330679740994E-2</v>
      </c>
      <c r="AP32" s="327">
        <f>IF($E32=0,0,INDEX(Parameters!AI$43:AI$73,MATCH($E32,Parameters!$B$5:$B$35,0)))</f>
        <v>8.1082330679740994E-2</v>
      </c>
      <c r="AQ32" s="328">
        <f>IF($E32=0,0,INDEX(Parameters!AJ$43:AJ$73,MATCH($E32,Parameters!$B$5:$B$35,0)))</f>
        <v>8.1082330679740994E-2</v>
      </c>
    </row>
    <row r="33" spans="1:43" ht="12.75" x14ac:dyDescent="0.2">
      <c r="A33" s="313" t="str">
        <f>'Base Costs'!A33</f>
        <v>ND1220</v>
      </c>
      <c r="B33" s="314" t="str">
        <f>'Base Costs'!B33</f>
        <v>North Hobart Substation 11 kV connection point</v>
      </c>
      <c r="C33" s="314" t="str">
        <f>'Base Costs'!C33</f>
        <v>Connection</v>
      </c>
      <c r="D33" s="333" t="str">
        <f>'Base Costs'!D33</f>
        <v>2016/17</v>
      </c>
      <c r="E33" s="333">
        <f>'Base Costs'!E33</f>
        <v>9</v>
      </c>
      <c r="F33" s="315"/>
      <c r="G33" s="315"/>
      <c r="H33" s="316">
        <f>'Input Data Sheet'!J33</f>
        <v>0</v>
      </c>
      <c r="I33" s="316"/>
      <c r="J33" s="316"/>
      <c r="K33" s="316"/>
      <c r="L33" s="316"/>
      <c r="M33" s="316"/>
      <c r="N33" s="316"/>
      <c r="O33" s="287">
        <f t="shared" si="2"/>
        <v>4523574.4326428315</v>
      </c>
      <c r="P33" s="320">
        <f>(1+AI33)*'Cost+LOA'!P33</f>
        <v>0</v>
      </c>
      <c r="Q33" s="287">
        <f>(1+AJ33)*'Cost+LOA'!Q33</f>
        <v>0</v>
      </c>
      <c r="R33" s="341">
        <f>(1+AK33)*'Cost+LOA'!R33</f>
        <v>602210.10013838147</v>
      </c>
      <c r="S33" s="341">
        <f>(1+AL33)*'Cost+LOA'!S33</f>
        <v>2710583.239660372</v>
      </c>
      <c r="T33" s="341">
        <f>(1+AM33)*'Cost+LOA'!T33</f>
        <v>1210781.0928440779</v>
      </c>
      <c r="U33" s="341">
        <f>(1+AN33)*'Cost+LOA'!U33</f>
        <v>0</v>
      </c>
      <c r="V33" s="341">
        <f>(1+AO33)*'Cost+LOA'!V33</f>
        <v>0</v>
      </c>
      <c r="W33" s="287">
        <f>(1+AP33)*'Cost+LOA'!W33</f>
        <v>0</v>
      </c>
      <c r="X33" s="321">
        <f>(1+AQ33)*'Cost+LOA'!X33</f>
        <v>0</v>
      </c>
      <c r="Y33" s="287">
        <f t="shared" si="3"/>
        <v>0</v>
      </c>
      <c r="Z33" s="287">
        <f t="shared" si="1"/>
        <v>0</v>
      </c>
      <c r="AA33" s="341">
        <f t="shared" si="1"/>
        <v>0</v>
      </c>
      <c r="AB33" s="341">
        <f t="shared" si="1"/>
        <v>0</v>
      </c>
      <c r="AC33" s="341">
        <f t="shared" si="1"/>
        <v>4523574.4326428315</v>
      </c>
      <c r="AD33" s="341">
        <f t="shared" si="1"/>
        <v>0</v>
      </c>
      <c r="AE33" s="341">
        <f t="shared" si="1"/>
        <v>0</v>
      </c>
      <c r="AF33" s="287">
        <f t="shared" si="1"/>
        <v>0</v>
      </c>
      <c r="AG33" s="287">
        <f t="shared" si="1"/>
        <v>0</v>
      </c>
      <c r="AH33" s="322">
        <f>IF($H33,0,IFERROR(IF(VALUE(LEFT(D33,4))&gt;VALUE(LEFT(Parameters!$B$66,4))+1,O33-SUM(R33:X33),0),0))</f>
        <v>0</v>
      </c>
      <c r="AI33" s="326">
        <f>IF($E33=0,0,INDEX(Parameters!AB$43:AB$73,MATCH($E33,Parameters!$B$5:$B$35,0)))</f>
        <v>1.6011916566173175E-2</v>
      </c>
      <c r="AJ33" s="327">
        <f>IF($E33=0,0,INDEX(Parameters!AC$43:AC$73,MATCH($E33,Parameters!$B$5:$B$35,0)))</f>
        <v>2.220334349611542E-2</v>
      </c>
      <c r="AK33" s="327">
        <f>IF($E33=0,0,INDEX(Parameters!AD$43:AD$73,MATCH($E33,Parameters!$B$5:$B$35,0)))</f>
        <v>2.1993304367171077E-2</v>
      </c>
      <c r="AL33" s="327">
        <f>IF($E33=0,0,INDEX(Parameters!AE$43:AE$73,MATCH($E33,Parameters!$B$5:$B$35,0)))</f>
        <v>3.2181884218510155E-2</v>
      </c>
      <c r="AM33" s="327">
        <f>IF($E33=0,0,INDEX(Parameters!AF$43:AF$73,MATCH($E33,Parameters!$B$5:$B$35,0)))</f>
        <v>4.5389124224014796E-2</v>
      </c>
      <c r="AN33" s="327">
        <f>IF($E33=0,0,INDEX(Parameters!AG$43:AG$73,MATCH($E33,Parameters!$B$5:$B$35,0)))</f>
        <v>5.8163726771146271E-2</v>
      </c>
      <c r="AO33" s="327">
        <f>IF($E33=0,0,INDEX(Parameters!AH$43:AH$73,MATCH($E33,Parameters!$B$5:$B$35,0)))</f>
        <v>6.9786661473551642E-2</v>
      </c>
      <c r="AP33" s="327">
        <f>IF($E33=0,0,INDEX(Parameters!AI$43:AI$73,MATCH($E33,Parameters!$B$5:$B$35,0)))</f>
        <v>6.9786661473551642E-2</v>
      </c>
      <c r="AQ33" s="328">
        <f>IF($E33=0,0,INDEX(Parameters!AJ$43:AJ$73,MATCH($E33,Parameters!$B$5:$B$35,0)))</f>
        <v>6.9786661473551642E-2</v>
      </c>
    </row>
    <row r="34" spans="1:43" ht="12.75" x14ac:dyDescent="0.2">
      <c r="A34" s="313" t="str">
        <f>'Base Costs'!A34</f>
        <v>ND1031</v>
      </c>
      <c r="B34" s="314" t="str">
        <f>'Base Costs'!B34</f>
        <v>Northern OPGW Program</v>
      </c>
      <c r="C34" s="314" t="str">
        <f>'Base Costs'!C34</f>
        <v>Asset Renewal</v>
      </c>
      <c r="D34" s="333" t="str">
        <f>'Base Costs'!D34</f>
        <v>2014/15</v>
      </c>
      <c r="E34" s="333">
        <f>'Base Costs'!E34</f>
        <v>0</v>
      </c>
      <c r="F34" s="315"/>
      <c r="G34" s="315"/>
      <c r="H34" s="316">
        <f>'Input Data Sheet'!J34</f>
        <v>0</v>
      </c>
      <c r="I34" s="316"/>
      <c r="J34" s="316"/>
      <c r="K34" s="316"/>
      <c r="L34" s="316"/>
      <c r="M34" s="316"/>
      <c r="N34" s="316"/>
      <c r="O34" s="287">
        <f t="shared" si="2"/>
        <v>130538.10382461803</v>
      </c>
      <c r="P34" s="320">
        <f>(1+AI34)*'Cost+LOA'!P34</f>
        <v>0</v>
      </c>
      <c r="Q34" s="287">
        <f>(1+AJ34)*'Cost+LOA'!Q34</f>
        <v>0</v>
      </c>
      <c r="R34" s="341">
        <f>(1+AK34)*'Cost+LOA'!R34</f>
        <v>130538.10382461803</v>
      </c>
      <c r="S34" s="341">
        <f>(1+AL34)*'Cost+LOA'!S34</f>
        <v>0</v>
      </c>
      <c r="T34" s="341">
        <f>(1+AM34)*'Cost+LOA'!T34</f>
        <v>0</v>
      </c>
      <c r="U34" s="341">
        <f>(1+AN34)*'Cost+LOA'!U34</f>
        <v>0</v>
      </c>
      <c r="V34" s="341">
        <f>(1+AO34)*'Cost+LOA'!V34</f>
        <v>0</v>
      </c>
      <c r="W34" s="287">
        <f>(1+AP34)*'Cost+LOA'!W34</f>
        <v>0</v>
      </c>
      <c r="X34" s="321">
        <f>(1+AQ34)*'Cost+LOA'!X34</f>
        <v>0</v>
      </c>
      <c r="Y34" s="287">
        <f t="shared" si="3"/>
        <v>0</v>
      </c>
      <c r="Z34" s="287">
        <f t="shared" si="1"/>
        <v>0</v>
      </c>
      <c r="AA34" s="341">
        <f t="shared" si="1"/>
        <v>130538.10382461803</v>
      </c>
      <c r="AB34" s="341">
        <f t="shared" si="1"/>
        <v>0</v>
      </c>
      <c r="AC34" s="341">
        <f t="shared" si="1"/>
        <v>0</v>
      </c>
      <c r="AD34" s="341">
        <f t="shared" si="1"/>
        <v>0</v>
      </c>
      <c r="AE34" s="341">
        <f t="shared" si="1"/>
        <v>0</v>
      </c>
      <c r="AF34" s="287">
        <f t="shared" si="1"/>
        <v>0</v>
      </c>
      <c r="AG34" s="287">
        <f t="shared" si="1"/>
        <v>0</v>
      </c>
      <c r="AH34" s="322">
        <f>IF($H34,0,IFERROR(IF(VALUE(LEFT(D34,4))&gt;VALUE(LEFT(Parameters!$B$66,4))+1,O34-SUM(R34:X34),0),0))</f>
        <v>0</v>
      </c>
      <c r="AI34" s="326">
        <f>IF($E34=0,0,INDEX(Parameters!AB$43:AB$73,MATCH($E34,Parameters!$B$5:$B$35,0)))</f>
        <v>0</v>
      </c>
      <c r="AJ34" s="327">
        <f>IF($E34=0,0,INDEX(Parameters!AC$43:AC$73,MATCH($E34,Parameters!$B$5:$B$35,0)))</f>
        <v>0</v>
      </c>
      <c r="AK34" s="327">
        <f>IF($E34=0,0,INDEX(Parameters!AD$43:AD$73,MATCH($E34,Parameters!$B$5:$B$35,0)))</f>
        <v>0</v>
      </c>
      <c r="AL34" s="327">
        <f>IF($E34=0,0,INDEX(Parameters!AE$43:AE$73,MATCH($E34,Parameters!$B$5:$B$35,0)))</f>
        <v>0</v>
      </c>
      <c r="AM34" s="327">
        <f>IF($E34=0,0,INDEX(Parameters!AF$43:AF$73,MATCH($E34,Parameters!$B$5:$B$35,0)))</f>
        <v>0</v>
      </c>
      <c r="AN34" s="327">
        <f>IF($E34=0,0,INDEX(Parameters!AG$43:AG$73,MATCH($E34,Parameters!$B$5:$B$35,0)))</f>
        <v>0</v>
      </c>
      <c r="AO34" s="327">
        <f>IF($E34=0,0,INDEX(Parameters!AH$43:AH$73,MATCH($E34,Parameters!$B$5:$B$35,0)))</f>
        <v>0</v>
      </c>
      <c r="AP34" s="327">
        <f>IF($E34=0,0,INDEX(Parameters!AI$43:AI$73,MATCH($E34,Parameters!$B$5:$B$35,0)))</f>
        <v>0</v>
      </c>
      <c r="AQ34" s="328">
        <f>IF($E34=0,0,INDEX(Parameters!AJ$43:AJ$73,MATCH($E34,Parameters!$B$5:$B$35,0)))</f>
        <v>0</v>
      </c>
    </row>
    <row r="35" spans="1:43" ht="12.75" x14ac:dyDescent="0.2">
      <c r="A35" s="313" t="str">
        <f>'Base Costs'!A35</f>
        <v>ND0790</v>
      </c>
      <c r="B35" s="314" t="str">
        <f>'Base Costs'!B35</f>
        <v>Office equipment and minor assets</v>
      </c>
      <c r="C35" s="314" t="str">
        <f>'Base Costs'!C35</f>
        <v>Business support</v>
      </c>
      <c r="D35" s="333" t="str">
        <f>'Base Costs'!D35</f>
        <v>2018/19</v>
      </c>
      <c r="E35" s="333">
        <f>'Base Costs'!E35</f>
        <v>18</v>
      </c>
      <c r="F35" s="315"/>
      <c r="G35" s="315"/>
      <c r="H35" s="316">
        <f>'Input Data Sheet'!J35</f>
        <v>1</v>
      </c>
      <c r="I35" s="316"/>
      <c r="J35" s="316"/>
      <c r="K35" s="316"/>
      <c r="L35" s="316"/>
      <c r="M35" s="316"/>
      <c r="N35" s="316"/>
      <c r="O35" s="287">
        <f t="shared" si="2"/>
        <v>400000</v>
      </c>
      <c r="P35" s="320">
        <f>(1+AI35)*'Cost+LOA'!P35</f>
        <v>0</v>
      </c>
      <c r="Q35" s="287">
        <f>(1+AJ35)*'Cost+LOA'!Q35</f>
        <v>0</v>
      </c>
      <c r="R35" s="341">
        <f>(1+AK35)*'Cost+LOA'!R35</f>
        <v>80000</v>
      </c>
      <c r="S35" s="341">
        <f>(1+AL35)*'Cost+LOA'!S35</f>
        <v>80000</v>
      </c>
      <c r="T35" s="341">
        <f>(1+AM35)*'Cost+LOA'!T35</f>
        <v>80000</v>
      </c>
      <c r="U35" s="341">
        <f>(1+AN35)*'Cost+LOA'!U35</f>
        <v>80000</v>
      </c>
      <c r="V35" s="341">
        <f>(1+AO35)*'Cost+LOA'!V35</f>
        <v>80000</v>
      </c>
      <c r="W35" s="287">
        <f>(1+AP35)*'Cost+LOA'!W35</f>
        <v>0</v>
      </c>
      <c r="X35" s="321">
        <f>(1+AQ35)*'Cost+LOA'!X35</f>
        <v>0</v>
      </c>
      <c r="Y35" s="287">
        <f t="shared" si="3"/>
        <v>0</v>
      </c>
      <c r="Z35" s="287">
        <f t="shared" si="1"/>
        <v>0</v>
      </c>
      <c r="AA35" s="341">
        <f t="shared" si="1"/>
        <v>80000</v>
      </c>
      <c r="AB35" s="341">
        <f t="shared" si="1"/>
        <v>80000</v>
      </c>
      <c r="AC35" s="341">
        <f t="shared" si="1"/>
        <v>80000</v>
      </c>
      <c r="AD35" s="341">
        <f t="shared" si="1"/>
        <v>80000</v>
      </c>
      <c r="AE35" s="341">
        <f t="shared" si="1"/>
        <v>80000</v>
      </c>
      <c r="AF35" s="287">
        <f t="shared" si="1"/>
        <v>0</v>
      </c>
      <c r="AG35" s="287">
        <f t="shared" ref="AG35:AG98" si="4">IF($H35,X35,IF(AG$3=$D35,$O35,0))</f>
        <v>0</v>
      </c>
      <c r="AH35" s="322">
        <f>IF($H35,0,IFERROR(IF(VALUE(LEFT(D35,4))&gt;VALUE(LEFT(Parameters!$B$66,4))+1,O35-SUM(R35:X35),0),0))</f>
        <v>0</v>
      </c>
      <c r="AI35" s="326">
        <f>IF($E35=0,0,INDEX(Parameters!AB$43:AB$73,MATCH($E35,Parameters!$B$5:$B$35,0)))</f>
        <v>0</v>
      </c>
      <c r="AJ35" s="327">
        <f>IF($E35=0,0,INDEX(Parameters!AC$43:AC$73,MATCH($E35,Parameters!$B$5:$B$35,0)))</f>
        <v>0</v>
      </c>
      <c r="AK35" s="327">
        <f>IF($E35=0,0,INDEX(Parameters!AD$43:AD$73,MATCH($E35,Parameters!$B$5:$B$35,0)))</f>
        <v>0</v>
      </c>
      <c r="AL35" s="327">
        <f>IF($E35=0,0,INDEX(Parameters!AE$43:AE$73,MATCH($E35,Parameters!$B$5:$B$35,0)))</f>
        <v>0</v>
      </c>
      <c r="AM35" s="327">
        <f>IF($E35=0,0,INDEX(Parameters!AF$43:AF$73,MATCH($E35,Parameters!$B$5:$B$35,0)))</f>
        <v>0</v>
      </c>
      <c r="AN35" s="327">
        <f>IF($E35=0,0,INDEX(Parameters!AG$43:AG$73,MATCH($E35,Parameters!$B$5:$B$35,0)))</f>
        <v>0</v>
      </c>
      <c r="AO35" s="327">
        <f>IF($E35=0,0,INDEX(Parameters!AH$43:AH$73,MATCH($E35,Parameters!$B$5:$B$35,0)))</f>
        <v>0</v>
      </c>
      <c r="AP35" s="327">
        <f>IF($E35=0,0,INDEX(Parameters!AI$43:AI$73,MATCH($E35,Parameters!$B$5:$B$35,0)))</f>
        <v>0</v>
      </c>
      <c r="AQ35" s="328">
        <f>IF($E35=0,0,INDEX(Parameters!AJ$43:AJ$73,MATCH($E35,Parameters!$B$5:$B$35,0)))</f>
        <v>0</v>
      </c>
    </row>
    <row r="36" spans="1:43" ht="12.75" x14ac:dyDescent="0.2">
      <c r="A36" s="313" t="str">
        <f>'Base Costs'!A36</f>
        <v>ND1348</v>
      </c>
      <c r="B36" s="314" t="str">
        <f>'Base Costs'!B36</f>
        <v>Operations Building accommodation expansion</v>
      </c>
      <c r="C36" s="314" t="str">
        <f>'Base Costs'!C36</f>
        <v>Business Support</v>
      </c>
      <c r="D36" s="333" t="str">
        <f>'Base Costs'!D36</f>
        <v>2014/15</v>
      </c>
      <c r="E36" s="333">
        <f>'Base Costs'!E36</f>
        <v>0</v>
      </c>
      <c r="F36" s="315"/>
      <c r="G36" s="315"/>
      <c r="H36" s="316">
        <f>'Input Data Sheet'!J36</f>
        <v>0</v>
      </c>
      <c r="I36" s="316"/>
      <c r="J36" s="316"/>
      <c r="K36" s="316"/>
      <c r="L36" s="316"/>
      <c r="M36" s="316"/>
      <c r="N36" s="316"/>
      <c r="O36" s="287">
        <f t="shared" si="2"/>
        <v>400046.88241434947</v>
      </c>
      <c r="P36" s="320">
        <f>(1+AI36)*'Cost+LOA'!P36</f>
        <v>0</v>
      </c>
      <c r="Q36" s="287">
        <f>(1+AJ36)*'Cost+LOA'!Q36</f>
        <v>157217.42431432096</v>
      </c>
      <c r="R36" s="341">
        <f>(1+AK36)*'Cost+LOA'!R36</f>
        <v>242829.45810002848</v>
      </c>
      <c r="S36" s="341">
        <f>(1+AL36)*'Cost+LOA'!S36</f>
        <v>0</v>
      </c>
      <c r="T36" s="341">
        <f>(1+AM36)*'Cost+LOA'!T36</f>
        <v>0</v>
      </c>
      <c r="U36" s="341">
        <f>(1+AN36)*'Cost+LOA'!U36</f>
        <v>0</v>
      </c>
      <c r="V36" s="341">
        <f>(1+AO36)*'Cost+LOA'!V36</f>
        <v>0</v>
      </c>
      <c r="W36" s="287">
        <f>(1+AP36)*'Cost+LOA'!W36</f>
        <v>0</v>
      </c>
      <c r="X36" s="321">
        <f>(1+AQ36)*'Cost+LOA'!X36</f>
        <v>0</v>
      </c>
      <c r="Y36" s="287">
        <f t="shared" si="3"/>
        <v>0</v>
      </c>
      <c r="Z36" s="287">
        <f t="shared" si="3"/>
        <v>0</v>
      </c>
      <c r="AA36" s="341">
        <f t="shared" si="3"/>
        <v>400046.88241434947</v>
      </c>
      <c r="AB36" s="341">
        <f t="shared" si="3"/>
        <v>0</v>
      </c>
      <c r="AC36" s="341">
        <f t="shared" si="3"/>
        <v>0</v>
      </c>
      <c r="AD36" s="341">
        <f t="shared" si="3"/>
        <v>0</v>
      </c>
      <c r="AE36" s="341">
        <f t="shared" si="3"/>
        <v>0</v>
      </c>
      <c r="AF36" s="287">
        <f t="shared" si="3"/>
        <v>0</v>
      </c>
      <c r="AG36" s="287">
        <f t="shared" si="4"/>
        <v>0</v>
      </c>
      <c r="AH36" s="322">
        <f>IF($H36,0,IFERROR(IF(VALUE(LEFT(D36,4))&gt;VALUE(LEFT(Parameters!$B$66,4))+1,O36-SUM(R36:X36),0),0))</f>
        <v>157217.42431432099</v>
      </c>
      <c r="AI36" s="326">
        <f>IF($E36=0,0,INDEX(Parameters!AB$43:AB$73,MATCH($E36,Parameters!$B$5:$B$35,0)))</f>
        <v>0</v>
      </c>
      <c r="AJ36" s="327">
        <f>IF($E36=0,0,INDEX(Parameters!AC$43:AC$73,MATCH($E36,Parameters!$B$5:$B$35,0)))</f>
        <v>0</v>
      </c>
      <c r="AK36" s="327">
        <f>IF($E36=0,0,INDEX(Parameters!AD$43:AD$73,MATCH($E36,Parameters!$B$5:$B$35,0)))</f>
        <v>0</v>
      </c>
      <c r="AL36" s="327">
        <f>IF($E36=0,0,INDEX(Parameters!AE$43:AE$73,MATCH($E36,Parameters!$B$5:$B$35,0)))</f>
        <v>0</v>
      </c>
      <c r="AM36" s="327">
        <f>IF($E36=0,0,INDEX(Parameters!AF$43:AF$73,MATCH($E36,Parameters!$B$5:$B$35,0)))</f>
        <v>0</v>
      </c>
      <c r="AN36" s="327">
        <f>IF($E36=0,0,INDEX(Parameters!AG$43:AG$73,MATCH($E36,Parameters!$B$5:$B$35,0)))</f>
        <v>0</v>
      </c>
      <c r="AO36" s="327">
        <f>IF($E36=0,0,INDEX(Parameters!AH$43:AH$73,MATCH($E36,Parameters!$B$5:$B$35,0)))</f>
        <v>0</v>
      </c>
      <c r="AP36" s="327">
        <f>IF($E36=0,0,INDEX(Parameters!AI$43:AI$73,MATCH($E36,Parameters!$B$5:$B$35,0)))</f>
        <v>0</v>
      </c>
      <c r="AQ36" s="328">
        <f>IF($E36=0,0,INDEX(Parameters!AJ$43:AJ$73,MATCH($E36,Parameters!$B$5:$B$35,0)))</f>
        <v>0</v>
      </c>
    </row>
    <row r="37" spans="1:43" ht="12.75" x14ac:dyDescent="0.2">
      <c r="A37" s="313" t="str">
        <f>'Base Costs'!A37</f>
        <v>ND1221</v>
      </c>
      <c r="B37" s="314" t="str">
        <f>'Base Costs'!B37</f>
        <v>Operations Building air conditioning renewal</v>
      </c>
      <c r="C37" s="314" t="str">
        <f>'Base Costs'!C37</f>
        <v>Business support</v>
      </c>
      <c r="D37" s="333" t="str">
        <f>'Base Costs'!D37</f>
        <v>2018/19</v>
      </c>
      <c r="E37" s="333">
        <f>'Base Costs'!E37</f>
        <v>18</v>
      </c>
      <c r="F37" s="315"/>
      <c r="G37" s="315"/>
      <c r="H37" s="316">
        <f>'Input Data Sheet'!J37</f>
        <v>0</v>
      </c>
      <c r="I37" s="316"/>
      <c r="J37" s="316"/>
      <c r="K37" s="316"/>
      <c r="L37" s="316"/>
      <c r="M37" s="316"/>
      <c r="N37" s="316"/>
      <c r="O37" s="287">
        <f t="shared" si="2"/>
        <v>346150</v>
      </c>
      <c r="P37" s="320">
        <f>(1+AI37)*'Cost+LOA'!P37</f>
        <v>0</v>
      </c>
      <c r="Q37" s="287">
        <f>(1+AJ37)*'Cost+LOA'!Q37</f>
        <v>0</v>
      </c>
      <c r="R37" s="341">
        <f>(1+AK37)*'Cost+LOA'!R37</f>
        <v>159850</v>
      </c>
      <c r="S37" s="341">
        <f>(1+AL37)*'Cost+LOA'!S37</f>
        <v>46000</v>
      </c>
      <c r="T37" s="341">
        <f>(1+AM37)*'Cost+LOA'!T37</f>
        <v>51750</v>
      </c>
      <c r="U37" s="341">
        <f>(1+AN37)*'Cost+LOA'!U37</f>
        <v>56350</v>
      </c>
      <c r="V37" s="341">
        <f>(1+AO37)*'Cost+LOA'!V37</f>
        <v>32200</v>
      </c>
      <c r="W37" s="287">
        <f>(1+AP37)*'Cost+LOA'!W37</f>
        <v>0</v>
      </c>
      <c r="X37" s="321">
        <f>(1+AQ37)*'Cost+LOA'!X37</f>
        <v>0</v>
      </c>
      <c r="Y37" s="287">
        <f t="shared" si="3"/>
        <v>0</v>
      </c>
      <c r="Z37" s="287">
        <f t="shared" si="3"/>
        <v>0</v>
      </c>
      <c r="AA37" s="341">
        <f t="shared" si="3"/>
        <v>0</v>
      </c>
      <c r="AB37" s="341">
        <f t="shared" si="3"/>
        <v>0</v>
      </c>
      <c r="AC37" s="341">
        <f t="shared" si="3"/>
        <v>0</v>
      </c>
      <c r="AD37" s="341">
        <f t="shared" si="3"/>
        <v>0</v>
      </c>
      <c r="AE37" s="341">
        <f t="shared" si="3"/>
        <v>346150</v>
      </c>
      <c r="AF37" s="287">
        <f t="shared" si="3"/>
        <v>0</v>
      </c>
      <c r="AG37" s="287">
        <f t="shared" si="4"/>
        <v>0</v>
      </c>
      <c r="AH37" s="322">
        <f>IF($H37,0,IFERROR(IF(VALUE(LEFT(D37,4))&gt;VALUE(LEFT(Parameters!$B$66,4))+1,O37-SUM(R37:X37),0),0))</f>
        <v>0</v>
      </c>
      <c r="AI37" s="326">
        <f>IF($E37=0,0,INDEX(Parameters!AB$43:AB$73,MATCH($E37,Parameters!$B$5:$B$35,0)))</f>
        <v>0</v>
      </c>
      <c r="AJ37" s="327">
        <f>IF($E37=0,0,INDEX(Parameters!AC$43:AC$73,MATCH($E37,Parameters!$B$5:$B$35,0)))</f>
        <v>0</v>
      </c>
      <c r="AK37" s="327">
        <f>IF($E37=0,0,INDEX(Parameters!AD$43:AD$73,MATCH($E37,Parameters!$B$5:$B$35,0)))</f>
        <v>0</v>
      </c>
      <c r="AL37" s="327">
        <f>IF($E37=0,0,INDEX(Parameters!AE$43:AE$73,MATCH($E37,Parameters!$B$5:$B$35,0)))</f>
        <v>0</v>
      </c>
      <c r="AM37" s="327">
        <f>IF($E37=0,0,INDEX(Parameters!AF$43:AF$73,MATCH($E37,Parameters!$B$5:$B$35,0)))</f>
        <v>0</v>
      </c>
      <c r="AN37" s="327">
        <f>IF($E37=0,0,INDEX(Parameters!AG$43:AG$73,MATCH($E37,Parameters!$B$5:$B$35,0)))</f>
        <v>0</v>
      </c>
      <c r="AO37" s="327">
        <f>IF($E37=0,0,INDEX(Parameters!AH$43:AH$73,MATCH($E37,Parameters!$B$5:$B$35,0)))</f>
        <v>0</v>
      </c>
      <c r="AP37" s="327">
        <f>IF($E37=0,0,INDEX(Parameters!AI$43:AI$73,MATCH($E37,Parameters!$B$5:$B$35,0)))</f>
        <v>0</v>
      </c>
      <c r="AQ37" s="328">
        <f>IF($E37=0,0,INDEX(Parameters!AJ$43:AJ$73,MATCH($E37,Parameters!$B$5:$B$35,0)))</f>
        <v>0</v>
      </c>
    </row>
    <row r="38" spans="1:43" ht="12.75" x14ac:dyDescent="0.2">
      <c r="A38" s="313" t="str">
        <f>'Base Costs'!A38</f>
        <v>ND1275</v>
      </c>
      <c r="B38" s="314" t="str">
        <f>'Base Costs'!B38</f>
        <v>Operations Building compliance program</v>
      </c>
      <c r="C38" s="314" t="str">
        <f>'Base Costs'!C38</f>
        <v>Business support</v>
      </c>
      <c r="D38" s="333" t="str">
        <f>'Base Costs'!D38</f>
        <v>2015/16</v>
      </c>
      <c r="E38" s="333">
        <f>'Base Costs'!E38</f>
        <v>18</v>
      </c>
      <c r="F38" s="315"/>
      <c r="G38" s="315"/>
      <c r="H38" s="316">
        <f>'Input Data Sheet'!J38</f>
        <v>0</v>
      </c>
      <c r="I38" s="316"/>
      <c r="J38" s="316"/>
      <c r="K38" s="316"/>
      <c r="L38" s="316"/>
      <c r="M38" s="316"/>
      <c r="N38" s="316"/>
      <c r="O38" s="287">
        <f t="shared" si="2"/>
        <v>700000</v>
      </c>
      <c r="P38" s="320">
        <f>(1+AI38)*'Cost+LOA'!P38</f>
        <v>0</v>
      </c>
      <c r="Q38" s="287">
        <f>(1+AJ38)*'Cost+LOA'!Q38</f>
        <v>0</v>
      </c>
      <c r="R38" s="341">
        <f>(1+AK38)*'Cost+LOA'!R38</f>
        <v>105000</v>
      </c>
      <c r="S38" s="341">
        <f>(1+AL38)*'Cost+LOA'!S38</f>
        <v>595000</v>
      </c>
      <c r="T38" s="341">
        <f>(1+AM38)*'Cost+LOA'!T38</f>
        <v>0</v>
      </c>
      <c r="U38" s="341">
        <f>(1+AN38)*'Cost+LOA'!U38</f>
        <v>0</v>
      </c>
      <c r="V38" s="341">
        <f>(1+AO38)*'Cost+LOA'!V38</f>
        <v>0</v>
      </c>
      <c r="W38" s="287">
        <f>(1+AP38)*'Cost+LOA'!W38</f>
        <v>0</v>
      </c>
      <c r="X38" s="321">
        <f>(1+AQ38)*'Cost+LOA'!X38</f>
        <v>0</v>
      </c>
      <c r="Y38" s="287">
        <f t="shared" si="3"/>
        <v>0</v>
      </c>
      <c r="Z38" s="287">
        <f t="shared" si="3"/>
        <v>0</v>
      </c>
      <c r="AA38" s="341">
        <f t="shared" si="3"/>
        <v>0</v>
      </c>
      <c r="AB38" s="341">
        <f t="shared" si="3"/>
        <v>700000</v>
      </c>
      <c r="AC38" s="341">
        <f t="shared" si="3"/>
        <v>0</v>
      </c>
      <c r="AD38" s="341">
        <f t="shared" si="3"/>
        <v>0</v>
      </c>
      <c r="AE38" s="341">
        <f t="shared" si="3"/>
        <v>0</v>
      </c>
      <c r="AF38" s="287">
        <f t="shared" si="3"/>
        <v>0</v>
      </c>
      <c r="AG38" s="287">
        <f t="shared" si="4"/>
        <v>0</v>
      </c>
      <c r="AH38" s="322">
        <f>IF($H38,0,IFERROR(IF(VALUE(LEFT(D38,4))&gt;VALUE(LEFT(Parameters!$B$66,4))+1,O38-SUM(R38:X38),0),0))</f>
        <v>0</v>
      </c>
      <c r="AI38" s="326">
        <f>IF($E38=0,0,INDEX(Parameters!AB$43:AB$73,MATCH($E38,Parameters!$B$5:$B$35,0)))</f>
        <v>0</v>
      </c>
      <c r="AJ38" s="327">
        <f>IF($E38=0,0,INDEX(Parameters!AC$43:AC$73,MATCH($E38,Parameters!$B$5:$B$35,0)))</f>
        <v>0</v>
      </c>
      <c r="AK38" s="327">
        <f>IF($E38=0,0,INDEX(Parameters!AD$43:AD$73,MATCH($E38,Parameters!$B$5:$B$35,0)))</f>
        <v>0</v>
      </c>
      <c r="AL38" s="327">
        <f>IF($E38=0,0,INDEX(Parameters!AE$43:AE$73,MATCH($E38,Parameters!$B$5:$B$35,0)))</f>
        <v>0</v>
      </c>
      <c r="AM38" s="327">
        <f>IF($E38=0,0,INDEX(Parameters!AF$43:AF$73,MATCH($E38,Parameters!$B$5:$B$35,0)))</f>
        <v>0</v>
      </c>
      <c r="AN38" s="327">
        <f>IF($E38=0,0,INDEX(Parameters!AG$43:AG$73,MATCH($E38,Parameters!$B$5:$B$35,0)))</f>
        <v>0</v>
      </c>
      <c r="AO38" s="327">
        <f>IF($E38=0,0,INDEX(Parameters!AH$43:AH$73,MATCH($E38,Parameters!$B$5:$B$35,0)))</f>
        <v>0</v>
      </c>
      <c r="AP38" s="327">
        <f>IF($E38=0,0,INDEX(Parameters!AI$43:AI$73,MATCH($E38,Parameters!$B$5:$B$35,0)))</f>
        <v>0</v>
      </c>
      <c r="AQ38" s="328">
        <f>IF($E38=0,0,INDEX(Parameters!AJ$43:AJ$73,MATCH($E38,Parameters!$B$5:$B$35,0)))</f>
        <v>0</v>
      </c>
    </row>
    <row r="39" spans="1:43" ht="13.8" x14ac:dyDescent="0.3">
      <c r="A39" s="313" t="str">
        <f>'Base Costs'!A39</f>
        <v>ND1253</v>
      </c>
      <c r="B39" s="314" t="str">
        <f>'Base Costs'!B39</f>
        <v>Port Latta Substation structure renewal</v>
      </c>
      <c r="C39" s="314" t="str">
        <f>'Base Costs'!C39</f>
        <v>Asset Renewal</v>
      </c>
      <c r="D39" s="333" t="str">
        <f>'Base Costs'!D39</f>
        <v>2014/15</v>
      </c>
      <c r="E39" s="333">
        <f>'Base Costs'!E39</f>
        <v>9</v>
      </c>
      <c r="F39" s="315"/>
      <c r="G39" s="315"/>
      <c r="H39" s="316">
        <f>'Input Data Sheet'!J39</f>
        <v>0</v>
      </c>
      <c r="I39" s="316"/>
      <c r="J39" s="316"/>
      <c r="K39" s="316"/>
      <c r="L39" s="316"/>
      <c r="M39" s="316"/>
      <c r="N39" s="316"/>
      <c r="O39" s="287">
        <f t="shared" si="2"/>
        <v>1520925.4555577175</v>
      </c>
      <c r="P39" s="320">
        <f>(1+AI39)*'Cost+LOA'!P39</f>
        <v>0</v>
      </c>
      <c r="Q39" s="287">
        <f>(1+AJ39)*'Cost+LOA'!Q39</f>
        <v>22934.860352748536</v>
      </c>
      <c r="R39" s="341">
        <f>(1+AK39)*'Cost+LOA'!R39</f>
        <v>1497990.5952049689</v>
      </c>
      <c r="S39" s="341">
        <f>(1+AL39)*'Cost+LOA'!S39</f>
        <v>0</v>
      </c>
      <c r="T39" s="341">
        <f>(1+AM39)*'Cost+LOA'!T39</f>
        <v>0</v>
      </c>
      <c r="U39" s="341">
        <f>(1+AN39)*'Cost+LOA'!U39</f>
        <v>0</v>
      </c>
      <c r="V39" s="341">
        <f>(1+AO39)*'Cost+LOA'!V39</f>
        <v>0</v>
      </c>
      <c r="W39" s="287">
        <f>(1+AP39)*'Cost+LOA'!W39</f>
        <v>0</v>
      </c>
      <c r="X39" s="321">
        <f>(1+AQ39)*'Cost+LOA'!X39</f>
        <v>0</v>
      </c>
      <c r="Y39" s="287">
        <f t="shared" si="3"/>
        <v>0</v>
      </c>
      <c r="Z39" s="287">
        <f t="shared" si="3"/>
        <v>0</v>
      </c>
      <c r="AA39" s="341">
        <f t="shared" si="3"/>
        <v>1520925.4555577175</v>
      </c>
      <c r="AB39" s="341">
        <f t="shared" si="3"/>
        <v>0</v>
      </c>
      <c r="AC39" s="341">
        <f t="shared" si="3"/>
        <v>0</v>
      </c>
      <c r="AD39" s="341">
        <f t="shared" si="3"/>
        <v>0</v>
      </c>
      <c r="AE39" s="341">
        <f t="shared" si="3"/>
        <v>0</v>
      </c>
      <c r="AF39" s="287">
        <f t="shared" si="3"/>
        <v>0</v>
      </c>
      <c r="AG39" s="287">
        <f t="shared" si="4"/>
        <v>0</v>
      </c>
      <c r="AH39" s="322">
        <f>IF($H39,0,IFERROR(IF(VALUE(LEFT(D39,4))&gt;VALUE(LEFT(Parameters!$B$66,4))+1,O39-SUM(R39:X39),0),0))</f>
        <v>22934.860352748539</v>
      </c>
      <c r="AI39" s="326">
        <f>IF($E39=0,0,INDEX(Parameters!AB$43:AB$73,MATCH($E39,Parameters!$B$5:$B$35,0)))</f>
        <v>1.6011916566173175E-2</v>
      </c>
      <c r="AJ39" s="327">
        <f>IF($E39=0,0,INDEX(Parameters!AC$43:AC$73,MATCH($E39,Parameters!$B$5:$B$35,0)))</f>
        <v>2.220334349611542E-2</v>
      </c>
      <c r="AK39" s="327">
        <f>IF($E39=0,0,INDEX(Parameters!AD$43:AD$73,MATCH($E39,Parameters!$B$5:$B$35,0)))</f>
        <v>2.1993304367171077E-2</v>
      </c>
      <c r="AL39" s="327">
        <f>IF($E39=0,0,INDEX(Parameters!AE$43:AE$73,MATCH($E39,Parameters!$B$5:$B$35,0)))</f>
        <v>3.2181884218510155E-2</v>
      </c>
      <c r="AM39" s="327">
        <f>IF($E39=0,0,INDEX(Parameters!AF$43:AF$73,MATCH($E39,Parameters!$B$5:$B$35,0)))</f>
        <v>4.5389124224014796E-2</v>
      </c>
      <c r="AN39" s="327">
        <f>IF($E39=0,0,INDEX(Parameters!AG$43:AG$73,MATCH($E39,Parameters!$B$5:$B$35,0)))</f>
        <v>5.8163726771146271E-2</v>
      </c>
      <c r="AO39" s="327">
        <f>IF($E39=0,0,INDEX(Parameters!AH$43:AH$73,MATCH($E39,Parameters!$B$5:$B$35,0)))</f>
        <v>6.9786661473551642E-2</v>
      </c>
      <c r="AP39" s="327">
        <f>IF($E39=0,0,INDEX(Parameters!AI$43:AI$73,MATCH($E39,Parameters!$B$5:$B$35,0)))</f>
        <v>6.9786661473551642E-2</v>
      </c>
      <c r="AQ39" s="328">
        <f>IF($E39=0,0,INDEX(Parameters!AJ$43:AJ$73,MATCH($E39,Parameters!$B$5:$B$35,0)))</f>
        <v>6.9786661473551642E-2</v>
      </c>
    </row>
    <row r="40" spans="1:43" ht="13.8" x14ac:dyDescent="0.3">
      <c r="A40" s="313" t="str">
        <f>'Base Costs'!A40</f>
        <v>ND0958</v>
      </c>
      <c r="B40" s="314" t="str">
        <f>'Base Costs'!B40</f>
        <v>Queenstown Substation Transformer T1 replacement</v>
      </c>
      <c r="C40" s="314" t="str">
        <f>'Base Costs'!C40</f>
        <v>Asset Renewal</v>
      </c>
      <c r="D40" s="333" t="str">
        <f>'Base Costs'!D40</f>
        <v>2014/15</v>
      </c>
      <c r="E40" s="333">
        <f>'Base Costs'!E40</f>
        <v>0</v>
      </c>
      <c r="F40" s="315"/>
      <c r="G40" s="315"/>
      <c r="H40" s="316">
        <f>'Input Data Sheet'!J40</f>
        <v>0</v>
      </c>
      <c r="I40" s="316"/>
      <c r="J40" s="316"/>
      <c r="K40" s="316"/>
      <c r="L40" s="316"/>
      <c r="M40" s="316"/>
      <c r="N40" s="316"/>
      <c r="O40" s="287">
        <f t="shared" si="2"/>
        <v>14292.493119483725</v>
      </c>
      <c r="P40" s="320">
        <f>(1+AI40)*'Cost+LOA'!P40</f>
        <v>0</v>
      </c>
      <c r="Q40" s="287">
        <f>(1+AJ40)*'Cost+LOA'!Q40</f>
        <v>0</v>
      </c>
      <c r="R40" s="341">
        <f>(1+AK40)*'Cost+LOA'!R40</f>
        <v>14292.493119483725</v>
      </c>
      <c r="S40" s="341">
        <f>(1+AL40)*'Cost+LOA'!S40</f>
        <v>0</v>
      </c>
      <c r="T40" s="341">
        <f>(1+AM40)*'Cost+LOA'!T40</f>
        <v>0</v>
      </c>
      <c r="U40" s="341">
        <f>(1+AN40)*'Cost+LOA'!U40</f>
        <v>0</v>
      </c>
      <c r="V40" s="341">
        <f>(1+AO40)*'Cost+LOA'!V40</f>
        <v>0</v>
      </c>
      <c r="W40" s="287">
        <f>(1+AP40)*'Cost+LOA'!W40</f>
        <v>0</v>
      </c>
      <c r="X40" s="321">
        <f>(1+AQ40)*'Cost+LOA'!X40</f>
        <v>0</v>
      </c>
      <c r="Y40" s="287">
        <f t="shared" si="3"/>
        <v>0</v>
      </c>
      <c r="Z40" s="287">
        <f t="shared" si="3"/>
        <v>0</v>
      </c>
      <c r="AA40" s="341">
        <f t="shared" si="3"/>
        <v>14292.493119483725</v>
      </c>
      <c r="AB40" s="341">
        <f t="shared" si="3"/>
        <v>0</v>
      </c>
      <c r="AC40" s="341">
        <f t="shared" si="3"/>
        <v>0</v>
      </c>
      <c r="AD40" s="341">
        <f t="shared" si="3"/>
        <v>0</v>
      </c>
      <c r="AE40" s="341">
        <f t="shared" si="3"/>
        <v>0</v>
      </c>
      <c r="AF40" s="287">
        <f t="shared" si="3"/>
        <v>0</v>
      </c>
      <c r="AG40" s="287">
        <f t="shared" si="4"/>
        <v>0</v>
      </c>
      <c r="AH40" s="322">
        <f>IF($H40,0,IFERROR(IF(VALUE(LEFT(D40,4))&gt;VALUE(LEFT(Parameters!$B$66,4))+1,O40-SUM(R40:X40),0),0))</f>
        <v>0</v>
      </c>
      <c r="AI40" s="326">
        <f>IF($E40=0,0,INDEX(Parameters!AB$43:AB$73,MATCH($E40,Parameters!$B$5:$B$35,0)))</f>
        <v>0</v>
      </c>
      <c r="AJ40" s="327">
        <f>IF($E40=0,0,INDEX(Parameters!AC$43:AC$73,MATCH($E40,Parameters!$B$5:$B$35,0)))</f>
        <v>0</v>
      </c>
      <c r="AK40" s="327">
        <f>IF($E40=0,0,INDEX(Parameters!AD$43:AD$73,MATCH($E40,Parameters!$B$5:$B$35,0)))</f>
        <v>0</v>
      </c>
      <c r="AL40" s="327">
        <f>IF($E40=0,0,INDEX(Parameters!AE$43:AE$73,MATCH($E40,Parameters!$B$5:$B$35,0)))</f>
        <v>0</v>
      </c>
      <c r="AM40" s="327">
        <f>IF($E40=0,0,INDEX(Parameters!AF$43:AF$73,MATCH($E40,Parameters!$B$5:$B$35,0)))</f>
        <v>0</v>
      </c>
      <c r="AN40" s="327">
        <f>IF($E40=0,0,INDEX(Parameters!AG$43:AG$73,MATCH($E40,Parameters!$B$5:$B$35,0)))</f>
        <v>0</v>
      </c>
      <c r="AO40" s="327">
        <f>IF($E40=0,0,INDEX(Parameters!AH$43:AH$73,MATCH($E40,Parameters!$B$5:$B$35,0)))</f>
        <v>0</v>
      </c>
      <c r="AP40" s="327">
        <f>IF($E40=0,0,INDEX(Parameters!AI$43:AI$73,MATCH($E40,Parameters!$B$5:$B$35,0)))</f>
        <v>0</v>
      </c>
      <c r="AQ40" s="328">
        <f>IF($E40=0,0,INDEX(Parameters!AJ$43:AJ$73,MATCH($E40,Parameters!$B$5:$B$35,0)))</f>
        <v>0</v>
      </c>
    </row>
    <row r="41" spans="1:43" ht="13.8" x14ac:dyDescent="0.3">
      <c r="A41" s="313" t="str">
        <f>'Base Costs'!A41</f>
        <v>ND1254</v>
      </c>
      <c r="B41" s="314" t="str">
        <f>'Base Costs'!B41</f>
        <v>Railton Substation 110 kV post insulator and busbar renewal</v>
      </c>
      <c r="C41" s="314" t="str">
        <f>'Base Costs'!C41</f>
        <v>Asset Renewal</v>
      </c>
      <c r="D41" s="333" t="str">
        <f>'Base Costs'!D41</f>
        <v>2015/16</v>
      </c>
      <c r="E41" s="333">
        <f>'Base Costs'!E41</f>
        <v>9</v>
      </c>
      <c r="F41" s="315"/>
      <c r="G41" s="315"/>
      <c r="H41" s="316">
        <f>'Input Data Sheet'!J41</f>
        <v>0</v>
      </c>
      <c r="I41" s="316"/>
      <c r="J41" s="316"/>
      <c r="K41" s="316"/>
      <c r="L41" s="316"/>
      <c r="M41" s="316"/>
      <c r="N41" s="316"/>
      <c r="O41" s="287">
        <f t="shared" si="2"/>
        <v>1032922.1911292017</v>
      </c>
      <c r="P41" s="320">
        <f>(1+AI41)*'Cost+LOA'!P41</f>
        <v>0</v>
      </c>
      <c r="Q41" s="287">
        <f>(1+AJ41)*'Cost+LOA'!Q41</f>
        <v>138825.13493910246</v>
      </c>
      <c r="R41" s="341">
        <f>(1+AK41)*'Cost+LOA'!R41</f>
        <v>618564.24425510701</v>
      </c>
      <c r="S41" s="341">
        <f>(1+AL41)*'Cost+LOA'!S41</f>
        <v>275532.81193499221</v>
      </c>
      <c r="T41" s="341">
        <f>(1+AM41)*'Cost+LOA'!T41</f>
        <v>0</v>
      </c>
      <c r="U41" s="341">
        <f>(1+AN41)*'Cost+LOA'!U41</f>
        <v>0</v>
      </c>
      <c r="V41" s="341">
        <f>(1+AO41)*'Cost+LOA'!V41</f>
        <v>0</v>
      </c>
      <c r="W41" s="287">
        <f>(1+AP41)*'Cost+LOA'!W41</f>
        <v>0</v>
      </c>
      <c r="X41" s="321">
        <f>(1+AQ41)*'Cost+LOA'!X41</f>
        <v>0</v>
      </c>
      <c r="Y41" s="287">
        <f t="shared" si="3"/>
        <v>0</v>
      </c>
      <c r="Z41" s="287">
        <f t="shared" si="3"/>
        <v>0</v>
      </c>
      <c r="AA41" s="341">
        <f t="shared" si="3"/>
        <v>0</v>
      </c>
      <c r="AB41" s="341">
        <f t="shared" si="3"/>
        <v>1032922.1911292017</v>
      </c>
      <c r="AC41" s="341">
        <f t="shared" si="3"/>
        <v>0</v>
      </c>
      <c r="AD41" s="341">
        <f t="shared" si="3"/>
        <v>0</v>
      </c>
      <c r="AE41" s="341">
        <f t="shared" si="3"/>
        <v>0</v>
      </c>
      <c r="AF41" s="287">
        <f t="shared" si="3"/>
        <v>0</v>
      </c>
      <c r="AG41" s="287">
        <f t="shared" si="4"/>
        <v>0</v>
      </c>
      <c r="AH41" s="322">
        <f>IF($H41,0,IFERROR(IF(VALUE(LEFT(D41,4))&gt;VALUE(LEFT(Parameters!$B$66,4))+1,O41-SUM(R41:X41),0),0))</f>
        <v>138825.13493910246</v>
      </c>
      <c r="AI41" s="326">
        <f>IF($E41=0,0,INDEX(Parameters!AB$43:AB$73,MATCH($E41,Parameters!$B$5:$B$35,0)))</f>
        <v>1.6011916566173175E-2</v>
      </c>
      <c r="AJ41" s="327">
        <f>IF($E41=0,0,INDEX(Parameters!AC$43:AC$73,MATCH($E41,Parameters!$B$5:$B$35,0)))</f>
        <v>2.220334349611542E-2</v>
      </c>
      <c r="AK41" s="327">
        <f>IF($E41=0,0,INDEX(Parameters!AD$43:AD$73,MATCH($E41,Parameters!$B$5:$B$35,0)))</f>
        <v>2.1993304367171077E-2</v>
      </c>
      <c r="AL41" s="327">
        <f>IF($E41=0,0,INDEX(Parameters!AE$43:AE$73,MATCH($E41,Parameters!$B$5:$B$35,0)))</f>
        <v>3.2181884218510155E-2</v>
      </c>
      <c r="AM41" s="327">
        <f>IF($E41=0,0,INDEX(Parameters!AF$43:AF$73,MATCH($E41,Parameters!$B$5:$B$35,0)))</f>
        <v>4.5389124224014796E-2</v>
      </c>
      <c r="AN41" s="327">
        <f>IF($E41=0,0,INDEX(Parameters!AG$43:AG$73,MATCH($E41,Parameters!$B$5:$B$35,0)))</f>
        <v>5.8163726771146271E-2</v>
      </c>
      <c r="AO41" s="327">
        <f>IF($E41=0,0,INDEX(Parameters!AH$43:AH$73,MATCH($E41,Parameters!$B$5:$B$35,0)))</f>
        <v>6.9786661473551642E-2</v>
      </c>
      <c r="AP41" s="327">
        <f>IF($E41=0,0,INDEX(Parameters!AI$43:AI$73,MATCH($E41,Parameters!$B$5:$B$35,0)))</f>
        <v>6.9786661473551642E-2</v>
      </c>
      <c r="AQ41" s="328">
        <f>IF($E41=0,0,INDEX(Parameters!AJ$43:AJ$73,MATCH($E41,Parameters!$B$5:$B$35,0)))</f>
        <v>6.9786661473551642E-2</v>
      </c>
    </row>
    <row r="42" spans="1:43" ht="13.8" x14ac:dyDescent="0.3">
      <c r="A42" s="313" t="str">
        <f>'Base Costs'!A42</f>
        <v>ND1308</v>
      </c>
      <c r="B42" s="314" t="str">
        <f>'Base Costs'!B42</f>
        <v>Reyrolle Type LMT Switchgear renewal program</v>
      </c>
      <c r="C42" s="314" t="str">
        <f>'Base Costs'!C42</f>
        <v>Asset Renewal</v>
      </c>
      <c r="D42" s="333" t="str">
        <f>'Base Costs'!D42</f>
        <v>2016/17</v>
      </c>
      <c r="E42" s="333">
        <f>'Base Costs'!E42</f>
        <v>9</v>
      </c>
      <c r="F42" s="315"/>
      <c r="G42" s="315"/>
      <c r="H42" s="316">
        <f>'Input Data Sheet'!J42</f>
        <v>1</v>
      </c>
      <c r="I42" s="316"/>
      <c r="J42" s="316"/>
      <c r="K42" s="316"/>
      <c r="L42" s="316"/>
      <c r="M42" s="316"/>
      <c r="N42" s="316"/>
      <c r="O42" s="287">
        <f t="shared" ref="O42:O100" si="5">SUM(P42:X42)</f>
        <v>3451502.0136637506</v>
      </c>
      <c r="P42" s="320">
        <f>(1+AI42)*'Cost+LOA'!P42</f>
        <v>0</v>
      </c>
      <c r="Q42" s="287">
        <f>(1+AJ42)*'Cost+LOA'!Q42</f>
        <v>0</v>
      </c>
      <c r="R42" s="341">
        <f>(1+AK42)*'Cost+LOA'!R42</f>
        <v>459488.83104647801</v>
      </c>
      <c r="S42" s="341">
        <f>(1+AL42)*'Cost+LOA'!S42</f>
        <v>2068183.4481251403</v>
      </c>
      <c r="T42" s="341">
        <f>(1+AM42)*'Cost+LOA'!T42</f>
        <v>923829.73449213244</v>
      </c>
      <c r="U42" s="341">
        <f>(1+AN42)*'Cost+LOA'!U42</f>
        <v>0</v>
      </c>
      <c r="V42" s="341">
        <f>(1+AO42)*'Cost+LOA'!V42</f>
        <v>0</v>
      </c>
      <c r="W42" s="287">
        <f>(1+AP42)*'Cost+LOA'!W42</f>
        <v>0</v>
      </c>
      <c r="X42" s="321">
        <f>(1+AQ42)*'Cost+LOA'!X42</f>
        <v>0</v>
      </c>
      <c r="Y42" s="287">
        <f t="shared" si="3"/>
        <v>0</v>
      </c>
      <c r="Z42" s="287">
        <f t="shared" si="3"/>
        <v>0</v>
      </c>
      <c r="AA42" s="341">
        <f t="shared" si="3"/>
        <v>459488.83104647801</v>
      </c>
      <c r="AB42" s="341">
        <f t="shared" si="3"/>
        <v>2068183.4481251403</v>
      </c>
      <c r="AC42" s="341">
        <f t="shared" si="3"/>
        <v>923829.73449213244</v>
      </c>
      <c r="AD42" s="341">
        <f t="shared" si="3"/>
        <v>0</v>
      </c>
      <c r="AE42" s="341">
        <f t="shared" si="3"/>
        <v>0</v>
      </c>
      <c r="AF42" s="287">
        <f t="shared" si="3"/>
        <v>0</v>
      </c>
      <c r="AG42" s="287">
        <f t="shared" si="4"/>
        <v>0</v>
      </c>
      <c r="AH42" s="322">
        <f>IF($H42,0,IFERROR(IF(VALUE(LEFT(D42,4))&gt;VALUE(LEFT(Parameters!$B$66,4))+1,O42-SUM(R42:X42),0),0))</f>
        <v>0</v>
      </c>
      <c r="AI42" s="326">
        <f>IF($E42=0,0,INDEX(Parameters!AB$43:AB$73,MATCH($E42,Parameters!$B$5:$B$35,0)))</f>
        <v>1.6011916566173175E-2</v>
      </c>
      <c r="AJ42" s="327">
        <f>IF($E42=0,0,INDEX(Parameters!AC$43:AC$73,MATCH($E42,Parameters!$B$5:$B$35,0)))</f>
        <v>2.220334349611542E-2</v>
      </c>
      <c r="AK42" s="327">
        <f>IF($E42=0,0,INDEX(Parameters!AD$43:AD$73,MATCH($E42,Parameters!$B$5:$B$35,0)))</f>
        <v>2.1993304367171077E-2</v>
      </c>
      <c r="AL42" s="327">
        <f>IF($E42=0,0,INDEX(Parameters!AE$43:AE$73,MATCH($E42,Parameters!$B$5:$B$35,0)))</f>
        <v>3.2181884218510155E-2</v>
      </c>
      <c r="AM42" s="327">
        <f>IF($E42=0,0,INDEX(Parameters!AF$43:AF$73,MATCH($E42,Parameters!$B$5:$B$35,0)))</f>
        <v>4.5389124224014796E-2</v>
      </c>
      <c r="AN42" s="327">
        <f>IF($E42=0,0,INDEX(Parameters!AG$43:AG$73,MATCH($E42,Parameters!$B$5:$B$35,0)))</f>
        <v>5.8163726771146271E-2</v>
      </c>
      <c r="AO42" s="327">
        <f>IF($E42=0,0,INDEX(Parameters!AH$43:AH$73,MATCH($E42,Parameters!$B$5:$B$35,0)))</f>
        <v>6.9786661473551642E-2</v>
      </c>
      <c r="AP42" s="327">
        <f>IF($E42=0,0,INDEX(Parameters!AI$43:AI$73,MATCH($E42,Parameters!$B$5:$B$35,0)))</f>
        <v>6.9786661473551642E-2</v>
      </c>
      <c r="AQ42" s="328">
        <f>IF($E42=0,0,INDEX(Parameters!AJ$43:AJ$73,MATCH($E42,Parameters!$B$5:$B$35,0)))</f>
        <v>6.9786661473551642E-2</v>
      </c>
    </row>
    <row r="43" spans="1:43" ht="13.8" x14ac:dyDescent="0.3">
      <c r="A43" s="313" t="str">
        <f>'Base Costs'!A43</f>
        <v>ND1313</v>
      </c>
      <c r="B43" s="314" t="str">
        <f>'Base Costs'!B43</f>
        <v>Rosebery Substation transformer capacity augmentation</v>
      </c>
      <c r="C43" s="314" t="str">
        <f>'Base Costs'!C43</f>
        <v>Connection</v>
      </c>
      <c r="D43" s="333" t="str">
        <f>'Base Costs'!D43</f>
        <v>2016/17</v>
      </c>
      <c r="E43" s="333">
        <f>'Base Costs'!E43</f>
        <v>11</v>
      </c>
      <c r="F43" s="315"/>
      <c r="G43" s="315"/>
      <c r="H43" s="316">
        <f>'Input Data Sheet'!J43</f>
        <v>0</v>
      </c>
      <c r="I43" s="316"/>
      <c r="J43" s="316"/>
      <c r="K43" s="316"/>
      <c r="L43" s="316"/>
      <c r="M43" s="316"/>
      <c r="N43" s="316"/>
      <c r="O43" s="287">
        <f t="shared" si="5"/>
        <v>5845241.3468277836</v>
      </c>
      <c r="P43" s="320">
        <f>(1+AI43)*'Cost+LOA'!P43</f>
        <v>0</v>
      </c>
      <c r="Q43" s="287">
        <f>(1+AJ43)*'Cost+LOA'!Q43</f>
        <v>0</v>
      </c>
      <c r="R43" s="341">
        <f>(1+AK43)*'Cost+LOA'!R43</f>
        <v>665021.53863290895</v>
      </c>
      <c r="S43" s="341">
        <f>(1+AL43)*'Cost+LOA'!S43</f>
        <v>5067099.491848344</v>
      </c>
      <c r="T43" s="341">
        <f>(1+AM43)*'Cost+LOA'!T43</f>
        <v>113120.31634653044</v>
      </c>
      <c r="U43" s="341">
        <f>(1+AN43)*'Cost+LOA'!U43</f>
        <v>0</v>
      </c>
      <c r="V43" s="341">
        <f>(1+AO43)*'Cost+LOA'!V43</f>
        <v>0</v>
      </c>
      <c r="W43" s="287">
        <f>(1+AP43)*'Cost+LOA'!W43</f>
        <v>0</v>
      </c>
      <c r="X43" s="321">
        <f>(1+AQ43)*'Cost+LOA'!X43</f>
        <v>0</v>
      </c>
      <c r="Y43" s="287">
        <f t="shared" si="3"/>
        <v>0</v>
      </c>
      <c r="Z43" s="287">
        <f t="shared" si="3"/>
        <v>0</v>
      </c>
      <c r="AA43" s="341">
        <f t="shared" si="3"/>
        <v>0</v>
      </c>
      <c r="AB43" s="341">
        <f t="shared" si="3"/>
        <v>0</v>
      </c>
      <c r="AC43" s="341">
        <f t="shared" si="3"/>
        <v>5845241.3468277836</v>
      </c>
      <c r="AD43" s="341">
        <f t="shared" si="3"/>
        <v>0</v>
      </c>
      <c r="AE43" s="341">
        <f t="shared" si="3"/>
        <v>0</v>
      </c>
      <c r="AF43" s="287">
        <f t="shared" si="3"/>
        <v>0</v>
      </c>
      <c r="AG43" s="287">
        <f t="shared" si="4"/>
        <v>0</v>
      </c>
      <c r="AH43" s="322">
        <f>IF($H43,0,IFERROR(IF(VALUE(LEFT(D43,4))&gt;VALUE(LEFT(Parameters!$B$66,4))+1,O43-SUM(R43:X43),0),0))</f>
        <v>0</v>
      </c>
      <c r="AI43" s="326">
        <f>IF($E43=0,0,INDEX(Parameters!AB$43:AB$73,MATCH($E43,Parameters!$B$5:$B$35,0)))</f>
        <v>9.3362407106104169E-3</v>
      </c>
      <c r="AJ43" s="327">
        <f>IF($E43=0,0,INDEX(Parameters!AC$43:AC$73,MATCH($E43,Parameters!$B$5:$B$35,0)))</f>
        <v>2.7767890914151713E-2</v>
      </c>
      <c r="AK43" s="327">
        <f>IF($E43=0,0,INDEX(Parameters!AD$43:AD$73,MATCH($E43,Parameters!$B$5:$B$35,0)))</f>
        <v>2.7515444326864411E-2</v>
      </c>
      <c r="AL43" s="327">
        <f>IF($E43=0,0,INDEX(Parameters!AE$43:AE$73,MATCH($E43,Parameters!$B$5:$B$35,0)))</f>
        <v>3.7204447312591801E-2</v>
      </c>
      <c r="AM43" s="327">
        <f>IF($E43=0,0,INDEX(Parameters!AF$43:AF$73,MATCH($E43,Parameters!$B$5:$B$35,0)))</f>
        <v>4.3864878478443309E-2</v>
      </c>
      <c r="AN43" s="327">
        <f>IF($E43=0,0,INDEX(Parameters!AG$43:AG$73,MATCH($E43,Parameters!$B$5:$B$35,0)))</f>
        <v>4.9105434057059097E-2</v>
      </c>
      <c r="AO43" s="327">
        <f>IF($E43=0,0,INDEX(Parameters!AH$43:AH$73,MATCH($E43,Parameters!$B$5:$B$35,0)))</f>
        <v>5.2605213923927051E-2</v>
      </c>
      <c r="AP43" s="327">
        <f>IF($E43=0,0,INDEX(Parameters!AI$43:AI$73,MATCH($E43,Parameters!$B$5:$B$35,0)))</f>
        <v>5.2605213923927051E-2</v>
      </c>
      <c r="AQ43" s="328">
        <f>IF($E43=0,0,INDEX(Parameters!AJ$43:AJ$73,MATCH($E43,Parameters!$B$5:$B$35,0)))</f>
        <v>5.2605213923927051E-2</v>
      </c>
    </row>
    <row r="44" spans="1:43" ht="13.8" x14ac:dyDescent="0.3">
      <c r="A44" s="313" t="str">
        <f>'Base Costs'!A44</f>
        <v>ND1224</v>
      </c>
      <c r="B44" s="314" t="str">
        <f>'Base Costs'!B44</f>
        <v>SCADA System renewal program</v>
      </c>
      <c r="C44" s="314" t="str">
        <f>'Base Costs'!C44</f>
        <v>Asset Renewal</v>
      </c>
      <c r="D44" s="333" t="str">
        <f>'Base Costs'!D44</f>
        <v>2016/17</v>
      </c>
      <c r="E44" s="333">
        <f>'Base Costs'!E44</f>
        <v>13</v>
      </c>
      <c r="F44" s="315"/>
      <c r="G44" s="315"/>
      <c r="H44" s="316">
        <f>'Input Data Sheet'!J44</f>
        <v>1</v>
      </c>
      <c r="I44" s="316"/>
      <c r="J44" s="316"/>
      <c r="K44" s="316"/>
      <c r="L44" s="316"/>
      <c r="M44" s="316"/>
      <c r="N44" s="316"/>
      <c r="O44" s="287">
        <f t="shared" si="5"/>
        <v>3431678.6261589513</v>
      </c>
      <c r="P44" s="320">
        <f>(1+AI44)*'Cost+LOA'!P44</f>
        <v>0</v>
      </c>
      <c r="Q44" s="287">
        <f>(1+AJ44)*'Cost+LOA'!Q44</f>
        <v>0</v>
      </c>
      <c r="R44" s="341">
        <f>(1+AK44)*'Cost+LOA'!R44</f>
        <v>443036.43502424954</v>
      </c>
      <c r="S44" s="341">
        <f>(1+AL44)*'Cost+LOA'!S44</f>
        <v>2953889.4869548776</v>
      </c>
      <c r="T44" s="341">
        <f>(1+AM44)*'Cost+LOA'!T44</f>
        <v>34752.704179824235</v>
      </c>
      <c r="U44" s="341">
        <f>(1+AN44)*'Cost+LOA'!U44</f>
        <v>0</v>
      </c>
      <c r="V44" s="341">
        <f>(1+AO44)*'Cost+LOA'!V44</f>
        <v>0</v>
      </c>
      <c r="W44" s="287">
        <f>(1+AP44)*'Cost+LOA'!W44</f>
        <v>0</v>
      </c>
      <c r="X44" s="321">
        <f>(1+AQ44)*'Cost+LOA'!X44</f>
        <v>0</v>
      </c>
      <c r="Y44" s="287">
        <f t="shared" si="3"/>
        <v>0</v>
      </c>
      <c r="Z44" s="287">
        <f t="shared" si="3"/>
        <v>0</v>
      </c>
      <c r="AA44" s="341">
        <f t="shared" si="3"/>
        <v>443036.43502424954</v>
      </c>
      <c r="AB44" s="341">
        <f t="shared" si="3"/>
        <v>2953889.4869548776</v>
      </c>
      <c r="AC44" s="341">
        <f t="shared" si="3"/>
        <v>34752.704179824235</v>
      </c>
      <c r="AD44" s="341">
        <f t="shared" si="3"/>
        <v>0</v>
      </c>
      <c r="AE44" s="341">
        <f t="shared" si="3"/>
        <v>0</v>
      </c>
      <c r="AF44" s="287">
        <f t="shared" si="3"/>
        <v>0</v>
      </c>
      <c r="AG44" s="287">
        <f t="shared" si="4"/>
        <v>0</v>
      </c>
      <c r="AH44" s="322">
        <f>IF($H44,0,IFERROR(IF(VALUE(LEFT(D44,4))&gt;VALUE(LEFT(Parameters!$B$66,4))+1,O44-SUM(R44:X44),0),0))</f>
        <v>0</v>
      </c>
      <c r="AI44" s="326">
        <f>IF($E44=0,0,INDEX(Parameters!AB$43:AB$73,MATCH($E44,Parameters!$B$5:$B$35,0)))</f>
        <v>8.5297589120096277E-3</v>
      </c>
      <c r="AJ44" s="327">
        <f>IF($E44=0,0,INDEX(Parameters!AC$43:AC$73,MATCH($E44,Parameters!$B$5:$B$35,0)))</f>
        <v>9.8420696910520595E-3</v>
      </c>
      <c r="AK44" s="327">
        <f>IF($E44=0,0,INDEX(Parameters!AD$43:AD$73,MATCH($E44,Parameters!$B$5:$B$35,0)))</f>
        <v>8.1825399271048017E-3</v>
      </c>
      <c r="AL44" s="327">
        <f>IF($E44=0,0,INDEX(Parameters!AE$43:AE$73,MATCH($E44,Parameters!$B$5:$B$35,0)))</f>
        <v>1.6106132537469481E-2</v>
      </c>
      <c r="AM44" s="327">
        <f>IF($E44=0,0,INDEX(Parameters!AF$43:AF$73,MATCH($E44,Parameters!$B$5:$B$35,0)))</f>
        <v>2.8076917546595581E-2</v>
      </c>
      <c r="AN44" s="327">
        <f>IF($E44=0,0,INDEX(Parameters!AG$43:AG$73,MATCH($E44,Parameters!$B$5:$B$35,0)))</f>
        <v>3.9718638998703926E-2</v>
      </c>
      <c r="AO44" s="327">
        <f>IF($E44=0,0,INDEX(Parameters!AH$43:AH$73,MATCH($E44,Parameters!$B$5:$B$35,0)))</f>
        <v>5.0793488332327864E-2</v>
      </c>
      <c r="AP44" s="327">
        <f>IF($E44=0,0,INDEX(Parameters!AI$43:AI$73,MATCH($E44,Parameters!$B$5:$B$35,0)))</f>
        <v>5.0793488332327864E-2</v>
      </c>
      <c r="AQ44" s="328">
        <f>IF($E44=0,0,INDEX(Parameters!AJ$43:AJ$73,MATCH($E44,Parameters!$B$5:$B$35,0)))</f>
        <v>5.0793488332327864E-2</v>
      </c>
    </row>
    <row r="45" spans="1:43" ht="13.8" x14ac:dyDescent="0.3">
      <c r="A45" s="313" t="str">
        <f>'Base Costs'!A45</f>
        <v>ND1192</v>
      </c>
      <c r="B45" s="314" t="str">
        <f>'Base Costs'!B45</f>
        <v>Smart Transmission Grid Development program</v>
      </c>
      <c r="C45" s="314" t="str">
        <f>'Base Costs'!C45</f>
        <v>Operational Support Systems</v>
      </c>
      <c r="D45" s="333" t="str">
        <f>'Base Costs'!D45</f>
        <v>2018/19</v>
      </c>
      <c r="E45" s="333">
        <f>'Base Costs'!E45</f>
        <v>18</v>
      </c>
      <c r="F45" s="315"/>
      <c r="G45" s="315"/>
      <c r="H45" s="316">
        <f>'Input Data Sheet'!J45</f>
        <v>1</v>
      </c>
      <c r="I45" s="316"/>
      <c r="J45" s="316"/>
      <c r="K45" s="316"/>
      <c r="L45" s="316"/>
      <c r="M45" s="316"/>
      <c r="N45" s="316"/>
      <c r="O45" s="287">
        <f t="shared" si="5"/>
        <v>1500000</v>
      </c>
      <c r="P45" s="320">
        <f>(1+AI45)*'Cost+LOA'!P45</f>
        <v>0</v>
      </c>
      <c r="Q45" s="287">
        <f>(1+AJ45)*'Cost+LOA'!Q45</f>
        <v>0</v>
      </c>
      <c r="R45" s="341">
        <f>(1+AK45)*'Cost+LOA'!R45</f>
        <v>300000</v>
      </c>
      <c r="S45" s="341">
        <f>(1+AL45)*'Cost+LOA'!S45</f>
        <v>300000</v>
      </c>
      <c r="T45" s="341">
        <f>(1+AM45)*'Cost+LOA'!T45</f>
        <v>300000</v>
      </c>
      <c r="U45" s="341">
        <f>(1+AN45)*'Cost+LOA'!U45</f>
        <v>300000</v>
      </c>
      <c r="V45" s="341">
        <f>(1+AO45)*'Cost+LOA'!V45</f>
        <v>300000</v>
      </c>
      <c r="W45" s="287">
        <f>(1+AP45)*'Cost+LOA'!W45</f>
        <v>0</v>
      </c>
      <c r="X45" s="321">
        <f>(1+AQ45)*'Cost+LOA'!X45</f>
        <v>0</v>
      </c>
      <c r="Y45" s="287">
        <f t="shared" si="3"/>
        <v>0</v>
      </c>
      <c r="Z45" s="287">
        <f t="shared" si="3"/>
        <v>0</v>
      </c>
      <c r="AA45" s="341">
        <f t="shared" si="3"/>
        <v>300000</v>
      </c>
      <c r="AB45" s="341">
        <f t="shared" si="3"/>
        <v>300000</v>
      </c>
      <c r="AC45" s="341">
        <f t="shared" si="3"/>
        <v>300000</v>
      </c>
      <c r="AD45" s="341">
        <f t="shared" si="3"/>
        <v>300000</v>
      </c>
      <c r="AE45" s="341">
        <f t="shared" si="3"/>
        <v>300000</v>
      </c>
      <c r="AF45" s="287">
        <f t="shared" si="3"/>
        <v>0</v>
      </c>
      <c r="AG45" s="287">
        <f t="shared" si="4"/>
        <v>0</v>
      </c>
      <c r="AH45" s="322">
        <f>IF($H45,0,IFERROR(IF(VALUE(LEFT(D45,4))&gt;VALUE(LEFT(Parameters!$B$66,4))+1,O45-SUM(R45:X45),0),0))</f>
        <v>0</v>
      </c>
      <c r="AI45" s="326">
        <f>IF($E45=0,0,INDEX(Parameters!AB$43:AB$73,MATCH($E45,Parameters!$B$5:$B$35,0)))</f>
        <v>0</v>
      </c>
      <c r="AJ45" s="327">
        <f>IF($E45=0,0,INDEX(Parameters!AC$43:AC$73,MATCH($E45,Parameters!$B$5:$B$35,0)))</f>
        <v>0</v>
      </c>
      <c r="AK45" s="327">
        <f>IF($E45=0,0,INDEX(Parameters!AD$43:AD$73,MATCH($E45,Parameters!$B$5:$B$35,0)))</f>
        <v>0</v>
      </c>
      <c r="AL45" s="327">
        <f>IF($E45=0,0,INDEX(Parameters!AE$43:AE$73,MATCH($E45,Parameters!$B$5:$B$35,0)))</f>
        <v>0</v>
      </c>
      <c r="AM45" s="327">
        <f>IF($E45=0,0,INDEX(Parameters!AF$43:AF$73,MATCH($E45,Parameters!$B$5:$B$35,0)))</f>
        <v>0</v>
      </c>
      <c r="AN45" s="327">
        <f>IF($E45=0,0,INDEX(Parameters!AG$43:AG$73,MATCH($E45,Parameters!$B$5:$B$35,0)))</f>
        <v>0</v>
      </c>
      <c r="AO45" s="327">
        <f>IF($E45=0,0,INDEX(Parameters!AH$43:AH$73,MATCH($E45,Parameters!$B$5:$B$35,0)))</f>
        <v>0</v>
      </c>
      <c r="AP45" s="327">
        <f>IF($E45=0,0,INDEX(Parameters!AI$43:AI$73,MATCH($E45,Parameters!$B$5:$B$35,0)))</f>
        <v>0</v>
      </c>
      <c r="AQ45" s="328">
        <f>IF($E45=0,0,INDEX(Parameters!AJ$43:AJ$73,MATCH($E45,Parameters!$B$5:$B$35,0)))</f>
        <v>0</v>
      </c>
    </row>
    <row r="46" spans="1:43" ht="13.8" x14ac:dyDescent="0.3">
      <c r="A46" s="313" t="str">
        <f>'Base Costs'!A46</f>
        <v>ND1312</v>
      </c>
      <c r="B46" s="314" t="str">
        <f>'Base Costs'!B46</f>
        <v>Southern transmission system rationalisation program</v>
      </c>
      <c r="C46" s="314" t="str">
        <f>'Base Costs'!C46</f>
        <v>Asset Renewal</v>
      </c>
      <c r="D46" s="333" t="str">
        <f>'Base Costs'!D46</f>
        <v>2020/21</v>
      </c>
      <c r="E46" s="333">
        <f>'Base Costs'!E46</f>
        <v>10</v>
      </c>
      <c r="F46" s="315"/>
      <c r="G46" s="315"/>
      <c r="H46" s="316">
        <f>'Input Data Sheet'!J46</f>
        <v>0</v>
      </c>
      <c r="I46" s="316"/>
      <c r="J46" s="316"/>
      <c r="K46" s="316"/>
      <c r="L46" s="316"/>
      <c r="M46" s="316"/>
      <c r="N46" s="316"/>
      <c r="O46" s="287">
        <f t="shared" si="5"/>
        <v>8873340.7134770826</v>
      </c>
      <c r="P46" s="320">
        <f>(1+AI46)*'Cost+LOA'!P46</f>
        <v>0</v>
      </c>
      <c r="Q46" s="287">
        <f>(1+AJ46)*'Cost+LOA'!Q46</f>
        <v>0</v>
      </c>
      <c r="R46" s="341">
        <f>(1+AK46)*'Cost+LOA'!R46</f>
        <v>0</v>
      </c>
      <c r="S46" s="341">
        <f>(1+AL46)*'Cost+LOA'!S46</f>
        <v>0</v>
      </c>
      <c r="T46" s="341">
        <f>(1+AM46)*'Cost+LOA'!T46</f>
        <v>0</v>
      </c>
      <c r="U46" s="341">
        <f>(1+AN46)*'Cost+LOA'!U46</f>
        <v>0</v>
      </c>
      <c r="V46" s="341">
        <f>(1+AO46)*'Cost+LOA'!V46</f>
        <v>2707047.1567816688</v>
      </c>
      <c r="W46" s="287">
        <f>(1+AP46)*'Cost+LOA'!W46</f>
        <v>6166293.5566954128</v>
      </c>
      <c r="X46" s="321">
        <f>(1+AQ46)*'Cost+LOA'!X46</f>
        <v>0</v>
      </c>
      <c r="Y46" s="287">
        <f t="shared" si="3"/>
        <v>0</v>
      </c>
      <c r="Z46" s="287">
        <f t="shared" si="3"/>
        <v>0</v>
      </c>
      <c r="AA46" s="341">
        <f t="shared" si="3"/>
        <v>0</v>
      </c>
      <c r="AB46" s="341">
        <f t="shared" si="3"/>
        <v>0</v>
      </c>
      <c r="AC46" s="341">
        <f t="shared" si="3"/>
        <v>0</v>
      </c>
      <c r="AD46" s="341">
        <f t="shared" si="3"/>
        <v>0</v>
      </c>
      <c r="AE46" s="341">
        <f t="shared" si="3"/>
        <v>0</v>
      </c>
      <c r="AF46" s="287">
        <f t="shared" si="3"/>
        <v>0</v>
      </c>
      <c r="AG46" s="287">
        <f t="shared" si="4"/>
        <v>8873340.7134770826</v>
      </c>
      <c r="AH46" s="322">
        <f>IF($H46,0,IFERROR(IF(VALUE(LEFT(D46,4))&gt;VALUE(LEFT(Parameters!$B$66,4))+1,O46-SUM(R46:X46),0),0))</f>
        <v>0</v>
      </c>
      <c r="AI46" s="326">
        <f>IF($E46=0,0,INDEX(Parameters!AB$43:AB$73,MATCH($E46,Parameters!$B$5:$B$35,0)))</f>
        <v>9.7126354158517409E-3</v>
      </c>
      <c r="AJ46" s="327">
        <f>IF($E46=0,0,INDEX(Parameters!AC$43:AC$73,MATCH($E46,Parameters!$B$5:$B$35,0)))</f>
        <v>2.8863814050083172E-2</v>
      </c>
      <c r="AK46" s="327">
        <f>IF($E46=0,0,INDEX(Parameters!AD$43:AD$73,MATCH($E46,Parameters!$B$5:$B$35,0)))</f>
        <v>2.8783725594704566E-2</v>
      </c>
      <c r="AL46" s="327">
        <f>IF($E46=0,0,INDEX(Parameters!AE$43:AE$73,MATCH($E46,Parameters!$B$5:$B$35,0)))</f>
        <v>3.8111209896431186E-2</v>
      </c>
      <c r="AM46" s="327">
        <f>IF($E46=0,0,INDEX(Parameters!AF$43:AF$73,MATCH($E46,Parameters!$B$5:$B$35,0)))</f>
        <v>4.3896142704504003E-2</v>
      </c>
      <c r="AN46" s="327">
        <f>IF($E46=0,0,INDEX(Parameters!AG$43:AG$73,MATCH($E46,Parameters!$B$5:$B$35,0)))</f>
        <v>4.8224751963496959E-2</v>
      </c>
      <c r="AO46" s="327">
        <f>IF($E46=0,0,INDEX(Parameters!AH$43:AH$73,MATCH($E46,Parameters!$B$5:$B$35,0)))</f>
        <v>5.0764040291488066E-2</v>
      </c>
      <c r="AP46" s="327">
        <f>IF($E46=0,0,INDEX(Parameters!AI$43:AI$73,MATCH($E46,Parameters!$B$5:$B$35,0)))</f>
        <v>5.0764040291488066E-2</v>
      </c>
      <c r="AQ46" s="328">
        <f>IF($E46=0,0,INDEX(Parameters!AJ$43:AJ$73,MATCH($E46,Parameters!$B$5:$B$35,0)))</f>
        <v>5.0764040291488066E-2</v>
      </c>
    </row>
    <row r="47" spans="1:43" ht="13.8" x14ac:dyDescent="0.3">
      <c r="A47" s="313" t="str">
        <f>'Base Costs'!A47</f>
        <v>ND0941</v>
      </c>
      <c r="B47" s="314" t="str">
        <f>'Base Costs'!B47</f>
        <v>St Marys Substation transformer capacity augmentation</v>
      </c>
      <c r="C47" s="314" t="str">
        <f>'Base Costs'!C47</f>
        <v>Connection</v>
      </c>
      <c r="D47" s="333" t="str">
        <f>'Base Costs'!D47</f>
        <v>2017/18</v>
      </c>
      <c r="E47" s="333">
        <f>'Base Costs'!E47</f>
        <v>11</v>
      </c>
      <c r="F47" s="315"/>
      <c r="G47" s="315"/>
      <c r="H47" s="316">
        <f>'Input Data Sheet'!J47</f>
        <v>0</v>
      </c>
      <c r="I47" s="316"/>
      <c r="J47" s="316"/>
      <c r="K47" s="316"/>
      <c r="L47" s="316"/>
      <c r="M47" s="316"/>
      <c r="N47" s="316"/>
      <c r="O47" s="287">
        <f t="shared" si="5"/>
        <v>3503355.5798487486</v>
      </c>
      <c r="P47" s="320">
        <f>(1+AI47)*'Cost+LOA'!P47</f>
        <v>0</v>
      </c>
      <c r="Q47" s="287">
        <f>(1+AJ47)*'Cost+LOA'!Q47</f>
        <v>0</v>
      </c>
      <c r="R47" s="341">
        <f>(1+AK47)*'Cost+LOA'!R47</f>
        <v>0</v>
      </c>
      <c r="S47" s="341">
        <f>(1+AL47)*'Cost+LOA'!S47</f>
        <v>208914.74764730953</v>
      </c>
      <c r="T47" s="341">
        <f>(1+AM47)*'Cost+LOA'!T47</f>
        <v>2257392.3048719643</v>
      </c>
      <c r="U47" s="341">
        <f>(1+AN47)*'Cost+LOA'!U47</f>
        <v>1037048.5273294745</v>
      </c>
      <c r="V47" s="341">
        <f>(1+AO47)*'Cost+LOA'!V47</f>
        <v>0</v>
      </c>
      <c r="W47" s="287">
        <f>(1+AP47)*'Cost+LOA'!W47</f>
        <v>0</v>
      </c>
      <c r="X47" s="321">
        <f>(1+AQ47)*'Cost+LOA'!X47</f>
        <v>0</v>
      </c>
      <c r="Y47" s="287">
        <f t="shared" si="3"/>
        <v>0</v>
      </c>
      <c r="Z47" s="287">
        <f t="shared" si="3"/>
        <v>0</v>
      </c>
      <c r="AA47" s="341">
        <f t="shared" si="3"/>
        <v>0</v>
      </c>
      <c r="AB47" s="341">
        <f t="shared" si="3"/>
        <v>0</v>
      </c>
      <c r="AC47" s="341">
        <f t="shared" si="3"/>
        <v>0</v>
      </c>
      <c r="AD47" s="341">
        <f t="shared" si="3"/>
        <v>3503355.5798487486</v>
      </c>
      <c r="AE47" s="341">
        <f t="shared" si="3"/>
        <v>0</v>
      </c>
      <c r="AF47" s="287">
        <f t="shared" si="3"/>
        <v>0</v>
      </c>
      <c r="AG47" s="287">
        <f t="shared" si="4"/>
        <v>0</v>
      </c>
      <c r="AH47" s="322">
        <f>IF($H47,0,IFERROR(IF(VALUE(LEFT(D47,4))&gt;VALUE(LEFT(Parameters!$B$66,4))+1,O47-SUM(R47:X47),0),0))</f>
        <v>0</v>
      </c>
      <c r="AI47" s="326">
        <f>IF($E47=0,0,INDEX(Parameters!AB$43:AB$73,MATCH($E47,Parameters!$B$5:$B$35,0)))</f>
        <v>9.3362407106104169E-3</v>
      </c>
      <c r="AJ47" s="327">
        <f>IF($E47=0,0,INDEX(Parameters!AC$43:AC$73,MATCH($E47,Parameters!$B$5:$B$35,0)))</f>
        <v>2.7767890914151713E-2</v>
      </c>
      <c r="AK47" s="327">
        <f>IF($E47=0,0,INDEX(Parameters!AD$43:AD$73,MATCH($E47,Parameters!$B$5:$B$35,0)))</f>
        <v>2.7515444326864411E-2</v>
      </c>
      <c r="AL47" s="327">
        <f>IF($E47=0,0,INDEX(Parameters!AE$43:AE$73,MATCH($E47,Parameters!$B$5:$B$35,0)))</f>
        <v>3.7204447312591801E-2</v>
      </c>
      <c r="AM47" s="327">
        <f>IF($E47=0,0,INDEX(Parameters!AF$43:AF$73,MATCH($E47,Parameters!$B$5:$B$35,0)))</f>
        <v>4.3864878478443309E-2</v>
      </c>
      <c r="AN47" s="327">
        <f>IF($E47=0,0,INDEX(Parameters!AG$43:AG$73,MATCH($E47,Parameters!$B$5:$B$35,0)))</f>
        <v>4.9105434057059097E-2</v>
      </c>
      <c r="AO47" s="327">
        <f>IF($E47=0,0,INDEX(Parameters!AH$43:AH$73,MATCH($E47,Parameters!$B$5:$B$35,0)))</f>
        <v>5.2605213923927051E-2</v>
      </c>
      <c r="AP47" s="327">
        <f>IF($E47=0,0,INDEX(Parameters!AI$43:AI$73,MATCH($E47,Parameters!$B$5:$B$35,0)))</f>
        <v>5.2605213923927051E-2</v>
      </c>
      <c r="AQ47" s="328">
        <f>IF($E47=0,0,INDEX(Parameters!AJ$43:AJ$73,MATCH($E47,Parameters!$B$5:$B$35,0)))</f>
        <v>5.2605213923927051E-2</v>
      </c>
    </row>
    <row r="48" spans="1:43" ht="13.8" x14ac:dyDescent="0.3">
      <c r="A48" s="313" t="str">
        <f>'Base Costs'!A48</f>
        <v>ND1261</v>
      </c>
      <c r="B48" s="314" t="str">
        <f>'Base Costs'!B48</f>
        <v>Strategic Easement and Land Acquisition</v>
      </c>
      <c r="C48" s="314" t="str">
        <f>'Base Costs'!C48</f>
        <v>Physical Security / Compliance</v>
      </c>
      <c r="D48" s="333" t="str">
        <f>'Base Costs'!D48</f>
        <v>2018/19</v>
      </c>
      <c r="E48" s="333">
        <f>'Base Costs'!E48</f>
        <v>15</v>
      </c>
      <c r="F48" s="315"/>
      <c r="G48" s="315"/>
      <c r="H48" s="316">
        <f>'Input Data Sheet'!J48</f>
        <v>1</v>
      </c>
      <c r="I48" s="316"/>
      <c r="J48" s="316"/>
      <c r="K48" s="316"/>
      <c r="L48" s="316"/>
      <c r="M48" s="316"/>
      <c r="N48" s="316"/>
      <c r="O48" s="287">
        <f t="shared" si="5"/>
        <v>1909385.8148772547</v>
      </c>
      <c r="P48" s="320">
        <f>(1+AI48)*'Cost+LOA'!P48</f>
        <v>0</v>
      </c>
      <c r="Q48" s="287">
        <f>(1+AJ48)*'Cost+LOA'!Q48</f>
        <v>0</v>
      </c>
      <c r="R48" s="341">
        <f>(1+AK48)*'Cost+LOA'!R48</f>
        <v>346118.65245894575</v>
      </c>
      <c r="S48" s="341">
        <f>(1+AL48)*'Cost+LOA'!S48</f>
        <v>362732.34777697508</v>
      </c>
      <c r="T48" s="341">
        <f>(1+AM48)*'Cost+LOA'!T48</f>
        <v>380506.05992365687</v>
      </c>
      <c r="U48" s="341">
        <f>(1+AN48)*'Cost+LOA'!U48</f>
        <v>399721.57067301887</v>
      </c>
      <c r="V48" s="341">
        <f>(1+AO48)*'Cost+LOA'!V48</f>
        <v>420307.18404465821</v>
      </c>
      <c r="W48" s="287">
        <f>(1+AP48)*'Cost+LOA'!W48</f>
        <v>0</v>
      </c>
      <c r="X48" s="321">
        <f>(1+AQ48)*'Cost+LOA'!X48</f>
        <v>0</v>
      </c>
      <c r="Y48" s="287">
        <f t="shared" si="3"/>
        <v>0</v>
      </c>
      <c r="Z48" s="287">
        <f t="shared" si="3"/>
        <v>0</v>
      </c>
      <c r="AA48" s="341">
        <f t="shared" si="3"/>
        <v>346118.65245894575</v>
      </c>
      <c r="AB48" s="341">
        <f t="shared" si="3"/>
        <v>362732.34777697508</v>
      </c>
      <c r="AC48" s="341">
        <f t="shared" si="3"/>
        <v>380506.05992365687</v>
      </c>
      <c r="AD48" s="341">
        <f t="shared" si="3"/>
        <v>399721.57067301887</v>
      </c>
      <c r="AE48" s="341">
        <f t="shared" si="3"/>
        <v>420307.18404465821</v>
      </c>
      <c r="AF48" s="287">
        <f t="shared" si="3"/>
        <v>0</v>
      </c>
      <c r="AG48" s="287">
        <f t="shared" si="4"/>
        <v>0</v>
      </c>
      <c r="AH48" s="322">
        <f>IF($H48,0,IFERROR(IF(VALUE(LEFT(D48,4))&gt;VALUE(LEFT(Parameters!$B$66,4))+1,O48-SUM(R48:X48),0),0))</f>
        <v>0</v>
      </c>
      <c r="AI48" s="326">
        <f>IF($E48=0,0,INDEX(Parameters!AB$43:AB$73,MATCH($E48,Parameters!$B$5:$B$35,0)))</f>
        <v>-6.2076762202790903E-2</v>
      </c>
      <c r="AJ48" s="327">
        <f>IF($E48=0,0,INDEX(Parameters!AC$43:AC$73,MATCH($E48,Parameters!$B$5:$B$35,0)))</f>
        <v>-9.9864411196846414E-2</v>
      </c>
      <c r="AK48" s="327">
        <f>IF($E48=0,0,INDEX(Parameters!AD$43:AD$73,MATCH($E48,Parameters!$B$5:$B$35,0)))</f>
        <v>-5.710807814345098E-2</v>
      </c>
      <c r="AL48" s="327">
        <f>IF($E48=0,0,INDEX(Parameters!AE$43:AE$73,MATCH($E48,Parameters!$B$5:$B$35,0)))</f>
        <v>-1.1849265894336769E-2</v>
      </c>
      <c r="AM48" s="327">
        <f>IF($E48=0,0,INDEX(Parameters!AF$43:AF$73,MATCH($E48,Parameters!$B$5:$B$35,0)))</f>
        <v>3.6569649080196998E-2</v>
      </c>
      <c r="AN48" s="327">
        <f>IF($E48=0,0,INDEX(Parameters!AG$43:AG$73,MATCH($E48,Parameters!$B$5:$B$35,0)))</f>
        <v>8.8916293016325643E-2</v>
      </c>
      <c r="AO48" s="327">
        <f>IF($E48=0,0,INDEX(Parameters!AH$43:AH$73,MATCH($E48,Parameters!$B$5:$B$35,0)))</f>
        <v>0.14499535265869268</v>
      </c>
      <c r="AP48" s="327">
        <f>IF($E48=0,0,INDEX(Parameters!AI$43:AI$73,MATCH($E48,Parameters!$B$5:$B$35,0)))</f>
        <v>0.14499535265869268</v>
      </c>
      <c r="AQ48" s="328">
        <f>IF($E48=0,0,INDEX(Parameters!AJ$43:AJ$73,MATCH($E48,Parameters!$B$5:$B$35,0)))</f>
        <v>0.14499535265869268</v>
      </c>
    </row>
    <row r="49" spans="1:43" ht="13.8" x14ac:dyDescent="0.3">
      <c r="A49" s="313" t="str">
        <f>'Base Costs'!A49</f>
        <v>ND1341</v>
      </c>
      <c r="B49" s="314" t="str">
        <f>'Base Costs'!B49</f>
        <v>Strategic spare 110/22/11 kV 17/25 MVA supply transformer</v>
      </c>
      <c r="C49" s="314" t="str">
        <f>'Base Costs'!C49</f>
        <v>Inventory / Spares</v>
      </c>
      <c r="D49" s="333" t="str">
        <f>'Base Costs'!D49</f>
        <v>2016/17</v>
      </c>
      <c r="E49" s="333">
        <f>'Base Costs'!E49</f>
        <v>11</v>
      </c>
      <c r="F49" s="315"/>
      <c r="G49" s="315"/>
      <c r="H49" s="316">
        <f>'Input Data Sheet'!J49</f>
        <v>0</v>
      </c>
      <c r="I49" s="316"/>
      <c r="J49" s="316"/>
      <c r="K49" s="316"/>
      <c r="L49" s="316"/>
      <c r="M49" s="316"/>
      <c r="N49" s="316"/>
      <c r="O49" s="287">
        <f t="shared" si="5"/>
        <v>1543355.4507077008</v>
      </c>
      <c r="P49" s="320">
        <f>(1+AI49)*'Cost+LOA'!P49</f>
        <v>0</v>
      </c>
      <c r="Q49" s="287">
        <f>(1+AJ49)*'Cost+LOA'!Q49</f>
        <v>0</v>
      </c>
      <c r="R49" s="341">
        <f>(1+AK49)*'Cost+LOA'!R49</f>
        <v>190229.04507005247</v>
      </c>
      <c r="S49" s="341">
        <f>(1+AL49)*'Cost+LOA'!S49</f>
        <v>1325731.1067873668</v>
      </c>
      <c r="T49" s="341">
        <f>(1+AM49)*'Cost+LOA'!T49</f>
        <v>27395.298850281579</v>
      </c>
      <c r="U49" s="341">
        <f>(1+AN49)*'Cost+LOA'!U49</f>
        <v>0</v>
      </c>
      <c r="V49" s="341">
        <f>(1+AO49)*'Cost+LOA'!V49</f>
        <v>0</v>
      </c>
      <c r="W49" s="287">
        <f>(1+AP49)*'Cost+LOA'!W49</f>
        <v>0</v>
      </c>
      <c r="X49" s="321">
        <f>(1+AQ49)*'Cost+LOA'!X49</f>
        <v>0</v>
      </c>
      <c r="Y49" s="287">
        <f t="shared" si="3"/>
        <v>0</v>
      </c>
      <c r="Z49" s="287">
        <f t="shared" si="3"/>
        <v>0</v>
      </c>
      <c r="AA49" s="341">
        <f t="shared" si="3"/>
        <v>0</v>
      </c>
      <c r="AB49" s="341">
        <f t="shared" si="3"/>
        <v>0</v>
      </c>
      <c r="AC49" s="341">
        <f t="shared" si="3"/>
        <v>1543355.4507077008</v>
      </c>
      <c r="AD49" s="341">
        <f t="shared" si="3"/>
        <v>0</v>
      </c>
      <c r="AE49" s="341">
        <f t="shared" si="3"/>
        <v>0</v>
      </c>
      <c r="AF49" s="287">
        <f t="shared" si="3"/>
        <v>0</v>
      </c>
      <c r="AG49" s="287">
        <f t="shared" si="4"/>
        <v>0</v>
      </c>
      <c r="AH49" s="322">
        <f>IF($H49,0,IFERROR(IF(VALUE(LEFT(D49,4))&gt;VALUE(LEFT(Parameters!$B$66,4))+1,O49-SUM(R49:X49),0),0))</f>
        <v>0</v>
      </c>
      <c r="AI49" s="326">
        <f>IF($E49=0,0,INDEX(Parameters!AB$43:AB$73,MATCH($E49,Parameters!$B$5:$B$35,0)))</f>
        <v>9.3362407106104169E-3</v>
      </c>
      <c r="AJ49" s="327">
        <f>IF($E49=0,0,INDEX(Parameters!AC$43:AC$73,MATCH($E49,Parameters!$B$5:$B$35,0)))</f>
        <v>2.7767890914151713E-2</v>
      </c>
      <c r="AK49" s="327">
        <f>IF($E49=0,0,INDEX(Parameters!AD$43:AD$73,MATCH($E49,Parameters!$B$5:$B$35,0)))</f>
        <v>2.7515444326864411E-2</v>
      </c>
      <c r="AL49" s="327">
        <f>IF($E49=0,0,INDEX(Parameters!AE$43:AE$73,MATCH($E49,Parameters!$B$5:$B$35,0)))</f>
        <v>3.7204447312591801E-2</v>
      </c>
      <c r="AM49" s="327">
        <f>IF($E49=0,0,INDEX(Parameters!AF$43:AF$73,MATCH($E49,Parameters!$B$5:$B$35,0)))</f>
        <v>4.3864878478443309E-2</v>
      </c>
      <c r="AN49" s="327">
        <f>IF($E49=0,0,INDEX(Parameters!AG$43:AG$73,MATCH($E49,Parameters!$B$5:$B$35,0)))</f>
        <v>4.9105434057059097E-2</v>
      </c>
      <c r="AO49" s="327">
        <f>IF($E49=0,0,INDEX(Parameters!AH$43:AH$73,MATCH($E49,Parameters!$B$5:$B$35,0)))</f>
        <v>5.2605213923927051E-2</v>
      </c>
      <c r="AP49" s="327">
        <f>IF($E49=0,0,INDEX(Parameters!AI$43:AI$73,MATCH($E49,Parameters!$B$5:$B$35,0)))</f>
        <v>5.2605213923927051E-2</v>
      </c>
      <c r="AQ49" s="328">
        <f>IF($E49=0,0,INDEX(Parameters!AJ$43:AJ$73,MATCH($E49,Parameters!$B$5:$B$35,0)))</f>
        <v>5.2605213923927051E-2</v>
      </c>
    </row>
    <row r="50" spans="1:43" ht="13.8" x14ac:dyDescent="0.3">
      <c r="A50" s="313" t="str">
        <f>'Base Costs'!A50</f>
        <v>ND1342</v>
      </c>
      <c r="B50" s="314" t="str">
        <f>'Base Costs'!B50</f>
        <v>Strategic spare 110/33/22/11 kV 30/60 MVA supply transformer</v>
      </c>
      <c r="C50" s="314" t="str">
        <f>'Base Costs'!C50</f>
        <v>Inventory / Spares</v>
      </c>
      <c r="D50" s="333" t="str">
        <f>'Base Costs'!D50</f>
        <v>2016/17</v>
      </c>
      <c r="E50" s="333">
        <f>'Base Costs'!E50</f>
        <v>11</v>
      </c>
      <c r="F50" s="315"/>
      <c r="G50" s="315"/>
      <c r="H50" s="316">
        <f>'Input Data Sheet'!J50</f>
        <v>0</v>
      </c>
      <c r="I50" s="316"/>
      <c r="J50" s="316"/>
      <c r="K50" s="316"/>
      <c r="L50" s="316"/>
      <c r="M50" s="316"/>
      <c r="N50" s="316"/>
      <c r="O50" s="287">
        <f t="shared" si="5"/>
        <v>2122864.4230775698</v>
      </c>
      <c r="P50" s="320">
        <f>(1+AI50)*'Cost+LOA'!P50</f>
        <v>0</v>
      </c>
      <c r="Q50" s="287">
        <f>(1+AJ50)*'Cost+LOA'!Q50</f>
        <v>0</v>
      </c>
      <c r="R50" s="341">
        <f>(1+AK50)*'Cost+LOA'!R50</f>
        <v>294781.85079204547</v>
      </c>
      <c r="S50" s="341">
        <f>(1+AL50)*'Cost+LOA'!S50</f>
        <v>1795996.2536508539</v>
      </c>
      <c r="T50" s="341">
        <f>(1+AM50)*'Cost+LOA'!T50</f>
        <v>32086.318634670388</v>
      </c>
      <c r="U50" s="341">
        <f>(1+AN50)*'Cost+LOA'!U50</f>
        <v>0</v>
      </c>
      <c r="V50" s="341">
        <f>(1+AO50)*'Cost+LOA'!V50</f>
        <v>0</v>
      </c>
      <c r="W50" s="287">
        <f>(1+AP50)*'Cost+LOA'!W50</f>
        <v>0</v>
      </c>
      <c r="X50" s="321">
        <f>(1+AQ50)*'Cost+LOA'!X50</f>
        <v>0</v>
      </c>
      <c r="Y50" s="287">
        <f t="shared" si="3"/>
        <v>0</v>
      </c>
      <c r="Z50" s="287">
        <f t="shared" si="3"/>
        <v>0</v>
      </c>
      <c r="AA50" s="341">
        <f t="shared" si="3"/>
        <v>0</v>
      </c>
      <c r="AB50" s="341">
        <f t="shared" si="3"/>
        <v>0</v>
      </c>
      <c r="AC50" s="341">
        <f t="shared" si="3"/>
        <v>2122864.4230775698</v>
      </c>
      <c r="AD50" s="341">
        <f t="shared" si="3"/>
        <v>0</v>
      </c>
      <c r="AE50" s="341">
        <f t="shared" si="3"/>
        <v>0</v>
      </c>
      <c r="AF50" s="287">
        <f t="shared" si="3"/>
        <v>0</v>
      </c>
      <c r="AG50" s="287">
        <f t="shared" si="4"/>
        <v>0</v>
      </c>
      <c r="AH50" s="322">
        <f>IF($H50,0,IFERROR(IF(VALUE(LEFT(D50,4))&gt;VALUE(LEFT(Parameters!$B$66,4))+1,O50-SUM(R50:X50),0),0))</f>
        <v>0</v>
      </c>
      <c r="AI50" s="326">
        <f>IF($E50=0,0,INDEX(Parameters!AB$43:AB$73,MATCH($E50,Parameters!$B$5:$B$35,0)))</f>
        <v>9.3362407106104169E-3</v>
      </c>
      <c r="AJ50" s="327">
        <f>IF($E50=0,0,INDEX(Parameters!AC$43:AC$73,MATCH($E50,Parameters!$B$5:$B$35,0)))</f>
        <v>2.7767890914151713E-2</v>
      </c>
      <c r="AK50" s="327">
        <f>IF($E50=0,0,INDEX(Parameters!AD$43:AD$73,MATCH($E50,Parameters!$B$5:$B$35,0)))</f>
        <v>2.7515444326864411E-2</v>
      </c>
      <c r="AL50" s="327">
        <f>IF($E50=0,0,INDEX(Parameters!AE$43:AE$73,MATCH($E50,Parameters!$B$5:$B$35,0)))</f>
        <v>3.7204447312591801E-2</v>
      </c>
      <c r="AM50" s="327">
        <f>IF($E50=0,0,INDEX(Parameters!AF$43:AF$73,MATCH($E50,Parameters!$B$5:$B$35,0)))</f>
        <v>4.3864878478443309E-2</v>
      </c>
      <c r="AN50" s="327">
        <f>IF($E50=0,0,INDEX(Parameters!AG$43:AG$73,MATCH($E50,Parameters!$B$5:$B$35,0)))</f>
        <v>4.9105434057059097E-2</v>
      </c>
      <c r="AO50" s="327">
        <f>IF($E50=0,0,INDEX(Parameters!AH$43:AH$73,MATCH($E50,Parameters!$B$5:$B$35,0)))</f>
        <v>5.2605213923927051E-2</v>
      </c>
      <c r="AP50" s="327">
        <f>IF($E50=0,0,INDEX(Parameters!AI$43:AI$73,MATCH($E50,Parameters!$B$5:$B$35,0)))</f>
        <v>5.2605213923927051E-2</v>
      </c>
      <c r="AQ50" s="328">
        <f>IF($E50=0,0,INDEX(Parameters!AJ$43:AJ$73,MATCH($E50,Parameters!$B$5:$B$35,0)))</f>
        <v>5.2605213923927051E-2</v>
      </c>
    </row>
    <row r="51" spans="1:43" ht="13.8" x14ac:dyDescent="0.3">
      <c r="A51" s="313" t="str">
        <f>'Base Costs'!A51</f>
        <v>ND1340</v>
      </c>
      <c r="B51" s="314" t="str">
        <f>'Base Costs'!B51</f>
        <v>Strategic spare 33 kV switchgear</v>
      </c>
      <c r="C51" s="314" t="str">
        <f>'Base Costs'!C51</f>
        <v>Inventory / Spares</v>
      </c>
      <c r="D51" s="333" t="str">
        <f>'Base Costs'!D51</f>
        <v>2015/16</v>
      </c>
      <c r="E51" s="333">
        <f>'Base Costs'!E51</f>
        <v>8</v>
      </c>
      <c r="F51" s="315"/>
      <c r="G51" s="315"/>
      <c r="H51" s="316">
        <f>'Input Data Sheet'!J51</f>
        <v>0</v>
      </c>
      <c r="I51" s="316"/>
      <c r="J51" s="316"/>
      <c r="K51" s="316"/>
      <c r="L51" s="316"/>
      <c r="M51" s="316"/>
      <c r="N51" s="316"/>
      <c r="O51" s="287">
        <f t="shared" si="5"/>
        <v>689237.13615293987</v>
      </c>
      <c r="P51" s="320">
        <f>(1+AI51)*'Cost+LOA'!P51</f>
        <v>0</v>
      </c>
      <c r="Q51" s="287">
        <f>(1+AJ51)*'Cost+LOA'!Q51</f>
        <v>0</v>
      </c>
      <c r="R51" s="341">
        <f>(1+AK51)*'Cost+LOA'!R51</f>
        <v>238020.25696304641</v>
      </c>
      <c r="S51" s="341">
        <f>(1+AL51)*'Cost+LOA'!S51</f>
        <v>451216.87918989349</v>
      </c>
      <c r="T51" s="341">
        <f>(1+AM51)*'Cost+LOA'!T51</f>
        <v>0</v>
      </c>
      <c r="U51" s="341">
        <f>(1+AN51)*'Cost+LOA'!U51</f>
        <v>0</v>
      </c>
      <c r="V51" s="341">
        <f>(1+AO51)*'Cost+LOA'!V51</f>
        <v>0</v>
      </c>
      <c r="W51" s="287">
        <f>(1+AP51)*'Cost+LOA'!W51</f>
        <v>0</v>
      </c>
      <c r="X51" s="321">
        <f>(1+AQ51)*'Cost+LOA'!X51</f>
        <v>0</v>
      </c>
      <c r="Y51" s="287">
        <f t="shared" si="3"/>
        <v>0</v>
      </c>
      <c r="Z51" s="287">
        <f t="shared" si="3"/>
        <v>0</v>
      </c>
      <c r="AA51" s="341">
        <f t="shared" si="3"/>
        <v>0</v>
      </c>
      <c r="AB51" s="341">
        <f t="shared" si="3"/>
        <v>689237.13615293987</v>
      </c>
      <c r="AC51" s="341">
        <f t="shared" si="3"/>
        <v>0</v>
      </c>
      <c r="AD51" s="341">
        <f t="shared" si="3"/>
        <v>0</v>
      </c>
      <c r="AE51" s="341">
        <f t="shared" si="3"/>
        <v>0</v>
      </c>
      <c r="AF51" s="287">
        <f t="shared" si="3"/>
        <v>0</v>
      </c>
      <c r="AG51" s="287">
        <f t="shared" si="4"/>
        <v>0</v>
      </c>
      <c r="AH51" s="322">
        <f>IF($H51,0,IFERROR(IF(VALUE(LEFT(D51,4))&gt;VALUE(LEFT(Parameters!$B$66,4))+1,O51-SUM(R51:X51),0),0))</f>
        <v>0</v>
      </c>
      <c r="AI51" s="326">
        <f>IF($E51=0,0,INDEX(Parameters!AB$43:AB$73,MATCH($E51,Parameters!$B$5:$B$35,0)))</f>
        <v>1.8003101497427461E-2</v>
      </c>
      <c r="AJ51" s="327">
        <f>IF($E51=0,0,INDEX(Parameters!AC$43:AC$73,MATCH($E51,Parameters!$B$5:$B$35,0)))</f>
        <v>2.7260985435373537E-2</v>
      </c>
      <c r="AK51" s="327">
        <f>IF($E51=0,0,INDEX(Parameters!AD$43:AD$73,MATCH($E51,Parameters!$B$5:$B$35,0)))</f>
        <v>2.7900622401517559E-2</v>
      </c>
      <c r="AL51" s="327">
        <f>IF($E51=0,0,INDEX(Parameters!AE$43:AE$73,MATCH($E51,Parameters!$B$5:$B$35,0)))</f>
        <v>3.8640203793043781E-2</v>
      </c>
      <c r="AM51" s="327">
        <f>IF($E51=0,0,INDEX(Parameters!AF$43:AF$73,MATCH($E51,Parameters!$B$5:$B$35,0)))</f>
        <v>5.0716317173908503E-2</v>
      </c>
      <c r="AN51" s="327">
        <f>IF($E51=0,0,INDEX(Parameters!AG$43:AG$73,MATCH($E51,Parameters!$B$5:$B$35,0)))</f>
        <v>6.2070088792730918E-2</v>
      </c>
      <c r="AO51" s="327">
        <f>IF($E51=0,0,INDEX(Parameters!AH$43:AH$73,MATCH($E51,Parameters!$B$5:$B$35,0)))</f>
        <v>7.1923740951829573E-2</v>
      </c>
      <c r="AP51" s="327">
        <f>IF($E51=0,0,INDEX(Parameters!AI$43:AI$73,MATCH($E51,Parameters!$B$5:$B$35,0)))</f>
        <v>7.1923740951829573E-2</v>
      </c>
      <c r="AQ51" s="328">
        <f>IF($E51=0,0,INDEX(Parameters!AJ$43:AJ$73,MATCH($E51,Parameters!$B$5:$B$35,0)))</f>
        <v>7.1923740951829573E-2</v>
      </c>
    </row>
    <row r="52" spans="1:43" ht="13.8" x14ac:dyDescent="0.3">
      <c r="A52" s="313" t="str">
        <f>'Base Costs'!A52</f>
        <v>ND1118</v>
      </c>
      <c r="B52" s="314" t="str">
        <f>'Base Costs'!B52</f>
        <v>Strategic spare dual secondary winding 110/11-6.6 kV 45-45 MVA supply transformer</v>
      </c>
      <c r="C52" s="314" t="str">
        <f>'Base Costs'!C52</f>
        <v>Inventory / Spares</v>
      </c>
      <c r="D52" s="333" t="str">
        <f>'Base Costs'!D52</f>
        <v>2016/17</v>
      </c>
      <c r="E52" s="333">
        <f>'Base Costs'!E52</f>
        <v>11</v>
      </c>
      <c r="F52" s="315"/>
      <c r="G52" s="315"/>
      <c r="H52" s="316">
        <f>'Input Data Sheet'!J52</f>
        <v>0</v>
      </c>
      <c r="I52" s="316"/>
      <c r="J52" s="316"/>
      <c r="K52" s="316"/>
      <c r="L52" s="316"/>
      <c r="M52" s="316"/>
      <c r="N52" s="316"/>
      <c r="O52" s="287">
        <f t="shared" si="5"/>
        <v>2388759.8878368526</v>
      </c>
      <c r="P52" s="320">
        <f>(1+AI52)*'Cost+LOA'!P52</f>
        <v>0</v>
      </c>
      <c r="Q52" s="287">
        <f>(1+AJ52)*'Cost+LOA'!Q52</f>
        <v>0</v>
      </c>
      <c r="R52" s="341">
        <f>(1+AK52)*'Cost+LOA'!R52</f>
        <v>331629.58214105113</v>
      </c>
      <c r="S52" s="341">
        <f>(1+AL52)*'Cost+LOA'!S52</f>
        <v>1936806.6108157877</v>
      </c>
      <c r="T52" s="341">
        <f>(1+AM52)*'Cost+LOA'!T52</f>
        <v>120323.69488001395</v>
      </c>
      <c r="U52" s="341">
        <f>(1+AN52)*'Cost+LOA'!U52</f>
        <v>0</v>
      </c>
      <c r="V52" s="341">
        <f>(1+AO52)*'Cost+LOA'!V52</f>
        <v>0</v>
      </c>
      <c r="W52" s="287">
        <f>(1+AP52)*'Cost+LOA'!W52</f>
        <v>0</v>
      </c>
      <c r="X52" s="321">
        <f>(1+AQ52)*'Cost+LOA'!X52</f>
        <v>0</v>
      </c>
      <c r="Y52" s="287">
        <f t="shared" si="3"/>
        <v>0</v>
      </c>
      <c r="Z52" s="287">
        <f t="shared" si="3"/>
        <v>0</v>
      </c>
      <c r="AA52" s="341">
        <f t="shared" si="3"/>
        <v>0</v>
      </c>
      <c r="AB52" s="341">
        <f t="shared" si="3"/>
        <v>0</v>
      </c>
      <c r="AC52" s="341">
        <f t="shared" si="3"/>
        <v>2388759.8878368526</v>
      </c>
      <c r="AD52" s="341">
        <f t="shared" si="3"/>
        <v>0</v>
      </c>
      <c r="AE52" s="341">
        <f t="shared" si="3"/>
        <v>0</v>
      </c>
      <c r="AF52" s="287">
        <f t="shared" si="3"/>
        <v>0</v>
      </c>
      <c r="AG52" s="287">
        <f t="shared" si="4"/>
        <v>0</v>
      </c>
      <c r="AH52" s="322">
        <f>IF($H52,0,IFERROR(IF(VALUE(LEFT(D52,4))&gt;VALUE(LEFT(Parameters!$B$66,4))+1,O52-SUM(R52:X52),0),0))</f>
        <v>0</v>
      </c>
      <c r="AI52" s="326">
        <f>IF($E52=0,0,INDEX(Parameters!AB$43:AB$73,MATCH($E52,Parameters!$B$5:$B$35,0)))</f>
        <v>9.3362407106104169E-3</v>
      </c>
      <c r="AJ52" s="327">
        <f>IF($E52=0,0,INDEX(Parameters!AC$43:AC$73,MATCH($E52,Parameters!$B$5:$B$35,0)))</f>
        <v>2.7767890914151713E-2</v>
      </c>
      <c r="AK52" s="327">
        <f>IF($E52=0,0,INDEX(Parameters!AD$43:AD$73,MATCH($E52,Parameters!$B$5:$B$35,0)))</f>
        <v>2.7515444326864411E-2</v>
      </c>
      <c r="AL52" s="327">
        <f>IF($E52=0,0,INDEX(Parameters!AE$43:AE$73,MATCH($E52,Parameters!$B$5:$B$35,0)))</f>
        <v>3.7204447312591801E-2</v>
      </c>
      <c r="AM52" s="327">
        <f>IF($E52=0,0,INDEX(Parameters!AF$43:AF$73,MATCH($E52,Parameters!$B$5:$B$35,0)))</f>
        <v>4.3864878478443309E-2</v>
      </c>
      <c r="AN52" s="327">
        <f>IF($E52=0,0,INDEX(Parameters!AG$43:AG$73,MATCH($E52,Parameters!$B$5:$B$35,0)))</f>
        <v>4.9105434057059097E-2</v>
      </c>
      <c r="AO52" s="327">
        <f>IF($E52=0,0,INDEX(Parameters!AH$43:AH$73,MATCH($E52,Parameters!$B$5:$B$35,0)))</f>
        <v>5.2605213923927051E-2</v>
      </c>
      <c r="AP52" s="327">
        <f>IF($E52=0,0,INDEX(Parameters!AI$43:AI$73,MATCH($E52,Parameters!$B$5:$B$35,0)))</f>
        <v>5.2605213923927051E-2</v>
      </c>
      <c r="AQ52" s="328">
        <f>IF($E52=0,0,INDEX(Parameters!AJ$43:AJ$73,MATCH($E52,Parameters!$B$5:$B$35,0)))</f>
        <v>5.2605213923927051E-2</v>
      </c>
    </row>
    <row r="53" spans="1:43" ht="13.8" x14ac:dyDescent="0.3">
      <c r="A53" s="313" t="str">
        <f>'Base Costs'!A53</f>
        <v>ND1343</v>
      </c>
      <c r="B53" s="314" t="str">
        <f>'Base Costs'!B53</f>
        <v>Strategic spare mobile 110/33/22/11 kV substation</v>
      </c>
      <c r="C53" s="314" t="str">
        <f>'Base Costs'!C53</f>
        <v>Inventory / Spares</v>
      </c>
      <c r="D53" s="333" t="str">
        <f>'Base Costs'!D53</f>
        <v>2016/17</v>
      </c>
      <c r="E53" s="333" t="str">
        <f>'Base Costs'!E53</f>
        <v>7a</v>
      </c>
      <c r="F53" s="315"/>
      <c r="G53" s="315"/>
      <c r="H53" s="316">
        <f>'Input Data Sheet'!J53</f>
        <v>0</v>
      </c>
      <c r="I53" s="316"/>
      <c r="J53" s="316"/>
      <c r="K53" s="316"/>
      <c r="L53" s="316"/>
      <c r="M53" s="316"/>
      <c r="N53" s="316"/>
      <c r="O53" s="287">
        <f t="shared" si="5"/>
        <v>6771804.1166281234</v>
      </c>
      <c r="P53" s="320">
        <f>(1+AI53)*'Cost+LOA'!P53</f>
        <v>0</v>
      </c>
      <c r="Q53" s="287">
        <f>(1+AJ53)*'Cost+LOA'!Q53</f>
        <v>0</v>
      </c>
      <c r="R53" s="341">
        <f>(1+AK53)*'Cost+LOA'!R53</f>
        <v>267698.18338622042</v>
      </c>
      <c r="S53" s="341">
        <f>(1+AL53)*'Cost+LOA'!S53</f>
        <v>2603672.1067488668</v>
      </c>
      <c r="T53" s="341">
        <f>(1+AM53)*'Cost+LOA'!T53</f>
        <v>3900433.826493036</v>
      </c>
      <c r="U53" s="341">
        <f>(1+AN53)*'Cost+LOA'!U53</f>
        <v>0</v>
      </c>
      <c r="V53" s="341">
        <f>(1+AO53)*'Cost+LOA'!V53</f>
        <v>0</v>
      </c>
      <c r="W53" s="287">
        <f>(1+AP53)*'Cost+LOA'!W53</f>
        <v>0</v>
      </c>
      <c r="X53" s="321">
        <f>(1+AQ53)*'Cost+LOA'!X53</f>
        <v>0</v>
      </c>
      <c r="Y53" s="287">
        <f t="shared" si="3"/>
        <v>0</v>
      </c>
      <c r="Z53" s="287">
        <f t="shared" si="3"/>
        <v>0</v>
      </c>
      <c r="AA53" s="341">
        <f t="shared" si="3"/>
        <v>0</v>
      </c>
      <c r="AB53" s="341">
        <f t="shared" si="3"/>
        <v>0</v>
      </c>
      <c r="AC53" s="341">
        <f t="shared" si="3"/>
        <v>6771804.1166281234</v>
      </c>
      <c r="AD53" s="341">
        <f t="shared" si="3"/>
        <v>0</v>
      </c>
      <c r="AE53" s="341">
        <f t="shared" si="3"/>
        <v>0</v>
      </c>
      <c r="AF53" s="287">
        <f t="shared" si="3"/>
        <v>0</v>
      </c>
      <c r="AG53" s="287">
        <f t="shared" si="4"/>
        <v>0</v>
      </c>
      <c r="AH53" s="322">
        <f>IF($H53,0,IFERROR(IF(VALUE(LEFT(D53,4))&gt;VALUE(LEFT(Parameters!$B$66,4))+1,O53-SUM(R53:X53),0),0))</f>
        <v>0</v>
      </c>
      <c r="AI53" s="326">
        <f>IF($E53=0,0,INDEX(Parameters!AB$43:AB$73,MATCH($E53,Parameters!$B$5:$B$35,0)))</f>
        <v>1.7285826899545758E-2</v>
      </c>
      <c r="AJ53" s="327">
        <f>IF($E53=0,0,INDEX(Parameters!AC$43:AC$73,MATCH($E53,Parameters!$B$5:$B$35,0)))</f>
        <v>2.752850517656056E-2</v>
      </c>
      <c r="AK53" s="327">
        <f>IF($E53=0,0,INDEX(Parameters!AD$43:AD$73,MATCH($E53,Parameters!$B$5:$B$35,0)))</f>
        <v>2.8441354035099571E-2</v>
      </c>
      <c r="AL53" s="327">
        <f>IF($E53=0,0,INDEX(Parameters!AE$43:AE$73,MATCH($E53,Parameters!$B$5:$B$35,0)))</f>
        <v>3.8446864626402892E-2</v>
      </c>
      <c r="AM53" s="327">
        <f>IF($E53=0,0,INDEX(Parameters!AF$43:AF$73,MATCH($E53,Parameters!$B$5:$B$35,0)))</f>
        <v>4.7211670193413963E-2</v>
      </c>
      <c r="AN53" s="327">
        <f>IF($E53=0,0,INDEX(Parameters!AG$43:AG$73,MATCH($E53,Parameters!$B$5:$B$35,0)))</f>
        <v>5.4980081694095594E-2</v>
      </c>
      <c r="AO53" s="327">
        <f>IF($E53=0,0,INDEX(Parameters!AH$43:AH$73,MATCH($E53,Parameters!$B$5:$B$35,0)))</f>
        <v>6.0895214701138747E-2</v>
      </c>
      <c r="AP53" s="327">
        <f>IF($E53=0,0,INDEX(Parameters!AI$43:AI$73,MATCH($E53,Parameters!$B$5:$B$35,0)))</f>
        <v>6.0895214701138747E-2</v>
      </c>
      <c r="AQ53" s="328">
        <f>IF($E53=0,0,INDEX(Parameters!AJ$43:AJ$73,MATCH($E53,Parameters!$B$5:$B$35,0)))</f>
        <v>6.0895214701138747E-2</v>
      </c>
    </row>
    <row r="54" spans="1:43" ht="13.8" x14ac:dyDescent="0.3">
      <c r="A54" s="313" t="str">
        <f>'Base Costs'!A54</f>
        <v>ND1204</v>
      </c>
      <c r="B54" s="314" t="str">
        <f>'Base Costs'!B54</f>
        <v>Substation AC distribution system renewal program</v>
      </c>
      <c r="C54" s="314" t="str">
        <f>'Base Costs'!C54</f>
        <v>Asset Renewal</v>
      </c>
      <c r="D54" s="333" t="str">
        <f>'Base Costs'!D54</f>
        <v>2017/18</v>
      </c>
      <c r="E54" s="333">
        <f>'Base Costs'!E54</f>
        <v>8</v>
      </c>
      <c r="F54" s="315"/>
      <c r="G54" s="315"/>
      <c r="H54" s="316">
        <f>'Input Data Sheet'!J54</f>
        <v>1</v>
      </c>
      <c r="I54" s="316"/>
      <c r="J54" s="316"/>
      <c r="K54" s="316"/>
      <c r="L54" s="316"/>
      <c r="M54" s="316"/>
      <c r="N54" s="316"/>
      <c r="O54" s="287">
        <f t="shared" si="5"/>
        <v>2285280.0149225472</v>
      </c>
      <c r="P54" s="320">
        <f>(1+AI54)*'Cost+LOA'!P54</f>
        <v>0</v>
      </c>
      <c r="Q54" s="287">
        <f>(1+AJ54)*'Cost+LOA'!Q54</f>
        <v>0</v>
      </c>
      <c r="R54" s="341">
        <f>(1+AK54)*'Cost+LOA'!R54</f>
        <v>0</v>
      </c>
      <c r="S54" s="341">
        <f>(1+AL54)*'Cost+LOA'!S54</f>
        <v>0</v>
      </c>
      <c r="T54" s="341">
        <f>(1+AM54)*'Cost+LOA'!T54</f>
        <v>185543.64168576305</v>
      </c>
      <c r="U54" s="341">
        <f>(1+AN54)*'Cost+LOA'!U54</f>
        <v>880036.89456166863</v>
      </c>
      <c r="V54" s="341">
        <f>(1+AO54)*'Cost+LOA'!V54</f>
        <v>1219699.4786751152</v>
      </c>
      <c r="W54" s="287">
        <f>(1+AP54)*'Cost+LOA'!W54</f>
        <v>0</v>
      </c>
      <c r="X54" s="321">
        <f>(1+AQ54)*'Cost+LOA'!X54</f>
        <v>0</v>
      </c>
      <c r="Y54" s="287">
        <f t="shared" si="3"/>
        <v>0</v>
      </c>
      <c r="Z54" s="287">
        <f t="shared" si="3"/>
        <v>0</v>
      </c>
      <c r="AA54" s="341">
        <f t="shared" si="3"/>
        <v>0</v>
      </c>
      <c r="AB54" s="341">
        <f t="shared" si="3"/>
        <v>0</v>
      </c>
      <c r="AC54" s="341">
        <f t="shared" si="3"/>
        <v>185543.64168576305</v>
      </c>
      <c r="AD54" s="341">
        <f t="shared" si="3"/>
        <v>880036.89456166863</v>
      </c>
      <c r="AE54" s="341">
        <f t="shared" si="3"/>
        <v>1219699.4786751152</v>
      </c>
      <c r="AF54" s="287">
        <f t="shared" si="3"/>
        <v>0</v>
      </c>
      <c r="AG54" s="287">
        <f t="shared" si="4"/>
        <v>0</v>
      </c>
      <c r="AH54" s="322">
        <f>IF($H54,0,IFERROR(IF(VALUE(LEFT(D54,4))&gt;VALUE(LEFT(Parameters!$B$66,4))+1,O54-SUM(R54:X54),0),0))</f>
        <v>0</v>
      </c>
      <c r="AI54" s="326">
        <f>IF($E54=0,0,INDEX(Parameters!AB$43:AB$73,MATCH($E54,Parameters!$B$5:$B$35,0)))</f>
        <v>1.8003101497427461E-2</v>
      </c>
      <c r="AJ54" s="327">
        <f>IF($E54=0,0,INDEX(Parameters!AC$43:AC$73,MATCH($E54,Parameters!$B$5:$B$35,0)))</f>
        <v>2.7260985435373537E-2</v>
      </c>
      <c r="AK54" s="327">
        <f>IF($E54=0,0,INDEX(Parameters!AD$43:AD$73,MATCH($E54,Parameters!$B$5:$B$35,0)))</f>
        <v>2.7900622401517559E-2</v>
      </c>
      <c r="AL54" s="327">
        <f>IF($E54=0,0,INDEX(Parameters!AE$43:AE$73,MATCH($E54,Parameters!$B$5:$B$35,0)))</f>
        <v>3.8640203793043781E-2</v>
      </c>
      <c r="AM54" s="327">
        <f>IF($E54=0,0,INDEX(Parameters!AF$43:AF$73,MATCH($E54,Parameters!$B$5:$B$35,0)))</f>
        <v>5.0716317173908503E-2</v>
      </c>
      <c r="AN54" s="327">
        <f>IF($E54=0,0,INDEX(Parameters!AG$43:AG$73,MATCH($E54,Parameters!$B$5:$B$35,0)))</f>
        <v>6.2070088792730918E-2</v>
      </c>
      <c r="AO54" s="327">
        <f>IF($E54=0,0,INDEX(Parameters!AH$43:AH$73,MATCH($E54,Parameters!$B$5:$B$35,0)))</f>
        <v>7.1923740951829573E-2</v>
      </c>
      <c r="AP54" s="327">
        <f>IF($E54=0,0,INDEX(Parameters!AI$43:AI$73,MATCH($E54,Parameters!$B$5:$B$35,0)))</f>
        <v>7.1923740951829573E-2</v>
      </c>
      <c r="AQ54" s="328">
        <f>IF($E54=0,0,INDEX(Parameters!AJ$43:AJ$73,MATCH($E54,Parameters!$B$5:$B$35,0)))</f>
        <v>7.1923740951829573E-2</v>
      </c>
    </row>
    <row r="55" spans="1:43" ht="13.8" x14ac:dyDescent="0.3">
      <c r="A55" s="313" t="str">
        <f>'Base Costs'!A55</f>
        <v>ND0989</v>
      </c>
      <c r="B55" s="314" t="str">
        <f>'Base Costs'!B55</f>
        <v>Substation AC supply replacement program</v>
      </c>
      <c r="C55" s="314" t="str">
        <f>'Base Costs'!C55</f>
        <v>Asset Renewal</v>
      </c>
      <c r="D55" s="333" t="str">
        <f>'Base Costs'!D55</f>
        <v>2014/15</v>
      </c>
      <c r="E55" s="333">
        <f>'Base Costs'!E55</f>
        <v>0</v>
      </c>
      <c r="F55" s="315"/>
      <c r="G55" s="315"/>
      <c r="H55" s="316">
        <f>'Input Data Sheet'!J55</f>
        <v>0</v>
      </c>
      <c r="I55" s="316"/>
      <c r="J55" s="316"/>
      <c r="K55" s="316"/>
      <c r="L55" s="316"/>
      <c r="M55" s="316"/>
      <c r="N55" s="316"/>
      <c r="O55" s="287">
        <f t="shared" si="5"/>
        <v>323963.17737496441</v>
      </c>
      <c r="P55" s="320">
        <f>(1+AI55)*'Cost+LOA'!P55</f>
        <v>0</v>
      </c>
      <c r="Q55" s="287">
        <f>(1+AJ55)*'Cost+LOA'!Q55</f>
        <v>0</v>
      </c>
      <c r="R55" s="341">
        <f>(1+AK55)*'Cost+LOA'!R55</f>
        <v>323963.17737496441</v>
      </c>
      <c r="S55" s="341">
        <f>(1+AL55)*'Cost+LOA'!S55</f>
        <v>0</v>
      </c>
      <c r="T55" s="341">
        <f>(1+AM55)*'Cost+LOA'!T55</f>
        <v>0</v>
      </c>
      <c r="U55" s="341">
        <f>(1+AN55)*'Cost+LOA'!U55</f>
        <v>0</v>
      </c>
      <c r="V55" s="341">
        <f>(1+AO55)*'Cost+LOA'!V55</f>
        <v>0</v>
      </c>
      <c r="W55" s="287">
        <f>(1+AP55)*'Cost+LOA'!W55</f>
        <v>0</v>
      </c>
      <c r="X55" s="321">
        <f>(1+AQ55)*'Cost+LOA'!X55</f>
        <v>0</v>
      </c>
      <c r="Y55" s="287">
        <f t="shared" si="3"/>
        <v>0</v>
      </c>
      <c r="Z55" s="287">
        <f t="shared" si="3"/>
        <v>0</v>
      </c>
      <c r="AA55" s="341">
        <f t="shared" si="3"/>
        <v>323963.17737496441</v>
      </c>
      <c r="AB55" s="341">
        <f t="shared" si="3"/>
        <v>0</v>
      </c>
      <c r="AC55" s="341">
        <f t="shared" si="3"/>
        <v>0</v>
      </c>
      <c r="AD55" s="341">
        <f t="shared" si="3"/>
        <v>0</v>
      </c>
      <c r="AE55" s="341">
        <f t="shared" si="3"/>
        <v>0</v>
      </c>
      <c r="AF55" s="287">
        <f t="shared" si="3"/>
        <v>0</v>
      </c>
      <c r="AG55" s="287">
        <f t="shared" si="4"/>
        <v>0</v>
      </c>
      <c r="AH55" s="322">
        <f>IF($H55,0,IFERROR(IF(VALUE(LEFT(D55,4))&gt;VALUE(LEFT(Parameters!$B$66,4))+1,O55-SUM(R55:X55),0),0))</f>
        <v>0</v>
      </c>
      <c r="AI55" s="326">
        <f>IF($E55=0,0,INDEX(Parameters!AB$43:AB$73,MATCH($E55,Parameters!$B$5:$B$35,0)))</f>
        <v>0</v>
      </c>
      <c r="AJ55" s="327">
        <f>IF($E55=0,0,INDEX(Parameters!AC$43:AC$73,MATCH($E55,Parameters!$B$5:$B$35,0)))</f>
        <v>0</v>
      </c>
      <c r="AK55" s="327">
        <f>IF($E55=0,0,INDEX(Parameters!AD$43:AD$73,MATCH($E55,Parameters!$B$5:$B$35,0)))</f>
        <v>0</v>
      </c>
      <c r="AL55" s="327">
        <f>IF($E55=0,0,INDEX(Parameters!AE$43:AE$73,MATCH($E55,Parameters!$B$5:$B$35,0)))</f>
        <v>0</v>
      </c>
      <c r="AM55" s="327">
        <f>IF($E55=0,0,INDEX(Parameters!AF$43:AF$73,MATCH($E55,Parameters!$B$5:$B$35,0)))</f>
        <v>0</v>
      </c>
      <c r="AN55" s="327">
        <f>IF($E55=0,0,INDEX(Parameters!AG$43:AG$73,MATCH($E55,Parameters!$B$5:$B$35,0)))</f>
        <v>0</v>
      </c>
      <c r="AO55" s="327">
        <f>IF($E55=0,0,INDEX(Parameters!AH$43:AH$73,MATCH($E55,Parameters!$B$5:$B$35,0)))</f>
        <v>0</v>
      </c>
      <c r="AP55" s="327">
        <f>IF($E55=0,0,INDEX(Parameters!AI$43:AI$73,MATCH($E55,Parameters!$B$5:$B$35,0)))</f>
        <v>0</v>
      </c>
      <c r="AQ55" s="328">
        <f>IF($E55=0,0,INDEX(Parameters!AJ$43:AJ$73,MATCH($E55,Parameters!$B$5:$B$35,0)))</f>
        <v>0</v>
      </c>
    </row>
    <row r="56" spans="1:43" ht="13.8" x14ac:dyDescent="0.3">
      <c r="A56" s="313" t="str">
        <f>'Base Costs'!A56</f>
        <v>ND1002</v>
      </c>
      <c r="B56" s="314" t="str">
        <f>'Base Costs'!B56</f>
        <v>Substation condition based monitoring program</v>
      </c>
      <c r="C56" s="314" t="str">
        <f>'Base Costs'!C56</f>
        <v>Operational Support Systems</v>
      </c>
      <c r="D56" s="333" t="str">
        <f>'Base Costs'!D56</f>
        <v>2018/19</v>
      </c>
      <c r="E56" s="333">
        <f>'Base Costs'!E56</f>
        <v>8</v>
      </c>
      <c r="F56" s="315"/>
      <c r="G56" s="315"/>
      <c r="H56" s="316">
        <f>'Input Data Sheet'!J56</f>
        <v>1</v>
      </c>
      <c r="I56" s="316"/>
      <c r="J56" s="316"/>
      <c r="K56" s="316"/>
      <c r="L56" s="316"/>
      <c r="M56" s="316"/>
      <c r="N56" s="316"/>
      <c r="O56" s="287">
        <f t="shared" si="5"/>
        <v>1592607.7971272767</v>
      </c>
      <c r="P56" s="320">
        <f>(1+AI56)*'Cost+LOA'!P56</f>
        <v>0</v>
      </c>
      <c r="Q56" s="287">
        <f>(1+AJ56)*'Cost+LOA'!Q56</f>
        <v>0</v>
      </c>
      <c r="R56" s="341">
        <f>(1+AK56)*'Cost+LOA'!R56</f>
        <v>311743.34540292801</v>
      </c>
      <c r="S56" s="341">
        <f>(1+AL56)*'Cost+LOA'!S56</f>
        <v>315000.46283068036</v>
      </c>
      <c r="T56" s="341">
        <f>(1+AM56)*'Cost+LOA'!T56</f>
        <v>318662.92581861041</v>
      </c>
      <c r="U56" s="341">
        <f>(1+AN56)*'Cost+LOA'!U56</f>
        <v>322106.31584120152</v>
      </c>
      <c r="V56" s="341">
        <f>(1+AO56)*'Cost+LOA'!V56</f>
        <v>325094.74723385641</v>
      </c>
      <c r="W56" s="287">
        <f>(1+AP56)*'Cost+LOA'!W56</f>
        <v>0</v>
      </c>
      <c r="X56" s="321">
        <f>(1+AQ56)*'Cost+LOA'!X56</f>
        <v>0</v>
      </c>
      <c r="Y56" s="287">
        <f t="shared" si="3"/>
        <v>0</v>
      </c>
      <c r="Z56" s="287">
        <f t="shared" si="3"/>
        <v>0</v>
      </c>
      <c r="AA56" s="341">
        <f t="shared" si="3"/>
        <v>311743.34540292801</v>
      </c>
      <c r="AB56" s="341">
        <f t="shared" si="3"/>
        <v>315000.46283068036</v>
      </c>
      <c r="AC56" s="341">
        <f t="shared" si="3"/>
        <v>318662.92581861041</v>
      </c>
      <c r="AD56" s="341">
        <f t="shared" si="3"/>
        <v>322106.31584120152</v>
      </c>
      <c r="AE56" s="341">
        <f t="shared" si="3"/>
        <v>325094.74723385641</v>
      </c>
      <c r="AF56" s="287">
        <f t="shared" si="3"/>
        <v>0</v>
      </c>
      <c r="AG56" s="287">
        <f t="shared" si="4"/>
        <v>0</v>
      </c>
      <c r="AH56" s="322">
        <f>IF($H56,0,IFERROR(IF(VALUE(LEFT(D56,4))&gt;VALUE(LEFT(Parameters!$B$66,4))+1,O56-SUM(R56:X56),0),0))</f>
        <v>0</v>
      </c>
      <c r="AI56" s="326">
        <f>IF($E56=0,0,INDEX(Parameters!AB$43:AB$73,MATCH($E56,Parameters!$B$5:$B$35,0)))</f>
        <v>1.8003101497427461E-2</v>
      </c>
      <c r="AJ56" s="327">
        <f>IF($E56=0,0,INDEX(Parameters!AC$43:AC$73,MATCH($E56,Parameters!$B$5:$B$35,0)))</f>
        <v>2.7260985435373537E-2</v>
      </c>
      <c r="AK56" s="327">
        <f>IF($E56=0,0,INDEX(Parameters!AD$43:AD$73,MATCH($E56,Parameters!$B$5:$B$35,0)))</f>
        <v>2.7900622401517559E-2</v>
      </c>
      <c r="AL56" s="327">
        <f>IF($E56=0,0,INDEX(Parameters!AE$43:AE$73,MATCH($E56,Parameters!$B$5:$B$35,0)))</f>
        <v>3.8640203793043781E-2</v>
      </c>
      <c r="AM56" s="327">
        <f>IF($E56=0,0,INDEX(Parameters!AF$43:AF$73,MATCH($E56,Parameters!$B$5:$B$35,0)))</f>
        <v>5.0716317173908503E-2</v>
      </c>
      <c r="AN56" s="327">
        <f>IF($E56=0,0,INDEX(Parameters!AG$43:AG$73,MATCH($E56,Parameters!$B$5:$B$35,0)))</f>
        <v>6.2070088792730918E-2</v>
      </c>
      <c r="AO56" s="327">
        <f>IF($E56=0,0,INDEX(Parameters!AH$43:AH$73,MATCH($E56,Parameters!$B$5:$B$35,0)))</f>
        <v>7.1923740951829573E-2</v>
      </c>
      <c r="AP56" s="327">
        <f>IF($E56=0,0,INDEX(Parameters!AI$43:AI$73,MATCH($E56,Parameters!$B$5:$B$35,0)))</f>
        <v>7.1923740951829573E-2</v>
      </c>
      <c r="AQ56" s="328">
        <f>IF($E56=0,0,INDEX(Parameters!AJ$43:AJ$73,MATCH($E56,Parameters!$B$5:$B$35,0)))</f>
        <v>7.1923740951829573E-2</v>
      </c>
    </row>
    <row r="57" spans="1:43" ht="13.8" x14ac:dyDescent="0.3">
      <c r="A57" s="313" t="str">
        <f>'Base Costs'!A57</f>
        <v>ND0981</v>
      </c>
      <c r="B57" s="314" t="str">
        <f>'Base Costs'!B57</f>
        <v>Substation DC distribution system renewal program</v>
      </c>
      <c r="C57" s="314" t="str">
        <f>'Base Costs'!C57</f>
        <v>Asset Renewal</v>
      </c>
      <c r="D57" s="333" t="str">
        <f>'Base Costs'!D57</f>
        <v>2018/19</v>
      </c>
      <c r="E57" s="333">
        <f>'Base Costs'!E57</f>
        <v>9</v>
      </c>
      <c r="F57" s="315"/>
      <c r="G57" s="315"/>
      <c r="H57" s="316">
        <f>'Input Data Sheet'!J57</f>
        <v>1</v>
      </c>
      <c r="I57" s="316"/>
      <c r="J57" s="316"/>
      <c r="K57" s="316"/>
      <c r="L57" s="316"/>
      <c r="M57" s="316"/>
      <c r="N57" s="316"/>
      <c r="O57" s="287">
        <f t="shared" si="5"/>
        <v>3593416.0083063683</v>
      </c>
      <c r="P57" s="320">
        <f>(1+AI57)*'Cost+LOA'!P57</f>
        <v>0</v>
      </c>
      <c r="Q57" s="287">
        <f>(1+AJ57)*'Cost+LOA'!Q57</f>
        <v>0</v>
      </c>
      <c r="R57" s="341">
        <f>(1+AK57)*'Cost+LOA'!R57</f>
        <v>0</v>
      </c>
      <c r="S57" s="341">
        <f>(1+AL57)*'Cost+LOA'!S57</f>
        <v>0</v>
      </c>
      <c r="T57" s="341">
        <f>(1+AM57)*'Cost+LOA'!T57</f>
        <v>477687.43418252643</v>
      </c>
      <c r="U57" s="341">
        <f>(1+AN57)*'Cost+LOA'!U57</f>
        <v>2154889.8025019793</v>
      </c>
      <c r="V57" s="341">
        <f>(1+AO57)*'Cost+LOA'!V57</f>
        <v>960838.77162186243</v>
      </c>
      <c r="W57" s="287">
        <f>(1+AP57)*'Cost+LOA'!W57</f>
        <v>0</v>
      </c>
      <c r="X57" s="321">
        <f>(1+AQ57)*'Cost+LOA'!X57</f>
        <v>0</v>
      </c>
      <c r="Y57" s="287">
        <f t="shared" si="3"/>
        <v>0</v>
      </c>
      <c r="Z57" s="287">
        <f t="shared" si="3"/>
        <v>0</v>
      </c>
      <c r="AA57" s="341">
        <f t="shared" si="3"/>
        <v>0</v>
      </c>
      <c r="AB57" s="341">
        <f t="shared" si="3"/>
        <v>0</v>
      </c>
      <c r="AC57" s="341">
        <f t="shared" si="3"/>
        <v>477687.43418252643</v>
      </c>
      <c r="AD57" s="341">
        <f t="shared" si="3"/>
        <v>2154889.8025019793</v>
      </c>
      <c r="AE57" s="341">
        <f t="shared" si="3"/>
        <v>960838.77162186243</v>
      </c>
      <c r="AF57" s="287">
        <f t="shared" si="3"/>
        <v>0</v>
      </c>
      <c r="AG57" s="287">
        <f t="shared" si="4"/>
        <v>0</v>
      </c>
      <c r="AH57" s="322">
        <f>IF($H57,0,IFERROR(IF(VALUE(LEFT(D57,4))&gt;VALUE(LEFT(Parameters!$B$66,4))+1,O57-SUM(R57:X57),0),0))</f>
        <v>0</v>
      </c>
      <c r="AI57" s="326">
        <f>IF($E57=0,0,INDEX(Parameters!AB$43:AB$73,MATCH($E57,Parameters!$B$5:$B$35,0)))</f>
        <v>1.6011916566173175E-2</v>
      </c>
      <c r="AJ57" s="327">
        <f>IF($E57=0,0,INDEX(Parameters!AC$43:AC$73,MATCH($E57,Parameters!$B$5:$B$35,0)))</f>
        <v>2.220334349611542E-2</v>
      </c>
      <c r="AK57" s="327">
        <f>IF($E57=0,0,INDEX(Parameters!AD$43:AD$73,MATCH($E57,Parameters!$B$5:$B$35,0)))</f>
        <v>2.1993304367171077E-2</v>
      </c>
      <c r="AL57" s="327">
        <f>IF($E57=0,0,INDEX(Parameters!AE$43:AE$73,MATCH($E57,Parameters!$B$5:$B$35,0)))</f>
        <v>3.2181884218510155E-2</v>
      </c>
      <c r="AM57" s="327">
        <f>IF($E57=0,0,INDEX(Parameters!AF$43:AF$73,MATCH($E57,Parameters!$B$5:$B$35,0)))</f>
        <v>4.5389124224014796E-2</v>
      </c>
      <c r="AN57" s="327">
        <f>IF($E57=0,0,INDEX(Parameters!AG$43:AG$73,MATCH($E57,Parameters!$B$5:$B$35,0)))</f>
        <v>5.8163726771146271E-2</v>
      </c>
      <c r="AO57" s="327">
        <f>IF($E57=0,0,INDEX(Parameters!AH$43:AH$73,MATCH($E57,Parameters!$B$5:$B$35,0)))</f>
        <v>6.9786661473551642E-2</v>
      </c>
      <c r="AP57" s="327">
        <f>IF($E57=0,0,INDEX(Parameters!AI$43:AI$73,MATCH($E57,Parameters!$B$5:$B$35,0)))</f>
        <v>6.9786661473551642E-2</v>
      </c>
      <c r="AQ57" s="328">
        <f>IF($E57=0,0,INDEX(Parameters!AJ$43:AJ$73,MATCH($E57,Parameters!$B$5:$B$35,0)))</f>
        <v>6.9786661473551642E-2</v>
      </c>
    </row>
    <row r="58" spans="1:43" ht="13.8" x14ac:dyDescent="0.3">
      <c r="A58" s="313" t="str">
        <f>'Base Costs'!A58</f>
        <v>ND1259</v>
      </c>
      <c r="B58" s="314" t="str">
        <f>'Base Costs'!B58</f>
        <v>Substation Disconnector and Earth Switch renewal program</v>
      </c>
      <c r="C58" s="314" t="str">
        <f>'Base Costs'!C58</f>
        <v>Asset Renewal</v>
      </c>
      <c r="D58" s="333" t="str">
        <f>'Base Costs'!D58</f>
        <v>2017/18</v>
      </c>
      <c r="E58" s="333">
        <f>'Base Costs'!E58</f>
        <v>9</v>
      </c>
      <c r="F58" s="315"/>
      <c r="G58" s="315"/>
      <c r="H58" s="316">
        <f>'Input Data Sheet'!J58</f>
        <v>1</v>
      </c>
      <c r="I58" s="316"/>
      <c r="J58" s="316"/>
      <c r="K58" s="316"/>
      <c r="L58" s="316"/>
      <c r="M58" s="316"/>
      <c r="N58" s="316"/>
      <c r="O58" s="287">
        <f t="shared" si="5"/>
        <v>8274821.0687660752</v>
      </c>
      <c r="P58" s="320">
        <f>(1+AI58)*'Cost+LOA'!P58</f>
        <v>0</v>
      </c>
      <c r="Q58" s="287">
        <f>(1+AJ58)*'Cost+LOA'!Q58</f>
        <v>0</v>
      </c>
      <c r="R58" s="341">
        <f>(1+AK58)*'Cost+LOA'!R58</f>
        <v>0</v>
      </c>
      <c r="S58" s="341">
        <f>(1+AL58)*'Cost+LOA'!S58</f>
        <v>1099104.4722153405</v>
      </c>
      <c r="T58" s="341">
        <f>(1+AM58)*'Cost+LOA'!T58</f>
        <v>4960974.9178649131</v>
      </c>
      <c r="U58" s="341">
        <f>(1+AN58)*'Cost+LOA'!U58</f>
        <v>2214741.6786858216</v>
      </c>
      <c r="V58" s="341">
        <f>(1+AO58)*'Cost+LOA'!V58</f>
        <v>0</v>
      </c>
      <c r="W58" s="287">
        <f>(1+AP58)*'Cost+LOA'!W58</f>
        <v>0</v>
      </c>
      <c r="X58" s="321">
        <f>(1+AQ58)*'Cost+LOA'!X58</f>
        <v>0</v>
      </c>
      <c r="Y58" s="287">
        <f t="shared" si="3"/>
        <v>0</v>
      </c>
      <c r="Z58" s="287">
        <f t="shared" si="3"/>
        <v>0</v>
      </c>
      <c r="AA58" s="341">
        <f t="shared" si="3"/>
        <v>0</v>
      </c>
      <c r="AB58" s="341">
        <f t="shared" si="3"/>
        <v>1099104.4722153405</v>
      </c>
      <c r="AC58" s="341">
        <f t="shared" si="3"/>
        <v>4960974.9178649131</v>
      </c>
      <c r="AD58" s="341">
        <f t="shared" si="3"/>
        <v>2214741.6786858216</v>
      </c>
      <c r="AE58" s="341">
        <f t="shared" si="3"/>
        <v>0</v>
      </c>
      <c r="AF58" s="287">
        <f t="shared" si="3"/>
        <v>0</v>
      </c>
      <c r="AG58" s="287">
        <f t="shared" si="4"/>
        <v>0</v>
      </c>
      <c r="AH58" s="322">
        <f>IF($H58,0,IFERROR(IF(VALUE(LEFT(D58,4))&gt;VALUE(LEFT(Parameters!$B$66,4))+1,O58-SUM(R58:X58),0),0))</f>
        <v>0</v>
      </c>
      <c r="AI58" s="326">
        <f>IF($E58=0,0,INDEX(Parameters!AB$43:AB$73,MATCH($E58,Parameters!$B$5:$B$35,0)))</f>
        <v>1.6011916566173175E-2</v>
      </c>
      <c r="AJ58" s="327">
        <f>IF($E58=0,0,INDEX(Parameters!AC$43:AC$73,MATCH($E58,Parameters!$B$5:$B$35,0)))</f>
        <v>2.220334349611542E-2</v>
      </c>
      <c r="AK58" s="327">
        <f>IF($E58=0,0,INDEX(Parameters!AD$43:AD$73,MATCH($E58,Parameters!$B$5:$B$35,0)))</f>
        <v>2.1993304367171077E-2</v>
      </c>
      <c r="AL58" s="327">
        <f>IF($E58=0,0,INDEX(Parameters!AE$43:AE$73,MATCH($E58,Parameters!$B$5:$B$35,0)))</f>
        <v>3.2181884218510155E-2</v>
      </c>
      <c r="AM58" s="327">
        <f>IF($E58=0,0,INDEX(Parameters!AF$43:AF$73,MATCH($E58,Parameters!$B$5:$B$35,0)))</f>
        <v>4.5389124224014796E-2</v>
      </c>
      <c r="AN58" s="327">
        <f>IF($E58=0,0,INDEX(Parameters!AG$43:AG$73,MATCH($E58,Parameters!$B$5:$B$35,0)))</f>
        <v>5.8163726771146271E-2</v>
      </c>
      <c r="AO58" s="327">
        <f>IF($E58=0,0,INDEX(Parameters!AH$43:AH$73,MATCH($E58,Parameters!$B$5:$B$35,0)))</f>
        <v>6.9786661473551642E-2</v>
      </c>
      <c r="AP58" s="327">
        <f>IF($E58=0,0,INDEX(Parameters!AI$43:AI$73,MATCH($E58,Parameters!$B$5:$B$35,0)))</f>
        <v>6.9786661473551642E-2</v>
      </c>
      <c r="AQ58" s="328">
        <f>IF($E58=0,0,INDEX(Parameters!AJ$43:AJ$73,MATCH($E58,Parameters!$B$5:$B$35,0)))</f>
        <v>6.9786661473551642E-2</v>
      </c>
    </row>
    <row r="59" spans="1:43" ht="13.8" x14ac:dyDescent="0.3">
      <c r="A59" s="313" t="str">
        <f>'Base Costs'!A59</f>
        <v>ND1209</v>
      </c>
      <c r="B59" s="314" t="str">
        <f>'Base Costs'!B59</f>
        <v>Substation EHV Bus Bar protection renewal program</v>
      </c>
      <c r="C59" s="314" t="str">
        <f>'Base Costs'!C59</f>
        <v>Asset Renewal</v>
      </c>
      <c r="D59" s="333" t="str">
        <f>'Base Costs'!D59</f>
        <v>2019/20</v>
      </c>
      <c r="E59" s="333">
        <f>'Base Costs'!E59</f>
        <v>13</v>
      </c>
      <c r="F59" s="315"/>
      <c r="G59" s="315"/>
      <c r="H59" s="316">
        <f>'Input Data Sheet'!J59</f>
        <v>1</v>
      </c>
      <c r="I59" s="316"/>
      <c r="J59" s="316"/>
      <c r="K59" s="316"/>
      <c r="L59" s="316"/>
      <c r="M59" s="316"/>
      <c r="N59" s="316"/>
      <c r="O59" s="287">
        <f t="shared" si="5"/>
        <v>4096755.1073279185</v>
      </c>
      <c r="P59" s="320">
        <f>(1+AI59)*'Cost+LOA'!P59</f>
        <v>0</v>
      </c>
      <c r="Q59" s="287">
        <f>(1+AJ59)*'Cost+LOA'!Q59</f>
        <v>0</v>
      </c>
      <c r="R59" s="341">
        <f>(1+AK59)*'Cost+LOA'!R59</f>
        <v>0</v>
      </c>
      <c r="S59" s="341">
        <f>(1+AL59)*'Cost+LOA'!S59</f>
        <v>0</v>
      </c>
      <c r="T59" s="341">
        <f>(1+AM59)*'Cost+LOA'!T59</f>
        <v>0</v>
      </c>
      <c r="U59" s="341">
        <f>(1+AN59)*'Cost+LOA'!U59</f>
        <v>527687.84189827181</v>
      </c>
      <c r="V59" s="341">
        <f>(1+AO59)*'Cost+LOA'!V59</f>
        <v>3528043.9368902864</v>
      </c>
      <c r="W59" s="287">
        <f>(1+AP59)*'Cost+LOA'!W59</f>
        <v>41023.328539360482</v>
      </c>
      <c r="X59" s="321">
        <f>(1+AQ59)*'Cost+LOA'!X59</f>
        <v>0</v>
      </c>
      <c r="Y59" s="287">
        <f t="shared" si="3"/>
        <v>0</v>
      </c>
      <c r="Z59" s="287">
        <f t="shared" si="3"/>
        <v>0</v>
      </c>
      <c r="AA59" s="341">
        <f t="shared" si="3"/>
        <v>0</v>
      </c>
      <c r="AB59" s="341">
        <f t="shared" si="3"/>
        <v>0</v>
      </c>
      <c r="AC59" s="341">
        <f t="shared" si="3"/>
        <v>0</v>
      </c>
      <c r="AD59" s="341">
        <f t="shared" si="3"/>
        <v>527687.84189827181</v>
      </c>
      <c r="AE59" s="341">
        <f t="shared" si="3"/>
        <v>3528043.9368902864</v>
      </c>
      <c r="AF59" s="287">
        <f t="shared" si="3"/>
        <v>41023.328539360482</v>
      </c>
      <c r="AG59" s="287">
        <f t="shared" si="4"/>
        <v>0</v>
      </c>
      <c r="AH59" s="322">
        <f>IF($H59,0,IFERROR(IF(VALUE(LEFT(D59,4))&gt;VALUE(LEFT(Parameters!$B$66,4))+1,O59-SUM(R59:X59),0),0))</f>
        <v>0</v>
      </c>
      <c r="AI59" s="326">
        <f>IF($E59=0,0,INDEX(Parameters!AB$43:AB$73,MATCH($E59,Parameters!$B$5:$B$35,0)))</f>
        <v>8.5297589120096277E-3</v>
      </c>
      <c r="AJ59" s="327">
        <f>IF($E59=0,0,INDEX(Parameters!AC$43:AC$73,MATCH($E59,Parameters!$B$5:$B$35,0)))</f>
        <v>9.8420696910520595E-3</v>
      </c>
      <c r="AK59" s="327">
        <f>IF($E59=0,0,INDEX(Parameters!AD$43:AD$73,MATCH($E59,Parameters!$B$5:$B$35,0)))</f>
        <v>8.1825399271048017E-3</v>
      </c>
      <c r="AL59" s="327">
        <f>IF($E59=0,0,INDEX(Parameters!AE$43:AE$73,MATCH($E59,Parameters!$B$5:$B$35,0)))</f>
        <v>1.6106132537469481E-2</v>
      </c>
      <c r="AM59" s="327">
        <f>IF($E59=0,0,INDEX(Parameters!AF$43:AF$73,MATCH($E59,Parameters!$B$5:$B$35,0)))</f>
        <v>2.8076917546595581E-2</v>
      </c>
      <c r="AN59" s="327">
        <f>IF($E59=0,0,INDEX(Parameters!AG$43:AG$73,MATCH($E59,Parameters!$B$5:$B$35,0)))</f>
        <v>3.9718638998703926E-2</v>
      </c>
      <c r="AO59" s="327">
        <f>IF($E59=0,0,INDEX(Parameters!AH$43:AH$73,MATCH($E59,Parameters!$B$5:$B$35,0)))</f>
        <v>5.0793488332327864E-2</v>
      </c>
      <c r="AP59" s="327">
        <f>IF($E59=0,0,INDEX(Parameters!AI$43:AI$73,MATCH($E59,Parameters!$B$5:$B$35,0)))</f>
        <v>5.0793488332327864E-2</v>
      </c>
      <c r="AQ59" s="328">
        <f>IF($E59=0,0,INDEX(Parameters!AJ$43:AJ$73,MATCH($E59,Parameters!$B$5:$B$35,0)))</f>
        <v>5.0793488332327864E-2</v>
      </c>
    </row>
    <row r="60" spans="1:43" ht="13.8" x14ac:dyDescent="0.3">
      <c r="A60" s="313" t="str">
        <f>'Base Costs'!A60</f>
        <v>ND1098</v>
      </c>
      <c r="B60" s="314" t="str">
        <f>'Base Costs'!B60</f>
        <v>Substation fire suppression renewal program</v>
      </c>
      <c r="C60" s="314" t="str">
        <f>'Base Costs'!C60</f>
        <v>Physical Security / Compliance</v>
      </c>
      <c r="D60" s="333" t="str">
        <f>'Base Costs'!D60</f>
        <v>2018/19</v>
      </c>
      <c r="E60" s="333">
        <f>'Base Costs'!E60</f>
        <v>9</v>
      </c>
      <c r="F60" s="315"/>
      <c r="G60" s="315"/>
      <c r="H60" s="316">
        <f>'Input Data Sheet'!J60</f>
        <v>1</v>
      </c>
      <c r="I60" s="316"/>
      <c r="J60" s="316"/>
      <c r="K60" s="316"/>
      <c r="L60" s="316"/>
      <c r="M60" s="316"/>
      <c r="N60" s="316"/>
      <c r="O60" s="287">
        <f t="shared" si="5"/>
        <v>4464945.6525635626</v>
      </c>
      <c r="P60" s="320">
        <f>(1+AI60)*'Cost+LOA'!P60</f>
        <v>0</v>
      </c>
      <c r="Q60" s="287">
        <f>(1+AJ60)*'Cost+LOA'!Q60</f>
        <v>0</v>
      </c>
      <c r="R60" s="341">
        <f>(1+AK60)*'Cost+LOA'!R60</f>
        <v>872908.98681985168</v>
      </c>
      <c r="S60" s="341">
        <f>(1+AL60)*'Cost+LOA'!S60</f>
        <v>881611.29717468575</v>
      </c>
      <c r="T60" s="341">
        <f>(1+AM60)*'Cost+LOA'!T60</f>
        <v>892891.91754922946</v>
      </c>
      <c r="U60" s="341">
        <f>(1+AN60)*'Cost+LOA'!U60</f>
        <v>903803.01189670933</v>
      </c>
      <c r="V60" s="341">
        <f>(1+AO60)*'Cost+LOA'!V60</f>
        <v>913730.43912308663</v>
      </c>
      <c r="W60" s="287">
        <f>(1+AP60)*'Cost+LOA'!W60</f>
        <v>0</v>
      </c>
      <c r="X60" s="321">
        <f>(1+AQ60)*'Cost+LOA'!X60</f>
        <v>0</v>
      </c>
      <c r="Y60" s="287">
        <f t="shared" si="3"/>
        <v>0</v>
      </c>
      <c r="Z60" s="287">
        <f t="shared" si="3"/>
        <v>0</v>
      </c>
      <c r="AA60" s="341">
        <f t="shared" si="3"/>
        <v>872908.98681985168</v>
      </c>
      <c r="AB60" s="341">
        <f t="shared" si="3"/>
        <v>881611.29717468575</v>
      </c>
      <c r="AC60" s="341">
        <f t="shared" si="3"/>
        <v>892891.91754922946</v>
      </c>
      <c r="AD60" s="341">
        <f t="shared" si="3"/>
        <v>903803.01189670933</v>
      </c>
      <c r="AE60" s="341">
        <f t="shared" si="3"/>
        <v>913730.43912308663</v>
      </c>
      <c r="AF60" s="287">
        <f t="shared" si="3"/>
        <v>0</v>
      </c>
      <c r="AG60" s="287">
        <f t="shared" si="4"/>
        <v>0</v>
      </c>
      <c r="AH60" s="322">
        <f>IF($H60,0,IFERROR(IF(VALUE(LEFT(D60,4))&gt;VALUE(LEFT(Parameters!$B$66,4))+1,O60-SUM(R60:X60),0),0))</f>
        <v>0</v>
      </c>
      <c r="AI60" s="326">
        <f>IF($E60=0,0,INDEX(Parameters!AB$43:AB$73,MATCH($E60,Parameters!$B$5:$B$35,0)))</f>
        <v>1.6011916566173175E-2</v>
      </c>
      <c r="AJ60" s="327">
        <f>IF($E60=0,0,INDEX(Parameters!AC$43:AC$73,MATCH($E60,Parameters!$B$5:$B$35,0)))</f>
        <v>2.220334349611542E-2</v>
      </c>
      <c r="AK60" s="327">
        <f>IF($E60=0,0,INDEX(Parameters!AD$43:AD$73,MATCH($E60,Parameters!$B$5:$B$35,0)))</f>
        <v>2.1993304367171077E-2</v>
      </c>
      <c r="AL60" s="327">
        <f>IF($E60=0,0,INDEX(Parameters!AE$43:AE$73,MATCH($E60,Parameters!$B$5:$B$35,0)))</f>
        <v>3.2181884218510155E-2</v>
      </c>
      <c r="AM60" s="327">
        <f>IF($E60=0,0,INDEX(Parameters!AF$43:AF$73,MATCH($E60,Parameters!$B$5:$B$35,0)))</f>
        <v>4.5389124224014796E-2</v>
      </c>
      <c r="AN60" s="327">
        <f>IF($E60=0,0,INDEX(Parameters!AG$43:AG$73,MATCH($E60,Parameters!$B$5:$B$35,0)))</f>
        <v>5.8163726771146271E-2</v>
      </c>
      <c r="AO60" s="327">
        <f>IF($E60=0,0,INDEX(Parameters!AH$43:AH$73,MATCH($E60,Parameters!$B$5:$B$35,0)))</f>
        <v>6.9786661473551642E-2</v>
      </c>
      <c r="AP60" s="327">
        <f>IF($E60=0,0,INDEX(Parameters!AI$43:AI$73,MATCH($E60,Parameters!$B$5:$B$35,0)))</f>
        <v>6.9786661473551642E-2</v>
      </c>
      <c r="AQ60" s="328">
        <f>IF($E60=0,0,INDEX(Parameters!AJ$43:AJ$73,MATCH($E60,Parameters!$B$5:$B$35,0)))</f>
        <v>6.9786661473551642E-2</v>
      </c>
    </row>
    <row r="61" spans="1:43" ht="13.8" x14ac:dyDescent="0.3">
      <c r="A61" s="313" t="str">
        <f>'Base Costs'!A61</f>
        <v>ND1339</v>
      </c>
      <c r="B61" s="314" t="str">
        <f>'Base Costs'!B61</f>
        <v>Substation HV switchgear replacement program</v>
      </c>
      <c r="C61" s="314" t="str">
        <f>'Base Costs'!C61</f>
        <v>Asset Renewal</v>
      </c>
      <c r="D61" s="333" t="str">
        <f>'Base Costs'!D61</f>
        <v>2016/17</v>
      </c>
      <c r="E61" s="333">
        <f>'Base Costs'!E61</f>
        <v>9</v>
      </c>
      <c r="F61" s="315"/>
      <c r="G61" s="315"/>
      <c r="H61" s="316">
        <f>'Input Data Sheet'!J61</f>
        <v>1</v>
      </c>
      <c r="I61" s="316"/>
      <c r="J61" s="316"/>
      <c r="K61" s="316"/>
      <c r="L61" s="316"/>
      <c r="M61" s="316"/>
      <c r="N61" s="316"/>
      <c r="O61" s="287">
        <f t="shared" si="5"/>
        <v>3770044.0037231613</v>
      </c>
      <c r="P61" s="320">
        <f>(1+AI61)*'Cost+LOA'!P61</f>
        <v>0</v>
      </c>
      <c r="Q61" s="287">
        <f>(1+AJ61)*'Cost+LOA'!Q61</f>
        <v>0</v>
      </c>
      <c r="R61" s="341">
        <f>(1+AK61)*'Cost+LOA'!R61</f>
        <v>501894.63039947045</v>
      </c>
      <c r="S61" s="341">
        <f>(1+AL61)*'Cost+LOA'!S61</f>
        <v>2259058.5542701399</v>
      </c>
      <c r="T61" s="341">
        <f>(1+AM61)*'Cost+LOA'!T61</f>
        <v>1009090.8190535511</v>
      </c>
      <c r="U61" s="341">
        <f>(1+AN61)*'Cost+LOA'!U61</f>
        <v>0</v>
      </c>
      <c r="V61" s="341">
        <f>(1+AO61)*'Cost+LOA'!V61</f>
        <v>0</v>
      </c>
      <c r="W61" s="287">
        <f>(1+AP61)*'Cost+LOA'!W61</f>
        <v>0</v>
      </c>
      <c r="X61" s="321">
        <f>(1+AQ61)*'Cost+LOA'!X61</f>
        <v>0</v>
      </c>
      <c r="Y61" s="287">
        <f t="shared" si="3"/>
        <v>0</v>
      </c>
      <c r="Z61" s="287">
        <f t="shared" si="3"/>
        <v>0</v>
      </c>
      <c r="AA61" s="341">
        <f t="shared" si="3"/>
        <v>501894.63039947045</v>
      </c>
      <c r="AB61" s="341">
        <f t="shared" si="3"/>
        <v>2259058.5542701399</v>
      </c>
      <c r="AC61" s="341">
        <f t="shared" si="3"/>
        <v>1009090.8190535511</v>
      </c>
      <c r="AD61" s="341">
        <f t="shared" si="3"/>
        <v>0</v>
      </c>
      <c r="AE61" s="341">
        <f t="shared" si="3"/>
        <v>0</v>
      </c>
      <c r="AF61" s="287">
        <f t="shared" si="3"/>
        <v>0</v>
      </c>
      <c r="AG61" s="287">
        <f t="shared" si="4"/>
        <v>0</v>
      </c>
      <c r="AH61" s="322">
        <f>IF($H61,0,IFERROR(IF(VALUE(LEFT(D61,4))&gt;VALUE(LEFT(Parameters!$B$66,4))+1,O61-SUM(R61:X61),0),0))</f>
        <v>0</v>
      </c>
      <c r="AI61" s="326">
        <f>IF($E61=0,0,INDEX(Parameters!AB$43:AB$73,MATCH($E61,Parameters!$B$5:$B$35,0)))</f>
        <v>1.6011916566173175E-2</v>
      </c>
      <c r="AJ61" s="327">
        <f>IF($E61=0,0,INDEX(Parameters!AC$43:AC$73,MATCH($E61,Parameters!$B$5:$B$35,0)))</f>
        <v>2.220334349611542E-2</v>
      </c>
      <c r="AK61" s="327">
        <f>IF($E61=0,0,INDEX(Parameters!AD$43:AD$73,MATCH($E61,Parameters!$B$5:$B$35,0)))</f>
        <v>2.1993304367171077E-2</v>
      </c>
      <c r="AL61" s="327">
        <f>IF($E61=0,0,INDEX(Parameters!AE$43:AE$73,MATCH($E61,Parameters!$B$5:$B$35,0)))</f>
        <v>3.2181884218510155E-2</v>
      </c>
      <c r="AM61" s="327">
        <f>IF($E61=0,0,INDEX(Parameters!AF$43:AF$73,MATCH($E61,Parameters!$B$5:$B$35,0)))</f>
        <v>4.5389124224014796E-2</v>
      </c>
      <c r="AN61" s="327">
        <f>IF($E61=0,0,INDEX(Parameters!AG$43:AG$73,MATCH($E61,Parameters!$B$5:$B$35,0)))</f>
        <v>5.8163726771146271E-2</v>
      </c>
      <c r="AO61" s="327">
        <f>IF($E61=0,0,INDEX(Parameters!AH$43:AH$73,MATCH($E61,Parameters!$B$5:$B$35,0)))</f>
        <v>6.9786661473551642E-2</v>
      </c>
      <c r="AP61" s="327">
        <f>IF($E61=0,0,INDEX(Parameters!AI$43:AI$73,MATCH($E61,Parameters!$B$5:$B$35,0)))</f>
        <v>6.9786661473551642E-2</v>
      </c>
      <c r="AQ61" s="328">
        <f>IF($E61=0,0,INDEX(Parameters!AJ$43:AJ$73,MATCH($E61,Parameters!$B$5:$B$35,0)))</f>
        <v>6.9786661473551642E-2</v>
      </c>
    </row>
    <row r="62" spans="1:43" ht="13.8" x14ac:dyDescent="0.3">
      <c r="A62" s="313" t="str">
        <f>'Base Costs'!A62</f>
        <v>ND1309</v>
      </c>
      <c r="B62" s="314" t="str">
        <f>'Base Costs'!B62</f>
        <v>Substation Lightning Protection enhancement program</v>
      </c>
      <c r="C62" s="314" t="str">
        <f>'Base Costs'!C62</f>
        <v>Asset Renewal</v>
      </c>
      <c r="D62" s="333" t="str">
        <f>'Base Costs'!D62</f>
        <v>2018/19</v>
      </c>
      <c r="E62" s="333">
        <f>'Base Costs'!E62</f>
        <v>9</v>
      </c>
      <c r="F62" s="315"/>
      <c r="G62" s="315"/>
      <c r="H62" s="316">
        <f>'Input Data Sheet'!J62</f>
        <v>0</v>
      </c>
      <c r="I62" s="316"/>
      <c r="J62" s="316"/>
      <c r="K62" s="316"/>
      <c r="L62" s="316"/>
      <c r="M62" s="316"/>
      <c r="N62" s="316"/>
      <c r="O62" s="287">
        <f t="shared" si="5"/>
        <v>2721843.3761227774</v>
      </c>
      <c r="P62" s="320">
        <f>(1+AI62)*'Cost+LOA'!P62</f>
        <v>0</v>
      </c>
      <c r="Q62" s="287">
        <f>(1+AJ62)*'Cost+LOA'!Q62</f>
        <v>0</v>
      </c>
      <c r="R62" s="341">
        <f>(1+AK62)*'Cost+LOA'!R62</f>
        <v>0</v>
      </c>
      <c r="S62" s="341">
        <f>(1+AL62)*'Cost+LOA'!S62</f>
        <v>0</v>
      </c>
      <c r="T62" s="341">
        <f>(1+AM62)*'Cost+LOA'!T62</f>
        <v>361825.93097265891</v>
      </c>
      <c r="U62" s="341">
        <f>(1+AN62)*'Cost+LOA'!U62</f>
        <v>1632227.7968601868</v>
      </c>
      <c r="V62" s="341">
        <f>(1+AO62)*'Cost+LOA'!V62</f>
        <v>727789.64828993147</v>
      </c>
      <c r="W62" s="287">
        <f>(1+AP62)*'Cost+LOA'!W62</f>
        <v>0</v>
      </c>
      <c r="X62" s="321">
        <f>(1+AQ62)*'Cost+LOA'!X62</f>
        <v>0</v>
      </c>
      <c r="Y62" s="287">
        <f t="shared" si="3"/>
        <v>0</v>
      </c>
      <c r="Z62" s="287">
        <f t="shared" si="3"/>
        <v>0</v>
      </c>
      <c r="AA62" s="341">
        <f t="shared" si="3"/>
        <v>0</v>
      </c>
      <c r="AB62" s="341">
        <f t="shared" si="3"/>
        <v>0</v>
      </c>
      <c r="AC62" s="341">
        <f t="shared" si="3"/>
        <v>0</v>
      </c>
      <c r="AD62" s="341">
        <f t="shared" si="3"/>
        <v>0</v>
      </c>
      <c r="AE62" s="341">
        <f t="shared" si="3"/>
        <v>2721843.3761227774</v>
      </c>
      <c r="AF62" s="287">
        <f t="shared" si="3"/>
        <v>0</v>
      </c>
      <c r="AG62" s="287">
        <f t="shared" si="4"/>
        <v>0</v>
      </c>
      <c r="AH62" s="322">
        <f>IF($H62,0,IFERROR(IF(VALUE(LEFT(D62,4))&gt;VALUE(LEFT(Parameters!$B$66,4))+1,O62-SUM(R62:X62),0),0))</f>
        <v>0</v>
      </c>
      <c r="AI62" s="326">
        <f>IF($E62=0,0,INDEX(Parameters!AB$43:AB$73,MATCH($E62,Parameters!$B$5:$B$35,0)))</f>
        <v>1.6011916566173175E-2</v>
      </c>
      <c r="AJ62" s="327">
        <f>IF($E62=0,0,INDEX(Parameters!AC$43:AC$73,MATCH($E62,Parameters!$B$5:$B$35,0)))</f>
        <v>2.220334349611542E-2</v>
      </c>
      <c r="AK62" s="327">
        <f>IF($E62=0,0,INDEX(Parameters!AD$43:AD$73,MATCH($E62,Parameters!$B$5:$B$35,0)))</f>
        <v>2.1993304367171077E-2</v>
      </c>
      <c r="AL62" s="327">
        <f>IF($E62=0,0,INDEX(Parameters!AE$43:AE$73,MATCH($E62,Parameters!$B$5:$B$35,0)))</f>
        <v>3.2181884218510155E-2</v>
      </c>
      <c r="AM62" s="327">
        <f>IF($E62=0,0,INDEX(Parameters!AF$43:AF$73,MATCH($E62,Parameters!$B$5:$B$35,0)))</f>
        <v>4.5389124224014796E-2</v>
      </c>
      <c r="AN62" s="327">
        <f>IF($E62=0,0,INDEX(Parameters!AG$43:AG$73,MATCH($E62,Parameters!$B$5:$B$35,0)))</f>
        <v>5.8163726771146271E-2</v>
      </c>
      <c r="AO62" s="327">
        <f>IF($E62=0,0,INDEX(Parameters!AH$43:AH$73,MATCH($E62,Parameters!$B$5:$B$35,0)))</f>
        <v>6.9786661473551642E-2</v>
      </c>
      <c r="AP62" s="327">
        <f>IF($E62=0,0,INDEX(Parameters!AI$43:AI$73,MATCH($E62,Parameters!$B$5:$B$35,0)))</f>
        <v>6.9786661473551642E-2</v>
      </c>
      <c r="AQ62" s="328">
        <f>IF($E62=0,0,INDEX(Parameters!AJ$43:AJ$73,MATCH($E62,Parameters!$B$5:$B$35,0)))</f>
        <v>6.9786661473551642E-2</v>
      </c>
    </row>
    <row r="63" spans="1:43" ht="13.8" x14ac:dyDescent="0.3">
      <c r="A63" s="313" t="str">
        <f>'Base Costs'!A63</f>
        <v>ND1226</v>
      </c>
      <c r="B63" s="314" t="str">
        <f>'Base Costs'!B63</f>
        <v>Substation Power transformer refurbishment program</v>
      </c>
      <c r="C63" s="314" t="str">
        <f>'Base Costs'!C63</f>
        <v>Asset Renewal</v>
      </c>
      <c r="D63" s="333" t="str">
        <f>'Base Costs'!D63</f>
        <v>2016/17</v>
      </c>
      <c r="E63" s="333">
        <f>'Base Costs'!E63</f>
        <v>11</v>
      </c>
      <c r="F63" s="315"/>
      <c r="G63" s="315"/>
      <c r="H63" s="316">
        <f>'Input Data Sheet'!J63</f>
        <v>1</v>
      </c>
      <c r="I63" s="316"/>
      <c r="J63" s="316"/>
      <c r="K63" s="316"/>
      <c r="L63" s="316"/>
      <c r="M63" s="316"/>
      <c r="N63" s="316"/>
      <c r="O63" s="287">
        <f t="shared" si="5"/>
        <v>1357474.1505791522</v>
      </c>
      <c r="P63" s="320">
        <f>(1+AI63)*'Cost+LOA'!P63</f>
        <v>0</v>
      </c>
      <c r="Q63" s="287">
        <f>(1+AJ63)*'Cost+LOA'!Q63</f>
        <v>0</v>
      </c>
      <c r="R63" s="341">
        <f>(1+AK63)*'Cost+LOA'!R63</f>
        <v>188499.30728129772</v>
      </c>
      <c r="S63" s="341">
        <f>(1+AL63)*'Cost+LOA'!S63</f>
        <v>1148456.7120749373</v>
      </c>
      <c r="T63" s="341">
        <f>(1+AM63)*'Cost+LOA'!T63</f>
        <v>20518.131222917225</v>
      </c>
      <c r="U63" s="341">
        <f>(1+AN63)*'Cost+LOA'!U63</f>
        <v>0</v>
      </c>
      <c r="V63" s="341">
        <f>(1+AO63)*'Cost+LOA'!V63</f>
        <v>0</v>
      </c>
      <c r="W63" s="287">
        <f>(1+AP63)*'Cost+LOA'!W63</f>
        <v>0</v>
      </c>
      <c r="X63" s="321">
        <f>(1+AQ63)*'Cost+LOA'!X63</f>
        <v>0</v>
      </c>
      <c r="Y63" s="287">
        <f t="shared" si="3"/>
        <v>0</v>
      </c>
      <c r="Z63" s="287">
        <f t="shared" si="3"/>
        <v>0</v>
      </c>
      <c r="AA63" s="341">
        <f t="shared" si="3"/>
        <v>188499.30728129772</v>
      </c>
      <c r="AB63" s="341">
        <f t="shared" si="3"/>
        <v>1148456.7120749373</v>
      </c>
      <c r="AC63" s="341">
        <f t="shared" si="3"/>
        <v>20518.131222917225</v>
      </c>
      <c r="AD63" s="341">
        <f t="shared" si="3"/>
        <v>0</v>
      </c>
      <c r="AE63" s="341">
        <f t="shared" si="3"/>
        <v>0</v>
      </c>
      <c r="AF63" s="287">
        <f t="shared" si="3"/>
        <v>0</v>
      </c>
      <c r="AG63" s="287">
        <f t="shared" si="4"/>
        <v>0</v>
      </c>
      <c r="AH63" s="322">
        <f>IF($H63,0,IFERROR(IF(VALUE(LEFT(D63,4))&gt;VALUE(LEFT(Parameters!$B$66,4))+1,O63-SUM(R63:X63),0),0))</f>
        <v>0</v>
      </c>
      <c r="AI63" s="326">
        <f>IF($E63=0,0,INDEX(Parameters!AB$43:AB$73,MATCH($E63,Parameters!$B$5:$B$35,0)))</f>
        <v>9.3362407106104169E-3</v>
      </c>
      <c r="AJ63" s="327">
        <f>IF($E63=0,0,INDEX(Parameters!AC$43:AC$73,MATCH($E63,Parameters!$B$5:$B$35,0)))</f>
        <v>2.7767890914151713E-2</v>
      </c>
      <c r="AK63" s="327">
        <f>IF($E63=0,0,INDEX(Parameters!AD$43:AD$73,MATCH($E63,Parameters!$B$5:$B$35,0)))</f>
        <v>2.7515444326864411E-2</v>
      </c>
      <c r="AL63" s="327">
        <f>IF($E63=0,0,INDEX(Parameters!AE$43:AE$73,MATCH($E63,Parameters!$B$5:$B$35,0)))</f>
        <v>3.7204447312591801E-2</v>
      </c>
      <c r="AM63" s="327">
        <f>IF($E63=0,0,INDEX(Parameters!AF$43:AF$73,MATCH($E63,Parameters!$B$5:$B$35,0)))</f>
        <v>4.3864878478443309E-2</v>
      </c>
      <c r="AN63" s="327">
        <f>IF($E63=0,0,INDEX(Parameters!AG$43:AG$73,MATCH($E63,Parameters!$B$5:$B$35,0)))</f>
        <v>4.9105434057059097E-2</v>
      </c>
      <c r="AO63" s="327">
        <f>IF($E63=0,0,INDEX(Parameters!AH$43:AH$73,MATCH($E63,Parameters!$B$5:$B$35,0)))</f>
        <v>5.2605213923927051E-2</v>
      </c>
      <c r="AP63" s="327">
        <f>IF($E63=0,0,INDEX(Parameters!AI$43:AI$73,MATCH($E63,Parameters!$B$5:$B$35,0)))</f>
        <v>5.2605213923927051E-2</v>
      </c>
      <c r="AQ63" s="328">
        <f>IF($E63=0,0,INDEX(Parameters!AJ$43:AJ$73,MATCH($E63,Parameters!$B$5:$B$35,0)))</f>
        <v>5.2605213923927051E-2</v>
      </c>
    </row>
    <row r="64" spans="1:43" ht="13.8" x14ac:dyDescent="0.3">
      <c r="A64" s="313" t="str">
        <f>'Base Costs'!A64</f>
        <v>ND1256</v>
      </c>
      <c r="B64" s="314" t="str">
        <f>'Base Costs'!B64</f>
        <v>Substation site infrastructure program</v>
      </c>
      <c r="C64" s="314" t="str">
        <f>'Base Costs'!C64</f>
        <v>Asset Renewal</v>
      </c>
      <c r="D64" s="333" t="str">
        <f>'Base Costs'!D64</f>
        <v>2015/16</v>
      </c>
      <c r="E64" s="333">
        <f>'Base Costs'!E64</f>
        <v>8</v>
      </c>
      <c r="F64" s="315"/>
      <c r="G64" s="315"/>
      <c r="H64" s="316">
        <f>'Input Data Sheet'!J64</f>
        <v>1</v>
      </c>
      <c r="I64" s="316"/>
      <c r="J64" s="316"/>
      <c r="K64" s="316"/>
      <c r="L64" s="316"/>
      <c r="M64" s="316"/>
      <c r="N64" s="316"/>
      <c r="O64" s="287">
        <f t="shared" si="5"/>
        <v>3625156.7722550398</v>
      </c>
      <c r="P64" s="320">
        <f>(1+AI64)*'Cost+LOA'!P64</f>
        <v>0</v>
      </c>
      <c r="Q64" s="287">
        <f>(1+AJ64)*'Cost+LOA'!Q64</f>
        <v>0</v>
      </c>
      <c r="R64" s="341">
        <f>(1+AK64)*'Cost+LOA'!R64</f>
        <v>1249405.1903432505</v>
      </c>
      <c r="S64" s="341">
        <f>(1+AL64)*'Cost+LOA'!S64</f>
        <v>2375751.5819117893</v>
      </c>
      <c r="T64" s="341">
        <f>(1+AM64)*'Cost+LOA'!T64</f>
        <v>0</v>
      </c>
      <c r="U64" s="341">
        <f>(1+AN64)*'Cost+LOA'!U64</f>
        <v>0</v>
      </c>
      <c r="V64" s="341">
        <f>(1+AO64)*'Cost+LOA'!V64</f>
        <v>0</v>
      </c>
      <c r="W64" s="287">
        <f>(1+AP64)*'Cost+LOA'!W64</f>
        <v>0</v>
      </c>
      <c r="X64" s="321">
        <f>(1+AQ64)*'Cost+LOA'!X64</f>
        <v>0</v>
      </c>
      <c r="Y64" s="287">
        <f t="shared" ref="Y64:AF95" si="6">IF($H64,P64,IF(Y$3=$D64,$O64,0))</f>
        <v>0</v>
      </c>
      <c r="Z64" s="287">
        <f t="shared" si="6"/>
        <v>0</v>
      </c>
      <c r="AA64" s="341">
        <f t="shared" si="6"/>
        <v>1249405.1903432505</v>
      </c>
      <c r="AB64" s="341">
        <f t="shared" si="6"/>
        <v>2375751.5819117893</v>
      </c>
      <c r="AC64" s="341">
        <f t="shared" si="6"/>
        <v>0</v>
      </c>
      <c r="AD64" s="341">
        <f t="shared" si="6"/>
        <v>0</v>
      </c>
      <c r="AE64" s="341">
        <f t="shared" si="6"/>
        <v>0</v>
      </c>
      <c r="AF64" s="287">
        <f t="shared" si="6"/>
        <v>0</v>
      </c>
      <c r="AG64" s="287">
        <f t="shared" si="4"/>
        <v>0</v>
      </c>
      <c r="AH64" s="322">
        <f>IF($H64,0,IFERROR(IF(VALUE(LEFT(D64,4))&gt;VALUE(LEFT(Parameters!$B$66,4))+1,O64-SUM(R64:X64),0),0))</f>
        <v>0</v>
      </c>
      <c r="AI64" s="326">
        <f>IF($E64=0,0,INDEX(Parameters!AB$43:AB$73,MATCH($E64,Parameters!$B$5:$B$35,0)))</f>
        <v>1.8003101497427461E-2</v>
      </c>
      <c r="AJ64" s="327">
        <f>IF($E64=0,0,INDEX(Parameters!AC$43:AC$73,MATCH($E64,Parameters!$B$5:$B$35,0)))</f>
        <v>2.7260985435373537E-2</v>
      </c>
      <c r="AK64" s="327">
        <f>IF($E64=0,0,INDEX(Parameters!AD$43:AD$73,MATCH($E64,Parameters!$B$5:$B$35,0)))</f>
        <v>2.7900622401517559E-2</v>
      </c>
      <c r="AL64" s="327">
        <f>IF($E64=0,0,INDEX(Parameters!AE$43:AE$73,MATCH($E64,Parameters!$B$5:$B$35,0)))</f>
        <v>3.8640203793043781E-2</v>
      </c>
      <c r="AM64" s="327">
        <f>IF($E64=0,0,INDEX(Parameters!AF$43:AF$73,MATCH($E64,Parameters!$B$5:$B$35,0)))</f>
        <v>5.0716317173908503E-2</v>
      </c>
      <c r="AN64" s="327">
        <f>IF($E64=0,0,INDEX(Parameters!AG$43:AG$73,MATCH($E64,Parameters!$B$5:$B$35,0)))</f>
        <v>6.2070088792730918E-2</v>
      </c>
      <c r="AO64" s="327">
        <f>IF($E64=0,0,INDEX(Parameters!AH$43:AH$73,MATCH($E64,Parameters!$B$5:$B$35,0)))</f>
        <v>7.1923740951829573E-2</v>
      </c>
      <c r="AP64" s="327">
        <f>IF($E64=0,0,INDEX(Parameters!AI$43:AI$73,MATCH($E64,Parameters!$B$5:$B$35,0)))</f>
        <v>7.1923740951829573E-2</v>
      </c>
      <c r="AQ64" s="328">
        <f>IF($E64=0,0,INDEX(Parameters!AJ$43:AJ$73,MATCH($E64,Parameters!$B$5:$B$35,0)))</f>
        <v>7.1923740951829573E-2</v>
      </c>
    </row>
    <row r="65" spans="1:43" ht="13.8" x14ac:dyDescent="0.3">
      <c r="A65" s="313" t="str">
        <f>'Base Costs'!A65</f>
        <v>ND0990</v>
      </c>
      <c r="B65" s="314" t="str">
        <f>'Base Costs'!B65</f>
        <v>Substation VESDA and fire suppression program</v>
      </c>
      <c r="C65" s="314" t="str">
        <f>'Base Costs'!C65</f>
        <v>Asset Renewal</v>
      </c>
      <c r="D65" s="333" t="str">
        <f>'Base Costs'!D65</f>
        <v>2014/15</v>
      </c>
      <c r="E65" s="333">
        <f>'Base Costs'!E65</f>
        <v>0</v>
      </c>
      <c r="F65" s="315"/>
      <c r="G65" s="315"/>
      <c r="H65" s="316">
        <f>'Input Data Sheet'!J65</f>
        <v>0</v>
      </c>
      <c r="I65" s="316"/>
      <c r="J65" s="316"/>
      <c r="K65" s="316"/>
      <c r="L65" s="316"/>
      <c r="M65" s="316"/>
      <c r="N65" s="316"/>
      <c r="O65" s="287">
        <f t="shared" si="5"/>
        <v>2453544.6521780393</v>
      </c>
      <c r="P65" s="320">
        <f>(1+AI65)*'Cost+LOA'!P65</f>
        <v>0</v>
      </c>
      <c r="Q65" s="287">
        <f>(1+AJ65)*'Cost+LOA'!Q65</f>
        <v>0</v>
      </c>
      <c r="R65" s="341">
        <f>(1+AK65)*'Cost+LOA'!R65</f>
        <v>2453544.6521780393</v>
      </c>
      <c r="S65" s="341">
        <f>(1+AL65)*'Cost+LOA'!S65</f>
        <v>0</v>
      </c>
      <c r="T65" s="341">
        <f>(1+AM65)*'Cost+LOA'!T65</f>
        <v>0</v>
      </c>
      <c r="U65" s="341">
        <f>(1+AN65)*'Cost+LOA'!U65</f>
        <v>0</v>
      </c>
      <c r="V65" s="341">
        <f>(1+AO65)*'Cost+LOA'!V65</f>
        <v>0</v>
      </c>
      <c r="W65" s="287">
        <f>(1+AP65)*'Cost+LOA'!W65</f>
        <v>0</v>
      </c>
      <c r="X65" s="321">
        <f>(1+AQ65)*'Cost+LOA'!X65</f>
        <v>0</v>
      </c>
      <c r="Y65" s="287">
        <f t="shared" si="6"/>
        <v>0</v>
      </c>
      <c r="Z65" s="287">
        <f t="shared" si="6"/>
        <v>0</v>
      </c>
      <c r="AA65" s="341">
        <f t="shared" si="6"/>
        <v>2453544.6521780393</v>
      </c>
      <c r="AB65" s="341">
        <f t="shared" si="6"/>
        <v>0</v>
      </c>
      <c r="AC65" s="341">
        <f t="shared" si="6"/>
        <v>0</v>
      </c>
      <c r="AD65" s="341">
        <f t="shared" si="6"/>
        <v>0</v>
      </c>
      <c r="AE65" s="341">
        <f t="shared" si="6"/>
        <v>0</v>
      </c>
      <c r="AF65" s="287">
        <f t="shared" si="6"/>
        <v>0</v>
      </c>
      <c r="AG65" s="287">
        <f t="shared" si="4"/>
        <v>0</v>
      </c>
      <c r="AH65" s="322">
        <f>IF($H65,0,IFERROR(IF(VALUE(LEFT(D65,4))&gt;VALUE(LEFT(Parameters!$B$66,4))+1,O65-SUM(R65:X65),0),0))</f>
        <v>0</v>
      </c>
      <c r="AI65" s="326">
        <f>IF($E65=0,0,INDEX(Parameters!AB$43:AB$73,MATCH($E65,Parameters!$B$5:$B$35,0)))</f>
        <v>0</v>
      </c>
      <c r="AJ65" s="327">
        <f>IF($E65=0,0,INDEX(Parameters!AC$43:AC$73,MATCH($E65,Parameters!$B$5:$B$35,0)))</f>
        <v>0</v>
      </c>
      <c r="AK65" s="327">
        <f>IF($E65=0,0,INDEX(Parameters!AD$43:AD$73,MATCH($E65,Parameters!$B$5:$B$35,0)))</f>
        <v>0</v>
      </c>
      <c r="AL65" s="327">
        <f>IF($E65=0,0,INDEX(Parameters!AE$43:AE$73,MATCH($E65,Parameters!$B$5:$B$35,0)))</f>
        <v>0</v>
      </c>
      <c r="AM65" s="327">
        <f>IF($E65=0,0,INDEX(Parameters!AF$43:AF$73,MATCH($E65,Parameters!$B$5:$B$35,0)))</f>
        <v>0</v>
      </c>
      <c r="AN65" s="327">
        <f>IF($E65=0,0,INDEX(Parameters!AG$43:AG$73,MATCH($E65,Parameters!$B$5:$B$35,0)))</f>
        <v>0</v>
      </c>
      <c r="AO65" s="327">
        <f>IF($E65=0,0,INDEX(Parameters!AH$43:AH$73,MATCH($E65,Parameters!$B$5:$B$35,0)))</f>
        <v>0</v>
      </c>
      <c r="AP65" s="327">
        <f>IF($E65=0,0,INDEX(Parameters!AI$43:AI$73,MATCH($E65,Parameters!$B$5:$B$35,0)))</f>
        <v>0</v>
      </c>
      <c r="AQ65" s="328">
        <f>IF($E65=0,0,INDEX(Parameters!AJ$43:AJ$73,MATCH($E65,Parameters!$B$5:$B$35,0)))</f>
        <v>0</v>
      </c>
    </row>
    <row r="66" spans="1:43" ht="13.8" x14ac:dyDescent="0.3">
      <c r="A66" s="313" t="str">
        <f>'Base Costs'!A66</f>
        <v>ND1227</v>
      </c>
      <c r="B66" s="314" t="str">
        <f>'Base Costs'!B66</f>
        <v>Telecommunications bearer system program</v>
      </c>
      <c r="C66" s="314" t="str">
        <f>'Base Costs'!C66</f>
        <v>Asset Renewal</v>
      </c>
      <c r="D66" s="333" t="str">
        <f>'Base Costs'!D66</f>
        <v>2018/19</v>
      </c>
      <c r="E66" s="333">
        <f>'Base Costs'!E66</f>
        <v>13</v>
      </c>
      <c r="F66" s="315"/>
      <c r="G66" s="315"/>
      <c r="H66" s="316">
        <f>'Input Data Sheet'!J66</f>
        <v>1</v>
      </c>
      <c r="I66" s="316"/>
      <c r="J66" s="316"/>
      <c r="K66" s="316"/>
      <c r="L66" s="316"/>
      <c r="M66" s="316"/>
      <c r="N66" s="316"/>
      <c r="O66" s="287">
        <f t="shared" si="5"/>
        <v>3946633.0509381993</v>
      </c>
      <c r="P66" s="320">
        <f>(1+AI66)*'Cost+LOA'!P66</f>
        <v>0</v>
      </c>
      <c r="Q66" s="287">
        <f>(1+AJ66)*'Cost+LOA'!Q66</f>
        <v>0</v>
      </c>
      <c r="R66" s="341">
        <f>(1+AK66)*'Cost+LOA'!R66</f>
        <v>844235.99193309166</v>
      </c>
      <c r="S66" s="341">
        <f>(1+AL66)*'Cost+LOA'!S66</f>
        <v>662342.02315333451</v>
      </c>
      <c r="T66" s="341">
        <f>(1+AM66)*'Cost+LOA'!T66</f>
        <v>1115384.6277404032</v>
      </c>
      <c r="U66" s="341">
        <f>(1+AN66)*'Cost+LOA'!U66</f>
        <v>866419.92119749321</v>
      </c>
      <c r="V66" s="341">
        <f>(1+AO66)*'Cost+LOA'!V66</f>
        <v>458250.48691387713</v>
      </c>
      <c r="W66" s="287">
        <f>(1+AP66)*'Cost+LOA'!W66</f>
        <v>0</v>
      </c>
      <c r="X66" s="321">
        <f>(1+AQ66)*'Cost+LOA'!X66</f>
        <v>0</v>
      </c>
      <c r="Y66" s="287">
        <f t="shared" si="6"/>
        <v>0</v>
      </c>
      <c r="Z66" s="287">
        <f t="shared" si="6"/>
        <v>0</v>
      </c>
      <c r="AA66" s="341">
        <f t="shared" si="6"/>
        <v>844235.99193309166</v>
      </c>
      <c r="AB66" s="341">
        <f t="shared" si="6"/>
        <v>662342.02315333451</v>
      </c>
      <c r="AC66" s="341">
        <f t="shared" si="6"/>
        <v>1115384.6277404032</v>
      </c>
      <c r="AD66" s="341">
        <f t="shared" si="6"/>
        <v>866419.92119749321</v>
      </c>
      <c r="AE66" s="341">
        <f t="shared" si="6"/>
        <v>458250.48691387713</v>
      </c>
      <c r="AF66" s="287">
        <f t="shared" si="6"/>
        <v>0</v>
      </c>
      <c r="AG66" s="287">
        <f t="shared" si="4"/>
        <v>0</v>
      </c>
      <c r="AH66" s="322">
        <f>IF($H66,0,IFERROR(IF(VALUE(LEFT(D66,4))&gt;VALUE(LEFT(Parameters!$B$66,4))+1,O66-SUM(R66:X66),0),0))</f>
        <v>0</v>
      </c>
      <c r="AI66" s="326">
        <f>IF($E66=0,0,INDEX(Parameters!AB$43:AB$73,MATCH($E66,Parameters!$B$5:$B$35,0)))</f>
        <v>8.5297589120096277E-3</v>
      </c>
      <c r="AJ66" s="327">
        <f>IF($E66=0,0,INDEX(Parameters!AC$43:AC$73,MATCH($E66,Parameters!$B$5:$B$35,0)))</f>
        <v>9.8420696910520595E-3</v>
      </c>
      <c r="AK66" s="327">
        <f>IF($E66=0,0,INDEX(Parameters!AD$43:AD$73,MATCH($E66,Parameters!$B$5:$B$35,0)))</f>
        <v>8.1825399271048017E-3</v>
      </c>
      <c r="AL66" s="327">
        <f>IF($E66=0,0,INDEX(Parameters!AE$43:AE$73,MATCH($E66,Parameters!$B$5:$B$35,0)))</f>
        <v>1.6106132537469481E-2</v>
      </c>
      <c r="AM66" s="327">
        <f>IF($E66=0,0,INDEX(Parameters!AF$43:AF$73,MATCH($E66,Parameters!$B$5:$B$35,0)))</f>
        <v>2.8076917546595581E-2</v>
      </c>
      <c r="AN66" s="327">
        <f>IF($E66=0,0,INDEX(Parameters!AG$43:AG$73,MATCH($E66,Parameters!$B$5:$B$35,0)))</f>
        <v>3.9718638998703926E-2</v>
      </c>
      <c r="AO66" s="327">
        <f>IF($E66=0,0,INDEX(Parameters!AH$43:AH$73,MATCH($E66,Parameters!$B$5:$B$35,0)))</f>
        <v>5.0793488332327864E-2</v>
      </c>
      <c r="AP66" s="327">
        <f>IF($E66=0,0,INDEX(Parameters!AI$43:AI$73,MATCH($E66,Parameters!$B$5:$B$35,0)))</f>
        <v>5.0793488332327864E-2</v>
      </c>
      <c r="AQ66" s="328">
        <f>IF($E66=0,0,INDEX(Parameters!AJ$43:AJ$73,MATCH($E66,Parameters!$B$5:$B$35,0)))</f>
        <v>5.0793488332327864E-2</v>
      </c>
    </row>
    <row r="67" spans="1:43" ht="13.8" x14ac:dyDescent="0.3">
      <c r="A67" s="313" t="str">
        <f>'Base Costs'!A67</f>
        <v>ND1228</v>
      </c>
      <c r="B67" s="314" t="str">
        <f>'Base Costs'!B67</f>
        <v>Telecommunications ethernet system program</v>
      </c>
      <c r="C67" s="314" t="str">
        <f>'Base Costs'!C67</f>
        <v>Asset Renewal</v>
      </c>
      <c r="D67" s="333" t="str">
        <f>'Base Costs'!D67</f>
        <v>2018/19</v>
      </c>
      <c r="E67" s="333">
        <f>'Base Costs'!E67</f>
        <v>13</v>
      </c>
      <c r="F67" s="315"/>
      <c r="G67" s="315"/>
      <c r="H67" s="316">
        <f>'Input Data Sheet'!J67</f>
        <v>1</v>
      </c>
      <c r="I67" s="316"/>
      <c r="J67" s="316"/>
      <c r="K67" s="316"/>
      <c r="L67" s="316"/>
      <c r="M67" s="316"/>
      <c r="N67" s="316"/>
      <c r="O67" s="287">
        <f t="shared" si="5"/>
        <v>3680415.335356656</v>
      </c>
      <c r="P67" s="320">
        <f>(1+AI67)*'Cost+LOA'!P67</f>
        <v>0</v>
      </c>
      <c r="Q67" s="287">
        <f>(1+AJ67)*'Cost+LOA'!Q67</f>
        <v>0</v>
      </c>
      <c r="R67" s="341">
        <f>(1+AK67)*'Cost+LOA'!R67</f>
        <v>1727647.8956344563</v>
      </c>
      <c r="S67" s="341">
        <f>(1+AL67)*'Cost+LOA'!S67</f>
        <v>493075.43975433183</v>
      </c>
      <c r="T67" s="341">
        <f>(1+AM67)*'Cost+LOA'!T67</f>
        <v>262848.92638821231</v>
      </c>
      <c r="U67" s="341">
        <f>(1+AN67)*'Cost+LOA'!U67</f>
        <v>362724.66944916337</v>
      </c>
      <c r="V67" s="341">
        <f>(1+AO67)*'Cost+LOA'!V67</f>
        <v>834118.40413049201</v>
      </c>
      <c r="W67" s="287">
        <f>(1+AP67)*'Cost+LOA'!W67</f>
        <v>0</v>
      </c>
      <c r="X67" s="321">
        <f>(1+AQ67)*'Cost+LOA'!X67</f>
        <v>0</v>
      </c>
      <c r="Y67" s="287">
        <f t="shared" si="6"/>
        <v>0</v>
      </c>
      <c r="Z67" s="287">
        <f t="shared" si="6"/>
        <v>0</v>
      </c>
      <c r="AA67" s="341">
        <f t="shared" si="6"/>
        <v>1727647.8956344563</v>
      </c>
      <c r="AB67" s="341">
        <f t="shared" si="6"/>
        <v>493075.43975433183</v>
      </c>
      <c r="AC67" s="341">
        <f t="shared" si="6"/>
        <v>262848.92638821231</v>
      </c>
      <c r="AD67" s="341">
        <f t="shared" si="6"/>
        <v>362724.66944916337</v>
      </c>
      <c r="AE67" s="341">
        <f t="shared" si="6"/>
        <v>834118.40413049201</v>
      </c>
      <c r="AF67" s="287">
        <f t="shared" si="6"/>
        <v>0</v>
      </c>
      <c r="AG67" s="287">
        <f t="shared" si="4"/>
        <v>0</v>
      </c>
      <c r="AH67" s="322">
        <f>IF($H67,0,IFERROR(IF(VALUE(LEFT(D67,4))&gt;VALUE(LEFT(Parameters!$B$66,4))+1,O67-SUM(R67:X67),0),0))</f>
        <v>0</v>
      </c>
      <c r="AI67" s="326">
        <f>IF($E67=0,0,INDEX(Parameters!AB$43:AB$73,MATCH($E67,Parameters!$B$5:$B$35,0)))</f>
        <v>8.5297589120096277E-3</v>
      </c>
      <c r="AJ67" s="327">
        <f>IF($E67=0,0,INDEX(Parameters!AC$43:AC$73,MATCH($E67,Parameters!$B$5:$B$35,0)))</f>
        <v>9.8420696910520595E-3</v>
      </c>
      <c r="AK67" s="327">
        <f>IF($E67=0,0,INDEX(Parameters!AD$43:AD$73,MATCH($E67,Parameters!$B$5:$B$35,0)))</f>
        <v>8.1825399271048017E-3</v>
      </c>
      <c r="AL67" s="327">
        <f>IF($E67=0,0,INDEX(Parameters!AE$43:AE$73,MATCH($E67,Parameters!$B$5:$B$35,0)))</f>
        <v>1.6106132537469481E-2</v>
      </c>
      <c r="AM67" s="327">
        <f>IF($E67=0,0,INDEX(Parameters!AF$43:AF$73,MATCH($E67,Parameters!$B$5:$B$35,0)))</f>
        <v>2.8076917546595581E-2</v>
      </c>
      <c r="AN67" s="327">
        <f>IF($E67=0,0,INDEX(Parameters!AG$43:AG$73,MATCH($E67,Parameters!$B$5:$B$35,0)))</f>
        <v>3.9718638998703926E-2</v>
      </c>
      <c r="AO67" s="327">
        <f>IF($E67=0,0,INDEX(Parameters!AH$43:AH$73,MATCH($E67,Parameters!$B$5:$B$35,0)))</f>
        <v>5.0793488332327864E-2</v>
      </c>
      <c r="AP67" s="327">
        <f>IF($E67=0,0,INDEX(Parameters!AI$43:AI$73,MATCH($E67,Parameters!$B$5:$B$35,0)))</f>
        <v>5.0793488332327864E-2</v>
      </c>
      <c r="AQ67" s="328">
        <f>IF($E67=0,0,INDEX(Parameters!AJ$43:AJ$73,MATCH($E67,Parameters!$B$5:$B$35,0)))</f>
        <v>5.0793488332327864E-2</v>
      </c>
    </row>
    <row r="68" spans="1:43" ht="13.8" x14ac:dyDescent="0.3">
      <c r="A68" s="313" t="str">
        <f>'Base Costs'!A68</f>
        <v>ND1229</v>
      </c>
      <c r="B68" s="314" t="str">
        <f>'Base Costs'!B68</f>
        <v>Telecommunications multiplexer system program</v>
      </c>
      <c r="C68" s="314" t="str">
        <f>'Base Costs'!C68</f>
        <v>Asset Renewal</v>
      </c>
      <c r="D68" s="333" t="str">
        <f>'Base Costs'!D68</f>
        <v>2018/19</v>
      </c>
      <c r="E68" s="333">
        <f>'Base Costs'!E68</f>
        <v>13</v>
      </c>
      <c r="F68" s="315"/>
      <c r="G68" s="315"/>
      <c r="H68" s="316">
        <f>'Input Data Sheet'!J68</f>
        <v>1</v>
      </c>
      <c r="I68" s="316"/>
      <c r="J68" s="316"/>
      <c r="K68" s="316"/>
      <c r="L68" s="316"/>
      <c r="M68" s="316"/>
      <c r="N68" s="316"/>
      <c r="O68" s="287">
        <f t="shared" si="5"/>
        <v>6298702.0180749539</v>
      </c>
      <c r="P68" s="320">
        <f>(1+AI68)*'Cost+LOA'!P68</f>
        <v>0</v>
      </c>
      <c r="Q68" s="287">
        <f>(1+AJ68)*'Cost+LOA'!Q68</f>
        <v>0</v>
      </c>
      <c r="R68" s="341">
        <f>(1+AK68)*'Cost+LOA'!R68</f>
        <v>0</v>
      </c>
      <c r="S68" s="341">
        <f>(1+AL68)*'Cost+LOA'!S68</f>
        <v>102563.15625749984</v>
      </c>
      <c r="T68" s="341">
        <f>(1+AM68)*'Cost+LOA'!T68</f>
        <v>2199644.3493488519</v>
      </c>
      <c r="U68" s="341">
        <f>(1+AN68)*'Cost+LOA'!U68</f>
        <v>3177035.6795370164</v>
      </c>
      <c r="V68" s="341">
        <f>(1+AO68)*'Cost+LOA'!V68</f>
        <v>819458.83293158549</v>
      </c>
      <c r="W68" s="287">
        <f>(1+AP68)*'Cost+LOA'!W68</f>
        <v>0</v>
      </c>
      <c r="X68" s="321">
        <f>(1+AQ68)*'Cost+LOA'!X68</f>
        <v>0</v>
      </c>
      <c r="Y68" s="287">
        <f t="shared" si="6"/>
        <v>0</v>
      </c>
      <c r="Z68" s="287">
        <f t="shared" si="6"/>
        <v>0</v>
      </c>
      <c r="AA68" s="341">
        <f t="shared" si="6"/>
        <v>0</v>
      </c>
      <c r="AB68" s="341">
        <f t="shared" si="6"/>
        <v>102563.15625749984</v>
      </c>
      <c r="AC68" s="341">
        <f t="shared" si="6"/>
        <v>2199644.3493488519</v>
      </c>
      <c r="AD68" s="341">
        <f t="shared" si="6"/>
        <v>3177035.6795370164</v>
      </c>
      <c r="AE68" s="341">
        <f t="shared" si="6"/>
        <v>819458.83293158549</v>
      </c>
      <c r="AF68" s="287">
        <f t="shared" si="6"/>
        <v>0</v>
      </c>
      <c r="AG68" s="287">
        <f t="shared" si="4"/>
        <v>0</v>
      </c>
      <c r="AH68" s="322">
        <f>IF($H68,0,IFERROR(IF(VALUE(LEFT(D68,4))&gt;VALUE(LEFT(Parameters!$B$66,4))+1,O68-SUM(R68:X68),0),0))</f>
        <v>0</v>
      </c>
      <c r="AI68" s="326">
        <f>IF($E68=0,0,INDEX(Parameters!AB$43:AB$73,MATCH($E68,Parameters!$B$5:$B$35,0)))</f>
        <v>8.5297589120096277E-3</v>
      </c>
      <c r="AJ68" s="327">
        <f>IF($E68=0,0,INDEX(Parameters!AC$43:AC$73,MATCH($E68,Parameters!$B$5:$B$35,0)))</f>
        <v>9.8420696910520595E-3</v>
      </c>
      <c r="AK68" s="327">
        <f>IF($E68=0,0,INDEX(Parameters!AD$43:AD$73,MATCH($E68,Parameters!$B$5:$B$35,0)))</f>
        <v>8.1825399271048017E-3</v>
      </c>
      <c r="AL68" s="327">
        <f>IF($E68=0,0,INDEX(Parameters!AE$43:AE$73,MATCH($E68,Parameters!$B$5:$B$35,0)))</f>
        <v>1.6106132537469481E-2</v>
      </c>
      <c r="AM68" s="327">
        <f>IF($E68=0,0,INDEX(Parameters!AF$43:AF$73,MATCH($E68,Parameters!$B$5:$B$35,0)))</f>
        <v>2.8076917546595581E-2</v>
      </c>
      <c r="AN68" s="327">
        <f>IF($E68=0,0,INDEX(Parameters!AG$43:AG$73,MATCH($E68,Parameters!$B$5:$B$35,0)))</f>
        <v>3.9718638998703926E-2</v>
      </c>
      <c r="AO68" s="327">
        <f>IF($E68=0,0,INDEX(Parameters!AH$43:AH$73,MATCH($E68,Parameters!$B$5:$B$35,0)))</f>
        <v>5.0793488332327864E-2</v>
      </c>
      <c r="AP68" s="327">
        <f>IF($E68=0,0,INDEX(Parameters!AI$43:AI$73,MATCH($E68,Parameters!$B$5:$B$35,0)))</f>
        <v>5.0793488332327864E-2</v>
      </c>
      <c r="AQ68" s="328">
        <f>IF($E68=0,0,INDEX(Parameters!AJ$43:AJ$73,MATCH($E68,Parameters!$B$5:$B$35,0)))</f>
        <v>5.0793488332327864E-2</v>
      </c>
    </row>
    <row r="69" spans="1:43" ht="13.8" x14ac:dyDescent="0.3">
      <c r="A69" s="313" t="str">
        <f>'Base Costs'!A69</f>
        <v>ND1234</v>
      </c>
      <c r="B69" s="314" t="str">
        <f>'Base Costs'!B69</f>
        <v>Telecommunications Network Operation and Control System enhancement program</v>
      </c>
      <c r="C69" s="314" t="str">
        <f>'Base Costs'!C69</f>
        <v>Operational Support Systems</v>
      </c>
      <c r="D69" s="333" t="str">
        <f>'Base Costs'!D69</f>
        <v>2018/19</v>
      </c>
      <c r="E69" s="333">
        <f>'Base Costs'!E69</f>
        <v>18</v>
      </c>
      <c r="F69" s="315"/>
      <c r="G69" s="315"/>
      <c r="H69" s="316">
        <f>'Input Data Sheet'!J69</f>
        <v>1</v>
      </c>
      <c r="I69" s="316"/>
      <c r="J69" s="316"/>
      <c r="K69" s="316"/>
      <c r="L69" s="316"/>
      <c r="M69" s="316"/>
      <c r="N69" s="316"/>
      <c r="O69" s="287">
        <f t="shared" si="5"/>
        <v>1200000</v>
      </c>
      <c r="P69" s="320">
        <f>(1+AI69)*'Cost+LOA'!P69</f>
        <v>0</v>
      </c>
      <c r="Q69" s="287">
        <f>(1+AJ69)*'Cost+LOA'!Q69</f>
        <v>0</v>
      </c>
      <c r="R69" s="341">
        <f>(1+AK69)*'Cost+LOA'!R69</f>
        <v>0</v>
      </c>
      <c r="S69" s="341">
        <f>(1+AL69)*'Cost+LOA'!S69</f>
        <v>600000</v>
      </c>
      <c r="T69" s="341">
        <f>(1+AM69)*'Cost+LOA'!T69</f>
        <v>0</v>
      </c>
      <c r="U69" s="341">
        <f>(1+AN69)*'Cost+LOA'!U69</f>
        <v>0</v>
      </c>
      <c r="V69" s="341">
        <f>(1+AO69)*'Cost+LOA'!V69</f>
        <v>600000</v>
      </c>
      <c r="W69" s="287">
        <f>(1+AP69)*'Cost+LOA'!W69</f>
        <v>0</v>
      </c>
      <c r="X69" s="321">
        <f>(1+AQ69)*'Cost+LOA'!X69</f>
        <v>0</v>
      </c>
      <c r="Y69" s="287">
        <f t="shared" si="6"/>
        <v>0</v>
      </c>
      <c r="Z69" s="287">
        <f t="shared" si="6"/>
        <v>0</v>
      </c>
      <c r="AA69" s="341">
        <f t="shared" si="6"/>
        <v>0</v>
      </c>
      <c r="AB69" s="341">
        <f t="shared" si="6"/>
        <v>600000</v>
      </c>
      <c r="AC69" s="341">
        <f t="shared" si="6"/>
        <v>0</v>
      </c>
      <c r="AD69" s="341">
        <f t="shared" si="6"/>
        <v>0</v>
      </c>
      <c r="AE69" s="341">
        <f t="shared" si="6"/>
        <v>600000</v>
      </c>
      <c r="AF69" s="287">
        <f t="shared" si="6"/>
        <v>0</v>
      </c>
      <c r="AG69" s="287">
        <f t="shared" si="4"/>
        <v>0</v>
      </c>
      <c r="AH69" s="322">
        <f>IF($H69,0,IFERROR(IF(VALUE(LEFT(D69,4))&gt;VALUE(LEFT(Parameters!$B$66,4))+1,O69-SUM(R69:X69),0),0))</f>
        <v>0</v>
      </c>
      <c r="AI69" s="326">
        <f>IF($E69=0,0,INDEX(Parameters!AB$43:AB$73,MATCH($E69,Parameters!$B$5:$B$35,0)))</f>
        <v>0</v>
      </c>
      <c r="AJ69" s="327">
        <f>IF($E69=0,0,INDEX(Parameters!AC$43:AC$73,MATCH($E69,Parameters!$B$5:$B$35,0)))</f>
        <v>0</v>
      </c>
      <c r="AK69" s="327">
        <f>IF($E69=0,0,INDEX(Parameters!AD$43:AD$73,MATCH($E69,Parameters!$B$5:$B$35,0)))</f>
        <v>0</v>
      </c>
      <c r="AL69" s="327">
        <f>IF($E69=0,0,INDEX(Parameters!AE$43:AE$73,MATCH($E69,Parameters!$B$5:$B$35,0)))</f>
        <v>0</v>
      </c>
      <c r="AM69" s="327">
        <f>IF($E69=0,0,INDEX(Parameters!AF$43:AF$73,MATCH($E69,Parameters!$B$5:$B$35,0)))</f>
        <v>0</v>
      </c>
      <c r="AN69" s="327">
        <f>IF($E69=0,0,INDEX(Parameters!AG$43:AG$73,MATCH($E69,Parameters!$B$5:$B$35,0)))</f>
        <v>0</v>
      </c>
      <c r="AO69" s="327">
        <f>IF($E69=0,0,INDEX(Parameters!AH$43:AH$73,MATCH($E69,Parameters!$B$5:$B$35,0)))</f>
        <v>0</v>
      </c>
      <c r="AP69" s="327">
        <f>IF($E69=0,0,INDEX(Parameters!AI$43:AI$73,MATCH($E69,Parameters!$B$5:$B$35,0)))</f>
        <v>0</v>
      </c>
      <c r="AQ69" s="328">
        <f>IF($E69=0,0,INDEX(Parameters!AJ$43:AJ$73,MATCH($E69,Parameters!$B$5:$B$35,0)))</f>
        <v>0</v>
      </c>
    </row>
    <row r="70" spans="1:43" ht="13.8" x14ac:dyDescent="0.3">
      <c r="A70" s="313" t="str">
        <f>'Base Costs'!A70</f>
        <v>ND1230</v>
      </c>
      <c r="B70" s="314" t="str">
        <f>'Base Costs'!B70</f>
        <v>Telecommunications site infrastructure program</v>
      </c>
      <c r="C70" s="314" t="str">
        <f>'Base Costs'!C70</f>
        <v>Asset Renewal</v>
      </c>
      <c r="D70" s="333" t="str">
        <f>'Base Costs'!D70</f>
        <v>2018/19</v>
      </c>
      <c r="E70" s="333">
        <f>'Base Costs'!E70</f>
        <v>13</v>
      </c>
      <c r="F70" s="315"/>
      <c r="G70" s="315"/>
      <c r="H70" s="316">
        <f>'Input Data Sheet'!J70</f>
        <v>1</v>
      </c>
      <c r="I70" s="316"/>
      <c r="J70" s="316"/>
      <c r="K70" s="316"/>
      <c r="L70" s="316"/>
      <c r="M70" s="316"/>
      <c r="N70" s="316"/>
      <c r="O70" s="287">
        <f t="shared" si="5"/>
        <v>1819948.9699515346</v>
      </c>
      <c r="P70" s="320">
        <f>(1+AI70)*'Cost+LOA'!P70</f>
        <v>0</v>
      </c>
      <c r="Q70" s="287">
        <f>(1+AJ70)*'Cost+LOA'!Q70</f>
        <v>0</v>
      </c>
      <c r="R70" s="341">
        <f>(1+AK70)*'Cost+LOA'!R70</f>
        <v>465500.7343841609</v>
      </c>
      <c r="S70" s="341">
        <f>(1+AL70)*'Cost+LOA'!S70</f>
        <v>134121.05049057672</v>
      </c>
      <c r="T70" s="341">
        <f>(1+AM70)*'Cost+LOA'!T70</f>
        <v>718267.14561184554</v>
      </c>
      <c r="U70" s="341">
        <f>(1+AN70)*'Cost+LOA'!U70</f>
        <v>299400.29611273663</v>
      </c>
      <c r="V70" s="341">
        <f>(1+AO70)*'Cost+LOA'!V70</f>
        <v>202659.74335221483</v>
      </c>
      <c r="W70" s="287">
        <f>(1+AP70)*'Cost+LOA'!W70</f>
        <v>0</v>
      </c>
      <c r="X70" s="321">
        <f>(1+AQ70)*'Cost+LOA'!X70</f>
        <v>0</v>
      </c>
      <c r="Y70" s="287">
        <f t="shared" si="6"/>
        <v>0</v>
      </c>
      <c r="Z70" s="287">
        <f t="shared" si="6"/>
        <v>0</v>
      </c>
      <c r="AA70" s="341">
        <f t="shared" si="6"/>
        <v>465500.7343841609</v>
      </c>
      <c r="AB70" s="341">
        <f t="shared" si="6"/>
        <v>134121.05049057672</v>
      </c>
      <c r="AC70" s="341">
        <f t="shared" si="6"/>
        <v>718267.14561184554</v>
      </c>
      <c r="AD70" s="341">
        <f t="shared" si="6"/>
        <v>299400.29611273663</v>
      </c>
      <c r="AE70" s="341">
        <f t="shared" si="6"/>
        <v>202659.74335221483</v>
      </c>
      <c r="AF70" s="287">
        <f t="shared" si="6"/>
        <v>0</v>
      </c>
      <c r="AG70" s="287">
        <f t="shared" si="4"/>
        <v>0</v>
      </c>
      <c r="AH70" s="322">
        <f>IF($H70,0,IFERROR(IF(VALUE(LEFT(D70,4))&gt;VALUE(LEFT(Parameters!$B$66,4))+1,O70-SUM(R70:X70),0),0))</f>
        <v>0</v>
      </c>
      <c r="AI70" s="326">
        <f>IF($E70=0,0,INDEX(Parameters!AB$43:AB$73,MATCH($E70,Parameters!$B$5:$B$35,0)))</f>
        <v>8.5297589120096277E-3</v>
      </c>
      <c r="AJ70" s="327">
        <f>IF($E70=0,0,INDEX(Parameters!AC$43:AC$73,MATCH($E70,Parameters!$B$5:$B$35,0)))</f>
        <v>9.8420696910520595E-3</v>
      </c>
      <c r="AK70" s="327">
        <f>IF($E70=0,0,INDEX(Parameters!AD$43:AD$73,MATCH($E70,Parameters!$B$5:$B$35,0)))</f>
        <v>8.1825399271048017E-3</v>
      </c>
      <c r="AL70" s="327">
        <f>IF($E70=0,0,INDEX(Parameters!AE$43:AE$73,MATCH($E70,Parameters!$B$5:$B$35,0)))</f>
        <v>1.6106132537469481E-2</v>
      </c>
      <c r="AM70" s="327">
        <f>IF($E70=0,0,INDEX(Parameters!AF$43:AF$73,MATCH($E70,Parameters!$B$5:$B$35,0)))</f>
        <v>2.8076917546595581E-2</v>
      </c>
      <c r="AN70" s="327">
        <f>IF($E70=0,0,INDEX(Parameters!AG$43:AG$73,MATCH($E70,Parameters!$B$5:$B$35,0)))</f>
        <v>3.9718638998703926E-2</v>
      </c>
      <c r="AO70" s="327">
        <f>IF($E70=0,0,INDEX(Parameters!AH$43:AH$73,MATCH($E70,Parameters!$B$5:$B$35,0)))</f>
        <v>5.0793488332327864E-2</v>
      </c>
      <c r="AP70" s="327">
        <f>IF($E70=0,0,INDEX(Parameters!AI$43:AI$73,MATCH($E70,Parameters!$B$5:$B$35,0)))</f>
        <v>5.0793488332327864E-2</v>
      </c>
      <c r="AQ70" s="328">
        <f>IF($E70=0,0,INDEX(Parameters!AJ$43:AJ$73,MATCH($E70,Parameters!$B$5:$B$35,0)))</f>
        <v>5.0793488332327864E-2</v>
      </c>
    </row>
    <row r="71" spans="1:43" ht="13.8" x14ac:dyDescent="0.3">
      <c r="A71" s="313" t="str">
        <f>'Base Costs'!A71</f>
        <v>ND1231</v>
      </c>
      <c r="B71" s="314" t="str">
        <f>'Base Costs'!B71</f>
        <v>Telecommunications telephone system program</v>
      </c>
      <c r="C71" s="314" t="str">
        <f>'Base Costs'!C71</f>
        <v>Asset Renewal</v>
      </c>
      <c r="D71" s="333" t="str">
        <f>'Base Costs'!D71</f>
        <v>2017/18</v>
      </c>
      <c r="E71" s="333">
        <f>'Base Costs'!E71</f>
        <v>13</v>
      </c>
      <c r="F71" s="315"/>
      <c r="G71" s="315"/>
      <c r="H71" s="316">
        <f>'Input Data Sheet'!J71</f>
        <v>1</v>
      </c>
      <c r="I71" s="316"/>
      <c r="J71" s="316"/>
      <c r="K71" s="316"/>
      <c r="L71" s="316"/>
      <c r="M71" s="316"/>
      <c r="N71" s="316"/>
      <c r="O71" s="287">
        <f t="shared" si="5"/>
        <v>1612730.5042863186</v>
      </c>
      <c r="P71" s="320">
        <f>(1+AI71)*'Cost+LOA'!P71</f>
        <v>0</v>
      </c>
      <c r="Q71" s="287">
        <f>(1+AJ71)*'Cost+LOA'!Q71</f>
        <v>0</v>
      </c>
      <c r="R71" s="341">
        <f>(1+AK71)*'Cost+LOA'!R71</f>
        <v>0</v>
      </c>
      <c r="S71" s="341">
        <f>(1+AL71)*'Cost+LOA'!S71</f>
        <v>431137.1380385611</v>
      </c>
      <c r="T71" s="341">
        <f>(1+AM71)*'Cost+LOA'!T71</f>
        <v>420956.24450409127</v>
      </c>
      <c r="U71" s="341">
        <f>(1+AN71)*'Cost+LOA'!U71</f>
        <v>760637.12174366612</v>
      </c>
      <c r="V71" s="341">
        <f>(1+AO71)*'Cost+LOA'!V71</f>
        <v>0</v>
      </c>
      <c r="W71" s="287">
        <f>(1+AP71)*'Cost+LOA'!W71</f>
        <v>0</v>
      </c>
      <c r="X71" s="321">
        <f>(1+AQ71)*'Cost+LOA'!X71</f>
        <v>0</v>
      </c>
      <c r="Y71" s="287">
        <f t="shared" si="6"/>
        <v>0</v>
      </c>
      <c r="Z71" s="287">
        <f t="shared" si="6"/>
        <v>0</v>
      </c>
      <c r="AA71" s="341">
        <f t="shared" si="6"/>
        <v>0</v>
      </c>
      <c r="AB71" s="341">
        <f t="shared" si="6"/>
        <v>431137.1380385611</v>
      </c>
      <c r="AC71" s="341">
        <f t="shared" si="6"/>
        <v>420956.24450409127</v>
      </c>
      <c r="AD71" s="341">
        <f t="shared" si="6"/>
        <v>760637.12174366612</v>
      </c>
      <c r="AE71" s="341">
        <f t="shared" si="6"/>
        <v>0</v>
      </c>
      <c r="AF71" s="287">
        <f t="shared" si="6"/>
        <v>0</v>
      </c>
      <c r="AG71" s="287">
        <f t="shared" si="4"/>
        <v>0</v>
      </c>
      <c r="AH71" s="322">
        <f>IF($H71,0,IFERROR(IF(VALUE(LEFT(D71,4))&gt;VALUE(LEFT(Parameters!$B$66,4))+1,O71-SUM(R71:X71),0),0))</f>
        <v>0</v>
      </c>
      <c r="AI71" s="326">
        <f>IF($E71=0,0,INDEX(Parameters!AB$43:AB$73,MATCH($E71,Parameters!$B$5:$B$35,0)))</f>
        <v>8.5297589120096277E-3</v>
      </c>
      <c r="AJ71" s="327">
        <f>IF($E71=0,0,INDEX(Parameters!AC$43:AC$73,MATCH($E71,Parameters!$B$5:$B$35,0)))</f>
        <v>9.8420696910520595E-3</v>
      </c>
      <c r="AK71" s="327">
        <f>IF($E71=0,0,INDEX(Parameters!AD$43:AD$73,MATCH($E71,Parameters!$B$5:$B$35,0)))</f>
        <v>8.1825399271048017E-3</v>
      </c>
      <c r="AL71" s="327">
        <f>IF($E71=0,0,INDEX(Parameters!AE$43:AE$73,MATCH($E71,Parameters!$B$5:$B$35,0)))</f>
        <v>1.6106132537469481E-2</v>
      </c>
      <c r="AM71" s="327">
        <f>IF($E71=0,0,INDEX(Parameters!AF$43:AF$73,MATCH($E71,Parameters!$B$5:$B$35,0)))</f>
        <v>2.8076917546595581E-2</v>
      </c>
      <c r="AN71" s="327">
        <f>IF($E71=0,0,INDEX(Parameters!AG$43:AG$73,MATCH($E71,Parameters!$B$5:$B$35,0)))</f>
        <v>3.9718638998703926E-2</v>
      </c>
      <c r="AO71" s="327">
        <f>IF($E71=0,0,INDEX(Parameters!AH$43:AH$73,MATCH($E71,Parameters!$B$5:$B$35,0)))</f>
        <v>5.0793488332327864E-2</v>
      </c>
      <c r="AP71" s="327">
        <f>IF($E71=0,0,INDEX(Parameters!AI$43:AI$73,MATCH($E71,Parameters!$B$5:$B$35,0)))</f>
        <v>5.0793488332327864E-2</v>
      </c>
      <c r="AQ71" s="328">
        <f>IF($E71=0,0,INDEX(Parameters!AJ$43:AJ$73,MATCH($E71,Parameters!$B$5:$B$35,0)))</f>
        <v>5.0793488332327864E-2</v>
      </c>
    </row>
    <row r="72" spans="1:43" ht="13.8" x14ac:dyDescent="0.3">
      <c r="A72" s="313" t="str">
        <f>'Base Costs'!A72</f>
        <v>ND1310</v>
      </c>
      <c r="B72" s="314" t="str">
        <f>'Base Costs'!B72</f>
        <v>Test equipment</v>
      </c>
      <c r="C72" s="314" t="str">
        <f>'Base Costs'!C72</f>
        <v>Inventory / Spares</v>
      </c>
      <c r="D72" s="333" t="str">
        <f>'Base Costs'!D72</f>
        <v>2018/19</v>
      </c>
      <c r="E72" s="333">
        <f>'Base Costs'!E72</f>
        <v>9</v>
      </c>
      <c r="F72" s="315"/>
      <c r="G72" s="315"/>
      <c r="H72" s="316">
        <f>'Input Data Sheet'!J72</f>
        <v>1</v>
      </c>
      <c r="I72" s="316"/>
      <c r="J72" s="316"/>
      <c r="K72" s="316"/>
      <c r="L72" s="316"/>
      <c r="M72" s="316"/>
      <c r="N72" s="316"/>
      <c r="O72" s="287">
        <f t="shared" si="5"/>
        <v>868868.41770124785</v>
      </c>
      <c r="P72" s="320">
        <f>(1+AI72)*'Cost+LOA'!P72</f>
        <v>0</v>
      </c>
      <c r="Q72" s="287">
        <f>(1+AJ72)*'Cost+LOA'!Q72</f>
        <v>0</v>
      </c>
      <c r="R72" s="341">
        <f>(1+AK72)*'Cost+LOA'!R72</f>
        <v>169866.13257876979</v>
      </c>
      <c r="S72" s="341">
        <f>(1+AL72)*'Cost+LOA'!S72</f>
        <v>171559.58267127172</v>
      </c>
      <c r="T72" s="341">
        <f>(1+AM72)*'Cost+LOA'!T72</f>
        <v>173754.7661154175</v>
      </c>
      <c r="U72" s="341">
        <f>(1+AN72)*'Cost+LOA'!U72</f>
        <v>175878.04062283301</v>
      </c>
      <c r="V72" s="341">
        <f>(1+AO72)*'Cost+LOA'!V72</f>
        <v>177809.89571295583</v>
      </c>
      <c r="W72" s="287">
        <f>(1+AP72)*'Cost+LOA'!W72</f>
        <v>0</v>
      </c>
      <c r="X72" s="321">
        <f>(1+AQ72)*'Cost+LOA'!X72</f>
        <v>0</v>
      </c>
      <c r="Y72" s="287">
        <f t="shared" si="6"/>
        <v>0</v>
      </c>
      <c r="Z72" s="287">
        <f t="shared" si="6"/>
        <v>0</v>
      </c>
      <c r="AA72" s="341">
        <f t="shared" si="6"/>
        <v>169866.13257876979</v>
      </c>
      <c r="AB72" s="341">
        <f t="shared" si="6"/>
        <v>171559.58267127172</v>
      </c>
      <c r="AC72" s="341">
        <f t="shared" si="6"/>
        <v>173754.7661154175</v>
      </c>
      <c r="AD72" s="341">
        <f t="shared" si="6"/>
        <v>175878.04062283301</v>
      </c>
      <c r="AE72" s="341">
        <f t="shared" si="6"/>
        <v>177809.89571295583</v>
      </c>
      <c r="AF72" s="287">
        <f t="shared" si="6"/>
        <v>0</v>
      </c>
      <c r="AG72" s="287">
        <f t="shared" si="4"/>
        <v>0</v>
      </c>
      <c r="AH72" s="322">
        <f>IF($H72,0,IFERROR(IF(VALUE(LEFT(D72,4))&gt;VALUE(LEFT(Parameters!$B$66,4))+1,O72-SUM(R72:X72),0),0))</f>
        <v>0</v>
      </c>
      <c r="AI72" s="326">
        <f>IF($E72=0,0,INDEX(Parameters!AB$43:AB$73,MATCH($E72,Parameters!$B$5:$B$35,0)))</f>
        <v>1.6011916566173175E-2</v>
      </c>
      <c r="AJ72" s="327">
        <f>IF($E72=0,0,INDEX(Parameters!AC$43:AC$73,MATCH($E72,Parameters!$B$5:$B$35,0)))</f>
        <v>2.220334349611542E-2</v>
      </c>
      <c r="AK72" s="327">
        <f>IF($E72=0,0,INDEX(Parameters!AD$43:AD$73,MATCH($E72,Parameters!$B$5:$B$35,0)))</f>
        <v>2.1993304367171077E-2</v>
      </c>
      <c r="AL72" s="327">
        <f>IF($E72=0,0,INDEX(Parameters!AE$43:AE$73,MATCH($E72,Parameters!$B$5:$B$35,0)))</f>
        <v>3.2181884218510155E-2</v>
      </c>
      <c r="AM72" s="327">
        <f>IF($E72=0,0,INDEX(Parameters!AF$43:AF$73,MATCH($E72,Parameters!$B$5:$B$35,0)))</f>
        <v>4.5389124224014796E-2</v>
      </c>
      <c r="AN72" s="327">
        <f>IF($E72=0,0,INDEX(Parameters!AG$43:AG$73,MATCH($E72,Parameters!$B$5:$B$35,0)))</f>
        <v>5.8163726771146271E-2</v>
      </c>
      <c r="AO72" s="327">
        <f>IF($E72=0,0,INDEX(Parameters!AH$43:AH$73,MATCH($E72,Parameters!$B$5:$B$35,0)))</f>
        <v>6.9786661473551642E-2</v>
      </c>
      <c r="AP72" s="327">
        <f>IF($E72=0,0,INDEX(Parameters!AI$43:AI$73,MATCH($E72,Parameters!$B$5:$B$35,0)))</f>
        <v>6.9786661473551642E-2</v>
      </c>
      <c r="AQ72" s="328">
        <f>IF($E72=0,0,INDEX(Parameters!AJ$43:AJ$73,MATCH($E72,Parameters!$B$5:$B$35,0)))</f>
        <v>6.9786661473551642E-2</v>
      </c>
    </row>
    <row r="73" spans="1:43" ht="13.8" x14ac:dyDescent="0.3">
      <c r="A73" s="313" t="str">
        <f>'Base Costs'!A73</f>
        <v>ND1235</v>
      </c>
      <c r="B73" s="314" t="str">
        <f>'Base Costs'!B73</f>
        <v>Transformer protection renewal program</v>
      </c>
      <c r="C73" s="314" t="str">
        <f>'Base Costs'!C73</f>
        <v>Asset Renewal</v>
      </c>
      <c r="D73" s="333" t="str">
        <f>'Base Costs'!D73</f>
        <v>2017/18</v>
      </c>
      <c r="E73" s="333">
        <f>'Base Costs'!E73</f>
        <v>13</v>
      </c>
      <c r="F73" s="315"/>
      <c r="G73" s="315"/>
      <c r="H73" s="316">
        <f>'Input Data Sheet'!J73</f>
        <v>1</v>
      </c>
      <c r="I73" s="316"/>
      <c r="J73" s="316"/>
      <c r="K73" s="316"/>
      <c r="L73" s="316"/>
      <c r="M73" s="316"/>
      <c r="N73" s="316"/>
      <c r="O73" s="287">
        <f t="shared" si="5"/>
        <v>6172458.3648492908</v>
      </c>
      <c r="P73" s="320">
        <f>(1+AI73)*'Cost+LOA'!P73</f>
        <v>0</v>
      </c>
      <c r="Q73" s="287">
        <f>(1+AJ73)*'Cost+LOA'!Q73</f>
        <v>0</v>
      </c>
      <c r="R73" s="341">
        <f>(1+AK73)*'Cost+LOA'!R73</f>
        <v>0</v>
      </c>
      <c r="S73" s="341">
        <f>(1+AL73)*'Cost+LOA'!S73</f>
        <v>794188.26502358681</v>
      </c>
      <c r="T73" s="341">
        <f>(1+AM73)*'Cost+LOA'!T73</f>
        <v>5315758.5471217437</v>
      </c>
      <c r="U73" s="341">
        <f>(1+AN73)*'Cost+LOA'!U73</f>
        <v>62511.552703960464</v>
      </c>
      <c r="V73" s="341">
        <f>(1+AO73)*'Cost+LOA'!V73</f>
        <v>0</v>
      </c>
      <c r="W73" s="287">
        <f>(1+AP73)*'Cost+LOA'!W73</f>
        <v>0</v>
      </c>
      <c r="X73" s="321">
        <f>(1+AQ73)*'Cost+LOA'!X73</f>
        <v>0</v>
      </c>
      <c r="Y73" s="287">
        <f t="shared" si="6"/>
        <v>0</v>
      </c>
      <c r="Z73" s="287">
        <f t="shared" si="6"/>
        <v>0</v>
      </c>
      <c r="AA73" s="341">
        <f t="shared" si="6"/>
        <v>0</v>
      </c>
      <c r="AB73" s="341">
        <f t="shared" si="6"/>
        <v>794188.26502358681</v>
      </c>
      <c r="AC73" s="341">
        <f t="shared" si="6"/>
        <v>5315758.5471217437</v>
      </c>
      <c r="AD73" s="341">
        <f t="shared" si="6"/>
        <v>62511.552703960464</v>
      </c>
      <c r="AE73" s="341">
        <f t="shared" si="6"/>
        <v>0</v>
      </c>
      <c r="AF73" s="287">
        <f t="shared" si="6"/>
        <v>0</v>
      </c>
      <c r="AG73" s="287">
        <f t="shared" si="4"/>
        <v>0</v>
      </c>
      <c r="AH73" s="322">
        <f>IF($H73,0,IFERROR(IF(VALUE(LEFT(D73,4))&gt;VALUE(LEFT(Parameters!$B$66,4))+1,O73-SUM(R73:X73),0),0))</f>
        <v>0</v>
      </c>
      <c r="AI73" s="326">
        <f>IF($E73=0,0,INDEX(Parameters!AB$43:AB$73,MATCH($E73,Parameters!$B$5:$B$35,0)))</f>
        <v>8.5297589120096277E-3</v>
      </c>
      <c r="AJ73" s="327">
        <f>IF($E73=0,0,INDEX(Parameters!AC$43:AC$73,MATCH($E73,Parameters!$B$5:$B$35,0)))</f>
        <v>9.8420696910520595E-3</v>
      </c>
      <c r="AK73" s="327">
        <f>IF($E73=0,0,INDEX(Parameters!AD$43:AD$73,MATCH($E73,Parameters!$B$5:$B$35,0)))</f>
        <v>8.1825399271048017E-3</v>
      </c>
      <c r="AL73" s="327">
        <f>IF($E73=0,0,INDEX(Parameters!AE$43:AE$73,MATCH($E73,Parameters!$B$5:$B$35,0)))</f>
        <v>1.6106132537469481E-2</v>
      </c>
      <c r="AM73" s="327">
        <f>IF($E73=0,0,INDEX(Parameters!AF$43:AF$73,MATCH($E73,Parameters!$B$5:$B$35,0)))</f>
        <v>2.8076917546595581E-2</v>
      </c>
      <c r="AN73" s="327">
        <f>IF($E73=0,0,INDEX(Parameters!AG$43:AG$73,MATCH($E73,Parameters!$B$5:$B$35,0)))</f>
        <v>3.9718638998703926E-2</v>
      </c>
      <c r="AO73" s="327">
        <f>IF($E73=0,0,INDEX(Parameters!AH$43:AH$73,MATCH($E73,Parameters!$B$5:$B$35,0)))</f>
        <v>5.0793488332327864E-2</v>
      </c>
      <c r="AP73" s="327">
        <f>IF($E73=0,0,INDEX(Parameters!AI$43:AI$73,MATCH($E73,Parameters!$B$5:$B$35,0)))</f>
        <v>5.0793488332327864E-2</v>
      </c>
      <c r="AQ73" s="328">
        <f>IF($E73=0,0,INDEX(Parameters!AJ$43:AJ$73,MATCH($E73,Parameters!$B$5:$B$35,0)))</f>
        <v>5.0793488332327864E-2</v>
      </c>
    </row>
    <row r="74" spans="1:43" ht="13.8" x14ac:dyDescent="0.3">
      <c r="A74" s="313" t="str">
        <f>'Base Costs'!A74</f>
        <v>ND0925</v>
      </c>
      <c r="B74" s="314" t="str">
        <f>'Base Costs'!B74</f>
        <v>Transmission line access track renewal program</v>
      </c>
      <c r="C74" s="314" t="str">
        <f>'Base Costs'!C74</f>
        <v>Physical Security / Compliance</v>
      </c>
      <c r="D74" s="333" t="str">
        <f>'Base Costs'!D74</f>
        <v>2018/19</v>
      </c>
      <c r="E74" s="333">
        <f>'Base Costs'!E74</f>
        <v>6</v>
      </c>
      <c r="F74" s="315"/>
      <c r="G74" s="315"/>
      <c r="H74" s="316">
        <f>'Input Data Sheet'!J74</f>
        <v>1</v>
      </c>
      <c r="I74" s="316"/>
      <c r="J74" s="316"/>
      <c r="K74" s="316"/>
      <c r="L74" s="316"/>
      <c r="M74" s="316"/>
      <c r="N74" s="316"/>
      <c r="O74" s="287">
        <f t="shared" si="5"/>
        <v>3996298.0262994161</v>
      </c>
      <c r="P74" s="320">
        <f>(1+AI74)*'Cost+LOA'!P74</f>
        <v>0</v>
      </c>
      <c r="Q74" s="287">
        <f>(1+AJ74)*'Cost+LOA'!Q74</f>
        <v>0</v>
      </c>
      <c r="R74" s="341">
        <f>(1+AK74)*'Cost+LOA'!R74</f>
        <v>778964.38771590358</v>
      </c>
      <c r="S74" s="341">
        <f>(1+AL74)*'Cost+LOA'!S74</f>
        <v>788803.6279743081</v>
      </c>
      <c r="T74" s="341">
        <f>(1+AM74)*'Cost+LOA'!T74</f>
        <v>799638.37334048655</v>
      </c>
      <c r="U74" s="341">
        <f>(1+AN74)*'Cost+LOA'!U74</f>
        <v>809951.15198029124</v>
      </c>
      <c r="V74" s="341">
        <f>(1+AO74)*'Cost+LOA'!V74</f>
        <v>818940.48528842675</v>
      </c>
      <c r="W74" s="287">
        <f>(1+AP74)*'Cost+LOA'!W74</f>
        <v>0</v>
      </c>
      <c r="X74" s="321">
        <f>(1+AQ74)*'Cost+LOA'!X74</f>
        <v>0</v>
      </c>
      <c r="Y74" s="287">
        <f t="shared" si="6"/>
        <v>0</v>
      </c>
      <c r="Z74" s="287">
        <f t="shared" si="6"/>
        <v>0</v>
      </c>
      <c r="AA74" s="341">
        <f t="shared" si="6"/>
        <v>778964.38771590358</v>
      </c>
      <c r="AB74" s="341">
        <f t="shared" si="6"/>
        <v>788803.6279743081</v>
      </c>
      <c r="AC74" s="341">
        <f t="shared" si="6"/>
        <v>799638.37334048655</v>
      </c>
      <c r="AD74" s="341">
        <f t="shared" si="6"/>
        <v>809951.15198029124</v>
      </c>
      <c r="AE74" s="341">
        <f t="shared" si="6"/>
        <v>818940.48528842675</v>
      </c>
      <c r="AF74" s="287">
        <f t="shared" si="6"/>
        <v>0</v>
      </c>
      <c r="AG74" s="287">
        <f t="shared" si="4"/>
        <v>0</v>
      </c>
      <c r="AH74" s="322">
        <f>IF($H74,0,IFERROR(IF(VALUE(LEFT(D74,4))&gt;VALUE(LEFT(Parameters!$B$66,4))+1,O74-SUM(R74:X74),0),0))</f>
        <v>0</v>
      </c>
      <c r="AI74" s="326">
        <f>IF($E74=0,0,INDEX(Parameters!AB$43:AB$73,MATCH($E74,Parameters!$B$5:$B$35,0)))</f>
        <v>2.1222545931427073E-2</v>
      </c>
      <c r="AJ74" s="327">
        <f>IF($E74=0,0,INDEX(Parameters!AC$43:AC$73,MATCH($E74,Parameters!$B$5:$B$35,0)))</f>
        <v>2.9050106903240856E-2</v>
      </c>
      <c r="AK74" s="327">
        <f>IF($E74=0,0,INDEX(Parameters!AD$43:AD$73,MATCH($E74,Parameters!$B$5:$B$35,0)))</f>
        <v>3.212969048627367E-2</v>
      </c>
      <c r="AL74" s="327">
        <f>IF($E74=0,0,INDEX(Parameters!AE$43:AE$73,MATCH($E74,Parameters!$B$5:$B$35,0)))</f>
        <v>4.5166707534389061E-2</v>
      </c>
      <c r="AM74" s="327">
        <f>IF($E74=0,0,INDEX(Parameters!AF$43:AF$73,MATCH($E74,Parameters!$B$5:$B$35,0)))</f>
        <v>5.9522771248780533E-2</v>
      </c>
      <c r="AN74" s="327">
        <f>IF($E74=0,0,INDEX(Parameters!AG$43:AG$73,MATCH($E74,Parameters!$B$5:$B$35,0)))</f>
        <v>7.3187227793149623E-2</v>
      </c>
      <c r="AO74" s="327">
        <f>IF($E74=0,0,INDEX(Parameters!AH$43:AH$73,MATCH($E74,Parameters!$B$5:$B$35,0)))</f>
        <v>8.509811608447361E-2</v>
      </c>
      <c r="AP74" s="327">
        <f>IF($E74=0,0,INDEX(Parameters!AI$43:AI$73,MATCH($E74,Parameters!$B$5:$B$35,0)))</f>
        <v>8.509811608447361E-2</v>
      </c>
      <c r="AQ74" s="328">
        <f>IF($E74=0,0,INDEX(Parameters!AJ$43:AJ$73,MATCH($E74,Parameters!$B$5:$B$35,0)))</f>
        <v>8.509811608447361E-2</v>
      </c>
    </row>
    <row r="75" spans="1:43" ht="13.8" x14ac:dyDescent="0.3">
      <c r="A75" s="313" t="str">
        <f>'Base Costs'!A75</f>
        <v>ND1244</v>
      </c>
      <c r="B75" s="314" t="str">
        <f>'Base Costs'!B75</f>
        <v>Transmission line access track security system compliance program</v>
      </c>
      <c r="C75" s="314" t="str">
        <f>'Base Costs'!C75</f>
        <v>Physical Security / Compliance</v>
      </c>
      <c r="D75" s="333" t="str">
        <f>'Base Costs'!D75</f>
        <v>2018/19</v>
      </c>
      <c r="E75" s="333">
        <f>'Base Costs'!E75</f>
        <v>6</v>
      </c>
      <c r="F75" s="315"/>
      <c r="G75" s="315"/>
      <c r="H75" s="316">
        <f>'Input Data Sheet'!J75</f>
        <v>1</v>
      </c>
      <c r="I75" s="316"/>
      <c r="J75" s="316"/>
      <c r="K75" s="316"/>
      <c r="L75" s="316"/>
      <c r="M75" s="316"/>
      <c r="N75" s="316"/>
      <c r="O75" s="287">
        <f t="shared" si="5"/>
        <v>659740.04830485955</v>
      </c>
      <c r="P75" s="320">
        <f>(1+AI75)*'Cost+LOA'!P75</f>
        <v>0</v>
      </c>
      <c r="Q75" s="287">
        <f>(1+AJ75)*'Cost+LOA'!Q75</f>
        <v>0</v>
      </c>
      <c r="R75" s="341">
        <f>(1+AK75)*'Cost+LOA'!R75</f>
        <v>64095.315706979032</v>
      </c>
      <c r="S75" s="341">
        <f>(1+AL75)*'Cost+LOA'!S75</f>
        <v>146036.05930774807</v>
      </c>
      <c r="T75" s="341">
        <f>(1+AM75)*'Cost+LOA'!T75</f>
        <v>148041.96224831001</v>
      </c>
      <c r="U75" s="341">
        <f>(1+AN75)*'Cost+LOA'!U75</f>
        <v>149951.23028367362</v>
      </c>
      <c r="V75" s="341">
        <f>(1+AO75)*'Cost+LOA'!V75</f>
        <v>151615.4807581488</v>
      </c>
      <c r="W75" s="287">
        <f>(1+AP75)*'Cost+LOA'!W75</f>
        <v>0</v>
      </c>
      <c r="X75" s="321">
        <f>(1+AQ75)*'Cost+LOA'!X75</f>
        <v>0</v>
      </c>
      <c r="Y75" s="287">
        <f t="shared" si="6"/>
        <v>0</v>
      </c>
      <c r="Z75" s="287">
        <f t="shared" si="6"/>
        <v>0</v>
      </c>
      <c r="AA75" s="341">
        <f t="shared" si="6"/>
        <v>64095.315706979032</v>
      </c>
      <c r="AB75" s="341">
        <f t="shared" si="6"/>
        <v>146036.05930774807</v>
      </c>
      <c r="AC75" s="341">
        <f t="shared" si="6"/>
        <v>148041.96224831001</v>
      </c>
      <c r="AD75" s="341">
        <f t="shared" si="6"/>
        <v>149951.23028367362</v>
      </c>
      <c r="AE75" s="341">
        <f t="shared" si="6"/>
        <v>151615.4807581488</v>
      </c>
      <c r="AF75" s="287">
        <f t="shared" si="6"/>
        <v>0</v>
      </c>
      <c r="AG75" s="287">
        <f t="shared" si="4"/>
        <v>0</v>
      </c>
      <c r="AH75" s="322">
        <f>IF($H75,0,IFERROR(IF(VALUE(LEFT(D75,4))&gt;VALUE(LEFT(Parameters!$B$66,4))+1,O75-SUM(R75:X75),0),0))</f>
        <v>0</v>
      </c>
      <c r="AI75" s="326">
        <f>IF($E75=0,0,INDEX(Parameters!AB$43:AB$73,MATCH($E75,Parameters!$B$5:$B$35,0)))</f>
        <v>2.1222545931427073E-2</v>
      </c>
      <c r="AJ75" s="327">
        <f>IF($E75=0,0,INDEX(Parameters!AC$43:AC$73,MATCH($E75,Parameters!$B$5:$B$35,0)))</f>
        <v>2.9050106903240856E-2</v>
      </c>
      <c r="AK75" s="327">
        <f>IF($E75=0,0,INDEX(Parameters!AD$43:AD$73,MATCH($E75,Parameters!$B$5:$B$35,0)))</f>
        <v>3.212969048627367E-2</v>
      </c>
      <c r="AL75" s="327">
        <f>IF($E75=0,0,INDEX(Parameters!AE$43:AE$73,MATCH($E75,Parameters!$B$5:$B$35,0)))</f>
        <v>4.5166707534389061E-2</v>
      </c>
      <c r="AM75" s="327">
        <f>IF($E75=0,0,INDEX(Parameters!AF$43:AF$73,MATCH($E75,Parameters!$B$5:$B$35,0)))</f>
        <v>5.9522771248780533E-2</v>
      </c>
      <c r="AN75" s="327">
        <f>IF($E75=0,0,INDEX(Parameters!AG$43:AG$73,MATCH($E75,Parameters!$B$5:$B$35,0)))</f>
        <v>7.3187227793149623E-2</v>
      </c>
      <c r="AO75" s="327">
        <f>IF($E75=0,0,INDEX(Parameters!AH$43:AH$73,MATCH($E75,Parameters!$B$5:$B$35,0)))</f>
        <v>8.509811608447361E-2</v>
      </c>
      <c r="AP75" s="327">
        <f>IF($E75=0,0,INDEX(Parameters!AI$43:AI$73,MATCH($E75,Parameters!$B$5:$B$35,0)))</f>
        <v>8.509811608447361E-2</v>
      </c>
      <c r="AQ75" s="328">
        <f>IF($E75=0,0,INDEX(Parameters!AJ$43:AJ$73,MATCH($E75,Parameters!$B$5:$B$35,0)))</f>
        <v>8.509811608447361E-2</v>
      </c>
    </row>
    <row r="76" spans="1:43" ht="13.8" x14ac:dyDescent="0.3">
      <c r="A76" s="313" t="str">
        <f>'Base Costs'!A76</f>
        <v>ND1238</v>
      </c>
      <c r="B76" s="314" t="str">
        <f>'Base Costs'!B76</f>
        <v>Transmission line anode renewal program</v>
      </c>
      <c r="C76" s="314" t="str">
        <f>'Base Costs'!C76</f>
        <v>Asset Renewal</v>
      </c>
      <c r="D76" s="333" t="str">
        <f>'Base Costs'!D76</f>
        <v>2018/19</v>
      </c>
      <c r="E76" s="333">
        <f>'Base Costs'!E76</f>
        <v>15</v>
      </c>
      <c r="F76" s="315"/>
      <c r="G76" s="315"/>
      <c r="H76" s="316">
        <f>'Input Data Sheet'!J76</f>
        <v>1</v>
      </c>
      <c r="I76" s="316"/>
      <c r="J76" s="316"/>
      <c r="K76" s="316"/>
      <c r="L76" s="316"/>
      <c r="M76" s="316"/>
      <c r="N76" s="316"/>
      <c r="O76" s="287">
        <f t="shared" si="5"/>
        <v>4146718.8243197221</v>
      </c>
      <c r="P76" s="320">
        <f>(1+AI76)*'Cost+LOA'!P76</f>
        <v>0</v>
      </c>
      <c r="Q76" s="287">
        <f>(1+AJ76)*'Cost+LOA'!Q76</f>
        <v>0</v>
      </c>
      <c r="R76" s="341">
        <f>(1+AK76)*'Cost+LOA'!R76</f>
        <v>371494.2313059101</v>
      </c>
      <c r="S76" s="341">
        <f>(1+AL76)*'Cost+LOA'!S76</f>
        <v>875983.3974193359</v>
      </c>
      <c r="T76" s="341">
        <f>(1+AM76)*'Cost+LOA'!T76</f>
        <v>918906.16636018723</v>
      </c>
      <c r="U76" s="341">
        <f>(1+AN76)*'Cost+LOA'!U76</f>
        <v>965310.81841984659</v>
      </c>
      <c r="V76" s="341">
        <f>(1+AO76)*'Cost+LOA'!V76</f>
        <v>1015024.2108144419</v>
      </c>
      <c r="W76" s="287">
        <f>(1+AP76)*'Cost+LOA'!W76</f>
        <v>0</v>
      </c>
      <c r="X76" s="321">
        <f>(1+AQ76)*'Cost+LOA'!X76</f>
        <v>0</v>
      </c>
      <c r="Y76" s="287">
        <f t="shared" si="6"/>
        <v>0</v>
      </c>
      <c r="Z76" s="287">
        <f t="shared" si="6"/>
        <v>0</v>
      </c>
      <c r="AA76" s="341">
        <f t="shared" si="6"/>
        <v>371494.2313059101</v>
      </c>
      <c r="AB76" s="341">
        <f t="shared" si="6"/>
        <v>875983.3974193359</v>
      </c>
      <c r="AC76" s="341">
        <f t="shared" si="6"/>
        <v>918906.16636018723</v>
      </c>
      <c r="AD76" s="341">
        <f t="shared" si="6"/>
        <v>965310.81841984659</v>
      </c>
      <c r="AE76" s="341">
        <f t="shared" si="6"/>
        <v>1015024.2108144419</v>
      </c>
      <c r="AF76" s="287">
        <f t="shared" si="6"/>
        <v>0</v>
      </c>
      <c r="AG76" s="287">
        <f t="shared" si="4"/>
        <v>0</v>
      </c>
      <c r="AH76" s="322">
        <f>IF($H76,0,IFERROR(IF(VALUE(LEFT(D76,4))&gt;VALUE(LEFT(Parameters!$B$66,4))+1,O76-SUM(R76:X76),0),0))</f>
        <v>0</v>
      </c>
      <c r="AI76" s="326">
        <f>IF($E76=0,0,INDEX(Parameters!AB$43:AB$73,MATCH($E76,Parameters!$B$5:$B$35,0)))</f>
        <v>-6.2076762202790903E-2</v>
      </c>
      <c r="AJ76" s="327">
        <f>IF($E76=0,0,INDEX(Parameters!AC$43:AC$73,MATCH($E76,Parameters!$B$5:$B$35,0)))</f>
        <v>-9.9864411196846414E-2</v>
      </c>
      <c r="AK76" s="327">
        <f>IF($E76=0,0,INDEX(Parameters!AD$43:AD$73,MATCH($E76,Parameters!$B$5:$B$35,0)))</f>
        <v>-5.710807814345098E-2</v>
      </c>
      <c r="AL76" s="327">
        <f>IF($E76=0,0,INDEX(Parameters!AE$43:AE$73,MATCH($E76,Parameters!$B$5:$B$35,0)))</f>
        <v>-1.1849265894336769E-2</v>
      </c>
      <c r="AM76" s="327">
        <f>IF($E76=0,0,INDEX(Parameters!AF$43:AF$73,MATCH($E76,Parameters!$B$5:$B$35,0)))</f>
        <v>3.6569649080196998E-2</v>
      </c>
      <c r="AN76" s="327">
        <f>IF($E76=0,0,INDEX(Parameters!AG$43:AG$73,MATCH($E76,Parameters!$B$5:$B$35,0)))</f>
        <v>8.8916293016325643E-2</v>
      </c>
      <c r="AO76" s="327">
        <f>IF($E76=0,0,INDEX(Parameters!AH$43:AH$73,MATCH($E76,Parameters!$B$5:$B$35,0)))</f>
        <v>0.14499535265869268</v>
      </c>
      <c r="AP76" s="327">
        <f>IF($E76=0,0,INDEX(Parameters!AI$43:AI$73,MATCH($E76,Parameters!$B$5:$B$35,0)))</f>
        <v>0.14499535265869268</v>
      </c>
      <c r="AQ76" s="328">
        <f>IF($E76=0,0,INDEX(Parameters!AJ$43:AJ$73,MATCH($E76,Parameters!$B$5:$B$35,0)))</f>
        <v>0.14499535265869268</v>
      </c>
    </row>
    <row r="77" spans="1:43" ht="13.8" x14ac:dyDescent="0.3">
      <c r="A77" s="313" t="str">
        <f>'Base Costs'!A77</f>
        <v>ND0928</v>
      </c>
      <c r="B77" s="314" t="str">
        <f>'Base Costs'!B77</f>
        <v>Transmission line conductor assembly renewal program</v>
      </c>
      <c r="C77" s="314" t="str">
        <f>'Base Costs'!C77</f>
        <v>Asset Renewal</v>
      </c>
      <c r="D77" s="333" t="str">
        <f>'Base Costs'!D77</f>
        <v>2018/19</v>
      </c>
      <c r="E77" s="333">
        <f>'Base Costs'!E77</f>
        <v>6</v>
      </c>
      <c r="F77" s="315"/>
      <c r="G77" s="315"/>
      <c r="H77" s="316">
        <f>'Input Data Sheet'!J77</f>
        <v>1</v>
      </c>
      <c r="I77" s="316"/>
      <c r="J77" s="316"/>
      <c r="K77" s="316"/>
      <c r="L77" s="316"/>
      <c r="M77" s="316"/>
      <c r="N77" s="316"/>
      <c r="O77" s="287">
        <f t="shared" si="5"/>
        <v>4644997.8795570023</v>
      </c>
      <c r="P77" s="320">
        <f>(1+AI77)*'Cost+LOA'!P77</f>
        <v>0</v>
      </c>
      <c r="Q77" s="287">
        <f>(1+AJ77)*'Cost+LOA'!Q77</f>
        <v>0</v>
      </c>
      <c r="R77" s="341">
        <f>(1+AK77)*'Cost+LOA'!R77</f>
        <v>451272.59791705036</v>
      </c>
      <c r="S77" s="341">
        <f>(1+AL77)*'Cost+LOA'!S77</f>
        <v>1028188.5836190702</v>
      </c>
      <c r="T77" s="341">
        <f>(1+AM77)*'Cost+LOA'!T77</f>
        <v>1042311.4414468579</v>
      </c>
      <c r="U77" s="341">
        <f>(1+AN77)*'Cost+LOA'!U77</f>
        <v>1055753.9268599488</v>
      </c>
      <c r="V77" s="341">
        <f>(1+AO77)*'Cost+LOA'!V77</f>
        <v>1067471.3297140754</v>
      </c>
      <c r="W77" s="287">
        <f>(1+AP77)*'Cost+LOA'!W77</f>
        <v>0</v>
      </c>
      <c r="X77" s="321">
        <f>(1+AQ77)*'Cost+LOA'!X77</f>
        <v>0</v>
      </c>
      <c r="Y77" s="287">
        <f t="shared" si="6"/>
        <v>0</v>
      </c>
      <c r="Z77" s="287">
        <f t="shared" si="6"/>
        <v>0</v>
      </c>
      <c r="AA77" s="341">
        <f t="shared" si="6"/>
        <v>451272.59791705036</v>
      </c>
      <c r="AB77" s="341">
        <f t="shared" si="6"/>
        <v>1028188.5836190702</v>
      </c>
      <c r="AC77" s="341">
        <f t="shared" si="6"/>
        <v>1042311.4414468579</v>
      </c>
      <c r="AD77" s="341">
        <f t="shared" si="6"/>
        <v>1055753.9268599488</v>
      </c>
      <c r="AE77" s="341">
        <f t="shared" si="6"/>
        <v>1067471.3297140754</v>
      </c>
      <c r="AF77" s="287">
        <f t="shared" si="6"/>
        <v>0</v>
      </c>
      <c r="AG77" s="287">
        <f t="shared" si="4"/>
        <v>0</v>
      </c>
      <c r="AH77" s="322">
        <f>IF($H77,0,IFERROR(IF(VALUE(LEFT(D77,4))&gt;VALUE(LEFT(Parameters!$B$66,4))+1,O77-SUM(R77:X77),0),0))</f>
        <v>0</v>
      </c>
      <c r="AI77" s="326">
        <f>IF($E77=0,0,INDEX(Parameters!AB$43:AB$73,MATCH($E77,Parameters!$B$5:$B$35,0)))</f>
        <v>2.1222545931427073E-2</v>
      </c>
      <c r="AJ77" s="327">
        <f>IF($E77=0,0,INDEX(Parameters!AC$43:AC$73,MATCH($E77,Parameters!$B$5:$B$35,0)))</f>
        <v>2.9050106903240856E-2</v>
      </c>
      <c r="AK77" s="327">
        <f>IF($E77=0,0,INDEX(Parameters!AD$43:AD$73,MATCH($E77,Parameters!$B$5:$B$35,0)))</f>
        <v>3.212969048627367E-2</v>
      </c>
      <c r="AL77" s="327">
        <f>IF($E77=0,0,INDEX(Parameters!AE$43:AE$73,MATCH($E77,Parameters!$B$5:$B$35,0)))</f>
        <v>4.5166707534389061E-2</v>
      </c>
      <c r="AM77" s="327">
        <f>IF($E77=0,0,INDEX(Parameters!AF$43:AF$73,MATCH($E77,Parameters!$B$5:$B$35,0)))</f>
        <v>5.9522771248780533E-2</v>
      </c>
      <c r="AN77" s="327">
        <f>IF($E77=0,0,INDEX(Parameters!AG$43:AG$73,MATCH($E77,Parameters!$B$5:$B$35,0)))</f>
        <v>7.3187227793149623E-2</v>
      </c>
      <c r="AO77" s="327">
        <f>IF($E77=0,0,INDEX(Parameters!AH$43:AH$73,MATCH($E77,Parameters!$B$5:$B$35,0)))</f>
        <v>8.509811608447361E-2</v>
      </c>
      <c r="AP77" s="327">
        <f>IF($E77=0,0,INDEX(Parameters!AI$43:AI$73,MATCH($E77,Parameters!$B$5:$B$35,0)))</f>
        <v>8.509811608447361E-2</v>
      </c>
      <c r="AQ77" s="328">
        <f>IF($E77=0,0,INDEX(Parameters!AJ$43:AJ$73,MATCH($E77,Parameters!$B$5:$B$35,0)))</f>
        <v>8.509811608447361E-2</v>
      </c>
    </row>
    <row r="78" spans="1:43" ht="13.8" x14ac:dyDescent="0.3">
      <c r="A78" s="313" t="str">
        <f>'Base Costs'!A78</f>
        <v>ND1239</v>
      </c>
      <c r="B78" s="314" t="str">
        <f>'Base Costs'!B78</f>
        <v>Transmission line fall arrest system installation program</v>
      </c>
      <c r="C78" s="314" t="str">
        <f>'Base Costs'!C78</f>
        <v>Physical Security / Compliance</v>
      </c>
      <c r="D78" s="333" t="str">
        <f>'Base Costs'!D78</f>
        <v>2018/19</v>
      </c>
      <c r="E78" s="333">
        <f>'Base Costs'!E78</f>
        <v>6</v>
      </c>
      <c r="F78" s="315"/>
      <c r="G78" s="315"/>
      <c r="H78" s="316">
        <f>'Input Data Sheet'!J78</f>
        <v>1</v>
      </c>
      <c r="I78" s="316"/>
      <c r="J78" s="316"/>
      <c r="K78" s="316"/>
      <c r="L78" s="316"/>
      <c r="M78" s="316"/>
      <c r="N78" s="316"/>
      <c r="O78" s="287">
        <f t="shared" si="5"/>
        <v>919907.80691156676</v>
      </c>
      <c r="P78" s="320">
        <f>(1+AI78)*'Cost+LOA'!P78</f>
        <v>0</v>
      </c>
      <c r="Q78" s="287">
        <f>(1+AJ78)*'Cost+LOA'!Q78</f>
        <v>0</v>
      </c>
      <c r="R78" s="341">
        <f>(1+AK78)*'Cost+LOA'!R78</f>
        <v>89371.23258896952</v>
      </c>
      <c r="S78" s="341">
        <f>(1+AL78)*'Cost+LOA'!S78</f>
        <v>203625.21783082807</v>
      </c>
      <c r="T78" s="341">
        <f>(1+AM78)*'Cost+LOA'!T78</f>
        <v>206422.14637817178</v>
      </c>
      <c r="U78" s="341">
        <f>(1+AN78)*'Cost+LOA'!U78</f>
        <v>209084.33215229673</v>
      </c>
      <c r="V78" s="341">
        <f>(1+AO78)*'Cost+LOA'!V78</f>
        <v>211404.87796130081</v>
      </c>
      <c r="W78" s="287">
        <f>(1+AP78)*'Cost+LOA'!W78</f>
        <v>0</v>
      </c>
      <c r="X78" s="321">
        <f>(1+AQ78)*'Cost+LOA'!X78</f>
        <v>0</v>
      </c>
      <c r="Y78" s="287">
        <f t="shared" si="6"/>
        <v>0</v>
      </c>
      <c r="Z78" s="287">
        <f t="shared" si="6"/>
        <v>0</v>
      </c>
      <c r="AA78" s="341">
        <f t="shared" si="6"/>
        <v>89371.23258896952</v>
      </c>
      <c r="AB78" s="341">
        <f t="shared" si="6"/>
        <v>203625.21783082807</v>
      </c>
      <c r="AC78" s="341">
        <f t="shared" si="6"/>
        <v>206422.14637817178</v>
      </c>
      <c r="AD78" s="341">
        <f t="shared" si="6"/>
        <v>209084.33215229673</v>
      </c>
      <c r="AE78" s="341">
        <f t="shared" si="6"/>
        <v>211404.87796130081</v>
      </c>
      <c r="AF78" s="287">
        <f t="shared" si="6"/>
        <v>0</v>
      </c>
      <c r="AG78" s="287">
        <f t="shared" si="4"/>
        <v>0</v>
      </c>
      <c r="AH78" s="322">
        <f>IF($H78,0,IFERROR(IF(VALUE(LEFT(D78,4))&gt;VALUE(LEFT(Parameters!$B$66,4))+1,O78-SUM(R78:X78),0),0))</f>
        <v>0</v>
      </c>
      <c r="AI78" s="326">
        <f>IF($E78=0,0,INDEX(Parameters!AB$43:AB$73,MATCH($E78,Parameters!$B$5:$B$35,0)))</f>
        <v>2.1222545931427073E-2</v>
      </c>
      <c r="AJ78" s="327">
        <f>IF($E78=0,0,INDEX(Parameters!AC$43:AC$73,MATCH($E78,Parameters!$B$5:$B$35,0)))</f>
        <v>2.9050106903240856E-2</v>
      </c>
      <c r="AK78" s="327">
        <f>IF($E78=0,0,INDEX(Parameters!AD$43:AD$73,MATCH($E78,Parameters!$B$5:$B$35,0)))</f>
        <v>3.212969048627367E-2</v>
      </c>
      <c r="AL78" s="327">
        <f>IF($E78=0,0,INDEX(Parameters!AE$43:AE$73,MATCH($E78,Parameters!$B$5:$B$35,0)))</f>
        <v>4.5166707534389061E-2</v>
      </c>
      <c r="AM78" s="327">
        <f>IF($E78=0,0,INDEX(Parameters!AF$43:AF$73,MATCH($E78,Parameters!$B$5:$B$35,0)))</f>
        <v>5.9522771248780533E-2</v>
      </c>
      <c r="AN78" s="327">
        <f>IF($E78=0,0,INDEX(Parameters!AG$43:AG$73,MATCH($E78,Parameters!$B$5:$B$35,0)))</f>
        <v>7.3187227793149623E-2</v>
      </c>
      <c r="AO78" s="327">
        <f>IF($E78=0,0,INDEX(Parameters!AH$43:AH$73,MATCH($E78,Parameters!$B$5:$B$35,0)))</f>
        <v>8.509811608447361E-2</v>
      </c>
      <c r="AP78" s="327">
        <f>IF($E78=0,0,INDEX(Parameters!AI$43:AI$73,MATCH($E78,Parameters!$B$5:$B$35,0)))</f>
        <v>8.509811608447361E-2</v>
      </c>
      <c r="AQ78" s="328">
        <f>IF($E78=0,0,INDEX(Parameters!AJ$43:AJ$73,MATCH($E78,Parameters!$B$5:$B$35,0)))</f>
        <v>8.509811608447361E-2</v>
      </c>
    </row>
    <row r="79" spans="1:43" ht="13.8" x14ac:dyDescent="0.3">
      <c r="A79" s="313" t="str">
        <f>'Base Costs'!A79</f>
        <v>ND0929</v>
      </c>
      <c r="B79" s="314" t="str">
        <f>'Base Costs'!B79</f>
        <v>Transmission line foundation renewal program</v>
      </c>
      <c r="C79" s="314" t="str">
        <f>'Base Costs'!C79</f>
        <v>Asset Renewal</v>
      </c>
      <c r="D79" s="333" t="str">
        <f>'Base Costs'!D79</f>
        <v>2018/19</v>
      </c>
      <c r="E79" s="333">
        <f>'Base Costs'!E79</f>
        <v>6</v>
      </c>
      <c r="F79" s="315"/>
      <c r="G79" s="315"/>
      <c r="H79" s="316">
        <f>'Input Data Sheet'!J79</f>
        <v>1</v>
      </c>
      <c r="I79" s="316"/>
      <c r="J79" s="316"/>
      <c r="K79" s="316"/>
      <c r="L79" s="316"/>
      <c r="M79" s="316"/>
      <c r="N79" s="316"/>
      <c r="O79" s="287">
        <f t="shared" si="5"/>
        <v>4760416.1860584812</v>
      </c>
      <c r="P79" s="320">
        <f>(1+AI79)*'Cost+LOA'!P79</f>
        <v>0</v>
      </c>
      <c r="Q79" s="287">
        <f>(1+AJ79)*'Cost+LOA'!Q79</f>
        <v>0</v>
      </c>
      <c r="R79" s="341">
        <f>(1+AK79)*'Cost+LOA'!R79</f>
        <v>462485.7610599958</v>
      </c>
      <c r="S79" s="341">
        <f>(1+AL79)*'Cost+LOA'!S79</f>
        <v>1053736.8805532304</v>
      </c>
      <c r="T79" s="341">
        <f>(1+AM79)*'Cost+LOA'!T79</f>
        <v>1068210.6613255942</v>
      </c>
      <c r="U79" s="341">
        <f>(1+AN79)*'Cost+LOA'!U79</f>
        <v>1081987.1638775042</v>
      </c>
      <c r="V79" s="341">
        <f>(1+AO79)*'Cost+LOA'!V79</f>
        <v>1093995.7192421563</v>
      </c>
      <c r="W79" s="287">
        <f>(1+AP79)*'Cost+LOA'!W79</f>
        <v>0</v>
      </c>
      <c r="X79" s="321">
        <f>(1+AQ79)*'Cost+LOA'!X79</f>
        <v>0</v>
      </c>
      <c r="Y79" s="287">
        <f t="shared" si="6"/>
        <v>0</v>
      </c>
      <c r="Z79" s="287">
        <f t="shared" si="6"/>
        <v>0</v>
      </c>
      <c r="AA79" s="341">
        <f t="shared" si="6"/>
        <v>462485.7610599958</v>
      </c>
      <c r="AB79" s="341">
        <f t="shared" si="6"/>
        <v>1053736.8805532304</v>
      </c>
      <c r="AC79" s="341">
        <f t="shared" si="6"/>
        <v>1068210.6613255942</v>
      </c>
      <c r="AD79" s="341">
        <f t="shared" si="6"/>
        <v>1081987.1638775042</v>
      </c>
      <c r="AE79" s="341">
        <f t="shared" si="6"/>
        <v>1093995.7192421563</v>
      </c>
      <c r="AF79" s="287">
        <f t="shared" si="6"/>
        <v>0</v>
      </c>
      <c r="AG79" s="287">
        <f t="shared" si="4"/>
        <v>0</v>
      </c>
      <c r="AH79" s="322">
        <f>IF($H79,0,IFERROR(IF(VALUE(LEFT(D79,4))&gt;VALUE(LEFT(Parameters!$B$66,4))+1,O79-SUM(R79:X79),0),0))</f>
        <v>0</v>
      </c>
      <c r="AI79" s="326">
        <f>IF($E79=0,0,INDEX(Parameters!AB$43:AB$73,MATCH($E79,Parameters!$B$5:$B$35,0)))</f>
        <v>2.1222545931427073E-2</v>
      </c>
      <c r="AJ79" s="327">
        <f>IF($E79=0,0,INDEX(Parameters!AC$43:AC$73,MATCH($E79,Parameters!$B$5:$B$35,0)))</f>
        <v>2.9050106903240856E-2</v>
      </c>
      <c r="AK79" s="327">
        <f>IF($E79=0,0,INDEX(Parameters!AD$43:AD$73,MATCH($E79,Parameters!$B$5:$B$35,0)))</f>
        <v>3.212969048627367E-2</v>
      </c>
      <c r="AL79" s="327">
        <f>IF($E79=0,0,INDEX(Parameters!AE$43:AE$73,MATCH($E79,Parameters!$B$5:$B$35,0)))</f>
        <v>4.5166707534389061E-2</v>
      </c>
      <c r="AM79" s="327">
        <f>IF($E79=0,0,INDEX(Parameters!AF$43:AF$73,MATCH($E79,Parameters!$B$5:$B$35,0)))</f>
        <v>5.9522771248780533E-2</v>
      </c>
      <c r="AN79" s="327">
        <f>IF($E79=0,0,INDEX(Parameters!AG$43:AG$73,MATCH($E79,Parameters!$B$5:$B$35,0)))</f>
        <v>7.3187227793149623E-2</v>
      </c>
      <c r="AO79" s="327">
        <f>IF($E79=0,0,INDEX(Parameters!AH$43:AH$73,MATCH($E79,Parameters!$B$5:$B$35,0)))</f>
        <v>8.509811608447361E-2</v>
      </c>
      <c r="AP79" s="327">
        <f>IF($E79=0,0,INDEX(Parameters!AI$43:AI$73,MATCH($E79,Parameters!$B$5:$B$35,0)))</f>
        <v>8.509811608447361E-2</v>
      </c>
      <c r="AQ79" s="328">
        <f>IF($E79=0,0,INDEX(Parameters!AJ$43:AJ$73,MATCH($E79,Parameters!$B$5:$B$35,0)))</f>
        <v>8.509811608447361E-2</v>
      </c>
    </row>
    <row r="80" spans="1:43" ht="13.8" x14ac:dyDescent="0.3">
      <c r="A80" s="313" t="str">
        <f>'Base Costs'!A80</f>
        <v>ND0924</v>
      </c>
      <c r="B80" s="314" t="str">
        <f>'Base Costs'!B80</f>
        <v>Transmission line insulator assembly renewal program</v>
      </c>
      <c r="C80" s="314" t="str">
        <f>'Base Costs'!C80</f>
        <v>Asset Renewal</v>
      </c>
      <c r="D80" s="333" t="str">
        <f>'Base Costs'!D80</f>
        <v>2018/19</v>
      </c>
      <c r="E80" s="333">
        <f>'Base Costs'!E80</f>
        <v>6</v>
      </c>
      <c r="F80" s="315"/>
      <c r="G80" s="315"/>
      <c r="H80" s="316">
        <f>'Input Data Sheet'!J80</f>
        <v>1</v>
      </c>
      <c r="I80" s="316"/>
      <c r="J80" s="316"/>
      <c r="K80" s="316"/>
      <c r="L80" s="316"/>
      <c r="M80" s="316"/>
      <c r="N80" s="316"/>
      <c r="O80" s="287">
        <f t="shared" si="5"/>
        <v>12623134.323094288</v>
      </c>
      <c r="P80" s="320">
        <f>(1+AI80)*'Cost+LOA'!P80</f>
        <v>0</v>
      </c>
      <c r="Q80" s="287">
        <f>(1+AJ80)*'Cost+LOA'!Q80</f>
        <v>0</v>
      </c>
      <c r="R80" s="341">
        <f>(1+AK80)*'Cost+LOA'!R80</f>
        <v>1226367.5393500768</v>
      </c>
      <c r="S80" s="341">
        <f>(1+AL80)*'Cost+LOA'!S80</f>
        <v>2794180.5221520145</v>
      </c>
      <c r="T80" s="341">
        <f>(1+AM80)*'Cost+LOA'!T80</f>
        <v>2832560.46031533</v>
      </c>
      <c r="U80" s="341">
        <f>(1+AN80)*'Cost+LOA'!U80</f>
        <v>2869091.4347970369</v>
      </c>
      <c r="V80" s="341">
        <f>(1+AO80)*'Cost+LOA'!V80</f>
        <v>2900934.3664798294</v>
      </c>
      <c r="W80" s="287">
        <f>(1+AP80)*'Cost+LOA'!W80</f>
        <v>0</v>
      </c>
      <c r="X80" s="321">
        <f>(1+AQ80)*'Cost+LOA'!X80</f>
        <v>0</v>
      </c>
      <c r="Y80" s="287">
        <f t="shared" si="6"/>
        <v>0</v>
      </c>
      <c r="Z80" s="287">
        <f t="shared" si="6"/>
        <v>0</v>
      </c>
      <c r="AA80" s="341">
        <f t="shared" si="6"/>
        <v>1226367.5393500768</v>
      </c>
      <c r="AB80" s="341">
        <f t="shared" si="6"/>
        <v>2794180.5221520145</v>
      </c>
      <c r="AC80" s="341">
        <f t="shared" si="6"/>
        <v>2832560.46031533</v>
      </c>
      <c r="AD80" s="341">
        <f t="shared" si="6"/>
        <v>2869091.4347970369</v>
      </c>
      <c r="AE80" s="341">
        <f t="shared" si="6"/>
        <v>2900934.3664798294</v>
      </c>
      <c r="AF80" s="287">
        <f t="shared" si="6"/>
        <v>0</v>
      </c>
      <c r="AG80" s="287">
        <f t="shared" si="4"/>
        <v>0</v>
      </c>
      <c r="AH80" s="322">
        <f>IF($H80,0,IFERROR(IF(VALUE(LEFT(D80,4))&gt;VALUE(LEFT(Parameters!$B$66,4))+1,O80-SUM(R80:X80),0),0))</f>
        <v>0</v>
      </c>
      <c r="AI80" s="326">
        <f>IF($E80=0,0,INDEX(Parameters!AB$43:AB$73,MATCH($E80,Parameters!$B$5:$B$35,0)))</f>
        <v>2.1222545931427073E-2</v>
      </c>
      <c r="AJ80" s="327">
        <f>IF($E80=0,0,INDEX(Parameters!AC$43:AC$73,MATCH($E80,Parameters!$B$5:$B$35,0)))</f>
        <v>2.9050106903240856E-2</v>
      </c>
      <c r="AK80" s="327">
        <f>IF($E80=0,0,INDEX(Parameters!AD$43:AD$73,MATCH($E80,Parameters!$B$5:$B$35,0)))</f>
        <v>3.212969048627367E-2</v>
      </c>
      <c r="AL80" s="327">
        <f>IF($E80=0,0,INDEX(Parameters!AE$43:AE$73,MATCH($E80,Parameters!$B$5:$B$35,0)))</f>
        <v>4.5166707534389061E-2</v>
      </c>
      <c r="AM80" s="327">
        <f>IF($E80=0,0,INDEX(Parameters!AF$43:AF$73,MATCH($E80,Parameters!$B$5:$B$35,0)))</f>
        <v>5.9522771248780533E-2</v>
      </c>
      <c r="AN80" s="327">
        <f>IF($E80=0,0,INDEX(Parameters!AG$43:AG$73,MATCH($E80,Parameters!$B$5:$B$35,0)))</f>
        <v>7.3187227793149623E-2</v>
      </c>
      <c r="AO80" s="327">
        <f>IF($E80=0,0,INDEX(Parameters!AH$43:AH$73,MATCH($E80,Parameters!$B$5:$B$35,0)))</f>
        <v>8.509811608447361E-2</v>
      </c>
      <c r="AP80" s="327">
        <f>IF($E80=0,0,INDEX(Parameters!AI$43:AI$73,MATCH($E80,Parameters!$B$5:$B$35,0)))</f>
        <v>8.509811608447361E-2</v>
      </c>
      <c r="AQ80" s="328">
        <f>IF($E80=0,0,INDEX(Parameters!AJ$43:AJ$73,MATCH($E80,Parameters!$B$5:$B$35,0)))</f>
        <v>8.509811608447361E-2</v>
      </c>
    </row>
    <row r="81" spans="1:43" ht="13.8" x14ac:dyDescent="0.3">
      <c r="A81" s="313" t="str">
        <f>'Base Costs'!A81</f>
        <v>ND1242</v>
      </c>
      <c r="B81" s="314" t="str">
        <f>'Base Costs'!B81</f>
        <v>Transmission line K-pole renewal program</v>
      </c>
      <c r="C81" s="314" t="str">
        <f>'Base Costs'!C81</f>
        <v>Asset Renewal</v>
      </c>
      <c r="D81" s="333" t="str">
        <f>'Base Costs'!D81</f>
        <v>2015/16</v>
      </c>
      <c r="E81" s="333">
        <f>'Base Costs'!E81</f>
        <v>6</v>
      </c>
      <c r="F81" s="315"/>
      <c r="G81" s="315"/>
      <c r="H81" s="316">
        <f>'Input Data Sheet'!J81</f>
        <v>1</v>
      </c>
      <c r="I81" s="316"/>
      <c r="J81" s="316"/>
      <c r="K81" s="316"/>
      <c r="L81" s="316"/>
      <c r="M81" s="316"/>
      <c r="N81" s="316"/>
      <c r="O81" s="287">
        <f t="shared" si="5"/>
        <v>5572036.2400715388</v>
      </c>
      <c r="P81" s="320">
        <f>(1+AI81)*'Cost+LOA'!P81</f>
        <v>0</v>
      </c>
      <c r="Q81" s="287">
        <f>(1+AJ81)*'Cost+LOA'!Q81</f>
        <v>0</v>
      </c>
      <c r="R81" s="341">
        <f>(1+AK81)*'Cost+LOA'!R81</f>
        <v>2660154.0295983292</v>
      </c>
      <c r="S81" s="341">
        <f>(1+AL81)*'Cost+LOA'!S81</f>
        <v>2911882.2104732092</v>
      </c>
      <c r="T81" s="341">
        <f>(1+AM81)*'Cost+LOA'!T81</f>
        <v>0</v>
      </c>
      <c r="U81" s="341">
        <f>(1+AN81)*'Cost+LOA'!U81</f>
        <v>0</v>
      </c>
      <c r="V81" s="341">
        <f>(1+AO81)*'Cost+LOA'!V81</f>
        <v>0</v>
      </c>
      <c r="W81" s="287">
        <f>(1+AP81)*'Cost+LOA'!W81</f>
        <v>0</v>
      </c>
      <c r="X81" s="321">
        <f>(1+AQ81)*'Cost+LOA'!X81</f>
        <v>0</v>
      </c>
      <c r="Y81" s="287">
        <f t="shared" si="6"/>
        <v>0</v>
      </c>
      <c r="Z81" s="287">
        <f t="shared" si="6"/>
        <v>0</v>
      </c>
      <c r="AA81" s="341">
        <f t="shared" si="6"/>
        <v>2660154.0295983292</v>
      </c>
      <c r="AB81" s="341">
        <f t="shared" si="6"/>
        <v>2911882.2104732092</v>
      </c>
      <c r="AC81" s="341">
        <f t="shared" si="6"/>
        <v>0</v>
      </c>
      <c r="AD81" s="341">
        <f t="shared" si="6"/>
        <v>0</v>
      </c>
      <c r="AE81" s="341">
        <f t="shared" si="6"/>
        <v>0</v>
      </c>
      <c r="AF81" s="287">
        <f t="shared" si="6"/>
        <v>0</v>
      </c>
      <c r="AG81" s="287">
        <f t="shared" si="4"/>
        <v>0</v>
      </c>
      <c r="AH81" s="322">
        <f>IF($H81,0,IFERROR(IF(VALUE(LEFT(D81,4))&gt;VALUE(LEFT(Parameters!$B$66,4))+1,O81-SUM(R81:X81),0),0))</f>
        <v>0</v>
      </c>
      <c r="AI81" s="326">
        <f>IF($E81=0,0,INDEX(Parameters!AB$43:AB$73,MATCH($E81,Parameters!$B$5:$B$35,0)))</f>
        <v>2.1222545931427073E-2</v>
      </c>
      <c r="AJ81" s="327">
        <f>IF($E81=0,0,INDEX(Parameters!AC$43:AC$73,MATCH($E81,Parameters!$B$5:$B$35,0)))</f>
        <v>2.9050106903240856E-2</v>
      </c>
      <c r="AK81" s="327">
        <f>IF($E81=0,0,INDEX(Parameters!AD$43:AD$73,MATCH($E81,Parameters!$B$5:$B$35,0)))</f>
        <v>3.212969048627367E-2</v>
      </c>
      <c r="AL81" s="327">
        <f>IF($E81=0,0,INDEX(Parameters!AE$43:AE$73,MATCH($E81,Parameters!$B$5:$B$35,0)))</f>
        <v>4.5166707534389061E-2</v>
      </c>
      <c r="AM81" s="327">
        <f>IF($E81=0,0,INDEX(Parameters!AF$43:AF$73,MATCH($E81,Parameters!$B$5:$B$35,0)))</f>
        <v>5.9522771248780533E-2</v>
      </c>
      <c r="AN81" s="327">
        <f>IF($E81=0,0,INDEX(Parameters!AG$43:AG$73,MATCH($E81,Parameters!$B$5:$B$35,0)))</f>
        <v>7.3187227793149623E-2</v>
      </c>
      <c r="AO81" s="327">
        <f>IF($E81=0,0,INDEX(Parameters!AH$43:AH$73,MATCH($E81,Parameters!$B$5:$B$35,0)))</f>
        <v>8.509811608447361E-2</v>
      </c>
      <c r="AP81" s="327">
        <f>IF($E81=0,0,INDEX(Parameters!AI$43:AI$73,MATCH($E81,Parameters!$B$5:$B$35,0)))</f>
        <v>8.509811608447361E-2</v>
      </c>
      <c r="AQ81" s="328">
        <f>IF($E81=0,0,INDEX(Parameters!AJ$43:AJ$73,MATCH($E81,Parameters!$B$5:$B$35,0)))</f>
        <v>8.509811608447361E-2</v>
      </c>
    </row>
    <row r="82" spans="1:43" ht="13.8" x14ac:dyDescent="0.3">
      <c r="A82" s="313" t="str">
        <f>'Base Costs'!A82</f>
        <v>ND1243</v>
      </c>
      <c r="B82" s="314" t="str">
        <f>'Base Costs'!B82</f>
        <v>Transmission line light detection and ranging program</v>
      </c>
      <c r="C82" s="314" t="str">
        <f>'Base Costs'!C82</f>
        <v>Operational Support Systems</v>
      </c>
      <c r="D82" s="333" t="str">
        <f>'Base Costs'!D82</f>
        <v>2014/15</v>
      </c>
      <c r="E82" s="333">
        <f>'Base Costs'!E82</f>
        <v>15</v>
      </c>
      <c r="F82" s="315"/>
      <c r="G82" s="315"/>
      <c r="H82" s="316">
        <f>'Input Data Sheet'!J82</f>
        <v>1</v>
      </c>
      <c r="I82" s="316"/>
      <c r="J82" s="316"/>
      <c r="K82" s="316"/>
      <c r="L82" s="316"/>
      <c r="M82" s="316"/>
      <c r="N82" s="316"/>
      <c r="O82" s="287">
        <f t="shared" si="5"/>
        <v>1466164.5845623268</v>
      </c>
      <c r="P82" s="320">
        <f>(1+AI82)*'Cost+LOA'!P82</f>
        <v>0</v>
      </c>
      <c r="Q82" s="287">
        <f>(1+AJ82)*'Cost+LOA'!Q82</f>
        <v>32441.786756054458</v>
      </c>
      <c r="R82" s="341">
        <f>(1+AK82)*'Cost+LOA'!R82</f>
        <v>1433722.7978062723</v>
      </c>
      <c r="S82" s="341">
        <f>(1+AL82)*'Cost+LOA'!S82</f>
        <v>0</v>
      </c>
      <c r="T82" s="341">
        <f>(1+AM82)*'Cost+LOA'!T82</f>
        <v>0</v>
      </c>
      <c r="U82" s="341">
        <f>(1+AN82)*'Cost+LOA'!U82</f>
        <v>0</v>
      </c>
      <c r="V82" s="341">
        <f>(1+AO82)*'Cost+LOA'!V82</f>
        <v>0</v>
      </c>
      <c r="W82" s="287">
        <f>(1+AP82)*'Cost+LOA'!W82</f>
        <v>0</v>
      </c>
      <c r="X82" s="321">
        <f>(1+AQ82)*'Cost+LOA'!X82</f>
        <v>0</v>
      </c>
      <c r="Y82" s="287">
        <f t="shared" si="6"/>
        <v>0</v>
      </c>
      <c r="Z82" s="287">
        <f t="shared" si="6"/>
        <v>32441.786756054458</v>
      </c>
      <c r="AA82" s="341">
        <f t="shared" si="6"/>
        <v>1433722.7978062723</v>
      </c>
      <c r="AB82" s="341">
        <f t="shared" si="6"/>
        <v>0</v>
      </c>
      <c r="AC82" s="341">
        <f t="shared" si="6"/>
        <v>0</v>
      </c>
      <c r="AD82" s="341">
        <f t="shared" si="6"/>
        <v>0</v>
      </c>
      <c r="AE82" s="341">
        <f t="shared" si="6"/>
        <v>0</v>
      </c>
      <c r="AF82" s="287">
        <f t="shared" si="6"/>
        <v>0</v>
      </c>
      <c r="AG82" s="287">
        <f t="shared" si="4"/>
        <v>0</v>
      </c>
      <c r="AH82" s="322">
        <f>IF($H82,0,IFERROR(IF(VALUE(LEFT(D82,4))&gt;VALUE(LEFT(Parameters!$B$66,4))+1,O82-SUM(R82:X82),0),0))</f>
        <v>0</v>
      </c>
      <c r="AI82" s="326">
        <f>IF($E82=0,0,INDEX(Parameters!AB$43:AB$73,MATCH($E82,Parameters!$B$5:$B$35,0)))</f>
        <v>-6.2076762202790903E-2</v>
      </c>
      <c r="AJ82" s="327">
        <f>IF($E82=0,0,INDEX(Parameters!AC$43:AC$73,MATCH($E82,Parameters!$B$5:$B$35,0)))</f>
        <v>-9.9864411196846414E-2</v>
      </c>
      <c r="AK82" s="327">
        <f>IF($E82=0,0,INDEX(Parameters!AD$43:AD$73,MATCH($E82,Parameters!$B$5:$B$35,0)))</f>
        <v>-5.710807814345098E-2</v>
      </c>
      <c r="AL82" s="327">
        <f>IF($E82=0,0,INDEX(Parameters!AE$43:AE$73,MATCH($E82,Parameters!$B$5:$B$35,0)))</f>
        <v>-1.1849265894336769E-2</v>
      </c>
      <c r="AM82" s="327">
        <f>IF($E82=0,0,INDEX(Parameters!AF$43:AF$73,MATCH($E82,Parameters!$B$5:$B$35,0)))</f>
        <v>3.6569649080196998E-2</v>
      </c>
      <c r="AN82" s="327">
        <f>IF($E82=0,0,INDEX(Parameters!AG$43:AG$73,MATCH($E82,Parameters!$B$5:$B$35,0)))</f>
        <v>8.8916293016325643E-2</v>
      </c>
      <c r="AO82" s="327">
        <f>IF($E82=0,0,INDEX(Parameters!AH$43:AH$73,MATCH($E82,Parameters!$B$5:$B$35,0)))</f>
        <v>0.14499535265869268</v>
      </c>
      <c r="AP82" s="327">
        <f>IF($E82=0,0,INDEX(Parameters!AI$43:AI$73,MATCH($E82,Parameters!$B$5:$B$35,0)))</f>
        <v>0.14499535265869268</v>
      </c>
      <c r="AQ82" s="328">
        <f>IF($E82=0,0,INDEX(Parameters!AJ$43:AJ$73,MATCH($E82,Parameters!$B$5:$B$35,0)))</f>
        <v>0.14499535265869268</v>
      </c>
    </row>
    <row r="83" spans="1:43" ht="13.8" x14ac:dyDescent="0.3">
      <c r="A83" s="313" t="str">
        <f>'Base Costs'!A83</f>
        <v>ND1236</v>
      </c>
      <c r="B83" s="314" t="str">
        <f>'Base Costs'!B83</f>
        <v>Transmission line protection renewal program</v>
      </c>
      <c r="C83" s="314" t="str">
        <f>'Base Costs'!C83</f>
        <v>Asset Renewal</v>
      </c>
      <c r="D83" s="333" t="str">
        <f>'Base Costs'!D83</f>
        <v>2018/19</v>
      </c>
      <c r="E83" s="333">
        <f>'Base Costs'!E83</f>
        <v>13</v>
      </c>
      <c r="F83" s="315"/>
      <c r="G83" s="315"/>
      <c r="H83" s="316">
        <f>'Input Data Sheet'!J83</f>
        <v>1</v>
      </c>
      <c r="I83" s="316"/>
      <c r="J83" s="316"/>
      <c r="K83" s="316"/>
      <c r="L83" s="316"/>
      <c r="M83" s="316"/>
      <c r="N83" s="316"/>
      <c r="O83" s="287">
        <f t="shared" si="5"/>
        <v>4198723.9258912969</v>
      </c>
      <c r="P83" s="320">
        <f>(1+AI83)*'Cost+LOA'!P83</f>
        <v>0</v>
      </c>
      <c r="Q83" s="287">
        <f>(1+AJ83)*'Cost+LOA'!Q83</f>
        <v>0</v>
      </c>
      <c r="R83" s="341">
        <f>(1+AK83)*'Cost+LOA'!R83</f>
        <v>0</v>
      </c>
      <c r="S83" s="341">
        <f>(1+AL83)*'Cost+LOA'!S83</f>
        <v>0</v>
      </c>
      <c r="T83" s="341">
        <f>(1+AM83)*'Cost+LOA'!T83</f>
        <v>518319.01267034834</v>
      </c>
      <c r="U83" s="341">
        <f>(1+AN83)*'Cost+LOA'!U83</f>
        <v>3635631.6370842182</v>
      </c>
      <c r="V83" s="341">
        <f>(1+AO83)*'Cost+LOA'!V83</f>
        <v>44773.276136730572</v>
      </c>
      <c r="W83" s="287">
        <f>(1+AP83)*'Cost+LOA'!W83</f>
        <v>0</v>
      </c>
      <c r="X83" s="321">
        <f>(1+AQ83)*'Cost+LOA'!X83</f>
        <v>0</v>
      </c>
      <c r="Y83" s="287">
        <f t="shared" si="6"/>
        <v>0</v>
      </c>
      <c r="Z83" s="287">
        <f t="shared" si="6"/>
        <v>0</v>
      </c>
      <c r="AA83" s="341">
        <f t="shared" si="6"/>
        <v>0</v>
      </c>
      <c r="AB83" s="341">
        <f t="shared" si="6"/>
        <v>0</v>
      </c>
      <c r="AC83" s="341">
        <f t="shared" si="6"/>
        <v>518319.01267034834</v>
      </c>
      <c r="AD83" s="341">
        <f t="shared" si="6"/>
        <v>3635631.6370842182</v>
      </c>
      <c r="AE83" s="341">
        <f t="shared" si="6"/>
        <v>44773.276136730572</v>
      </c>
      <c r="AF83" s="287">
        <f t="shared" si="6"/>
        <v>0</v>
      </c>
      <c r="AG83" s="287">
        <f t="shared" si="4"/>
        <v>0</v>
      </c>
      <c r="AH83" s="322">
        <f>IF($H83,0,IFERROR(IF(VALUE(LEFT(D83,4))&gt;VALUE(LEFT(Parameters!$B$66,4))+1,O83-SUM(R83:X83),0),0))</f>
        <v>0</v>
      </c>
      <c r="AI83" s="326">
        <f>IF($E83=0,0,INDEX(Parameters!AB$43:AB$73,MATCH($E83,Parameters!$B$5:$B$35,0)))</f>
        <v>8.5297589120096277E-3</v>
      </c>
      <c r="AJ83" s="327">
        <f>IF($E83=0,0,INDEX(Parameters!AC$43:AC$73,MATCH($E83,Parameters!$B$5:$B$35,0)))</f>
        <v>9.8420696910520595E-3</v>
      </c>
      <c r="AK83" s="327">
        <f>IF($E83=0,0,INDEX(Parameters!AD$43:AD$73,MATCH($E83,Parameters!$B$5:$B$35,0)))</f>
        <v>8.1825399271048017E-3</v>
      </c>
      <c r="AL83" s="327">
        <f>IF($E83=0,0,INDEX(Parameters!AE$43:AE$73,MATCH($E83,Parameters!$B$5:$B$35,0)))</f>
        <v>1.6106132537469481E-2</v>
      </c>
      <c r="AM83" s="327">
        <f>IF($E83=0,0,INDEX(Parameters!AF$43:AF$73,MATCH($E83,Parameters!$B$5:$B$35,0)))</f>
        <v>2.8076917546595581E-2</v>
      </c>
      <c r="AN83" s="327">
        <f>IF($E83=0,0,INDEX(Parameters!AG$43:AG$73,MATCH($E83,Parameters!$B$5:$B$35,0)))</f>
        <v>3.9718638998703926E-2</v>
      </c>
      <c r="AO83" s="327">
        <f>IF($E83=0,0,INDEX(Parameters!AH$43:AH$73,MATCH($E83,Parameters!$B$5:$B$35,0)))</f>
        <v>5.0793488332327864E-2</v>
      </c>
      <c r="AP83" s="327">
        <f>IF($E83=0,0,INDEX(Parameters!AI$43:AI$73,MATCH($E83,Parameters!$B$5:$B$35,0)))</f>
        <v>5.0793488332327864E-2</v>
      </c>
      <c r="AQ83" s="328">
        <f>IF($E83=0,0,INDEX(Parameters!AJ$43:AJ$73,MATCH($E83,Parameters!$B$5:$B$35,0)))</f>
        <v>5.0793488332327864E-2</v>
      </c>
    </row>
    <row r="84" spans="1:43" ht="13.8" x14ac:dyDescent="0.3">
      <c r="A84" s="313" t="str">
        <f>'Base Costs'!A84</f>
        <v>ND0822</v>
      </c>
      <c r="B84" s="314" t="str">
        <f>'Base Costs'!B84</f>
        <v>Transmission line signage compliance program</v>
      </c>
      <c r="C84" s="314" t="str">
        <f>'Base Costs'!C84</f>
        <v>Physical Security / Compliance</v>
      </c>
      <c r="D84" s="333" t="str">
        <f>'Base Costs'!D84</f>
        <v>2018/19</v>
      </c>
      <c r="E84" s="333">
        <f>'Base Costs'!E84</f>
        <v>6</v>
      </c>
      <c r="F84" s="315"/>
      <c r="G84" s="315"/>
      <c r="H84" s="316">
        <f>'Input Data Sheet'!J84</f>
        <v>1</v>
      </c>
      <c r="I84" s="316"/>
      <c r="J84" s="316"/>
      <c r="K84" s="316"/>
      <c r="L84" s="316"/>
      <c r="M84" s="316"/>
      <c r="N84" s="316"/>
      <c r="O84" s="287">
        <f t="shared" si="5"/>
        <v>1742016.3110031669</v>
      </c>
      <c r="P84" s="320">
        <f>(1+AI84)*'Cost+LOA'!P84</f>
        <v>0</v>
      </c>
      <c r="Q84" s="287">
        <f>(1+AJ84)*'Cost+LOA'!Q84</f>
        <v>0</v>
      </c>
      <c r="R84" s="341">
        <f>(1+AK84)*'Cost+LOA'!R84</f>
        <v>169241.03017141717</v>
      </c>
      <c r="S84" s="341">
        <f>(1+AL84)*'Cost+LOA'!S84</f>
        <v>385602.17461767385</v>
      </c>
      <c r="T84" s="341">
        <f>(1+AM84)*'Cost+LOA'!T84</f>
        <v>390898.67836900201</v>
      </c>
      <c r="U84" s="341">
        <f>(1+AN84)*'Cost+LOA'!U84</f>
        <v>395940.02164992929</v>
      </c>
      <c r="V84" s="341">
        <f>(1+AO84)*'Cost+LOA'!V84</f>
        <v>400334.40619514469</v>
      </c>
      <c r="W84" s="287">
        <f>(1+AP84)*'Cost+LOA'!W84</f>
        <v>0</v>
      </c>
      <c r="X84" s="321">
        <f>(1+AQ84)*'Cost+LOA'!X84</f>
        <v>0</v>
      </c>
      <c r="Y84" s="287">
        <f t="shared" si="6"/>
        <v>0</v>
      </c>
      <c r="Z84" s="287">
        <f t="shared" si="6"/>
        <v>0</v>
      </c>
      <c r="AA84" s="341">
        <f t="shared" si="6"/>
        <v>169241.03017141717</v>
      </c>
      <c r="AB84" s="341">
        <f t="shared" si="6"/>
        <v>385602.17461767385</v>
      </c>
      <c r="AC84" s="341">
        <f t="shared" si="6"/>
        <v>390898.67836900201</v>
      </c>
      <c r="AD84" s="341">
        <f t="shared" si="6"/>
        <v>395940.02164992929</v>
      </c>
      <c r="AE84" s="341">
        <f t="shared" si="6"/>
        <v>400334.40619514469</v>
      </c>
      <c r="AF84" s="287">
        <f t="shared" si="6"/>
        <v>0</v>
      </c>
      <c r="AG84" s="287">
        <f t="shared" si="4"/>
        <v>0</v>
      </c>
      <c r="AH84" s="322">
        <f>IF($H84,0,IFERROR(IF(VALUE(LEFT(D84,4))&gt;VALUE(LEFT(Parameters!$B$66,4))+1,O84-SUM(R84:X84),0),0))</f>
        <v>0</v>
      </c>
      <c r="AI84" s="326">
        <f>IF($E84=0,0,INDEX(Parameters!AB$43:AB$73,MATCH($E84,Parameters!$B$5:$B$35,0)))</f>
        <v>2.1222545931427073E-2</v>
      </c>
      <c r="AJ84" s="327">
        <f>IF($E84=0,0,INDEX(Parameters!AC$43:AC$73,MATCH($E84,Parameters!$B$5:$B$35,0)))</f>
        <v>2.9050106903240856E-2</v>
      </c>
      <c r="AK84" s="327">
        <f>IF($E84=0,0,INDEX(Parameters!AD$43:AD$73,MATCH($E84,Parameters!$B$5:$B$35,0)))</f>
        <v>3.212969048627367E-2</v>
      </c>
      <c r="AL84" s="327">
        <f>IF($E84=0,0,INDEX(Parameters!AE$43:AE$73,MATCH($E84,Parameters!$B$5:$B$35,0)))</f>
        <v>4.5166707534389061E-2</v>
      </c>
      <c r="AM84" s="327">
        <f>IF($E84=0,0,INDEX(Parameters!AF$43:AF$73,MATCH($E84,Parameters!$B$5:$B$35,0)))</f>
        <v>5.9522771248780533E-2</v>
      </c>
      <c r="AN84" s="327">
        <f>IF($E84=0,0,INDEX(Parameters!AG$43:AG$73,MATCH($E84,Parameters!$B$5:$B$35,0)))</f>
        <v>7.3187227793149623E-2</v>
      </c>
      <c r="AO84" s="327">
        <f>IF($E84=0,0,INDEX(Parameters!AH$43:AH$73,MATCH($E84,Parameters!$B$5:$B$35,0)))</f>
        <v>8.509811608447361E-2</v>
      </c>
      <c r="AP84" s="327">
        <f>IF($E84=0,0,INDEX(Parameters!AI$43:AI$73,MATCH($E84,Parameters!$B$5:$B$35,0)))</f>
        <v>8.509811608447361E-2</v>
      </c>
      <c r="AQ84" s="328">
        <f>IF($E84=0,0,INDEX(Parameters!AJ$43:AJ$73,MATCH($E84,Parameters!$B$5:$B$35,0)))</f>
        <v>8.509811608447361E-2</v>
      </c>
    </row>
    <row r="85" spans="1:43" ht="13.8" x14ac:dyDescent="0.3">
      <c r="A85" s="313" t="str">
        <f>'Base Costs'!A85</f>
        <v>ND1268</v>
      </c>
      <c r="B85" s="314" t="str">
        <f>'Base Costs'!B85</f>
        <v>Transmission line support assembly refurbishment program</v>
      </c>
      <c r="C85" s="314" t="str">
        <f>'Base Costs'!C85</f>
        <v>Asset Renewal</v>
      </c>
      <c r="D85" s="333" t="str">
        <f>'Base Costs'!D85</f>
        <v>2018/19</v>
      </c>
      <c r="E85" s="333">
        <f>'Base Costs'!E85</f>
        <v>6</v>
      </c>
      <c r="F85" s="315"/>
      <c r="G85" s="315"/>
      <c r="H85" s="316">
        <f>'Input Data Sheet'!J85</f>
        <v>1</v>
      </c>
      <c r="I85" s="316"/>
      <c r="J85" s="316"/>
      <c r="K85" s="316"/>
      <c r="L85" s="316"/>
      <c r="M85" s="316"/>
      <c r="N85" s="316"/>
      <c r="O85" s="287">
        <f t="shared" si="5"/>
        <v>2431151.2635732847</v>
      </c>
      <c r="P85" s="320">
        <f>(1+AI85)*'Cost+LOA'!P85</f>
        <v>0</v>
      </c>
      <c r="Q85" s="287">
        <f>(1+AJ85)*'Cost+LOA'!Q85</f>
        <v>0</v>
      </c>
      <c r="R85" s="341">
        <f>(1+AK85)*'Cost+LOA'!R85</f>
        <v>236192.1307801907</v>
      </c>
      <c r="S85" s="341">
        <f>(1+AL85)*'Cost+LOA'!S85</f>
        <v>538144.9118111385</v>
      </c>
      <c r="T85" s="341">
        <f>(1+AM85)*'Cost+LOA'!T85</f>
        <v>545536.6920753239</v>
      </c>
      <c r="U85" s="341">
        <f>(1+AN85)*'Cost+LOA'!U85</f>
        <v>552572.37136840413</v>
      </c>
      <c r="V85" s="341">
        <f>(1+AO85)*'Cost+LOA'!V85</f>
        <v>558705.15753822774</v>
      </c>
      <c r="W85" s="287">
        <f>(1+AP85)*'Cost+LOA'!W85</f>
        <v>0</v>
      </c>
      <c r="X85" s="321">
        <f>(1+AQ85)*'Cost+LOA'!X85</f>
        <v>0</v>
      </c>
      <c r="Y85" s="287">
        <f t="shared" si="6"/>
        <v>0</v>
      </c>
      <c r="Z85" s="287">
        <f t="shared" si="6"/>
        <v>0</v>
      </c>
      <c r="AA85" s="341">
        <f t="shared" si="6"/>
        <v>236192.1307801907</v>
      </c>
      <c r="AB85" s="341">
        <f t="shared" si="6"/>
        <v>538144.9118111385</v>
      </c>
      <c r="AC85" s="341">
        <f t="shared" si="6"/>
        <v>545536.6920753239</v>
      </c>
      <c r="AD85" s="341">
        <f t="shared" si="6"/>
        <v>552572.37136840413</v>
      </c>
      <c r="AE85" s="341">
        <f t="shared" si="6"/>
        <v>558705.15753822774</v>
      </c>
      <c r="AF85" s="287">
        <f t="shared" si="6"/>
        <v>0</v>
      </c>
      <c r="AG85" s="287">
        <f t="shared" si="4"/>
        <v>0</v>
      </c>
      <c r="AH85" s="322">
        <f>IF($H85,0,IFERROR(IF(VALUE(LEFT(D85,4))&gt;VALUE(LEFT(Parameters!$B$66,4))+1,O85-SUM(R85:X85),0),0))</f>
        <v>0</v>
      </c>
      <c r="AI85" s="326">
        <f>IF($E85=0,0,INDEX(Parameters!AB$43:AB$73,MATCH($E85,Parameters!$B$5:$B$35,0)))</f>
        <v>2.1222545931427073E-2</v>
      </c>
      <c r="AJ85" s="327">
        <f>IF($E85=0,0,INDEX(Parameters!AC$43:AC$73,MATCH($E85,Parameters!$B$5:$B$35,0)))</f>
        <v>2.9050106903240856E-2</v>
      </c>
      <c r="AK85" s="327">
        <f>IF($E85=0,0,INDEX(Parameters!AD$43:AD$73,MATCH($E85,Parameters!$B$5:$B$35,0)))</f>
        <v>3.212969048627367E-2</v>
      </c>
      <c r="AL85" s="327">
        <f>IF($E85=0,0,INDEX(Parameters!AE$43:AE$73,MATCH($E85,Parameters!$B$5:$B$35,0)))</f>
        <v>4.5166707534389061E-2</v>
      </c>
      <c r="AM85" s="327">
        <f>IF($E85=0,0,INDEX(Parameters!AF$43:AF$73,MATCH($E85,Parameters!$B$5:$B$35,0)))</f>
        <v>5.9522771248780533E-2</v>
      </c>
      <c r="AN85" s="327">
        <f>IF($E85=0,0,INDEX(Parameters!AG$43:AG$73,MATCH($E85,Parameters!$B$5:$B$35,0)))</f>
        <v>7.3187227793149623E-2</v>
      </c>
      <c r="AO85" s="327">
        <f>IF($E85=0,0,INDEX(Parameters!AH$43:AH$73,MATCH($E85,Parameters!$B$5:$B$35,0)))</f>
        <v>8.509811608447361E-2</v>
      </c>
      <c r="AP85" s="327">
        <f>IF($E85=0,0,INDEX(Parameters!AI$43:AI$73,MATCH($E85,Parameters!$B$5:$B$35,0)))</f>
        <v>8.509811608447361E-2</v>
      </c>
      <c r="AQ85" s="328">
        <f>IF($E85=0,0,INDEX(Parameters!AJ$43:AJ$73,MATCH($E85,Parameters!$B$5:$B$35,0)))</f>
        <v>8.509811608447361E-2</v>
      </c>
    </row>
    <row r="86" spans="1:43" ht="13.8" x14ac:dyDescent="0.3">
      <c r="A86" s="313" t="str">
        <f>'Base Costs'!A86</f>
        <v>ND0926</v>
      </c>
      <c r="B86" s="314" t="str">
        <f>'Base Costs'!B86</f>
        <v>Transmission line support assembly renewal program</v>
      </c>
      <c r="C86" s="314" t="str">
        <f>'Base Costs'!C86</f>
        <v>Asset Renewal</v>
      </c>
      <c r="D86" s="333" t="str">
        <f>'Base Costs'!D86</f>
        <v>2018/19</v>
      </c>
      <c r="E86" s="333">
        <f>'Base Costs'!E86</f>
        <v>6</v>
      </c>
      <c r="F86" s="315"/>
      <c r="G86" s="315"/>
      <c r="H86" s="316">
        <f>'Input Data Sheet'!J86</f>
        <v>1</v>
      </c>
      <c r="I86" s="316"/>
      <c r="J86" s="316"/>
      <c r="K86" s="316"/>
      <c r="L86" s="316"/>
      <c r="M86" s="316"/>
      <c r="N86" s="316"/>
      <c r="O86" s="287">
        <f t="shared" si="5"/>
        <v>2168554.1918976353</v>
      </c>
      <c r="P86" s="320">
        <f>(1+AI86)*'Cost+LOA'!P86</f>
        <v>0</v>
      </c>
      <c r="Q86" s="287">
        <f>(1+AJ86)*'Cost+LOA'!Q86</f>
        <v>0</v>
      </c>
      <c r="R86" s="341">
        <f>(1+AK86)*'Cost+LOA'!R86</f>
        <v>210680.20035240284</v>
      </c>
      <c r="S86" s="341">
        <f>(1+AL86)*'Cost+LOA'!S86</f>
        <v>480018.01526787214</v>
      </c>
      <c r="T86" s="341">
        <f>(1+AM86)*'Cost+LOA'!T86</f>
        <v>486611.38373394002</v>
      </c>
      <c r="U86" s="341">
        <f>(1+AN86)*'Cost+LOA'!U86</f>
        <v>492887.11492864642</v>
      </c>
      <c r="V86" s="341">
        <f>(1+AO86)*'Cost+LOA'!V86</f>
        <v>498357.47761477384</v>
      </c>
      <c r="W86" s="287">
        <f>(1+AP86)*'Cost+LOA'!W86</f>
        <v>0</v>
      </c>
      <c r="X86" s="321">
        <f>(1+AQ86)*'Cost+LOA'!X86</f>
        <v>0</v>
      </c>
      <c r="Y86" s="287">
        <f t="shared" si="6"/>
        <v>0</v>
      </c>
      <c r="Z86" s="287">
        <f t="shared" si="6"/>
        <v>0</v>
      </c>
      <c r="AA86" s="341">
        <f t="shared" si="6"/>
        <v>210680.20035240284</v>
      </c>
      <c r="AB86" s="341">
        <f t="shared" si="6"/>
        <v>480018.01526787214</v>
      </c>
      <c r="AC86" s="341">
        <f t="shared" si="6"/>
        <v>486611.38373394002</v>
      </c>
      <c r="AD86" s="341">
        <f t="shared" si="6"/>
        <v>492887.11492864642</v>
      </c>
      <c r="AE86" s="341">
        <f t="shared" si="6"/>
        <v>498357.47761477384</v>
      </c>
      <c r="AF86" s="287">
        <f t="shared" si="6"/>
        <v>0</v>
      </c>
      <c r="AG86" s="287">
        <f t="shared" si="4"/>
        <v>0</v>
      </c>
      <c r="AH86" s="322">
        <f>IF($H86,0,IFERROR(IF(VALUE(LEFT(D86,4))&gt;VALUE(LEFT(Parameters!$B$66,4))+1,O86-SUM(R86:X86),0),0))</f>
        <v>0</v>
      </c>
      <c r="AI86" s="326">
        <f>IF($E86=0,0,INDEX(Parameters!AB$43:AB$73,MATCH($E86,Parameters!$B$5:$B$35,0)))</f>
        <v>2.1222545931427073E-2</v>
      </c>
      <c r="AJ86" s="327">
        <f>IF($E86=0,0,INDEX(Parameters!AC$43:AC$73,MATCH($E86,Parameters!$B$5:$B$35,0)))</f>
        <v>2.9050106903240856E-2</v>
      </c>
      <c r="AK86" s="327">
        <f>IF($E86=0,0,INDEX(Parameters!AD$43:AD$73,MATCH($E86,Parameters!$B$5:$B$35,0)))</f>
        <v>3.212969048627367E-2</v>
      </c>
      <c r="AL86" s="327">
        <f>IF($E86=0,0,INDEX(Parameters!AE$43:AE$73,MATCH($E86,Parameters!$B$5:$B$35,0)))</f>
        <v>4.5166707534389061E-2</v>
      </c>
      <c r="AM86" s="327">
        <f>IF($E86=0,0,INDEX(Parameters!AF$43:AF$73,MATCH($E86,Parameters!$B$5:$B$35,0)))</f>
        <v>5.9522771248780533E-2</v>
      </c>
      <c r="AN86" s="327">
        <f>IF($E86=0,0,INDEX(Parameters!AG$43:AG$73,MATCH($E86,Parameters!$B$5:$B$35,0)))</f>
        <v>7.3187227793149623E-2</v>
      </c>
      <c r="AO86" s="327">
        <f>IF($E86=0,0,INDEX(Parameters!AH$43:AH$73,MATCH($E86,Parameters!$B$5:$B$35,0)))</f>
        <v>8.509811608447361E-2</v>
      </c>
      <c r="AP86" s="327">
        <f>IF($E86=0,0,INDEX(Parameters!AI$43:AI$73,MATCH($E86,Parameters!$B$5:$B$35,0)))</f>
        <v>8.509811608447361E-2</v>
      </c>
      <c r="AQ86" s="328">
        <f>IF($E86=0,0,INDEX(Parameters!AJ$43:AJ$73,MATCH($E86,Parameters!$B$5:$B$35,0)))</f>
        <v>8.509811608447361E-2</v>
      </c>
    </row>
    <row r="87" spans="1:43" ht="13.8" x14ac:dyDescent="0.3">
      <c r="A87" s="313" t="str">
        <f>'Base Costs'!A87</f>
        <v>ND0966</v>
      </c>
      <c r="B87" s="314" t="str">
        <f>'Base Costs'!B87</f>
        <v>Transmission line wood pole renewal program</v>
      </c>
      <c r="C87" s="314" t="str">
        <f>'Base Costs'!C87</f>
        <v>Asset Renewal</v>
      </c>
      <c r="D87" s="333" t="str">
        <f>'Base Costs'!D87</f>
        <v>2017/18</v>
      </c>
      <c r="E87" s="333">
        <f>'Base Costs'!E87</f>
        <v>6</v>
      </c>
      <c r="F87" s="315"/>
      <c r="G87" s="315"/>
      <c r="H87" s="316">
        <f>'Input Data Sheet'!J87</f>
        <v>1</v>
      </c>
      <c r="I87" s="316"/>
      <c r="J87" s="316"/>
      <c r="K87" s="316"/>
      <c r="L87" s="316"/>
      <c r="M87" s="316"/>
      <c r="N87" s="316"/>
      <c r="O87" s="287">
        <f t="shared" si="5"/>
        <v>2381990.2204481005</v>
      </c>
      <c r="P87" s="320">
        <f>(1+AI87)*'Cost+LOA'!P87</f>
        <v>0</v>
      </c>
      <c r="Q87" s="287">
        <f>(1+AJ87)*'Cost+LOA'!Q87</f>
        <v>0</v>
      </c>
      <c r="R87" s="341">
        <f>(1+AK87)*'Cost+LOA'!R87</f>
        <v>0</v>
      </c>
      <c r="S87" s="341">
        <f>(1+AL87)*'Cost+LOA'!S87</f>
        <v>0</v>
      </c>
      <c r="T87" s="341">
        <f>(1+AM87)*'Cost+LOA'!T87</f>
        <v>1137033.4013401729</v>
      </c>
      <c r="U87" s="341">
        <f>(1+AN87)*'Cost+LOA'!U87</f>
        <v>1244956.8191079276</v>
      </c>
      <c r="V87" s="341">
        <f>(1+AO87)*'Cost+LOA'!V87</f>
        <v>0</v>
      </c>
      <c r="W87" s="287">
        <f>(1+AP87)*'Cost+LOA'!W87</f>
        <v>0</v>
      </c>
      <c r="X87" s="321">
        <f>(1+AQ87)*'Cost+LOA'!X87</f>
        <v>0</v>
      </c>
      <c r="Y87" s="287">
        <f t="shared" si="6"/>
        <v>0</v>
      </c>
      <c r="Z87" s="287">
        <f t="shared" si="6"/>
        <v>0</v>
      </c>
      <c r="AA87" s="341">
        <f t="shared" si="6"/>
        <v>0</v>
      </c>
      <c r="AB87" s="341">
        <f t="shared" si="6"/>
        <v>0</v>
      </c>
      <c r="AC87" s="341">
        <f t="shared" si="6"/>
        <v>1137033.4013401729</v>
      </c>
      <c r="AD87" s="341">
        <f t="shared" si="6"/>
        <v>1244956.8191079276</v>
      </c>
      <c r="AE87" s="341">
        <f t="shared" si="6"/>
        <v>0</v>
      </c>
      <c r="AF87" s="287">
        <f t="shared" si="6"/>
        <v>0</v>
      </c>
      <c r="AG87" s="287">
        <f t="shared" si="4"/>
        <v>0</v>
      </c>
      <c r="AH87" s="322">
        <f>IF($H87,0,IFERROR(IF(VALUE(LEFT(D87,4))&gt;VALUE(LEFT(Parameters!$B$66,4))+1,O87-SUM(R87:X87),0),0))</f>
        <v>0</v>
      </c>
      <c r="AI87" s="326">
        <f>IF($E87=0,0,INDEX(Parameters!AB$43:AB$73,MATCH($E87,Parameters!$B$5:$B$35,0)))</f>
        <v>2.1222545931427073E-2</v>
      </c>
      <c r="AJ87" s="327">
        <f>IF($E87=0,0,INDEX(Parameters!AC$43:AC$73,MATCH($E87,Parameters!$B$5:$B$35,0)))</f>
        <v>2.9050106903240856E-2</v>
      </c>
      <c r="AK87" s="327">
        <f>IF($E87=0,0,INDEX(Parameters!AD$43:AD$73,MATCH($E87,Parameters!$B$5:$B$35,0)))</f>
        <v>3.212969048627367E-2</v>
      </c>
      <c r="AL87" s="327">
        <f>IF($E87=0,0,INDEX(Parameters!AE$43:AE$73,MATCH($E87,Parameters!$B$5:$B$35,0)))</f>
        <v>4.5166707534389061E-2</v>
      </c>
      <c r="AM87" s="327">
        <f>IF($E87=0,0,INDEX(Parameters!AF$43:AF$73,MATCH($E87,Parameters!$B$5:$B$35,0)))</f>
        <v>5.9522771248780533E-2</v>
      </c>
      <c r="AN87" s="327">
        <f>IF($E87=0,0,INDEX(Parameters!AG$43:AG$73,MATCH($E87,Parameters!$B$5:$B$35,0)))</f>
        <v>7.3187227793149623E-2</v>
      </c>
      <c r="AO87" s="327">
        <f>IF($E87=0,0,INDEX(Parameters!AH$43:AH$73,MATCH($E87,Parameters!$B$5:$B$35,0)))</f>
        <v>8.509811608447361E-2</v>
      </c>
      <c r="AP87" s="327">
        <f>IF($E87=0,0,INDEX(Parameters!AI$43:AI$73,MATCH($E87,Parameters!$B$5:$B$35,0)))</f>
        <v>8.509811608447361E-2</v>
      </c>
      <c r="AQ87" s="328">
        <f>IF($E87=0,0,INDEX(Parameters!AJ$43:AJ$73,MATCH($E87,Parameters!$B$5:$B$35,0)))</f>
        <v>8.509811608447361E-2</v>
      </c>
    </row>
    <row r="88" spans="1:43" ht="13.8" x14ac:dyDescent="0.3">
      <c r="A88" s="313" t="str">
        <f>'Base Costs'!A88</f>
        <v>ND1311</v>
      </c>
      <c r="B88" s="314" t="str">
        <f>'Base Costs'!B88</f>
        <v>Trevallyn Office Building compliance program</v>
      </c>
      <c r="C88" s="314" t="str">
        <f>'Base Costs'!C88</f>
        <v>Business support</v>
      </c>
      <c r="D88" s="333" t="str">
        <f>'Base Costs'!D88</f>
        <v>2016/17</v>
      </c>
      <c r="E88" s="333">
        <f>'Base Costs'!E88</f>
        <v>18</v>
      </c>
      <c r="F88" s="315"/>
      <c r="G88" s="315"/>
      <c r="H88" s="316">
        <f>'Input Data Sheet'!J88</f>
        <v>0</v>
      </c>
      <c r="I88" s="316"/>
      <c r="J88" s="316"/>
      <c r="K88" s="316"/>
      <c r="L88" s="316"/>
      <c r="M88" s="316"/>
      <c r="N88" s="316"/>
      <c r="O88" s="287">
        <f t="shared" si="5"/>
        <v>440000</v>
      </c>
      <c r="P88" s="320">
        <f>(1+AI88)*'Cost+LOA'!P88</f>
        <v>0</v>
      </c>
      <c r="Q88" s="287">
        <f>(1+AJ88)*'Cost+LOA'!Q88</f>
        <v>0</v>
      </c>
      <c r="R88" s="341">
        <f>(1+AK88)*'Cost+LOA'!R88</f>
        <v>0</v>
      </c>
      <c r="S88" s="341">
        <f>(1+AL88)*'Cost+LOA'!S88</f>
        <v>132000</v>
      </c>
      <c r="T88" s="341">
        <f>(1+AM88)*'Cost+LOA'!T88</f>
        <v>308000</v>
      </c>
      <c r="U88" s="341">
        <f>(1+AN88)*'Cost+LOA'!U88</f>
        <v>0</v>
      </c>
      <c r="V88" s="341">
        <f>(1+AO88)*'Cost+LOA'!V88</f>
        <v>0</v>
      </c>
      <c r="W88" s="287">
        <f>(1+AP88)*'Cost+LOA'!W88</f>
        <v>0</v>
      </c>
      <c r="X88" s="321">
        <f>(1+AQ88)*'Cost+LOA'!X88</f>
        <v>0</v>
      </c>
      <c r="Y88" s="287">
        <f t="shared" si="6"/>
        <v>0</v>
      </c>
      <c r="Z88" s="287">
        <f t="shared" si="6"/>
        <v>0</v>
      </c>
      <c r="AA88" s="341">
        <f t="shared" si="6"/>
        <v>0</v>
      </c>
      <c r="AB88" s="341">
        <f t="shared" si="6"/>
        <v>0</v>
      </c>
      <c r="AC88" s="341">
        <f t="shared" si="6"/>
        <v>440000</v>
      </c>
      <c r="AD88" s="341">
        <f t="shared" si="6"/>
        <v>0</v>
      </c>
      <c r="AE88" s="341">
        <f t="shared" si="6"/>
        <v>0</v>
      </c>
      <c r="AF88" s="287">
        <f t="shared" si="6"/>
        <v>0</v>
      </c>
      <c r="AG88" s="287">
        <f t="shared" si="4"/>
        <v>0</v>
      </c>
      <c r="AH88" s="322">
        <f>IF($H88,0,IFERROR(IF(VALUE(LEFT(D88,4))&gt;VALUE(LEFT(Parameters!$B$66,4))+1,O88-SUM(R88:X88),0),0))</f>
        <v>0</v>
      </c>
      <c r="AI88" s="326">
        <f>IF($E88=0,0,INDEX(Parameters!AB$43:AB$73,MATCH($E88,Parameters!$B$5:$B$35,0)))</f>
        <v>0</v>
      </c>
      <c r="AJ88" s="327">
        <f>IF($E88=0,0,INDEX(Parameters!AC$43:AC$73,MATCH($E88,Parameters!$B$5:$B$35,0)))</f>
        <v>0</v>
      </c>
      <c r="AK88" s="327">
        <f>IF($E88=0,0,INDEX(Parameters!AD$43:AD$73,MATCH($E88,Parameters!$B$5:$B$35,0)))</f>
        <v>0</v>
      </c>
      <c r="AL88" s="327">
        <f>IF($E88=0,0,INDEX(Parameters!AE$43:AE$73,MATCH($E88,Parameters!$B$5:$B$35,0)))</f>
        <v>0</v>
      </c>
      <c r="AM88" s="327">
        <f>IF($E88=0,0,INDEX(Parameters!AF$43:AF$73,MATCH($E88,Parameters!$B$5:$B$35,0)))</f>
        <v>0</v>
      </c>
      <c r="AN88" s="327">
        <f>IF($E88=0,0,INDEX(Parameters!AG$43:AG$73,MATCH($E88,Parameters!$B$5:$B$35,0)))</f>
        <v>0</v>
      </c>
      <c r="AO88" s="327">
        <f>IF($E88=0,0,INDEX(Parameters!AH$43:AH$73,MATCH($E88,Parameters!$B$5:$B$35,0)))</f>
        <v>0</v>
      </c>
      <c r="AP88" s="327">
        <f>IF($E88=0,0,INDEX(Parameters!AI$43:AI$73,MATCH($E88,Parameters!$B$5:$B$35,0)))</f>
        <v>0</v>
      </c>
      <c r="AQ88" s="328">
        <f>IF($E88=0,0,INDEX(Parameters!AJ$43:AJ$73,MATCH($E88,Parameters!$B$5:$B$35,0)))</f>
        <v>0</v>
      </c>
    </row>
    <row r="89" spans="1:43" ht="13.8" x14ac:dyDescent="0.3">
      <c r="A89" s="313" t="str">
        <f>'Base Costs'!A89</f>
        <v>ND0709</v>
      </c>
      <c r="B89" s="314" t="str">
        <f>'Base Costs'!B89</f>
        <v>Tungatinah Substation 110 kV redevelopment</v>
      </c>
      <c r="C89" s="314" t="str">
        <f>'Base Costs'!C89</f>
        <v>Asset Renewal</v>
      </c>
      <c r="D89" s="333" t="str">
        <f>'Base Costs'!D89</f>
        <v>2014/15</v>
      </c>
      <c r="E89" s="333">
        <f>'Base Costs'!E89</f>
        <v>0</v>
      </c>
      <c r="F89" s="315"/>
      <c r="G89" s="315"/>
      <c r="H89" s="316">
        <f>'Input Data Sheet'!J89</f>
        <v>0</v>
      </c>
      <c r="I89" s="316"/>
      <c r="J89" s="316"/>
      <c r="K89" s="316"/>
      <c r="L89" s="316"/>
      <c r="M89" s="316"/>
      <c r="N89" s="316"/>
      <c r="O89" s="287">
        <f t="shared" si="5"/>
        <v>3900482.3536110851</v>
      </c>
      <c r="P89" s="320">
        <f>(1+AI89)*'Cost+LOA'!P89</f>
        <v>0</v>
      </c>
      <c r="Q89" s="287">
        <f>(1+AJ89)*'Cost+LOA'!Q89</f>
        <v>0</v>
      </c>
      <c r="R89" s="341">
        <f>(1+AK89)*'Cost+LOA'!R89</f>
        <v>3900482.3536110851</v>
      </c>
      <c r="S89" s="341">
        <f>(1+AL89)*'Cost+LOA'!S89</f>
        <v>0</v>
      </c>
      <c r="T89" s="341">
        <f>(1+AM89)*'Cost+LOA'!T89</f>
        <v>0</v>
      </c>
      <c r="U89" s="341">
        <f>(1+AN89)*'Cost+LOA'!U89</f>
        <v>0</v>
      </c>
      <c r="V89" s="341">
        <f>(1+AO89)*'Cost+LOA'!V89</f>
        <v>0</v>
      </c>
      <c r="W89" s="287">
        <f>(1+AP89)*'Cost+LOA'!W89</f>
        <v>0</v>
      </c>
      <c r="X89" s="321">
        <f>(1+AQ89)*'Cost+LOA'!X89</f>
        <v>0</v>
      </c>
      <c r="Y89" s="287">
        <f t="shared" si="6"/>
        <v>0</v>
      </c>
      <c r="Z89" s="287">
        <f t="shared" si="6"/>
        <v>0</v>
      </c>
      <c r="AA89" s="341">
        <f t="shared" si="6"/>
        <v>3900482.3536110851</v>
      </c>
      <c r="AB89" s="341">
        <f t="shared" si="6"/>
        <v>0</v>
      </c>
      <c r="AC89" s="341">
        <f t="shared" si="6"/>
        <v>0</v>
      </c>
      <c r="AD89" s="341">
        <f t="shared" si="6"/>
        <v>0</v>
      </c>
      <c r="AE89" s="341">
        <f t="shared" si="6"/>
        <v>0</v>
      </c>
      <c r="AF89" s="287">
        <f t="shared" si="6"/>
        <v>0</v>
      </c>
      <c r="AG89" s="287">
        <f t="shared" si="4"/>
        <v>0</v>
      </c>
      <c r="AH89" s="322">
        <f>IF($H89,0,IFERROR(IF(VALUE(LEFT(D89,4))&gt;VALUE(LEFT(Parameters!$B$66,4))+1,O89-SUM(R89:X89),0),0))</f>
        <v>0</v>
      </c>
      <c r="AI89" s="326">
        <f>IF($E89=0,0,INDEX(Parameters!AB$43:AB$73,MATCH($E89,Parameters!$B$5:$B$35,0)))</f>
        <v>0</v>
      </c>
      <c r="AJ89" s="327">
        <f>IF($E89=0,0,INDEX(Parameters!AC$43:AC$73,MATCH($E89,Parameters!$B$5:$B$35,0)))</f>
        <v>0</v>
      </c>
      <c r="AK89" s="327">
        <f>IF($E89=0,0,INDEX(Parameters!AD$43:AD$73,MATCH($E89,Parameters!$B$5:$B$35,0)))</f>
        <v>0</v>
      </c>
      <c r="AL89" s="327">
        <f>IF($E89=0,0,INDEX(Parameters!AE$43:AE$73,MATCH($E89,Parameters!$B$5:$B$35,0)))</f>
        <v>0</v>
      </c>
      <c r="AM89" s="327">
        <f>IF($E89=0,0,INDEX(Parameters!AF$43:AF$73,MATCH($E89,Parameters!$B$5:$B$35,0)))</f>
        <v>0</v>
      </c>
      <c r="AN89" s="327">
        <f>IF($E89=0,0,INDEX(Parameters!AG$43:AG$73,MATCH($E89,Parameters!$B$5:$B$35,0)))</f>
        <v>0</v>
      </c>
      <c r="AO89" s="327">
        <f>IF($E89=0,0,INDEX(Parameters!AH$43:AH$73,MATCH($E89,Parameters!$B$5:$B$35,0)))</f>
        <v>0</v>
      </c>
      <c r="AP89" s="327">
        <f>IF($E89=0,0,INDEX(Parameters!AI$43:AI$73,MATCH($E89,Parameters!$B$5:$B$35,0)))</f>
        <v>0</v>
      </c>
      <c r="AQ89" s="328">
        <f>IF($E89=0,0,INDEX(Parameters!AJ$43:AJ$73,MATCH($E89,Parameters!$B$5:$B$35,0)))</f>
        <v>0</v>
      </c>
    </row>
    <row r="90" spans="1:43" ht="13.8" x14ac:dyDescent="0.3">
      <c r="A90" s="313" t="str">
        <f>'Base Costs'!A90</f>
        <v>ND1114</v>
      </c>
      <c r="B90" s="314" t="str">
        <f>'Base Costs'!B90</f>
        <v>Waddamana - Palmerston 220 kV Security Augmentation</v>
      </c>
      <c r="C90" s="314" t="str">
        <f>'Base Costs'!C90</f>
        <v>Augmentation</v>
      </c>
      <c r="D90" s="333" t="str">
        <f>'Base Costs'!D90</f>
        <v>2018/19</v>
      </c>
      <c r="E90" s="333">
        <f>'Base Costs'!E90</f>
        <v>4</v>
      </c>
      <c r="F90" s="315"/>
      <c r="G90" s="315"/>
      <c r="H90" s="316">
        <f>'Input Data Sheet'!J90</f>
        <v>0</v>
      </c>
      <c r="I90" s="316"/>
      <c r="J90" s="316"/>
      <c r="K90" s="316"/>
      <c r="L90" s="316"/>
      <c r="M90" s="316"/>
      <c r="N90" s="316"/>
      <c r="O90" s="287">
        <f t="shared" si="5"/>
        <v>20058516.3152567</v>
      </c>
      <c r="P90" s="320">
        <f>(1+AI90)*'Cost+LOA'!P90</f>
        <v>0</v>
      </c>
      <c r="Q90" s="287">
        <f>(1+AJ90)*'Cost+LOA'!Q90</f>
        <v>0</v>
      </c>
      <c r="R90" s="341">
        <f>(1+AK90)*'Cost+LOA'!R90</f>
        <v>0</v>
      </c>
      <c r="S90" s="341">
        <f>(1+AL90)*'Cost+LOA'!S90</f>
        <v>0</v>
      </c>
      <c r="T90" s="341">
        <f>(1+AM90)*'Cost+LOA'!T90</f>
        <v>599995.87689738197</v>
      </c>
      <c r="U90" s="341">
        <f>(1+AN90)*'Cost+LOA'!U90</f>
        <v>8728457.122337414</v>
      </c>
      <c r="V90" s="341">
        <f>(1+AO90)*'Cost+LOA'!V90</f>
        <v>10730063.316021904</v>
      </c>
      <c r="W90" s="287">
        <f>(1+AP90)*'Cost+LOA'!W90</f>
        <v>0</v>
      </c>
      <c r="X90" s="321">
        <f>(1+AQ90)*'Cost+LOA'!X90</f>
        <v>0</v>
      </c>
      <c r="Y90" s="287">
        <f t="shared" si="6"/>
        <v>0</v>
      </c>
      <c r="Z90" s="287">
        <f t="shared" si="6"/>
        <v>0</v>
      </c>
      <c r="AA90" s="341">
        <f t="shared" si="6"/>
        <v>0</v>
      </c>
      <c r="AB90" s="341">
        <f t="shared" si="6"/>
        <v>0</v>
      </c>
      <c r="AC90" s="341">
        <f t="shared" si="6"/>
        <v>0</v>
      </c>
      <c r="AD90" s="341">
        <f t="shared" si="6"/>
        <v>0</v>
      </c>
      <c r="AE90" s="341">
        <f t="shared" si="6"/>
        <v>20058516.3152567</v>
      </c>
      <c r="AF90" s="287">
        <f t="shared" si="6"/>
        <v>0</v>
      </c>
      <c r="AG90" s="287">
        <f t="shared" si="4"/>
        <v>0</v>
      </c>
      <c r="AH90" s="322">
        <f>IF($H90,0,IFERROR(IF(VALUE(LEFT(D90,4))&gt;VALUE(LEFT(Parameters!$B$66,4))+1,O90-SUM(R90:X90),0),0))</f>
        <v>0</v>
      </c>
      <c r="AI90" s="326">
        <f>IF($E90=0,0,INDEX(Parameters!AB$43:AB$73,MATCH($E90,Parameters!$B$5:$B$35,0)))</f>
        <v>1.8077639763225375E-2</v>
      </c>
      <c r="AJ90" s="327">
        <f>IF($E90=0,0,INDEX(Parameters!AC$43:AC$73,MATCH($E90,Parameters!$B$5:$B$35,0)))</f>
        <v>2.3867266774436523E-2</v>
      </c>
      <c r="AK90" s="327">
        <f>IF($E90=0,0,INDEX(Parameters!AD$43:AD$73,MATCH($E90,Parameters!$B$5:$B$35,0)))</f>
        <v>2.9371600557422418E-2</v>
      </c>
      <c r="AL90" s="327">
        <f>IF($E90=0,0,INDEX(Parameters!AE$43:AE$73,MATCH($E90,Parameters!$B$5:$B$35,0)))</f>
        <v>4.4800034565137564E-2</v>
      </c>
      <c r="AM90" s="327">
        <f>IF($E90=0,0,INDEX(Parameters!AF$43:AF$73,MATCH($E90,Parameters!$B$5:$B$35,0)))</f>
        <v>5.8541460904174746E-2</v>
      </c>
      <c r="AN90" s="327">
        <f>IF($E90=0,0,INDEX(Parameters!AG$43:AG$73,MATCH($E90,Parameters!$B$5:$B$35,0)))</f>
        <v>7.1182342318864431E-2</v>
      </c>
      <c r="AO90" s="327">
        <f>IF($E90=0,0,INDEX(Parameters!AH$43:AH$73,MATCH($E90,Parameters!$B$5:$B$35,0)))</f>
        <v>8.1460508810314122E-2</v>
      </c>
      <c r="AP90" s="327">
        <f>IF($E90=0,0,INDEX(Parameters!AI$43:AI$73,MATCH($E90,Parameters!$B$5:$B$35,0)))</f>
        <v>8.1460508810314122E-2</v>
      </c>
      <c r="AQ90" s="328">
        <f>IF($E90=0,0,INDEX(Parameters!AJ$43:AJ$73,MATCH($E90,Parameters!$B$5:$B$35,0)))</f>
        <v>8.1460508810314122E-2</v>
      </c>
    </row>
    <row r="91" spans="1:43" ht="13.8" x14ac:dyDescent="0.3">
      <c r="A91" s="313" t="str">
        <f>'Base Costs'!A91</f>
        <v>ND0730</v>
      </c>
      <c r="B91" s="314" t="str">
        <f>'Base Costs'!B91</f>
        <v>Wesley Vale 11 kV to 22 kV conversion</v>
      </c>
      <c r="C91" s="314" t="str">
        <f>'Base Costs'!C91</f>
        <v>Connection</v>
      </c>
      <c r="D91" s="333" t="str">
        <f>'Base Costs'!D91</f>
        <v>2014/15</v>
      </c>
      <c r="E91" s="333">
        <f>'Base Costs'!E91</f>
        <v>9</v>
      </c>
      <c r="F91" s="315"/>
      <c r="G91" s="315"/>
      <c r="H91" s="316">
        <f>'Input Data Sheet'!J91</f>
        <v>0</v>
      </c>
      <c r="I91" s="316"/>
      <c r="J91" s="316"/>
      <c r="K91" s="316"/>
      <c r="L91" s="316"/>
      <c r="M91" s="316"/>
      <c r="N91" s="316"/>
      <c r="O91" s="287">
        <f t="shared" si="5"/>
        <v>1064791.1188898594</v>
      </c>
      <c r="P91" s="320">
        <f>(1+AI91)*'Cost+LOA'!P91</f>
        <v>0</v>
      </c>
      <c r="Q91" s="287">
        <f>(1+AJ91)*'Cost+LOA'!Q91</f>
        <v>0</v>
      </c>
      <c r="R91" s="341">
        <f>(1+AK91)*'Cost+LOA'!R91</f>
        <v>1064791.1188898594</v>
      </c>
      <c r="S91" s="341">
        <f>(1+AL91)*'Cost+LOA'!S91</f>
        <v>0</v>
      </c>
      <c r="T91" s="341">
        <f>(1+AM91)*'Cost+LOA'!T91</f>
        <v>0</v>
      </c>
      <c r="U91" s="341">
        <f>(1+AN91)*'Cost+LOA'!U91</f>
        <v>0</v>
      </c>
      <c r="V91" s="341">
        <f>(1+AO91)*'Cost+LOA'!V91</f>
        <v>0</v>
      </c>
      <c r="W91" s="287">
        <f>(1+AP91)*'Cost+LOA'!W91</f>
        <v>0</v>
      </c>
      <c r="X91" s="321">
        <f>(1+AQ91)*'Cost+LOA'!X91</f>
        <v>0</v>
      </c>
      <c r="Y91" s="287">
        <f t="shared" si="6"/>
        <v>0</v>
      </c>
      <c r="Z91" s="287">
        <f t="shared" si="6"/>
        <v>0</v>
      </c>
      <c r="AA91" s="341">
        <f t="shared" si="6"/>
        <v>1064791.1188898594</v>
      </c>
      <c r="AB91" s="341">
        <f t="shared" si="6"/>
        <v>0</v>
      </c>
      <c r="AC91" s="341">
        <f t="shared" si="6"/>
        <v>0</v>
      </c>
      <c r="AD91" s="341">
        <f t="shared" si="6"/>
        <v>0</v>
      </c>
      <c r="AE91" s="341">
        <f t="shared" si="6"/>
        <v>0</v>
      </c>
      <c r="AF91" s="287">
        <f t="shared" si="6"/>
        <v>0</v>
      </c>
      <c r="AG91" s="287">
        <f t="shared" si="4"/>
        <v>0</v>
      </c>
      <c r="AH91" s="322">
        <f>IF($H91,0,IFERROR(IF(VALUE(LEFT(D91,4))&gt;VALUE(LEFT(Parameters!$B$66,4))+1,O91-SUM(R91:X91),0),0))</f>
        <v>0</v>
      </c>
      <c r="AI91" s="326">
        <f>IF($E91=0,0,INDEX(Parameters!AB$43:AB$73,MATCH($E91,Parameters!$B$5:$B$35,0)))</f>
        <v>1.6011916566173175E-2</v>
      </c>
      <c r="AJ91" s="327">
        <f>IF($E91=0,0,INDEX(Parameters!AC$43:AC$73,MATCH($E91,Parameters!$B$5:$B$35,0)))</f>
        <v>2.220334349611542E-2</v>
      </c>
      <c r="AK91" s="327">
        <f>IF($E91=0,0,INDEX(Parameters!AD$43:AD$73,MATCH($E91,Parameters!$B$5:$B$35,0)))</f>
        <v>2.1993304367171077E-2</v>
      </c>
      <c r="AL91" s="327">
        <f>IF($E91=0,0,INDEX(Parameters!AE$43:AE$73,MATCH($E91,Parameters!$B$5:$B$35,0)))</f>
        <v>3.2181884218510155E-2</v>
      </c>
      <c r="AM91" s="327">
        <f>IF($E91=0,0,INDEX(Parameters!AF$43:AF$73,MATCH($E91,Parameters!$B$5:$B$35,0)))</f>
        <v>4.5389124224014796E-2</v>
      </c>
      <c r="AN91" s="327">
        <f>IF($E91=0,0,INDEX(Parameters!AG$43:AG$73,MATCH($E91,Parameters!$B$5:$B$35,0)))</f>
        <v>5.8163726771146271E-2</v>
      </c>
      <c r="AO91" s="327">
        <f>IF($E91=0,0,INDEX(Parameters!AH$43:AH$73,MATCH($E91,Parameters!$B$5:$B$35,0)))</f>
        <v>6.9786661473551642E-2</v>
      </c>
      <c r="AP91" s="327">
        <f>IF($E91=0,0,INDEX(Parameters!AI$43:AI$73,MATCH($E91,Parameters!$B$5:$B$35,0)))</f>
        <v>6.9786661473551642E-2</v>
      </c>
      <c r="AQ91" s="328">
        <f>IF($E91=0,0,INDEX(Parameters!AJ$43:AJ$73,MATCH($E91,Parameters!$B$5:$B$35,0)))</f>
        <v>6.9786661473551642E-2</v>
      </c>
    </row>
    <row r="92" spans="1:43" ht="13.8" x14ac:dyDescent="0.3">
      <c r="A92" s="313" t="str">
        <f>'Base Costs'!A92</f>
        <v>ND1001</v>
      </c>
      <c r="B92" s="314" t="str">
        <f>'Base Costs'!B92</f>
        <v>Strategic easement acquisition</v>
      </c>
      <c r="C92" s="314" t="str">
        <f>'Base Costs'!C92</f>
        <v>Land and Easements</v>
      </c>
      <c r="D92" s="333" t="str">
        <f>'Base Costs'!D92</f>
        <v>2013/14</v>
      </c>
      <c r="E92" s="333">
        <f>'Base Costs'!E92</f>
        <v>0</v>
      </c>
      <c r="F92" s="315"/>
      <c r="G92" s="315"/>
      <c r="H92" s="316">
        <f>'Input Data Sheet'!J92</f>
        <v>0</v>
      </c>
      <c r="I92" s="316"/>
      <c r="J92" s="316"/>
      <c r="K92" s="316"/>
      <c r="L92" s="316"/>
      <c r="M92" s="316"/>
      <c r="N92" s="316"/>
      <c r="O92" s="287">
        <f t="shared" si="5"/>
        <v>482246.13123609993</v>
      </c>
      <c r="P92" s="320">
        <f>(1+AI92)*'Cost+LOA'!P92</f>
        <v>0</v>
      </c>
      <c r="Q92" s="287">
        <f>(1+AJ92)*'Cost+LOA'!Q92</f>
        <v>482246.13123609993</v>
      </c>
      <c r="R92" s="341">
        <f>(1+AK92)*'Cost+LOA'!R92</f>
        <v>0</v>
      </c>
      <c r="S92" s="341">
        <f>(1+AL92)*'Cost+LOA'!S92</f>
        <v>0</v>
      </c>
      <c r="T92" s="341">
        <f>(1+AM92)*'Cost+LOA'!T92</f>
        <v>0</v>
      </c>
      <c r="U92" s="341">
        <f>(1+AN92)*'Cost+LOA'!U92</f>
        <v>0</v>
      </c>
      <c r="V92" s="341">
        <f>(1+AO92)*'Cost+LOA'!V92</f>
        <v>0</v>
      </c>
      <c r="W92" s="287">
        <f>(1+AP92)*'Cost+LOA'!W92</f>
        <v>0</v>
      </c>
      <c r="X92" s="321">
        <f>(1+AQ92)*'Cost+LOA'!X92</f>
        <v>0</v>
      </c>
      <c r="Y92" s="287">
        <f t="shared" si="6"/>
        <v>0</v>
      </c>
      <c r="Z92" s="287">
        <f t="shared" si="6"/>
        <v>482246.13123609993</v>
      </c>
      <c r="AA92" s="341">
        <f t="shared" si="6"/>
        <v>0</v>
      </c>
      <c r="AB92" s="341">
        <f t="shared" si="6"/>
        <v>0</v>
      </c>
      <c r="AC92" s="341">
        <f t="shared" si="6"/>
        <v>0</v>
      </c>
      <c r="AD92" s="341">
        <f t="shared" si="6"/>
        <v>0</v>
      </c>
      <c r="AE92" s="341">
        <f t="shared" si="6"/>
        <v>0</v>
      </c>
      <c r="AF92" s="287">
        <f t="shared" si="6"/>
        <v>0</v>
      </c>
      <c r="AG92" s="287">
        <f t="shared" si="4"/>
        <v>0</v>
      </c>
      <c r="AH92" s="322">
        <f>IF($H92,0,IFERROR(IF(VALUE(LEFT(D92,4))&gt;VALUE(LEFT(Parameters!$B$66,4))+1,O92-SUM(R92:X92),0),0))</f>
        <v>0</v>
      </c>
      <c r="AI92" s="326">
        <f>IF($E92=0,0,INDEX(Parameters!AB$43:AB$73,MATCH($E92,Parameters!$B$5:$B$35,0)))</f>
        <v>0</v>
      </c>
      <c r="AJ92" s="327">
        <f>IF($E92=0,0,INDEX(Parameters!AC$43:AC$73,MATCH($E92,Parameters!$B$5:$B$35,0)))</f>
        <v>0</v>
      </c>
      <c r="AK92" s="327">
        <f>IF($E92=0,0,INDEX(Parameters!AD$43:AD$73,MATCH($E92,Parameters!$B$5:$B$35,0)))</f>
        <v>0</v>
      </c>
      <c r="AL92" s="327">
        <f>IF($E92=0,0,INDEX(Parameters!AE$43:AE$73,MATCH($E92,Parameters!$B$5:$B$35,0)))</f>
        <v>0</v>
      </c>
      <c r="AM92" s="327">
        <f>IF($E92=0,0,INDEX(Parameters!AF$43:AF$73,MATCH($E92,Parameters!$B$5:$B$35,0)))</f>
        <v>0</v>
      </c>
      <c r="AN92" s="327">
        <f>IF($E92=0,0,INDEX(Parameters!AG$43:AG$73,MATCH($E92,Parameters!$B$5:$B$35,0)))</f>
        <v>0</v>
      </c>
      <c r="AO92" s="327">
        <f>IF($E92=0,0,INDEX(Parameters!AH$43:AH$73,MATCH($E92,Parameters!$B$5:$B$35,0)))</f>
        <v>0</v>
      </c>
      <c r="AP92" s="327">
        <f>IF($E92=0,0,INDEX(Parameters!AI$43:AI$73,MATCH($E92,Parameters!$B$5:$B$35,0)))</f>
        <v>0</v>
      </c>
      <c r="AQ92" s="328">
        <f>IF($E92=0,0,INDEX(Parameters!AJ$43:AJ$73,MATCH($E92,Parameters!$B$5:$B$35,0)))</f>
        <v>0</v>
      </c>
    </row>
    <row r="93" spans="1:43" ht="13.8" x14ac:dyDescent="0.3">
      <c r="A93" s="313">
        <f>'Base Costs'!A93</f>
        <v>0</v>
      </c>
      <c r="B93" s="314">
        <f>'Base Costs'!B93</f>
        <v>0</v>
      </c>
      <c r="C93" s="314">
        <f>'Base Costs'!C93</f>
        <v>0</v>
      </c>
      <c r="D93" s="333">
        <f>'Base Costs'!D93</f>
        <v>0</v>
      </c>
      <c r="E93" s="333">
        <f>'Base Costs'!E93</f>
        <v>0</v>
      </c>
      <c r="F93" s="315"/>
      <c r="G93" s="315"/>
      <c r="H93" s="316">
        <f>'Input Data Sheet'!J93</f>
        <v>0</v>
      </c>
      <c r="I93" s="316"/>
      <c r="J93" s="316"/>
      <c r="K93" s="316"/>
      <c r="L93" s="316"/>
      <c r="M93" s="316"/>
      <c r="N93" s="316"/>
      <c r="O93" s="287">
        <f t="shared" si="5"/>
        <v>0</v>
      </c>
      <c r="P93" s="320">
        <f>(1+AI93)*'Cost+LOA'!P93</f>
        <v>0</v>
      </c>
      <c r="Q93" s="287">
        <f>(1+AJ93)*'Cost+LOA'!Q93</f>
        <v>0</v>
      </c>
      <c r="R93" s="341">
        <f>(1+AK93)*'Cost+LOA'!R93</f>
        <v>0</v>
      </c>
      <c r="S93" s="341">
        <f>(1+AL93)*'Cost+LOA'!S93</f>
        <v>0</v>
      </c>
      <c r="T93" s="341">
        <f>(1+AM93)*'Cost+LOA'!T93</f>
        <v>0</v>
      </c>
      <c r="U93" s="341">
        <f>(1+AN93)*'Cost+LOA'!U93</f>
        <v>0</v>
      </c>
      <c r="V93" s="341">
        <f>(1+AO93)*'Cost+LOA'!V93</f>
        <v>0</v>
      </c>
      <c r="W93" s="287">
        <f>(1+AP93)*'Cost+LOA'!W93</f>
        <v>0</v>
      </c>
      <c r="X93" s="321">
        <f>(1+AQ93)*'Cost+LOA'!X93</f>
        <v>0</v>
      </c>
      <c r="Y93" s="287">
        <f t="shared" si="6"/>
        <v>0</v>
      </c>
      <c r="Z93" s="287">
        <f t="shared" si="6"/>
        <v>0</v>
      </c>
      <c r="AA93" s="341">
        <f t="shared" si="6"/>
        <v>0</v>
      </c>
      <c r="AB93" s="341">
        <f t="shared" si="6"/>
        <v>0</v>
      </c>
      <c r="AC93" s="341">
        <f t="shared" si="6"/>
        <v>0</v>
      </c>
      <c r="AD93" s="341">
        <f t="shared" si="6"/>
        <v>0</v>
      </c>
      <c r="AE93" s="341">
        <f t="shared" si="6"/>
        <v>0</v>
      </c>
      <c r="AF93" s="287">
        <f t="shared" si="6"/>
        <v>0</v>
      </c>
      <c r="AG93" s="287">
        <f t="shared" si="4"/>
        <v>0</v>
      </c>
      <c r="AH93" s="322">
        <f>IF($H93,0,IFERROR(IF(VALUE(LEFT(D93,4))&gt;VALUE(LEFT(Parameters!$B$66,4))+1,O93-SUM(R93:X93),0),0))</f>
        <v>0</v>
      </c>
      <c r="AI93" s="326">
        <f>IF($E93=0,0,INDEX(Parameters!AB$43:AB$73,MATCH($E93,Parameters!$B$5:$B$35,0)))</f>
        <v>0</v>
      </c>
      <c r="AJ93" s="327">
        <f>IF($E93=0,0,INDEX(Parameters!AC$43:AC$73,MATCH($E93,Parameters!$B$5:$B$35,0)))</f>
        <v>0</v>
      </c>
      <c r="AK93" s="327">
        <f>IF($E93=0,0,INDEX(Parameters!AD$43:AD$73,MATCH($E93,Parameters!$B$5:$B$35,0)))</f>
        <v>0</v>
      </c>
      <c r="AL93" s="327">
        <f>IF($E93=0,0,INDEX(Parameters!AE$43:AE$73,MATCH($E93,Parameters!$B$5:$B$35,0)))</f>
        <v>0</v>
      </c>
      <c r="AM93" s="327">
        <f>IF($E93=0,0,INDEX(Parameters!AF$43:AF$73,MATCH($E93,Parameters!$B$5:$B$35,0)))</f>
        <v>0</v>
      </c>
      <c r="AN93" s="327">
        <f>IF($E93=0,0,INDEX(Parameters!AG$43:AG$73,MATCH($E93,Parameters!$B$5:$B$35,0)))</f>
        <v>0</v>
      </c>
      <c r="AO93" s="327">
        <f>IF($E93=0,0,INDEX(Parameters!AH$43:AH$73,MATCH($E93,Parameters!$B$5:$B$35,0)))</f>
        <v>0</v>
      </c>
      <c r="AP93" s="327">
        <f>IF($E93=0,0,INDEX(Parameters!AI$43:AI$73,MATCH($E93,Parameters!$B$5:$B$35,0)))</f>
        <v>0</v>
      </c>
      <c r="AQ93" s="328">
        <f>IF($E93=0,0,INDEX(Parameters!AJ$43:AJ$73,MATCH($E93,Parameters!$B$5:$B$35,0)))</f>
        <v>0</v>
      </c>
    </row>
    <row r="94" spans="1:43" ht="13.8" x14ac:dyDescent="0.3">
      <c r="A94" s="313">
        <f>'Base Costs'!A94</f>
        <v>0</v>
      </c>
      <c r="B94" s="314">
        <f>'Base Costs'!B94</f>
        <v>0</v>
      </c>
      <c r="C94" s="314">
        <f>'Base Costs'!C94</f>
        <v>0</v>
      </c>
      <c r="D94" s="333">
        <f>'Base Costs'!D94</f>
        <v>0</v>
      </c>
      <c r="E94" s="333">
        <f>'Base Costs'!E94</f>
        <v>0</v>
      </c>
      <c r="F94" s="315"/>
      <c r="G94" s="315"/>
      <c r="H94" s="316">
        <f>'Input Data Sheet'!J94</f>
        <v>0</v>
      </c>
      <c r="I94" s="316"/>
      <c r="J94" s="316"/>
      <c r="K94" s="316"/>
      <c r="L94" s="316"/>
      <c r="M94" s="316"/>
      <c r="N94" s="316"/>
      <c r="O94" s="287">
        <f t="shared" si="5"/>
        <v>0</v>
      </c>
      <c r="P94" s="320">
        <f>(1+AI94)*'Cost+LOA'!P94</f>
        <v>0</v>
      </c>
      <c r="Q94" s="287">
        <f>(1+AJ94)*'Cost+LOA'!Q94</f>
        <v>0</v>
      </c>
      <c r="R94" s="341">
        <f>(1+AK94)*'Cost+LOA'!R94</f>
        <v>0</v>
      </c>
      <c r="S94" s="341">
        <f>(1+AL94)*'Cost+LOA'!S94</f>
        <v>0</v>
      </c>
      <c r="T94" s="341">
        <f>(1+AM94)*'Cost+LOA'!T94</f>
        <v>0</v>
      </c>
      <c r="U94" s="341">
        <f>(1+AN94)*'Cost+LOA'!U94</f>
        <v>0</v>
      </c>
      <c r="V94" s="341">
        <f>(1+AO94)*'Cost+LOA'!V94</f>
        <v>0</v>
      </c>
      <c r="W94" s="287">
        <f>(1+AP94)*'Cost+LOA'!W94</f>
        <v>0</v>
      </c>
      <c r="X94" s="321">
        <f>(1+AQ94)*'Cost+LOA'!X94</f>
        <v>0</v>
      </c>
      <c r="Y94" s="287">
        <f t="shared" si="6"/>
        <v>0</v>
      </c>
      <c r="Z94" s="287">
        <f t="shared" si="6"/>
        <v>0</v>
      </c>
      <c r="AA94" s="341">
        <f t="shared" si="6"/>
        <v>0</v>
      </c>
      <c r="AB94" s="341">
        <f t="shared" si="6"/>
        <v>0</v>
      </c>
      <c r="AC94" s="341">
        <f t="shared" si="6"/>
        <v>0</v>
      </c>
      <c r="AD94" s="341">
        <f t="shared" si="6"/>
        <v>0</v>
      </c>
      <c r="AE94" s="341">
        <f t="shared" si="6"/>
        <v>0</v>
      </c>
      <c r="AF94" s="287">
        <f t="shared" si="6"/>
        <v>0</v>
      </c>
      <c r="AG94" s="287">
        <f t="shared" si="4"/>
        <v>0</v>
      </c>
      <c r="AH94" s="322">
        <f>IF($H94,0,IFERROR(IF(VALUE(LEFT(D94,4))&gt;VALUE(LEFT(Parameters!$B$66,4))+1,O94-SUM(R94:X94),0),0))</f>
        <v>0</v>
      </c>
      <c r="AI94" s="326">
        <f>IF($E94=0,0,INDEX(Parameters!AB$43:AB$73,MATCH($E94,Parameters!$B$5:$B$35,0)))</f>
        <v>0</v>
      </c>
      <c r="AJ94" s="327">
        <f>IF($E94=0,0,INDEX(Parameters!AC$43:AC$73,MATCH($E94,Parameters!$B$5:$B$35,0)))</f>
        <v>0</v>
      </c>
      <c r="AK94" s="327">
        <f>IF($E94=0,0,INDEX(Parameters!AD$43:AD$73,MATCH($E94,Parameters!$B$5:$B$35,0)))</f>
        <v>0</v>
      </c>
      <c r="AL94" s="327">
        <f>IF($E94=0,0,INDEX(Parameters!AE$43:AE$73,MATCH($E94,Parameters!$B$5:$B$35,0)))</f>
        <v>0</v>
      </c>
      <c r="AM94" s="327">
        <f>IF($E94=0,0,INDEX(Parameters!AF$43:AF$73,MATCH($E94,Parameters!$B$5:$B$35,0)))</f>
        <v>0</v>
      </c>
      <c r="AN94" s="327">
        <f>IF($E94=0,0,INDEX(Parameters!AG$43:AG$73,MATCH($E94,Parameters!$B$5:$B$35,0)))</f>
        <v>0</v>
      </c>
      <c r="AO94" s="327">
        <f>IF($E94=0,0,INDEX(Parameters!AH$43:AH$73,MATCH($E94,Parameters!$B$5:$B$35,0)))</f>
        <v>0</v>
      </c>
      <c r="AP94" s="327">
        <f>IF($E94=0,0,INDEX(Parameters!AI$43:AI$73,MATCH($E94,Parameters!$B$5:$B$35,0)))</f>
        <v>0</v>
      </c>
      <c r="AQ94" s="328">
        <f>IF($E94=0,0,INDEX(Parameters!AJ$43:AJ$73,MATCH($E94,Parameters!$B$5:$B$35,0)))</f>
        <v>0</v>
      </c>
    </row>
    <row r="95" spans="1:43" ht="13.8" x14ac:dyDescent="0.3">
      <c r="A95" s="313">
        <f>'Base Costs'!A95</f>
        <v>0</v>
      </c>
      <c r="B95" s="314">
        <f>'Base Costs'!B95</f>
        <v>0</v>
      </c>
      <c r="C95" s="314">
        <f>'Base Costs'!C95</f>
        <v>0</v>
      </c>
      <c r="D95" s="333">
        <f>'Base Costs'!D95</f>
        <v>0</v>
      </c>
      <c r="E95" s="333">
        <f>'Base Costs'!E95</f>
        <v>0</v>
      </c>
      <c r="F95" s="315"/>
      <c r="G95" s="315"/>
      <c r="H95" s="316">
        <f>'Input Data Sheet'!J95</f>
        <v>0</v>
      </c>
      <c r="I95" s="316"/>
      <c r="J95" s="316"/>
      <c r="K95" s="316"/>
      <c r="L95" s="316"/>
      <c r="M95" s="316"/>
      <c r="N95" s="316"/>
      <c r="O95" s="287">
        <f t="shared" si="5"/>
        <v>0</v>
      </c>
      <c r="P95" s="320">
        <f>(1+AI95)*'Cost+LOA'!P95</f>
        <v>0</v>
      </c>
      <c r="Q95" s="287">
        <f>(1+AJ95)*'Cost+LOA'!Q95</f>
        <v>0</v>
      </c>
      <c r="R95" s="341">
        <f>(1+AK95)*'Cost+LOA'!R95</f>
        <v>0</v>
      </c>
      <c r="S95" s="341">
        <f>(1+AL95)*'Cost+LOA'!S95</f>
        <v>0</v>
      </c>
      <c r="T95" s="341">
        <f>(1+AM95)*'Cost+LOA'!T95</f>
        <v>0</v>
      </c>
      <c r="U95" s="341">
        <f>(1+AN95)*'Cost+LOA'!U95</f>
        <v>0</v>
      </c>
      <c r="V95" s="341">
        <f>(1+AO95)*'Cost+LOA'!V95</f>
        <v>0</v>
      </c>
      <c r="W95" s="287">
        <f>(1+AP95)*'Cost+LOA'!W95</f>
        <v>0</v>
      </c>
      <c r="X95" s="321">
        <f>(1+AQ95)*'Cost+LOA'!X95</f>
        <v>0</v>
      </c>
      <c r="Y95" s="287">
        <f t="shared" si="6"/>
        <v>0</v>
      </c>
      <c r="Z95" s="287">
        <f t="shared" si="6"/>
        <v>0</v>
      </c>
      <c r="AA95" s="341">
        <f t="shared" si="6"/>
        <v>0</v>
      </c>
      <c r="AB95" s="341">
        <f t="shared" si="6"/>
        <v>0</v>
      </c>
      <c r="AC95" s="341">
        <f t="shared" si="6"/>
        <v>0</v>
      </c>
      <c r="AD95" s="341">
        <f t="shared" si="6"/>
        <v>0</v>
      </c>
      <c r="AE95" s="341">
        <f t="shared" si="6"/>
        <v>0</v>
      </c>
      <c r="AF95" s="287">
        <f t="shared" ref="AF95:AG100" si="7">IF($H95,W95,IF(AF$3=$D95,$O95,0))</f>
        <v>0</v>
      </c>
      <c r="AG95" s="287">
        <f t="shared" si="4"/>
        <v>0</v>
      </c>
      <c r="AH95" s="322">
        <f>IF($H95,0,IFERROR(IF(VALUE(LEFT(D95,4))&gt;VALUE(LEFT(Parameters!$B$66,4))+1,O95-SUM(R95:X95),0),0))</f>
        <v>0</v>
      </c>
      <c r="AI95" s="326">
        <f>IF($E95=0,0,INDEX(Parameters!AB$43:AB$73,MATCH($E95,Parameters!$B$5:$B$35,0)))</f>
        <v>0</v>
      </c>
      <c r="AJ95" s="327">
        <f>IF($E95=0,0,INDEX(Parameters!AC$43:AC$73,MATCH($E95,Parameters!$B$5:$B$35,0)))</f>
        <v>0</v>
      </c>
      <c r="AK95" s="327">
        <f>IF($E95=0,0,INDEX(Parameters!AD$43:AD$73,MATCH($E95,Parameters!$B$5:$B$35,0)))</f>
        <v>0</v>
      </c>
      <c r="AL95" s="327">
        <f>IF($E95=0,0,INDEX(Parameters!AE$43:AE$73,MATCH($E95,Parameters!$B$5:$B$35,0)))</f>
        <v>0</v>
      </c>
      <c r="AM95" s="327">
        <f>IF($E95=0,0,INDEX(Parameters!AF$43:AF$73,MATCH($E95,Parameters!$B$5:$B$35,0)))</f>
        <v>0</v>
      </c>
      <c r="AN95" s="327">
        <f>IF($E95=0,0,INDEX(Parameters!AG$43:AG$73,MATCH($E95,Parameters!$B$5:$B$35,0)))</f>
        <v>0</v>
      </c>
      <c r="AO95" s="327">
        <f>IF($E95=0,0,INDEX(Parameters!AH$43:AH$73,MATCH($E95,Parameters!$B$5:$B$35,0)))</f>
        <v>0</v>
      </c>
      <c r="AP95" s="327">
        <f>IF($E95=0,0,INDEX(Parameters!AI$43:AI$73,MATCH($E95,Parameters!$B$5:$B$35,0)))</f>
        <v>0</v>
      </c>
      <c r="AQ95" s="328">
        <f>IF($E95=0,0,INDEX(Parameters!AJ$43:AJ$73,MATCH($E95,Parameters!$B$5:$B$35,0)))</f>
        <v>0</v>
      </c>
    </row>
    <row r="96" spans="1:43" ht="13.8" x14ac:dyDescent="0.3">
      <c r="A96" s="313">
        <f>'Base Costs'!A96</f>
        <v>0</v>
      </c>
      <c r="B96" s="314">
        <f>'Base Costs'!B96</f>
        <v>0</v>
      </c>
      <c r="C96" s="314">
        <f>'Base Costs'!C96</f>
        <v>0</v>
      </c>
      <c r="D96" s="333">
        <f>'Base Costs'!D96</f>
        <v>0</v>
      </c>
      <c r="E96" s="333">
        <f>'Base Costs'!E96</f>
        <v>0</v>
      </c>
      <c r="F96" s="315"/>
      <c r="G96" s="315"/>
      <c r="H96" s="316">
        <f>'Input Data Sheet'!J96</f>
        <v>0</v>
      </c>
      <c r="I96" s="316"/>
      <c r="J96" s="316"/>
      <c r="K96" s="316"/>
      <c r="L96" s="316"/>
      <c r="M96" s="316"/>
      <c r="N96" s="316"/>
      <c r="O96" s="287">
        <f t="shared" si="5"/>
        <v>0</v>
      </c>
      <c r="P96" s="320">
        <f>(1+AI96)*'Cost+LOA'!P96</f>
        <v>0</v>
      </c>
      <c r="Q96" s="287">
        <f>(1+AJ96)*'Cost+LOA'!Q96</f>
        <v>0</v>
      </c>
      <c r="R96" s="341">
        <f>(1+AK96)*'Cost+LOA'!R96</f>
        <v>0</v>
      </c>
      <c r="S96" s="341">
        <f>(1+AL96)*'Cost+LOA'!S96</f>
        <v>0</v>
      </c>
      <c r="T96" s="341">
        <f>(1+AM96)*'Cost+LOA'!T96</f>
        <v>0</v>
      </c>
      <c r="U96" s="341">
        <f>(1+AN96)*'Cost+LOA'!U96</f>
        <v>0</v>
      </c>
      <c r="V96" s="341">
        <f>(1+AO96)*'Cost+LOA'!V96</f>
        <v>0</v>
      </c>
      <c r="W96" s="287">
        <f>(1+AP96)*'Cost+LOA'!W96</f>
        <v>0</v>
      </c>
      <c r="X96" s="321">
        <f>(1+AQ96)*'Cost+LOA'!X96</f>
        <v>0</v>
      </c>
      <c r="Y96" s="287">
        <f t="shared" ref="Y96:AE100" si="8">IF($H96,P96,IF(Y$3=$D96,$O96,0))</f>
        <v>0</v>
      </c>
      <c r="Z96" s="287">
        <f t="shared" si="8"/>
        <v>0</v>
      </c>
      <c r="AA96" s="341">
        <f t="shared" si="8"/>
        <v>0</v>
      </c>
      <c r="AB96" s="341">
        <f t="shared" si="8"/>
        <v>0</v>
      </c>
      <c r="AC96" s="341">
        <f t="shared" si="8"/>
        <v>0</v>
      </c>
      <c r="AD96" s="341">
        <f t="shared" si="8"/>
        <v>0</v>
      </c>
      <c r="AE96" s="341">
        <f t="shared" si="8"/>
        <v>0</v>
      </c>
      <c r="AF96" s="287">
        <f t="shared" si="7"/>
        <v>0</v>
      </c>
      <c r="AG96" s="287">
        <f t="shared" si="4"/>
        <v>0</v>
      </c>
      <c r="AH96" s="322">
        <f>IF($H96,0,IFERROR(IF(VALUE(LEFT(D96,4))&gt;VALUE(LEFT(Parameters!$B$66,4))+1,O96-SUM(R96:X96),0),0))</f>
        <v>0</v>
      </c>
      <c r="AI96" s="326">
        <f>IF($E96=0,0,INDEX(Parameters!AB$43:AB$73,MATCH($E96,Parameters!$B$5:$B$35,0)))</f>
        <v>0</v>
      </c>
      <c r="AJ96" s="327">
        <f>IF($E96=0,0,INDEX(Parameters!AC$43:AC$73,MATCH($E96,Parameters!$B$5:$B$35,0)))</f>
        <v>0</v>
      </c>
      <c r="AK96" s="327">
        <f>IF($E96=0,0,INDEX(Parameters!AD$43:AD$73,MATCH($E96,Parameters!$B$5:$B$35,0)))</f>
        <v>0</v>
      </c>
      <c r="AL96" s="327">
        <f>IF($E96=0,0,INDEX(Parameters!AE$43:AE$73,MATCH($E96,Parameters!$B$5:$B$35,0)))</f>
        <v>0</v>
      </c>
      <c r="AM96" s="327">
        <f>IF($E96=0,0,INDEX(Parameters!AF$43:AF$73,MATCH($E96,Parameters!$B$5:$B$35,0)))</f>
        <v>0</v>
      </c>
      <c r="AN96" s="327">
        <f>IF($E96=0,0,INDEX(Parameters!AG$43:AG$73,MATCH($E96,Parameters!$B$5:$B$35,0)))</f>
        <v>0</v>
      </c>
      <c r="AO96" s="327">
        <f>IF($E96=0,0,INDEX(Parameters!AH$43:AH$73,MATCH($E96,Parameters!$B$5:$B$35,0)))</f>
        <v>0</v>
      </c>
      <c r="AP96" s="327">
        <f>IF($E96=0,0,INDEX(Parameters!AI$43:AI$73,MATCH($E96,Parameters!$B$5:$B$35,0)))</f>
        <v>0</v>
      </c>
      <c r="AQ96" s="328">
        <f>IF($E96=0,0,INDEX(Parameters!AJ$43:AJ$73,MATCH($E96,Parameters!$B$5:$B$35,0)))</f>
        <v>0</v>
      </c>
    </row>
    <row r="97" spans="1:43" ht="13.8" x14ac:dyDescent="0.3">
      <c r="A97" s="313">
        <f>'Base Costs'!A97</f>
        <v>0</v>
      </c>
      <c r="B97" s="314">
        <f>'Base Costs'!B97</f>
        <v>0</v>
      </c>
      <c r="C97" s="314">
        <f>'Base Costs'!C97</f>
        <v>0</v>
      </c>
      <c r="D97" s="333">
        <f>'Base Costs'!D97</f>
        <v>0</v>
      </c>
      <c r="E97" s="333">
        <f>'Base Costs'!E97</f>
        <v>0</v>
      </c>
      <c r="F97" s="315"/>
      <c r="G97" s="315"/>
      <c r="H97" s="316">
        <f>'Input Data Sheet'!J97</f>
        <v>0</v>
      </c>
      <c r="I97" s="316"/>
      <c r="J97" s="316"/>
      <c r="K97" s="316"/>
      <c r="L97" s="316"/>
      <c r="M97" s="316"/>
      <c r="N97" s="316"/>
      <c r="O97" s="287">
        <f t="shared" si="5"/>
        <v>0</v>
      </c>
      <c r="P97" s="320">
        <f>(1+AI97)*'Cost+LOA'!P97</f>
        <v>0</v>
      </c>
      <c r="Q97" s="287">
        <f>(1+AJ97)*'Cost+LOA'!Q97</f>
        <v>0</v>
      </c>
      <c r="R97" s="341">
        <f>(1+AK97)*'Cost+LOA'!R97</f>
        <v>0</v>
      </c>
      <c r="S97" s="341">
        <f>(1+AL97)*'Cost+LOA'!S97</f>
        <v>0</v>
      </c>
      <c r="T97" s="341">
        <f>(1+AM97)*'Cost+LOA'!T97</f>
        <v>0</v>
      </c>
      <c r="U97" s="341">
        <f>(1+AN97)*'Cost+LOA'!U97</f>
        <v>0</v>
      </c>
      <c r="V97" s="341">
        <f>(1+AO97)*'Cost+LOA'!V97</f>
        <v>0</v>
      </c>
      <c r="W97" s="287">
        <f>(1+AP97)*'Cost+LOA'!W97</f>
        <v>0</v>
      </c>
      <c r="X97" s="321">
        <f>(1+AQ97)*'Cost+LOA'!X97</f>
        <v>0</v>
      </c>
      <c r="Y97" s="287">
        <f t="shared" si="8"/>
        <v>0</v>
      </c>
      <c r="Z97" s="287">
        <f t="shared" si="8"/>
        <v>0</v>
      </c>
      <c r="AA97" s="341">
        <f t="shared" si="8"/>
        <v>0</v>
      </c>
      <c r="AB97" s="341">
        <f t="shared" si="8"/>
        <v>0</v>
      </c>
      <c r="AC97" s="341">
        <f t="shared" si="8"/>
        <v>0</v>
      </c>
      <c r="AD97" s="341">
        <f t="shared" si="8"/>
        <v>0</v>
      </c>
      <c r="AE97" s="341">
        <f t="shared" si="8"/>
        <v>0</v>
      </c>
      <c r="AF97" s="287">
        <f t="shared" si="7"/>
        <v>0</v>
      </c>
      <c r="AG97" s="287">
        <f t="shared" si="4"/>
        <v>0</v>
      </c>
      <c r="AH97" s="322">
        <f>IF($H97,0,IFERROR(IF(VALUE(LEFT(D97,4))&gt;VALUE(LEFT(Parameters!$B$66,4))+1,O97-SUM(R97:X97),0),0))</f>
        <v>0</v>
      </c>
      <c r="AI97" s="326">
        <f>IF($E97=0,0,INDEX(Parameters!AB$43:AB$73,MATCH($E97,Parameters!$B$5:$B$35,0)))</f>
        <v>0</v>
      </c>
      <c r="AJ97" s="327">
        <f>IF($E97=0,0,INDEX(Parameters!AC$43:AC$73,MATCH($E97,Parameters!$B$5:$B$35,0)))</f>
        <v>0</v>
      </c>
      <c r="AK97" s="327">
        <f>IF($E97=0,0,INDEX(Parameters!AD$43:AD$73,MATCH($E97,Parameters!$B$5:$B$35,0)))</f>
        <v>0</v>
      </c>
      <c r="AL97" s="327">
        <f>IF($E97=0,0,INDEX(Parameters!AE$43:AE$73,MATCH($E97,Parameters!$B$5:$B$35,0)))</f>
        <v>0</v>
      </c>
      <c r="AM97" s="327">
        <f>IF($E97=0,0,INDEX(Parameters!AF$43:AF$73,MATCH($E97,Parameters!$B$5:$B$35,0)))</f>
        <v>0</v>
      </c>
      <c r="AN97" s="327">
        <f>IF($E97=0,0,INDEX(Parameters!AG$43:AG$73,MATCH($E97,Parameters!$B$5:$B$35,0)))</f>
        <v>0</v>
      </c>
      <c r="AO97" s="327">
        <f>IF($E97=0,0,INDEX(Parameters!AH$43:AH$73,MATCH($E97,Parameters!$B$5:$B$35,0)))</f>
        <v>0</v>
      </c>
      <c r="AP97" s="327">
        <f>IF($E97=0,0,INDEX(Parameters!AI$43:AI$73,MATCH($E97,Parameters!$B$5:$B$35,0)))</f>
        <v>0</v>
      </c>
      <c r="AQ97" s="328">
        <f>IF($E97=0,0,INDEX(Parameters!AJ$43:AJ$73,MATCH($E97,Parameters!$B$5:$B$35,0)))</f>
        <v>0</v>
      </c>
    </row>
    <row r="98" spans="1:43" ht="13.8" x14ac:dyDescent="0.3">
      <c r="A98" s="313">
        <f>'Base Costs'!A98</f>
        <v>0</v>
      </c>
      <c r="B98" s="314">
        <f>'Base Costs'!B98</f>
        <v>0</v>
      </c>
      <c r="C98" s="314">
        <f>'Base Costs'!C98</f>
        <v>0</v>
      </c>
      <c r="D98" s="333">
        <f>'Base Costs'!D98</f>
        <v>0</v>
      </c>
      <c r="E98" s="333">
        <f>'Base Costs'!E98</f>
        <v>0</v>
      </c>
      <c r="F98" s="315"/>
      <c r="G98" s="315"/>
      <c r="H98" s="316">
        <f>'Input Data Sheet'!J98</f>
        <v>0</v>
      </c>
      <c r="I98" s="316"/>
      <c r="J98" s="316"/>
      <c r="K98" s="316"/>
      <c r="L98" s="316"/>
      <c r="M98" s="316"/>
      <c r="N98" s="316"/>
      <c r="O98" s="287">
        <f t="shared" si="5"/>
        <v>0</v>
      </c>
      <c r="P98" s="320">
        <f>(1+AI98)*'Cost+LOA'!P98</f>
        <v>0</v>
      </c>
      <c r="Q98" s="287">
        <f>(1+AJ98)*'Cost+LOA'!Q98</f>
        <v>0</v>
      </c>
      <c r="R98" s="341">
        <f>(1+AK98)*'Cost+LOA'!R98</f>
        <v>0</v>
      </c>
      <c r="S98" s="341">
        <f>(1+AL98)*'Cost+LOA'!S98</f>
        <v>0</v>
      </c>
      <c r="T98" s="341">
        <f>(1+AM98)*'Cost+LOA'!T98</f>
        <v>0</v>
      </c>
      <c r="U98" s="341">
        <f>(1+AN98)*'Cost+LOA'!U98</f>
        <v>0</v>
      </c>
      <c r="V98" s="341">
        <f>(1+AO98)*'Cost+LOA'!V98</f>
        <v>0</v>
      </c>
      <c r="W98" s="287">
        <f>(1+AP98)*'Cost+LOA'!W98</f>
        <v>0</v>
      </c>
      <c r="X98" s="321">
        <f>(1+AQ98)*'Cost+LOA'!X98</f>
        <v>0</v>
      </c>
      <c r="Y98" s="287">
        <f t="shared" si="8"/>
        <v>0</v>
      </c>
      <c r="Z98" s="287">
        <f t="shared" si="8"/>
        <v>0</v>
      </c>
      <c r="AA98" s="341">
        <f t="shared" si="8"/>
        <v>0</v>
      </c>
      <c r="AB98" s="341">
        <f t="shared" si="8"/>
        <v>0</v>
      </c>
      <c r="AC98" s="341">
        <f t="shared" si="8"/>
        <v>0</v>
      </c>
      <c r="AD98" s="341">
        <f t="shared" si="8"/>
        <v>0</v>
      </c>
      <c r="AE98" s="341">
        <f t="shared" si="8"/>
        <v>0</v>
      </c>
      <c r="AF98" s="287">
        <f t="shared" si="7"/>
        <v>0</v>
      </c>
      <c r="AG98" s="287">
        <f t="shared" si="4"/>
        <v>0</v>
      </c>
      <c r="AH98" s="322">
        <f>IF($H98,0,IFERROR(IF(VALUE(LEFT(D98,4))&gt;VALUE(LEFT(Parameters!$B$66,4))+1,O98-SUM(R98:X98),0),0))</f>
        <v>0</v>
      </c>
      <c r="AI98" s="326">
        <f>IF($E98=0,0,INDEX(Parameters!AB$43:AB$73,MATCH($E98,Parameters!$B$5:$B$35,0)))</f>
        <v>0</v>
      </c>
      <c r="AJ98" s="327">
        <f>IF($E98=0,0,INDEX(Parameters!AC$43:AC$73,MATCH($E98,Parameters!$B$5:$B$35,0)))</f>
        <v>0</v>
      </c>
      <c r="AK98" s="327">
        <f>IF($E98=0,0,INDEX(Parameters!AD$43:AD$73,MATCH($E98,Parameters!$B$5:$B$35,0)))</f>
        <v>0</v>
      </c>
      <c r="AL98" s="327">
        <f>IF($E98=0,0,INDEX(Parameters!AE$43:AE$73,MATCH($E98,Parameters!$B$5:$B$35,0)))</f>
        <v>0</v>
      </c>
      <c r="AM98" s="327">
        <f>IF($E98=0,0,INDEX(Parameters!AF$43:AF$73,MATCH($E98,Parameters!$B$5:$B$35,0)))</f>
        <v>0</v>
      </c>
      <c r="AN98" s="327">
        <f>IF($E98=0,0,INDEX(Parameters!AG$43:AG$73,MATCH($E98,Parameters!$B$5:$B$35,0)))</f>
        <v>0</v>
      </c>
      <c r="AO98" s="327">
        <f>IF($E98=0,0,INDEX(Parameters!AH$43:AH$73,MATCH($E98,Parameters!$B$5:$B$35,0)))</f>
        <v>0</v>
      </c>
      <c r="AP98" s="327">
        <f>IF($E98=0,0,INDEX(Parameters!AI$43:AI$73,MATCH($E98,Parameters!$B$5:$B$35,0)))</f>
        <v>0</v>
      </c>
      <c r="AQ98" s="328">
        <f>IF($E98=0,0,INDEX(Parameters!AJ$43:AJ$73,MATCH($E98,Parameters!$B$5:$B$35,0)))</f>
        <v>0</v>
      </c>
    </row>
    <row r="99" spans="1:43" ht="13.8" x14ac:dyDescent="0.3">
      <c r="A99" s="313">
        <f>'Base Costs'!A99</f>
        <v>0</v>
      </c>
      <c r="B99" s="314">
        <f>'Base Costs'!B99</f>
        <v>0</v>
      </c>
      <c r="C99" s="314">
        <f>'Base Costs'!C99</f>
        <v>0</v>
      </c>
      <c r="D99" s="333">
        <f>'Base Costs'!D99</f>
        <v>0</v>
      </c>
      <c r="E99" s="333">
        <f>'Base Costs'!E99</f>
        <v>0</v>
      </c>
      <c r="F99" s="315"/>
      <c r="G99" s="315"/>
      <c r="H99" s="316">
        <f>'Input Data Sheet'!J99</f>
        <v>0</v>
      </c>
      <c r="I99" s="316"/>
      <c r="J99" s="316"/>
      <c r="K99" s="316"/>
      <c r="L99" s="316"/>
      <c r="M99" s="316"/>
      <c r="N99" s="316"/>
      <c r="O99" s="287">
        <f t="shared" si="5"/>
        <v>0</v>
      </c>
      <c r="P99" s="320">
        <f>(1+AI99)*'Cost+LOA'!P99</f>
        <v>0</v>
      </c>
      <c r="Q99" s="287">
        <f>(1+AJ99)*'Cost+LOA'!Q99</f>
        <v>0</v>
      </c>
      <c r="R99" s="341">
        <f>(1+AK99)*'Cost+LOA'!R99</f>
        <v>0</v>
      </c>
      <c r="S99" s="341">
        <f>(1+AL99)*'Cost+LOA'!S99</f>
        <v>0</v>
      </c>
      <c r="T99" s="341">
        <f>(1+AM99)*'Cost+LOA'!T99</f>
        <v>0</v>
      </c>
      <c r="U99" s="341">
        <f>(1+AN99)*'Cost+LOA'!U99</f>
        <v>0</v>
      </c>
      <c r="V99" s="341">
        <f>(1+AO99)*'Cost+LOA'!V99</f>
        <v>0</v>
      </c>
      <c r="W99" s="287">
        <f>(1+AP99)*'Cost+LOA'!W99</f>
        <v>0</v>
      </c>
      <c r="X99" s="321">
        <f>(1+AQ99)*'Cost+LOA'!X99</f>
        <v>0</v>
      </c>
      <c r="Y99" s="287">
        <f t="shared" si="8"/>
        <v>0</v>
      </c>
      <c r="Z99" s="287">
        <f t="shared" si="8"/>
        <v>0</v>
      </c>
      <c r="AA99" s="341">
        <f t="shared" si="8"/>
        <v>0</v>
      </c>
      <c r="AB99" s="341">
        <f t="shared" si="8"/>
        <v>0</v>
      </c>
      <c r="AC99" s="341">
        <f t="shared" si="8"/>
        <v>0</v>
      </c>
      <c r="AD99" s="341">
        <f t="shared" si="8"/>
        <v>0</v>
      </c>
      <c r="AE99" s="341">
        <f t="shared" si="8"/>
        <v>0</v>
      </c>
      <c r="AF99" s="287">
        <f t="shared" si="7"/>
        <v>0</v>
      </c>
      <c r="AG99" s="287">
        <f t="shared" si="7"/>
        <v>0</v>
      </c>
      <c r="AH99" s="322">
        <f>IF($H99,0,IFERROR(IF(VALUE(LEFT(D99,4))&gt;VALUE(LEFT(Parameters!$B$66,4))+1,O99-SUM(R99:X99),0),0))</f>
        <v>0</v>
      </c>
      <c r="AI99" s="326">
        <f>IF($E99=0,0,INDEX(Parameters!AB$43:AB$73,MATCH($E99,Parameters!$B$5:$B$35,0)))</f>
        <v>0</v>
      </c>
      <c r="AJ99" s="327">
        <f>IF($E99=0,0,INDEX(Parameters!AC$43:AC$73,MATCH($E99,Parameters!$B$5:$B$35,0)))</f>
        <v>0</v>
      </c>
      <c r="AK99" s="327">
        <f>IF($E99=0,0,INDEX(Parameters!AD$43:AD$73,MATCH($E99,Parameters!$B$5:$B$35,0)))</f>
        <v>0</v>
      </c>
      <c r="AL99" s="327">
        <f>IF($E99=0,0,INDEX(Parameters!AE$43:AE$73,MATCH($E99,Parameters!$B$5:$B$35,0)))</f>
        <v>0</v>
      </c>
      <c r="AM99" s="327">
        <f>IF($E99=0,0,INDEX(Parameters!AF$43:AF$73,MATCH($E99,Parameters!$B$5:$B$35,0)))</f>
        <v>0</v>
      </c>
      <c r="AN99" s="327">
        <f>IF($E99=0,0,INDEX(Parameters!AG$43:AG$73,MATCH($E99,Parameters!$B$5:$B$35,0)))</f>
        <v>0</v>
      </c>
      <c r="AO99" s="327">
        <f>IF($E99=0,0,INDEX(Parameters!AH$43:AH$73,MATCH($E99,Parameters!$B$5:$B$35,0)))</f>
        <v>0</v>
      </c>
      <c r="AP99" s="327">
        <f>IF($E99=0,0,INDEX(Parameters!AI$43:AI$73,MATCH($E99,Parameters!$B$5:$B$35,0)))</f>
        <v>0</v>
      </c>
      <c r="AQ99" s="328">
        <f>IF($E99=0,0,INDEX(Parameters!AJ$43:AJ$73,MATCH($E99,Parameters!$B$5:$B$35,0)))</f>
        <v>0</v>
      </c>
    </row>
    <row r="100" spans="1:43" ht="13.8" x14ac:dyDescent="0.3">
      <c r="A100" s="313">
        <f>'Base Costs'!A100</f>
        <v>0</v>
      </c>
      <c r="B100" s="314">
        <f>'Base Costs'!B100</f>
        <v>0</v>
      </c>
      <c r="C100" s="314">
        <f>'Base Costs'!C100</f>
        <v>0</v>
      </c>
      <c r="D100" s="333">
        <f>'Base Costs'!D100</f>
        <v>0</v>
      </c>
      <c r="E100" s="333">
        <f>'Base Costs'!E100</f>
        <v>0</v>
      </c>
      <c r="F100" s="315"/>
      <c r="G100" s="315"/>
      <c r="H100" s="316">
        <f>'Input Data Sheet'!J100</f>
        <v>0</v>
      </c>
      <c r="I100" s="316"/>
      <c r="J100" s="316"/>
      <c r="K100" s="316"/>
      <c r="L100" s="316"/>
      <c r="M100" s="316"/>
      <c r="N100" s="316"/>
      <c r="O100" s="287">
        <f t="shared" si="5"/>
        <v>0</v>
      </c>
      <c r="P100" s="320">
        <f>(1+AI100)*'Cost+LOA'!P100</f>
        <v>0</v>
      </c>
      <c r="Q100" s="287">
        <f>(1+AJ100)*'Cost+LOA'!Q100</f>
        <v>0</v>
      </c>
      <c r="R100" s="341">
        <f>(1+AK100)*'Cost+LOA'!R100</f>
        <v>0</v>
      </c>
      <c r="S100" s="341">
        <f>(1+AL100)*'Cost+LOA'!S100</f>
        <v>0</v>
      </c>
      <c r="T100" s="341">
        <f>(1+AM100)*'Cost+LOA'!T100</f>
        <v>0</v>
      </c>
      <c r="U100" s="341">
        <f>(1+AN100)*'Cost+LOA'!U100</f>
        <v>0</v>
      </c>
      <c r="V100" s="341">
        <f>(1+AO100)*'Cost+LOA'!V100</f>
        <v>0</v>
      </c>
      <c r="W100" s="287">
        <f>(1+AP100)*'Cost+LOA'!W100</f>
        <v>0</v>
      </c>
      <c r="X100" s="321">
        <f>(1+AQ100)*'Cost+LOA'!X100</f>
        <v>0</v>
      </c>
      <c r="Y100" s="287">
        <f t="shared" si="8"/>
        <v>0</v>
      </c>
      <c r="Z100" s="287">
        <f t="shared" si="8"/>
        <v>0</v>
      </c>
      <c r="AA100" s="341">
        <f t="shared" si="8"/>
        <v>0</v>
      </c>
      <c r="AB100" s="341">
        <f t="shared" si="8"/>
        <v>0</v>
      </c>
      <c r="AC100" s="341">
        <f t="shared" si="8"/>
        <v>0</v>
      </c>
      <c r="AD100" s="341">
        <f t="shared" si="8"/>
        <v>0</v>
      </c>
      <c r="AE100" s="341">
        <f t="shared" si="8"/>
        <v>0</v>
      </c>
      <c r="AF100" s="287">
        <f t="shared" si="7"/>
        <v>0</v>
      </c>
      <c r="AG100" s="287">
        <f t="shared" si="7"/>
        <v>0</v>
      </c>
      <c r="AH100" s="322">
        <f>IF($H100,0,IFERROR(IF(VALUE(LEFT(D100,4))&gt;VALUE(LEFT(Parameters!$B$66,4))+1,O100-SUM(R100:X100),0),0))</f>
        <v>0</v>
      </c>
      <c r="AI100" s="326">
        <f>IF($E100=0,0,INDEX(Parameters!AB$43:AB$73,MATCH($E100,Parameters!$B$5:$B$35,0)))</f>
        <v>0</v>
      </c>
      <c r="AJ100" s="327">
        <f>IF($E100=0,0,INDEX(Parameters!AC$43:AC$73,MATCH($E100,Parameters!$B$5:$B$35,0)))</f>
        <v>0</v>
      </c>
      <c r="AK100" s="327">
        <f>IF($E100=0,0,INDEX(Parameters!AD$43:AD$73,MATCH($E100,Parameters!$B$5:$B$35,0)))</f>
        <v>0</v>
      </c>
      <c r="AL100" s="327">
        <f>IF($E100=0,0,INDEX(Parameters!AE$43:AE$73,MATCH($E100,Parameters!$B$5:$B$35,0)))</f>
        <v>0</v>
      </c>
      <c r="AM100" s="327">
        <f>IF($E100=0,0,INDEX(Parameters!AF$43:AF$73,MATCH($E100,Parameters!$B$5:$B$35,0)))</f>
        <v>0</v>
      </c>
      <c r="AN100" s="327">
        <f>IF($E100=0,0,INDEX(Parameters!AG$43:AG$73,MATCH($E100,Parameters!$B$5:$B$35,0)))</f>
        <v>0</v>
      </c>
      <c r="AO100" s="327">
        <f>IF($E100=0,0,INDEX(Parameters!AH$43:AH$73,MATCH($E100,Parameters!$B$5:$B$35,0)))</f>
        <v>0</v>
      </c>
      <c r="AP100" s="327">
        <f>IF($E100=0,0,INDEX(Parameters!AI$43:AI$73,MATCH($E100,Parameters!$B$5:$B$35,0)))</f>
        <v>0</v>
      </c>
      <c r="AQ100" s="328">
        <f>IF($E100=0,0,INDEX(Parameters!AJ$43:AJ$73,MATCH($E100,Parameters!$B$5:$B$35,0)))</f>
        <v>0</v>
      </c>
    </row>
  </sheetData>
  <printOptions horizontalCentered="1"/>
  <pageMargins left="0.39370078740157483" right="0.39370078740157483" top="0.39370078740157483" bottom="0.39370078740157483" header="0" footer="0"/>
  <pageSetup paperSize="8" scale="6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"/>
  <sheetViews>
    <sheetView topLeftCell="A46" zoomScale="80" zoomScaleNormal="80" workbookViewId="0">
      <selection activeCell="A4" sqref="A4:W93"/>
    </sheetView>
  </sheetViews>
  <sheetFormatPr defaultColWidth="9.109375" defaultRowHeight="13.8" x14ac:dyDescent="0.3"/>
  <cols>
    <col min="1" max="1" width="9.33203125" style="323" customWidth="1"/>
    <col min="2" max="2" width="19" style="2" customWidth="1"/>
    <col min="3" max="3" width="16.109375" style="2" customWidth="1"/>
    <col min="4" max="4" width="7.5546875" style="335" customWidth="1"/>
    <col min="5" max="5" width="5" style="335" customWidth="1"/>
    <col min="6" max="7" width="5" style="2" customWidth="1"/>
    <col min="8" max="8" width="7.5546875" style="13" customWidth="1"/>
    <col min="9" max="13" width="4" style="13" customWidth="1"/>
    <col min="14" max="14" width="7.5546875" style="13" customWidth="1"/>
    <col min="15" max="15" width="8.6640625" style="2" customWidth="1"/>
    <col min="16" max="17" width="7.5546875" style="2" customWidth="1"/>
    <col min="18" max="22" width="7.5546875" style="342" customWidth="1"/>
    <col min="23" max="26" width="7.5546875" style="2" customWidth="1"/>
    <col min="27" max="31" width="7.5546875" style="342" customWidth="1"/>
    <col min="32" max="33" width="7.5546875" style="2" customWidth="1"/>
    <col min="34" max="34" width="8" style="2" customWidth="1"/>
    <col min="35" max="16384" width="9.109375" style="2"/>
  </cols>
  <sheetData>
    <row r="1" spans="1:34" s="12" customFormat="1" ht="12.75" x14ac:dyDescent="0.2">
      <c r="A1" s="299"/>
      <c r="D1" s="334"/>
      <c r="E1" s="334"/>
      <c r="H1" s="300"/>
      <c r="I1" s="300"/>
      <c r="J1" s="300"/>
      <c r="K1" s="300"/>
      <c r="L1" s="300"/>
      <c r="M1" s="300"/>
      <c r="N1" s="300"/>
      <c r="P1" s="12" t="s">
        <v>92</v>
      </c>
      <c r="R1" s="337"/>
      <c r="S1" s="337"/>
      <c r="T1" s="337"/>
      <c r="U1" s="337"/>
      <c r="V1" s="337"/>
      <c r="Y1" s="12" t="s">
        <v>93</v>
      </c>
      <c r="AA1" s="337"/>
      <c r="AB1" s="337"/>
      <c r="AC1" s="337"/>
      <c r="AD1" s="337"/>
      <c r="AE1" s="337"/>
      <c r="AH1" s="12" t="s">
        <v>83</v>
      </c>
    </row>
    <row r="2" spans="1:34" s="12" customFormat="1" ht="13.5" thickBot="1" x14ac:dyDescent="0.25">
      <c r="A2" s="12" t="s">
        <v>12</v>
      </c>
      <c r="D2" s="335"/>
      <c r="E2" s="335"/>
      <c r="F2" s="301"/>
      <c r="G2" s="301"/>
      <c r="H2" s="302"/>
      <c r="I2" s="302"/>
      <c r="J2" s="302"/>
      <c r="K2" s="302"/>
      <c r="L2" s="302"/>
      <c r="M2" s="302"/>
      <c r="N2" s="302"/>
      <c r="O2" s="303">
        <f t="shared" ref="O2:AH2" si="0">SUM(O4:O100)</f>
        <v>289122107.58028013</v>
      </c>
      <c r="P2" s="289">
        <f t="shared" si="0"/>
        <v>0</v>
      </c>
      <c r="Q2" s="289">
        <f t="shared" si="0"/>
        <v>6638942.4324973673</v>
      </c>
      <c r="R2" s="338">
        <f t="shared" si="0"/>
        <v>51007821.908896223</v>
      </c>
      <c r="S2" s="338">
        <f t="shared" si="0"/>
        <v>66098567.926962338</v>
      </c>
      <c r="T2" s="338">
        <f t="shared" si="0"/>
        <v>59872312.661855981</v>
      </c>
      <c r="U2" s="338">
        <f t="shared" si="0"/>
        <v>53690405.705665454</v>
      </c>
      <c r="V2" s="338">
        <f t="shared" si="0"/>
        <v>45272669.005223535</v>
      </c>
      <c r="W2" s="289">
        <f t="shared" si="0"/>
        <v>6541387.9391793087</v>
      </c>
      <c r="X2" s="289">
        <f t="shared" si="0"/>
        <v>0</v>
      </c>
      <c r="Y2" s="289">
        <f t="shared" si="0"/>
        <v>0</v>
      </c>
      <c r="Z2" s="289">
        <f t="shared" si="0"/>
        <v>540165.99520750297</v>
      </c>
      <c r="AA2" s="338">
        <f t="shared" si="0"/>
        <v>52336915.578164473</v>
      </c>
      <c r="AB2" s="338">
        <f t="shared" si="0"/>
        <v>44771214.109442815</v>
      </c>
      <c r="AC2" s="338">
        <f t="shared" si="0"/>
        <v>81100493.247960374</v>
      </c>
      <c r="AD2" s="338">
        <f t="shared" si="0"/>
        <v>41533354.768577449</v>
      </c>
      <c r="AE2" s="338">
        <f t="shared" si="0"/>
        <v>59457524.558181703</v>
      </c>
      <c r="AF2" s="289">
        <f t="shared" si="0"/>
        <v>69850.567974172809</v>
      </c>
      <c r="AG2" s="289">
        <f t="shared" si="0"/>
        <v>9312588.7547717132</v>
      </c>
      <c r="AH2" s="289">
        <f t="shared" si="0"/>
        <v>6098776.4372898638</v>
      </c>
    </row>
    <row r="3" spans="1:34" s="312" customFormat="1" ht="45.75" customHeight="1" thickBot="1" x14ac:dyDescent="0.25">
      <c r="A3" s="304" t="str">
        <f>'Base Costs'!A3</f>
        <v>ID</v>
      </c>
      <c r="B3" s="305" t="str">
        <f>'Base Costs'!B3</f>
        <v>Projects</v>
      </c>
      <c r="C3" s="305" t="str">
        <f>'Base Costs'!C3</f>
        <v>Category</v>
      </c>
      <c r="D3" s="336" t="str">
        <f>'Base Costs'!D3</f>
        <v>Comm Yr</v>
      </c>
      <c r="E3" s="336" t="str">
        <f>'Base Costs'!E3</f>
        <v>Type</v>
      </c>
      <c r="F3" s="306"/>
      <c r="G3" s="306"/>
      <c r="H3" s="336" t="str">
        <f>'Input Data Sheet'!J3</f>
        <v>Program</v>
      </c>
      <c r="I3" s="305"/>
      <c r="J3" s="305"/>
      <c r="K3" s="305"/>
      <c r="L3" s="305"/>
      <c r="M3" s="305"/>
      <c r="N3" s="305"/>
      <c r="O3" s="307" t="s">
        <v>79</v>
      </c>
      <c r="P3" s="308" t="str">
        <f t="array" ref="P3:X3">'Input Data Sheet'!Q3:Y3</f>
        <v>2012/13</v>
      </c>
      <c r="Q3" s="309" t="str">
        <v>2013/14</v>
      </c>
      <c r="R3" s="339" t="str">
        <v>2014/15</v>
      </c>
      <c r="S3" s="339" t="str">
        <v>2015/16</v>
      </c>
      <c r="T3" s="339" t="str">
        <v>2016/17</v>
      </c>
      <c r="U3" s="339" t="str">
        <v>2017/18</v>
      </c>
      <c r="V3" s="339" t="str">
        <v>2018/19</v>
      </c>
      <c r="W3" s="309" t="str">
        <v>2019/20</v>
      </c>
      <c r="X3" s="310" t="str">
        <v>2020/21</v>
      </c>
      <c r="Y3" s="308" t="str">
        <f t="array" ref="Y3:AG3">P3:X3</f>
        <v>2012/13</v>
      </c>
      <c r="Z3" s="309" t="str">
        <v>2013/14</v>
      </c>
      <c r="AA3" s="339" t="str">
        <v>2014/15</v>
      </c>
      <c r="AB3" s="339" t="str">
        <v>2015/16</v>
      </c>
      <c r="AC3" s="339" t="str">
        <v>2016/17</v>
      </c>
      <c r="AD3" s="339" t="str">
        <v>2017/18</v>
      </c>
      <c r="AE3" s="339" t="str">
        <v>2018/19</v>
      </c>
      <c r="AF3" s="309" t="str">
        <v>2019/20</v>
      </c>
      <c r="AG3" s="310" t="str">
        <v>2020/21</v>
      </c>
      <c r="AH3" s="311" t="str">
        <f>"June 20" &amp; RIGHT(Q3,2)</f>
        <v>June 2014</v>
      </c>
    </row>
    <row r="4" spans="1:34" ht="12.75" x14ac:dyDescent="0.2">
      <c r="A4" s="313" t="str">
        <f>'Base Costs'!A4</f>
        <v>ND0826</v>
      </c>
      <c r="B4" s="314" t="str">
        <f>'Base Costs'!B4</f>
        <v>Avoca Substation 110 kV Redevelopment</v>
      </c>
      <c r="C4" s="314" t="str">
        <f>'Base Costs'!C4</f>
        <v>Asset Renewal</v>
      </c>
      <c r="D4" s="333" t="str">
        <f>'Base Costs'!D4</f>
        <v>2014/15</v>
      </c>
      <c r="E4" s="333">
        <f>'Base Costs'!E4</f>
        <v>0</v>
      </c>
      <c r="F4" s="315"/>
      <c r="G4" s="315"/>
      <c r="H4" s="316">
        <f>'Input Data Sheet'!J4</f>
        <v>0</v>
      </c>
      <c r="I4" s="316"/>
      <c r="J4" s="316"/>
      <c r="K4" s="316"/>
      <c r="L4" s="316"/>
      <c r="M4" s="316"/>
      <c r="N4" s="316"/>
      <c r="O4" s="287">
        <f>SUM(P4:X4)</f>
        <v>282736</v>
      </c>
      <c r="P4" s="317">
        <f>(1+Parameters!$AB$39)*'Cost+Escalation'!P4</f>
        <v>0</v>
      </c>
      <c r="Q4" s="286">
        <f>(1+Parameters!$AB$39)*'Cost+Escalation'!Q4</f>
        <v>0</v>
      </c>
      <c r="R4" s="340">
        <f>(1+Parameters!$AB$39)*'Cost+Escalation'!R4</f>
        <v>282736</v>
      </c>
      <c r="S4" s="340">
        <f>(1+Parameters!$AB$39)*'Cost+Escalation'!S4</f>
        <v>0</v>
      </c>
      <c r="T4" s="340">
        <f>(1+Parameters!$AB$39)*'Cost+Escalation'!T4</f>
        <v>0</v>
      </c>
      <c r="U4" s="340">
        <f>(1+Parameters!$AB$39)*'Cost+Escalation'!U4</f>
        <v>0</v>
      </c>
      <c r="V4" s="340">
        <f>(1+Parameters!$AB$39)*'Cost+Escalation'!V4</f>
        <v>0</v>
      </c>
      <c r="W4" s="286">
        <f>(1+Parameters!$AB$39)*'Cost+Escalation'!W4</f>
        <v>0</v>
      </c>
      <c r="X4" s="318">
        <f>(1+Parameters!$AB$39)*'Cost+Escalation'!X4</f>
        <v>0</v>
      </c>
      <c r="Y4" s="286">
        <f>IF($H4,P4,IF(Y$3=$D4,$O4,0))</f>
        <v>0</v>
      </c>
      <c r="Z4" s="286">
        <f t="shared" ref="Z4:AG35" si="1">IF($H4,Q4,IF(Z$3=$D4,$O4,0))</f>
        <v>0</v>
      </c>
      <c r="AA4" s="340">
        <f t="shared" si="1"/>
        <v>282736</v>
      </c>
      <c r="AB4" s="340">
        <f t="shared" si="1"/>
        <v>0</v>
      </c>
      <c r="AC4" s="340">
        <f t="shared" si="1"/>
        <v>0</v>
      </c>
      <c r="AD4" s="340">
        <f t="shared" si="1"/>
        <v>0</v>
      </c>
      <c r="AE4" s="340">
        <f t="shared" si="1"/>
        <v>0</v>
      </c>
      <c r="AF4" s="286">
        <f t="shared" si="1"/>
        <v>0</v>
      </c>
      <c r="AG4" s="286">
        <f t="shared" si="1"/>
        <v>0</v>
      </c>
      <c r="AH4" s="319">
        <f>IF($H4,0,IFERROR(IF(VALUE(LEFT(D4,4))&gt;VALUE(LEFT(Parameters!$B$66,4))+1,O4-SUM(R4:X4),0),0))</f>
        <v>0</v>
      </c>
    </row>
    <row r="5" spans="1:34" ht="12.75" x14ac:dyDescent="0.2">
      <c r="A5" s="313" t="str">
        <f>'Base Costs'!A5</f>
        <v>ND1306</v>
      </c>
      <c r="B5" s="314" t="str">
        <f>'Base Costs'!B5</f>
        <v>Bridgewater 110 kV transmission line security augmentation</v>
      </c>
      <c r="C5" s="314" t="str">
        <f>'Base Costs'!C5</f>
        <v>Augmentation</v>
      </c>
      <c r="D5" s="333" t="str">
        <f>'Base Costs'!D5</f>
        <v>2016/17</v>
      </c>
      <c r="E5" s="333">
        <f>'Base Costs'!E5</f>
        <v>1</v>
      </c>
      <c r="F5" s="315"/>
      <c r="G5" s="315"/>
      <c r="H5" s="316">
        <f>'Input Data Sheet'!J5</f>
        <v>0</v>
      </c>
      <c r="I5" s="316"/>
      <c r="J5" s="316"/>
      <c r="K5" s="316"/>
      <c r="L5" s="316"/>
      <c r="M5" s="316"/>
      <c r="N5" s="316"/>
      <c r="O5" s="287">
        <f t="shared" ref="O5:O41" si="2">SUM(P5:X5)</f>
        <v>1636351.6720932741</v>
      </c>
      <c r="P5" s="320">
        <f>(1+Parameters!$AB$39)*'Cost+Escalation'!P5</f>
        <v>0</v>
      </c>
      <c r="Q5" s="287">
        <f>(1+Parameters!$AB$39)*'Cost+Escalation'!Q5</f>
        <v>0</v>
      </c>
      <c r="R5" s="341">
        <f>(1+Parameters!$AB$39)*'Cost+Escalation'!R5</f>
        <v>741.83894840248195</v>
      </c>
      <c r="S5" s="341">
        <f>(1+Parameters!$AB$39)*'Cost+Escalation'!S5</f>
        <v>373394.9730434267</v>
      </c>
      <c r="T5" s="341">
        <f>(1+Parameters!$AB$39)*'Cost+Escalation'!T5</f>
        <v>1262214.8601014449</v>
      </c>
      <c r="U5" s="341">
        <f>(1+Parameters!$AB$39)*'Cost+Escalation'!U5</f>
        <v>0</v>
      </c>
      <c r="V5" s="341">
        <f>(1+Parameters!$AB$39)*'Cost+Escalation'!V5</f>
        <v>0</v>
      </c>
      <c r="W5" s="287">
        <f>(1+Parameters!$AB$39)*'Cost+Escalation'!W5</f>
        <v>0</v>
      </c>
      <c r="X5" s="321">
        <f>(1+Parameters!$AB$39)*'Cost+Escalation'!X5</f>
        <v>0</v>
      </c>
      <c r="Y5" s="287">
        <f t="shared" ref="Y5:AF63" si="3">IF($H5,P5,IF(Y$3=$D5,$O5,0))</f>
        <v>0</v>
      </c>
      <c r="Z5" s="287">
        <f t="shared" si="1"/>
        <v>0</v>
      </c>
      <c r="AA5" s="341">
        <f t="shared" si="1"/>
        <v>0</v>
      </c>
      <c r="AB5" s="341">
        <f t="shared" si="1"/>
        <v>0</v>
      </c>
      <c r="AC5" s="341">
        <f t="shared" si="1"/>
        <v>1636351.6720932741</v>
      </c>
      <c r="AD5" s="341">
        <f t="shared" si="1"/>
        <v>0</v>
      </c>
      <c r="AE5" s="341">
        <f t="shared" si="1"/>
        <v>0</v>
      </c>
      <c r="AF5" s="287">
        <f t="shared" si="1"/>
        <v>0</v>
      </c>
      <c r="AG5" s="287">
        <f t="shared" si="1"/>
        <v>0</v>
      </c>
      <c r="AH5" s="322">
        <f>IF($H5,0,IFERROR(IF(VALUE(LEFT(D5,4))&gt;VALUE(LEFT(Parameters!$B$66,4))+1,O5-SUM(R5:X5),0),0))</f>
        <v>0</v>
      </c>
    </row>
    <row r="6" spans="1:34" ht="12.75" x14ac:dyDescent="0.2">
      <c r="A6" s="313" t="str">
        <f>'Base Costs'!A6</f>
        <v>ND0908</v>
      </c>
      <c r="B6" s="314" t="str">
        <f>'Base Costs'!B6</f>
        <v>Burnie Substation 110 kV redevelopment</v>
      </c>
      <c r="C6" s="314" t="str">
        <f>'Base Costs'!C6</f>
        <v>Asset Renewal</v>
      </c>
      <c r="D6" s="333" t="str">
        <f>'Base Costs'!D6</f>
        <v>2014/15</v>
      </c>
      <c r="E6" s="333">
        <f>'Base Costs'!E6</f>
        <v>0</v>
      </c>
      <c r="F6" s="315"/>
      <c r="G6" s="315"/>
      <c r="H6" s="316">
        <f>'Input Data Sheet'!J6</f>
        <v>0</v>
      </c>
      <c r="I6" s="316"/>
      <c r="J6" s="316"/>
      <c r="K6" s="316"/>
      <c r="L6" s="316"/>
      <c r="M6" s="316"/>
      <c r="N6" s="316"/>
      <c r="O6" s="287">
        <f t="shared" si="2"/>
        <v>29000</v>
      </c>
      <c r="P6" s="320">
        <f>(1+Parameters!$AB$39)*'Cost+Escalation'!P6</f>
        <v>0</v>
      </c>
      <c r="Q6" s="287">
        <f>(1+Parameters!$AB$39)*'Cost+Escalation'!Q6</f>
        <v>0</v>
      </c>
      <c r="R6" s="341">
        <f>(1+Parameters!$AB$39)*'Cost+Escalation'!R6</f>
        <v>29000</v>
      </c>
      <c r="S6" s="341">
        <f>(1+Parameters!$AB$39)*'Cost+Escalation'!S6</f>
        <v>0</v>
      </c>
      <c r="T6" s="341">
        <f>(1+Parameters!$AB$39)*'Cost+Escalation'!T6</f>
        <v>0</v>
      </c>
      <c r="U6" s="341">
        <f>(1+Parameters!$AB$39)*'Cost+Escalation'!U6</f>
        <v>0</v>
      </c>
      <c r="V6" s="341">
        <f>(1+Parameters!$AB$39)*'Cost+Escalation'!V6</f>
        <v>0</v>
      </c>
      <c r="W6" s="287">
        <f>(1+Parameters!$AB$39)*'Cost+Escalation'!W6</f>
        <v>0</v>
      </c>
      <c r="X6" s="321">
        <f>(1+Parameters!$AB$39)*'Cost+Escalation'!X6</f>
        <v>0</v>
      </c>
      <c r="Y6" s="287">
        <f t="shared" si="3"/>
        <v>0</v>
      </c>
      <c r="Z6" s="287">
        <f t="shared" si="1"/>
        <v>0</v>
      </c>
      <c r="AA6" s="341">
        <f t="shared" si="1"/>
        <v>29000</v>
      </c>
      <c r="AB6" s="341">
        <f t="shared" si="1"/>
        <v>0</v>
      </c>
      <c r="AC6" s="341">
        <f t="shared" si="1"/>
        <v>0</v>
      </c>
      <c r="AD6" s="341">
        <f t="shared" si="1"/>
        <v>0</v>
      </c>
      <c r="AE6" s="341">
        <f t="shared" si="1"/>
        <v>0</v>
      </c>
      <c r="AF6" s="287">
        <f t="shared" si="1"/>
        <v>0</v>
      </c>
      <c r="AG6" s="287">
        <f t="shared" si="1"/>
        <v>0</v>
      </c>
      <c r="AH6" s="322">
        <f>IF($H6,0,IFERROR(IF(VALUE(LEFT(D6,4))&gt;VALUE(LEFT(Parameters!$B$66,4))+1,O6-SUM(R6:X6),0),0))</f>
        <v>0</v>
      </c>
    </row>
    <row r="7" spans="1:34" ht="12.75" x14ac:dyDescent="0.2">
      <c r="A7" s="313" t="str">
        <f>'Base Costs'!A7</f>
        <v>ND1307</v>
      </c>
      <c r="B7" s="314" t="str">
        <f>'Base Costs'!B7</f>
        <v>Condition Based Risk Management System (Stage 2)</v>
      </c>
      <c r="C7" s="314" t="str">
        <f>'Base Costs'!C7</f>
        <v>Operational Support Systems</v>
      </c>
      <c r="D7" s="333" t="str">
        <f>'Base Costs'!D7</f>
        <v>2018/19</v>
      </c>
      <c r="E7" s="333">
        <f>'Base Costs'!E7</f>
        <v>18</v>
      </c>
      <c r="F7" s="315"/>
      <c r="G7" s="315"/>
      <c r="H7" s="316">
        <f>'Input Data Sheet'!J7</f>
        <v>0</v>
      </c>
      <c r="I7" s="316"/>
      <c r="J7" s="316"/>
      <c r="K7" s="316"/>
      <c r="L7" s="316"/>
      <c r="M7" s="316"/>
      <c r="N7" s="316"/>
      <c r="O7" s="287">
        <f t="shared" si="2"/>
        <v>476841.23007968126</v>
      </c>
      <c r="P7" s="320">
        <f>(1+Parameters!$AB$39)*'Cost+Escalation'!P7</f>
        <v>0</v>
      </c>
      <c r="Q7" s="287">
        <f>(1+Parameters!$AB$39)*'Cost+Escalation'!Q7</f>
        <v>0</v>
      </c>
      <c r="R7" s="341">
        <f>(1+Parameters!$AB$39)*'Cost+Escalation'!R7</f>
        <v>0</v>
      </c>
      <c r="S7" s="341">
        <f>(1+Parameters!$AB$39)*'Cost+Escalation'!S7</f>
        <v>0</v>
      </c>
      <c r="T7" s="341">
        <f>(1+Parameters!$AB$39)*'Cost+Escalation'!T7</f>
        <v>0</v>
      </c>
      <c r="U7" s="341">
        <f>(1+Parameters!$AB$39)*'Cost+Escalation'!U7</f>
        <v>0</v>
      </c>
      <c r="V7" s="341">
        <f>(1+Parameters!$AB$39)*'Cost+Escalation'!V7</f>
        <v>476841.23007968126</v>
      </c>
      <c r="W7" s="287">
        <f>(1+Parameters!$AB$39)*'Cost+Escalation'!W7</f>
        <v>0</v>
      </c>
      <c r="X7" s="321">
        <f>(1+Parameters!$AB$39)*'Cost+Escalation'!X7</f>
        <v>0</v>
      </c>
      <c r="Y7" s="287">
        <f t="shared" si="3"/>
        <v>0</v>
      </c>
      <c r="Z7" s="287">
        <f t="shared" si="1"/>
        <v>0</v>
      </c>
      <c r="AA7" s="341">
        <f t="shared" si="1"/>
        <v>0</v>
      </c>
      <c r="AB7" s="341">
        <f t="shared" si="1"/>
        <v>0</v>
      </c>
      <c r="AC7" s="341">
        <f t="shared" si="1"/>
        <v>0</v>
      </c>
      <c r="AD7" s="341">
        <f t="shared" si="1"/>
        <v>0</v>
      </c>
      <c r="AE7" s="341">
        <f t="shared" si="1"/>
        <v>476841.23007968126</v>
      </c>
      <c r="AF7" s="287">
        <f t="shared" si="1"/>
        <v>0</v>
      </c>
      <c r="AG7" s="287">
        <f t="shared" si="1"/>
        <v>0</v>
      </c>
      <c r="AH7" s="322">
        <f>IF($H7,0,IFERROR(IF(VALUE(LEFT(D7,4))&gt;VALUE(LEFT(Parameters!$B$66,4))+1,O7-SUM(R7:X7),0),0))</f>
        <v>0</v>
      </c>
    </row>
    <row r="8" spans="1:34" ht="12.75" x14ac:dyDescent="0.2">
      <c r="A8" s="313" t="str">
        <f>'Base Costs'!A8</f>
        <v>TBA1</v>
      </c>
      <c r="B8" s="314" t="str">
        <f>'Base Costs'!B8</f>
        <v>Consumer engagement management system</v>
      </c>
      <c r="C8" s="314" t="str">
        <f>'Base Costs'!C8</f>
        <v>Operational Support Systems</v>
      </c>
      <c r="D8" s="333" t="str">
        <f>'Base Costs'!D8</f>
        <v>2017/18</v>
      </c>
      <c r="E8" s="333">
        <f>'Base Costs'!E8</f>
        <v>18</v>
      </c>
      <c r="F8" s="315"/>
      <c r="G8" s="315"/>
      <c r="H8" s="316">
        <f>'Input Data Sheet'!J8</f>
        <v>0</v>
      </c>
      <c r="I8" s="316"/>
      <c r="J8" s="316"/>
      <c r="K8" s="316"/>
      <c r="L8" s="316"/>
      <c r="M8" s="316"/>
      <c r="N8" s="316"/>
      <c r="O8" s="287">
        <f t="shared" si="2"/>
        <v>1028511.9521912349</v>
      </c>
      <c r="P8" s="320">
        <f>(1+Parameters!$AB$39)*'Cost+Escalation'!P8</f>
        <v>0</v>
      </c>
      <c r="Q8" s="287">
        <f>(1+Parameters!$AB$39)*'Cost+Escalation'!Q8</f>
        <v>0</v>
      </c>
      <c r="R8" s="341">
        <f>(1+Parameters!$AB$39)*'Cost+Escalation'!R8</f>
        <v>162672.80876494022</v>
      </c>
      <c r="S8" s="341">
        <f>(1+Parameters!$AB$39)*'Cost+Escalation'!S8</f>
        <v>503760.95617529878</v>
      </c>
      <c r="T8" s="341">
        <f>(1+Parameters!$AB$39)*'Cost+Escalation'!T8</f>
        <v>278118.02788844617</v>
      </c>
      <c r="U8" s="341">
        <f>(1+Parameters!$AB$39)*'Cost+Escalation'!U8</f>
        <v>83960.159362549792</v>
      </c>
      <c r="V8" s="341">
        <f>(1+Parameters!$AB$39)*'Cost+Escalation'!V8</f>
        <v>0</v>
      </c>
      <c r="W8" s="287">
        <f>(1+Parameters!$AB$39)*'Cost+Escalation'!W8</f>
        <v>0</v>
      </c>
      <c r="X8" s="321">
        <f>(1+Parameters!$AB$39)*'Cost+Escalation'!X8</f>
        <v>0</v>
      </c>
      <c r="Y8" s="287">
        <f t="shared" si="3"/>
        <v>0</v>
      </c>
      <c r="Z8" s="287">
        <f t="shared" si="1"/>
        <v>0</v>
      </c>
      <c r="AA8" s="341">
        <f t="shared" si="1"/>
        <v>0</v>
      </c>
      <c r="AB8" s="341">
        <f t="shared" si="1"/>
        <v>0</v>
      </c>
      <c r="AC8" s="341">
        <f t="shared" si="1"/>
        <v>0</v>
      </c>
      <c r="AD8" s="341">
        <f t="shared" si="1"/>
        <v>1028511.9521912349</v>
      </c>
      <c r="AE8" s="341">
        <f t="shared" si="1"/>
        <v>0</v>
      </c>
      <c r="AF8" s="287">
        <f t="shared" si="1"/>
        <v>0</v>
      </c>
      <c r="AG8" s="287">
        <f t="shared" si="1"/>
        <v>0</v>
      </c>
      <c r="AH8" s="322">
        <f>IF($H8,0,IFERROR(IF(VALUE(LEFT(D8,4))&gt;VALUE(LEFT(Parameters!$B$66,4))+1,O8-SUM(R8:X8),0),0))</f>
        <v>0</v>
      </c>
    </row>
    <row r="9" spans="1:34" ht="12.75" x14ac:dyDescent="0.2">
      <c r="A9" s="313" t="str">
        <f>'Base Costs'!A9</f>
        <v>ND0733</v>
      </c>
      <c r="B9" s="314" t="str">
        <f>'Base Costs'!B9</f>
        <v>Creek Road Substation 110 kV redevelopment</v>
      </c>
      <c r="C9" s="314" t="str">
        <f>'Base Costs'!C9</f>
        <v>Asset Renewal</v>
      </c>
      <c r="D9" s="333" t="str">
        <f>'Base Costs'!D9</f>
        <v>2014/15</v>
      </c>
      <c r="E9" s="333">
        <f>'Base Costs'!E9</f>
        <v>0</v>
      </c>
      <c r="F9" s="315"/>
      <c r="G9" s="315"/>
      <c r="H9" s="316">
        <f>'Input Data Sheet'!J9</f>
        <v>0</v>
      </c>
      <c r="I9" s="316"/>
      <c r="J9" s="316"/>
      <c r="K9" s="316"/>
      <c r="L9" s="316"/>
      <c r="M9" s="316"/>
      <c r="N9" s="316"/>
      <c r="O9" s="287">
        <f t="shared" si="2"/>
        <v>1010598</v>
      </c>
      <c r="P9" s="320">
        <f>(1+Parameters!$AB$39)*'Cost+Escalation'!P9</f>
        <v>0</v>
      </c>
      <c r="Q9" s="287">
        <f>(1+Parameters!$AB$39)*'Cost+Escalation'!Q9</f>
        <v>0</v>
      </c>
      <c r="R9" s="341">
        <f>(1+Parameters!$AB$39)*'Cost+Escalation'!R9</f>
        <v>1010598</v>
      </c>
      <c r="S9" s="341">
        <f>(1+Parameters!$AB$39)*'Cost+Escalation'!S9</f>
        <v>0</v>
      </c>
      <c r="T9" s="341">
        <f>(1+Parameters!$AB$39)*'Cost+Escalation'!T9</f>
        <v>0</v>
      </c>
      <c r="U9" s="341">
        <f>(1+Parameters!$AB$39)*'Cost+Escalation'!U9</f>
        <v>0</v>
      </c>
      <c r="V9" s="341">
        <f>(1+Parameters!$AB$39)*'Cost+Escalation'!V9</f>
        <v>0</v>
      </c>
      <c r="W9" s="287">
        <f>(1+Parameters!$AB$39)*'Cost+Escalation'!W9</f>
        <v>0</v>
      </c>
      <c r="X9" s="321">
        <f>(1+Parameters!$AB$39)*'Cost+Escalation'!X9</f>
        <v>0</v>
      </c>
      <c r="Y9" s="287">
        <f t="shared" si="3"/>
        <v>0</v>
      </c>
      <c r="Z9" s="287">
        <f t="shared" si="1"/>
        <v>0</v>
      </c>
      <c r="AA9" s="341">
        <f t="shared" si="1"/>
        <v>1010598</v>
      </c>
      <c r="AB9" s="341">
        <f t="shared" si="1"/>
        <v>0</v>
      </c>
      <c r="AC9" s="341">
        <f t="shared" si="1"/>
        <v>0</v>
      </c>
      <c r="AD9" s="341">
        <f t="shared" si="1"/>
        <v>0</v>
      </c>
      <c r="AE9" s="341">
        <f t="shared" si="1"/>
        <v>0</v>
      </c>
      <c r="AF9" s="287">
        <f t="shared" si="1"/>
        <v>0</v>
      </c>
      <c r="AG9" s="287">
        <f t="shared" si="1"/>
        <v>0</v>
      </c>
      <c r="AH9" s="322">
        <f>IF($H9,0,IFERROR(IF(VALUE(LEFT(D9,4))&gt;VALUE(LEFT(Parameters!$B$66,4))+1,O9-SUM(R9:X9),0),0))</f>
        <v>0</v>
      </c>
    </row>
    <row r="10" spans="1:34" ht="12.75" x14ac:dyDescent="0.2">
      <c r="A10" s="313" t="str">
        <f>'Base Costs'!A10</f>
        <v>TBA3</v>
      </c>
      <c r="B10" s="314" t="str">
        <f>'Base Costs'!B10</f>
        <v>Derwent Bridge transmission line redevelopment</v>
      </c>
      <c r="C10" s="314" t="str">
        <f>'Base Costs'!C10</f>
        <v>Asset Renewal</v>
      </c>
      <c r="D10" s="333" t="str">
        <f>'Base Costs'!D10</f>
        <v>2016/17</v>
      </c>
      <c r="E10" s="333">
        <f>'Base Costs'!E10</f>
        <v>1</v>
      </c>
      <c r="F10" s="315"/>
      <c r="G10" s="315"/>
      <c r="H10" s="316">
        <f>'Input Data Sheet'!J10</f>
        <v>0</v>
      </c>
      <c r="I10" s="316"/>
      <c r="J10" s="316"/>
      <c r="K10" s="316"/>
      <c r="L10" s="316"/>
      <c r="M10" s="316"/>
      <c r="N10" s="316"/>
      <c r="O10" s="287">
        <f t="shared" si="2"/>
        <v>1110339.7746310644</v>
      </c>
      <c r="P10" s="320">
        <f>(1+Parameters!$AB$39)*'Cost+Escalation'!P10</f>
        <v>0</v>
      </c>
      <c r="Q10" s="287">
        <f>(1+Parameters!$AB$39)*'Cost+Escalation'!Q10</f>
        <v>0</v>
      </c>
      <c r="R10" s="341">
        <f>(1+Parameters!$AB$39)*'Cost+Escalation'!R10</f>
        <v>440260.50350295665</v>
      </c>
      <c r="S10" s="341">
        <f>(1+Parameters!$AB$39)*'Cost+Escalation'!S10</f>
        <v>670079.27112810779</v>
      </c>
      <c r="T10" s="341">
        <f>(1+Parameters!$AB$39)*'Cost+Escalation'!T10</f>
        <v>0</v>
      </c>
      <c r="U10" s="341">
        <f>(1+Parameters!$AB$39)*'Cost+Escalation'!U10</f>
        <v>0</v>
      </c>
      <c r="V10" s="341">
        <f>(1+Parameters!$AB$39)*'Cost+Escalation'!V10</f>
        <v>0</v>
      </c>
      <c r="W10" s="287">
        <f>(1+Parameters!$AB$39)*'Cost+Escalation'!W10</f>
        <v>0</v>
      </c>
      <c r="X10" s="321">
        <f>(1+Parameters!$AB$39)*'Cost+Escalation'!X10</f>
        <v>0</v>
      </c>
      <c r="Y10" s="287">
        <f t="shared" si="3"/>
        <v>0</v>
      </c>
      <c r="Z10" s="287">
        <f t="shared" si="1"/>
        <v>0</v>
      </c>
      <c r="AA10" s="341">
        <f t="shared" si="1"/>
        <v>0</v>
      </c>
      <c r="AB10" s="341">
        <f t="shared" si="1"/>
        <v>0</v>
      </c>
      <c r="AC10" s="341">
        <f t="shared" si="1"/>
        <v>1110339.7746310644</v>
      </c>
      <c r="AD10" s="341">
        <f t="shared" si="1"/>
        <v>0</v>
      </c>
      <c r="AE10" s="341">
        <f t="shared" si="1"/>
        <v>0</v>
      </c>
      <c r="AF10" s="287">
        <f t="shared" si="1"/>
        <v>0</v>
      </c>
      <c r="AG10" s="287">
        <f t="shared" si="1"/>
        <v>0</v>
      </c>
      <c r="AH10" s="322">
        <f>IF($H10,0,IFERROR(IF(VALUE(LEFT(D10,4))&gt;VALUE(LEFT(Parameters!$B$66,4))+1,O10-SUM(R10:X10),0),0))</f>
        <v>0</v>
      </c>
    </row>
    <row r="11" spans="1:34" ht="12.75" x14ac:dyDescent="0.2">
      <c r="A11" s="313" t="str">
        <f>'Base Costs'!A11</f>
        <v>ND1211</v>
      </c>
      <c r="B11" s="314" t="str">
        <f>'Base Costs'!B11</f>
        <v>Enterprise Asset Management system</v>
      </c>
      <c r="C11" s="314" t="str">
        <f>'Base Costs'!C11</f>
        <v>Operational Support Systems</v>
      </c>
      <c r="D11" s="333" t="str">
        <f>'Base Costs'!D11</f>
        <v>2018/19</v>
      </c>
      <c r="E11" s="333">
        <f>'Base Costs'!E11</f>
        <v>18</v>
      </c>
      <c r="F11" s="315"/>
      <c r="G11" s="315"/>
      <c r="H11" s="316">
        <f>'Input Data Sheet'!J11</f>
        <v>1</v>
      </c>
      <c r="I11" s="316"/>
      <c r="J11" s="316"/>
      <c r="K11" s="316"/>
      <c r="L11" s="316"/>
      <c r="M11" s="316"/>
      <c r="N11" s="316"/>
      <c r="O11" s="287">
        <f t="shared" si="2"/>
        <v>6232992.3306772904</v>
      </c>
      <c r="P11" s="320">
        <f>(1+Parameters!$AB$39)*'Cost+Escalation'!P11</f>
        <v>0</v>
      </c>
      <c r="Q11" s="287">
        <f>(1+Parameters!$AB$39)*'Cost+Escalation'!Q11</f>
        <v>0</v>
      </c>
      <c r="R11" s="341">
        <f>(1+Parameters!$AB$39)*'Cost+Escalation'!R11</f>
        <v>314850.59760956175</v>
      </c>
      <c r="S11" s="341">
        <f>(1+Parameters!$AB$39)*'Cost+Escalation'!S11</f>
        <v>3261327.4402390434</v>
      </c>
      <c r="T11" s="341">
        <f>(1+Parameters!$AB$39)*'Cost+Escalation'!T11</f>
        <v>1279342.9282868525</v>
      </c>
      <c r="U11" s="341">
        <f>(1+Parameters!$AB$39)*'Cost+Escalation'!U11</f>
        <v>590344.87051792827</v>
      </c>
      <c r="V11" s="341">
        <f>(1+Parameters!$AB$39)*'Cost+Escalation'!V11</f>
        <v>787126.49402390432</v>
      </c>
      <c r="W11" s="287">
        <f>(1+Parameters!$AB$39)*'Cost+Escalation'!W11</f>
        <v>0</v>
      </c>
      <c r="X11" s="321">
        <f>(1+Parameters!$AB$39)*'Cost+Escalation'!X11</f>
        <v>0</v>
      </c>
      <c r="Y11" s="287">
        <f t="shared" si="3"/>
        <v>0</v>
      </c>
      <c r="Z11" s="287">
        <f t="shared" si="1"/>
        <v>0</v>
      </c>
      <c r="AA11" s="341">
        <f t="shared" si="1"/>
        <v>314850.59760956175</v>
      </c>
      <c r="AB11" s="341">
        <f t="shared" si="1"/>
        <v>3261327.4402390434</v>
      </c>
      <c r="AC11" s="341">
        <f t="shared" si="1"/>
        <v>1279342.9282868525</v>
      </c>
      <c r="AD11" s="341">
        <f t="shared" si="1"/>
        <v>590344.87051792827</v>
      </c>
      <c r="AE11" s="341">
        <f t="shared" si="1"/>
        <v>787126.49402390432</v>
      </c>
      <c r="AF11" s="287">
        <f t="shared" si="1"/>
        <v>0</v>
      </c>
      <c r="AG11" s="287">
        <f t="shared" si="1"/>
        <v>0</v>
      </c>
      <c r="AH11" s="322">
        <f>IF($H11,0,IFERROR(IF(VALUE(LEFT(D11,4))&gt;VALUE(LEFT(Parameters!$B$66,4))+1,O11-SUM(R11:X11),0),0))</f>
        <v>0</v>
      </c>
    </row>
    <row r="12" spans="1:34" ht="12.75" x14ac:dyDescent="0.2">
      <c r="A12" s="313" t="str">
        <f>'Base Costs'!A12</f>
        <v>TBA2</v>
      </c>
      <c r="B12" s="314" t="str">
        <f>'Base Costs'!B12</f>
        <v>Facilities Access Control System</v>
      </c>
      <c r="C12" s="314" t="str">
        <f>'Base Costs'!C12</f>
        <v>Business support</v>
      </c>
      <c r="D12" s="333" t="str">
        <f>'Base Costs'!D12</f>
        <v>2014/15</v>
      </c>
      <c r="E12" s="333">
        <f>'Base Costs'!E12</f>
        <v>18</v>
      </c>
      <c r="F12" s="315"/>
      <c r="G12" s="315"/>
      <c r="H12" s="316">
        <f>'Input Data Sheet'!J12</f>
        <v>0</v>
      </c>
      <c r="I12" s="316"/>
      <c r="J12" s="316"/>
      <c r="K12" s="316"/>
      <c r="L12" s="316"/>
      <c r="M12" s="316"/>
      <c r="N12" s="316"/>
      <c r="O12" s="287">
        <f t="shared" si="2"/>
        <v>166113.0762948207</v>
      </c>
      <c r="P12" s="320">
        <f>(1+Parameters!$AB$39)*'Cost+Escalation'!P12</f>
        <v>0</v>
      </c>
      <c r="Q12" s="287">
        <f>(1+Parameters!$AB$39)*'Cost+Escalation'!Q12</f>
        <v>0</v>
      </c>
      <c r="R12" s="341">
        <f>(1+Parameters!$AB$39)*'Cost+Escalation'!R12</f>
        <v>166113.0762948207</v>
      </c>
      <c r="S12" s="341">
        <f>(1+Parameters!$AB$39)*'Cost+Escalation'!S12</f>
        <v>0</v>
      </c>
      <c r="T12" s="341">
        <f>(1+Parameters!$AB$39)*'Cost+Escalation'!T12</f>
        <v>0</v>
      </c>
      <c r="U12" s="341">
        <f>(1+Parameters!$AB$39)*'Cost+Escalation'!U12</f>
        <v>0</v>
      </c>
      <c r="V12" s="341">
        <f>(1+Parameters!$AB$39)*'Cost+Escalation'!V12</f>
        <v>0</v>
      </c>
      <c r="W12" s="287">
        <f>(1+Parameters!$AB$39)*'Cost+Escalation'!W12</f>
        <v>0</v>
      </c>
      <c r="X12" s="321">
        <f>(1+Parameters!$AB$39)*'Cost+Escalation'!X12</f>
        <v>0</v>
      </c>
      <c r="Y12" s="287">
        <f t="shared" si="3"/>
        <v>0</v>
      </c>
      <c r="Z12" s="287">
        <f t="shared" si="1"/>
        <v>0</v>
      </c>
      <c r="AA12" s="341">
        <f t="shared" si="1"/>
        <v>166113.0762948207</v>
      </c>
      <c r="AB12" s="341">
        <f t="shared" si="1"/>
        <v>0</v>
      </c>
      <c r="AC12" s="341">
        <f t="shared" si="1"/>
        <v>0</v>
      </c>
      <c r="AD12" s="341">
        <f t="shared" si="1"/>
        <v>0</v>
      </c>
      <c r="AE12" s="341">
        <f t="shared" si="1"/>
        <v>0</v>
      </c>
      <c r="AF12" s="287">
        <f t="shared" si="1"/>
        <v>0</v>
      </c>
      <c r="AG12" s="287">
        <f t="shared" si="1"/>
        <v>0</v>
      </c>
      <c r="AH12" s="322">
        <f>IF($H12,0,IFERROR(IF(VALUE(LEFT(D12,4))&gt;VALUE(LEFT(Parameters!$B$66,4))+1,O12-SUM(R12:X12),0),0))</f>
        <v>0</v>
      </c>
    </row>
    <row r="13" spans="1:34" ht="12.75" x14ac:dyDescent="0.2">
      <c r="A13" s="313" t="str">
        <f>'Base Costs'!A13</f>
        <v>ND1116</v>
      </c>
      <c r="B13" s="314" t="str">
        <f>'Base Costs'!B13</f>
        <v>Fault Level Mitigation Program</v>
      </c>
      <c r="C13" s="314" t="str">
        <f>'Base Costs'!C13</f>
        <v>Connection</v>
      </c>
      <c r="D13" s="333" t="str">
        <f>'Base Costs'!D13</f>
        <v>2016/17</v>
      </c>
      <c r="E13" s="333">
        <f>'Base Costs'!E13</f>
        <v>9</v>
      </c>
      <c r="F13" s="315"/>
      <c r="G13" s="315"/>
      <c r="H13" s="316">
        <f>'Input Data Sheet'!J13</f>
        <v>1</v>
      </c>
      <c r="I13" s="316"/>
      <c r="J13" s="316"/>
      <c r="K13" s="316"/>
      <c r="L13" s="316"/>
      <c r="M13" s="316"/>
      <c r="N13" s="316"/>
      <c r="O13" s="287">
        <f t="shared" si="2"/>
        <v>3357913.761985865</v>
      </c>
      <c r="P13" s="320">
        <f>(1+Parameters!$AB$39)*'Cost+Escalation'!P13</f>
        <v>0</v>
      </c>
      <c r="Q13" s="287">
        <f>(1+Parameters!$AB$39)*'Cost+Escalation'!Q13</f>
        <v>0</v>
      </c>
      <c r="R13" s="341">
        <f>(1+Parameters!$AB$39)*'Cost+Escalation'!R13</f>
        <v>418127.15228872979</v>
      </c>
      <c r="S13" s="341">
        <f>(1+Parameters!$AB$39)*'Cost+Escalation'!S13</f>
        <v>2880569.8179680691</v>
      </c>
      <c r="T13" s="341">
        <f>(1+Parameters!$AB$39)*'Cost+Escalation'!T13</f>
        <v>59216.791729066012</v>
      </c>
      <c r="U13" s="341">
        <f>(1+Parameters!$AB$39)*'Cost+Escalation'!U13</f>
        <v>0</v>
      </c>
      <c r="V13" s="341">
        <f>(1+Parameters!$AB$39)*'Cost+Escalation'!V13</f>
        <v>0</v>
      </c>
      <c r="W13" s="287">
        <f>(1+Parameters!$AB$39)*'Cost+Escalation'!W13</f>
        <v>0</v>
      </c>
      <c r="X13" s="321">
        <f>(1+Parameters!$AB$39)*'Cost+Escalation'!X13</f>
        <v>0</v>
      </c>
      <c r="Y13" s="287">
        <f t="shared" si="3"/>
        <v>0</v>
      </c>
      <c r="Z13" s="287">
        <f t="shared" si="1"/>
        <v>0</v>
      </c>
      <c r="AA13" s="341">
        <f t="shared" si="1"/>
        <v>418127.15228872979</v>
      </c>
      <c r="AB13" s="341">
        <f t="shared" si="1"/>
        <v>2880569.8179680691</v>
      </c>
      <c r="AC13" s="341">
        <f t="shared" si="1"/>
        <v>59216.791729066012</v>
      </c>
      <c r="AD13" s="341">
        <f t="shared" si="1"/>
        <v>0</v>
      </c>
      <c r="AE13" s="341">
        <f t="shared" si="1"/>
        <v>0</v>
      </c>
      <c r="AF13" s="287">
        <f t="shared" si="1"/>
        <v>0</v>
      </c>
      <c r="AG13" s="287">
        <f t="shared" si="1"/>
        <v>0</v>
      </c>
      <c r="AH13" s="322">
        <f>IF($H13,0,IFERROR(IF(VALUE(LEFT(D13,4))&gt;VALUE(LEFT(Parameters!$B$66,4))+1,O13-SUM(R13:X13),0),0))</f>
        <v>0</v>
      </c>
    </row>
    <row r="14" spans="1:34" ht="12.75" x14ac:dyDescent="0.2">
      <c r="A14" s="313" t="str">
        <f>'Base Costs'!A14</f>
        <v>ND0789</v>
      </c>
      <c r="B14" s="314" t="str">
        <f>'Base Costs'!B14</f>
        <v>Fleet Vehicle Procurement program</v>
      </c>
      <c r="C14" s="314" t="str">
        <f>'Base Costs'!C14</f>
        <v>Business support</v>
      </c>
      <c r="D14" s="333" t="str">
        <f>'Base Costs'!D14</f>
        <v>2018/19</v>
      </c>
      <c r="E14" s="333">
        <f>'Base Costs'!E14</f>
        <v>18</v>
      </c>
      <c r="F14" s="315"/>
      <c r="G14" s="315"/>
      <c r="H14" s="316">
        <f>'Input Data Sheet'!J14</f>
        <v>1</v>
      </c>
      <c r="I14" s="316"/>
      <c r="J14" s="316"/>
      <c r="K14" s="316"/>
      <c r="L14" s="316"/>
      <c r="M14" s="316"/>
      <c r="N14" s="316"/>
      <c r="O14" s="287">
        <f t="shared" si="2"/>
        <v>3313277.7888446213</v>
      </c>
      <c r="P14" s="320">
        <f>(1+Parameters!$AB$39)*'Cost+Escalation'!P14</f>
        <v>0</v>
      </c>
      <c r="Q14" s="287">
        <f>(1+Parameters!$AB$39)*'Cost+Escalation'!Q14</f>
        <v>0</v>
      </c>
      <c r="R14" s="341">
        <f>(1+Parameters!$AB$39)*'Cost+Escalation'!R14</f>
        <v>671681.27490039833</v>
      </c>
      <c r="S14" s="341">
        <f>(1+Parameters!$AB$39)*'Cost+Escalation'!S14</f>
        <v>1004373.4063745019</v>
      </c>
      <c r="T14" s="341">
        <f>(1+Parameters!$AB$39)*'Cost+Escalation'!T14</f>
        <v>629701.1952191235</v>
      </c>
      <c r="U14" s="341">
        <f>(1+Parameters!$AB$39)*'Cost+Escalation'!U14</f>
        <v>209900.3984063745</v>
      </c>
      <c r="V14" s="341">
        <f>(1+Parameters!$AB$39)*'Cost+Escalation'!V14</f>
        <v>797621.51394422306</v>
      </c>
      <c r="W14" s="287">
        <f>(1+Parameters!$AB$39)*'Cost+Escalation'!W14</f>
        <v>0</v>
      </c>
      <c r="X14" s="321">
        <f>(1+Parameters!$AB$39)*'Cost+Escalation'!X14</f>
        <v>0</v>
      </c>
      <c r="Y14" s="287">
        <f t="shared" si="3"/>
        <v>0</v>
      </c>
      <c r="Z14" s="287">
        <f t="shared" si="1"/>
        <v>0</v>
      </c>
      <c r="AA14" s="341">
        <f t="shared" si="1"/>
        <v>671681.27490039833</v>
      </c>
      <c r="AB14" s="341">
        <f t="shared" si="1"/>
        <v>1004373.4063745019</v>
      </c>
      <c r="AC14" s="341">
        <f t="shared" si="1"/>
        <v>629701.1952191235</v>
      </c>
      <c r="AD14" s="341">
        <f t="shared" si="1"/>
        <v>209900.3984063745</v>
      </c>
      <c r="AE14" s="341">
        <f t="shared" si="1"/>
        <v>797621.51394422306</v>
      </c>
      <c r="AF14" s="287">
        <f t="shared" si="1"/>
        <v>0</v>
      </c>
      <c r="AG14" s="287">
        <f t="shared" si="1"/>
        <v>0</v>
      </c>
      <c r="AH14" s="322">
        <f>IF($H14,0,IFERROR(IF(VALUE(LEFT(D14,4))&gt;VALUE(LEFT(Parameters!$B$66,4))+1,O14-SUM(R14:X14),0),0))</f>
        <v>0</v>
      </c>
    </row>
    <row r="15" spans="1:34" ht="12.75" x14ac:dyDescent="0.2">
      <c r="A15" s="313" t="str">
        <f>'Base Costs'!A15</f>
        <v>ND1240</v>
      </c>
      <c r="B15" s="314" t="str">
        <f>'Base Costs'!B15</f>
        <v>Geographical Information System renewal and data collection tools</v>
      </c>
      <c r="C15" s="314" t="str">
        <f>'Base Costs'!C15</f>
        <v>Operational Support Systems</v>
      </c>
      <c r="D15" s="333" t="str">
        <f>'Base Costs'!D15</f>
        <v>2018/19</v>
      </c>
      <c r="E15" s="333">
        <f>'Base Costs'!E15</f>
        <v>15</v>
      </c>
      <c r="F15" s="315"/>
      <c r="G15" s="315"/>
      <c r="H15" s="316">
        <f>'Input Data Sheet'!J15</f>
        <v>1</v>
      </c>
      <c r="I15" s="316"/>
      <c r="J15" s="316"/>
      <c r="K15" s="316"/>
      <c r="L15" s="316"/>
      <c r="M15" s="316"/>
      <c r="N15" s="316"/>
      <c r="O15" s="287">
        <f t="shared" si="2"/>
        <v>545900.97478794353</v>
      </c>
      <c r="P15" s="320">
        <f>(1+Parameters!$AB$39)*'Cost+Escalation'!P15</f>
        <v>0</v>
      </c>
      <c r="Q15" s="287">
        <f>(1+Parameters!$AB$39)*'Cost+Escalation'!Q15</f>
        <v>0</v>
      </c>
      <c r="R15" s="341">
        <f>(1+Parameters!$AB$39)*'Cost+Escalation'!R15</f>
        <v>98956.695025920882</v>
      </c>
      <c r="S15" s="341">
        <f>(1+Parameters!$AB$39)*'Cost+Escalation'!S15</f>
        <v>103706.61638716508</v>
      </c>
      <c r="T15" s="341">
        <f>(1+Parameters!$AB$39)*'Cost+Escalation'!T15</f>
        <v>108788.19115894457</v>
      </c>
      <c r="U15" s="341">
        <f>(1+Parameters!$AB$39)*'Cost+Escalation'!U15</f>
        <v>114281.98186765959</v>
      </c>
      <c r="V15" s="341">
        <f>(1+Parameters!$AB$39)*'Cost+Escalation'!V15</f>
        <v>120167.49034825343</v>
      </c>
      <c r="W15" s="287">
        <f>(1+Parameters!$AB$39)*'Cost+Escalation'!W15</f>
        <v>0</v>
      </c>
      <c r="X15" s="321">
        <f>(1+Parameters!$AB$39)*'Cost+Escalation'!X15</f>
        <v>0</v>
      </c>
      <c r="Y15" s="287">
        <f t="shared" si="3"/>
        <v>0</v>
      </c>
      <c r="Z15" s="287">
        <f t="shared" si="1"/>
        <v>0</v>
      </c>
      <c r="AA15" s="341">
        <f t="shared" si="1"/>
        <v>98956.695025920882</v>
      </c>
      <c r="AB15" s="341">
        <f t="shared" si="1"/>
        <v>103706.61638716508</v>
      </c>
      <c r="AC15" s="341">
        <f t="shared" si="1"/>
        <v>108788.19115894457</v>
      </c>
      <c r="AD15" s="341">
        <f t="shared" si="1"/>
        <v>114281.98186765959</v>
      </c>
      <c r="AE15" s="341">
        <f t="shared" si="1"/>
        <v>120167.49034825343</v>
      </c>
      <c r="AF15" s="287">
        <f t="shared" si="1"/>
        <v>0</v>
      </c>
      <c r="AG15" s="287">
        <f t="shared" si="1"/>
        <v>0</v>
      </c>
      <c r="AH15" s="322">
        <f>IF($H15,0,IFERROR(IF(VALUE(LEFT(D15,4))&gt;VALUE(LEFT(Parameters!$B$66,4))+1,O15-SUM(R15:X15),0),0))</f>
        <v>0</v>
      </c>
    </row>
    <row r="16" spans="1:34" ht="12.75" x14ac:dyDescent="0.2">
      <c r="A16" s="313" t="str">
        <f>'Base Costs'!A16</f>
        <v>ND0937</v>
      </c>
      <c r="B16" s="314" t="str">
        <f>'Base Costs'!B16</f>
        <v>George Town Substation 110 kV redevelopment</v>
      </c>
      <c r="C16" s="314" t="str">
        <f>'Base Costs'!C16</f>
        <v>Asset Renewal</v>
      </c>
      <c r="D16" s="333" t="str">
        <f>'Base Costs'!D16</f>
        <v>2014/15</v>
      </c>
      <c r="E16" s="333">
        <f>'Base Costs'!E16</f>
        <v>0</v>
      </c>
      <c r="F16" s="315"/>
      <c r="G16" s="315"/>
      <c r="H16" s="316">
        <f>'Input Data Sheet'!J16</f>
        <v>0</v>
      </c>
      <c r="I16" s="316"/>
      <c r="J16" s="316"/>
      <c r="K16" s="316"/>
      <c r="L16" s="316"/>
      <c r="M16" s="316"/>
      <c r="N16" s="316"/>
      <c r="O16" s="287">
        <f t="shared" si="2"/>
        <v>9844306</v>
      </c>
      <c r="P16" s="320">
        <f>(1+Parameters!$AB$39)*'Cost+Escalation'!P16</f>
        <v>0</v>
      </c>
      <c r="Q16" s="287">
        <f>(1+Parameters!$AB$39)*'Cost+Escalation'!Q16</f>
        <v>3650009</v>
      </c>
      <c r="R16" s="341">
        <f>(1+Parameters!$AB$39)*'Cost+Escalation'!R16</f>
        <v>6194297</v>
      </c>
      <c r="S16" s="341">
        <f>(1+Parameters!$AB$39)*'Cost+Escalation'!S16</f>
        <v>0</v>
      </c>
      <c r="T16" s="341">
        <f>(1+Parameters!$AB$39)*'Cost+Escalation'!T16</f>
        <v>0</v>
      </c>
      <c r="U16" s="341">
        <f>(1+Parameters!$AB$39)*'Cost+Escalation'!U16</f>
        <v>0</v>
      </c>
      <c r="V16" s="341">
        <f>(1+Parameters!$AB$39)*'Cost+Escalation'!V16</f>
        <v>0</v>
      </c>
      <c r="W16" s="287">
        <f>(1+Parameters!$AB$39)*'Cost+Escalation'!W16</f>
        <v>0</v>
      </c>
      <c r="X16" s="321">
        <f>(1+Parameters!$AB$39)*'Cost+Escalation'!X16</f>
        <v>0</v>
      </c>
      <c r="Y16" s="287">
        <f t="shared" si="3"/>
        <v>0</v>
      </c>
      <c r="Z16" s="287">
        <f t="shared" si="1"/>
        <v>0</v>
      </c>
      <c r="AA16" s="341">
        <f t="shared" si="1"/>
        <v>9844306</v>
      </c>
      <c r="AB16" s="341">
        <f t="shared" si="1"/>
        <v>0</v>
      </c>
      <c r="AC16" s="341">
        <f t="shared" si="1"/>
        <v>0</v>
      </c>
      <c r="AD16" s="341">
        <f t="shared" si="1"/>
        <v>0</v>
      </c>
      <c r="AE16" s="341">
        <f t="shared" si="1"/>
        <v>0</v>
      </c>
      <c r="AF16" s="287">
        <f t="shared" si="1"/>
        <v>0</v>
      </c>
      <c r="AG16" s="287">
        <f t="shared" si="1"/>
        <v>0</v>
      </c>
      <c r="AH16" s="322">
        <f>IF($H16,0,IFERROR(IF(VALUE(LEFT(D16,4))&gt;VALUE(LEFT(Parameters!$B$66,4))+1,O16-SUM(R16:X16),0),0))</f>
        <v>3650009</v>
      </c>
    </row>
    <row r="17" spans="1:34" ht="12.75" x14ac:dyDescent="0.2">
      <c r="A17" s="313" t="str">
        <f>'Base Costs'!A17</f>
        <v>ND1214</v>
      </c>
      <c r="B17" s="314" t="str">
        <f>'Base Costs'!B17</f>
        <v>High Voltage switchgear refurbishment program</v>
      </c>
      <c r="C17" s="314" t="str">
        <f>'Base Costs'!C17</f>
        <v>Asset Renewal</v>
      </c>
      <c r="D17" s="333" t="str">
        <f>'Base Costs'!D17</f>
        <v>2018/19</v>
      </c>
      <c r="E17" s="333">
        <f>'Base Costs'!E17</f>
        <v>9</v>
      </c>
      <c r="F17" s="315"/>
      <c r="G17" s="315"/>
      <c r="H17" s="316">
        <f>'Input Data Sheet'!J17</f>
        <v>1</v>
      </c>
      <c r="I17" s="316"/>
      <c r="J17" s="316"/>
      <c r="K17" s="316"/>
      <c r="L17" s="316"/>
      <c r="M17" s="316"/>
      <c r="N17" s="316"/>
      <c r="O17" s="287">
        <f t="shared" si="2"/>
        <v>2642264.1977497432</v>
      </c>
      <c r="P17" s="320">
        <f>(1+Parameters!$AB$39)*'Cost+Escalation'!P17</f>
        <v>0</v>
      </c>
      <c r="Q17" s="287">
        <f>(1+Parameters!$AB$39)*'Cost+Escalation'!Q17</f>
        <v>0</v>
      </c>
      <c r="R17" s="341">
        <f>(1+Parameters!$AB$39)*'Cost+Escalation'!R17</f>
        <v>0</v>
      </c>
      <c r="S17" s="341">
        <f>(1+Parameters!$AB$39)*'Cost+Escalation'!S17</f>
        <v>0</v>
      </c>
      <c r="T17" s="341">
        <f>(1+Parameters!$AB$39)*'Cost+Escalation'!T17</f>
        <v>351247.1463845899</v>
      </c>
      <c r="U17" s="341">
        <f>(1+Parameters!$AB$39)*'Cost+Escalation'!U17</f>
        <v>1584505.6843912427</v>
      </c>
      <c r="V17" s="341">
        <f>(1+Parameters!$AB$39)*'Cost+Escalation'!V17</f>
        <v>706511.3669739106</v>
      </c>
      <c r="W17" s="287">
        <f>(1+Parameters!$AB$39)*'Cost+Escalation'!W17</f>
        <v>0</v>
      </c>
      <c r="X17" s="321">
        <f>(1+Parameters!$AB$39)*'Cost+Escalation'!X17</f>
        <v>0</v>
      </c>
      <c r="Y17" s="287">
        <f t="shared" si="3"/>
        <v>0</v>
      </c>
      <c r="Z17" s="287">
        <f t="shared" si="1"/>
        <v>0</v>
      </c>
      <c r="AA17" s="341">
        <f t="shared" si="1"/>
        <v>0</v>
      </c>
      <c r="AB17" s="341">
        <f t="shared" si="1"/>
        <v>0</v>
      </c>
      <c r="AC17" s="341">
        <f t="shared" si="1"/>
        <v>351247.1463845899</v>
      </c>
      <c r="AD17" s="341">
        <f t="shared" si="1"/>
        <v>1584505.6843912427</v>
      </c>
      <c r="AE17" s="341">
        <f t="shared" si="1"/>
        <v>706511.3669739106</v>
      </c>
      <c r="AF17" s="287">
        <f t="shared" si="1"/>
        <v>0</v>
      </c>
      <c r="AG17" s="287">
        <f t="shared" si="1"/>
        <v>0</v>
      </c>
      <c r="AH17" s="322">
        <f>IF($H17,0,IFERROR(IF(VALUE(LEFT(D17,4))&gt;VALUE(LEFT(Parameters!$B$66,4))+1,O17-SUM(R17:X17),0),0))</f>
        <v>0</v>
      </c>
    </row>
    <row r="18" spans="1:34" ht="12.75" x14ac:dyDescent="0.2">
      <c r="A18" s="313" t="str">
        <f>'Base Costs'!A18</f>
        <v>ND1215</v>
      </c>
      <c r="B18" s="314" t="str">
        <f>'Base Costs'!B18</f>
        <v>HV Feeder protection renewal program</v>
      </c>
      <c r="C18" s="314" t="str">
        <f>'Base Costs'!C18</f>
        <v>Asset Renewal</v>
      </c>
      <c r="D18" s="333" t="str">
        <f>'Base Costs'!D18</f>
        <v>2019/20</v>
      </c>
      <c r="E18" s="333">
        <f>'Base Costs'!E18</f>
        <v>13</v>
      </c>
      <c r="F18" s="315"/>
      <c r="G18" s="315"/>
      <c r="H18" s="316">
        <f>'Input Data Sheet'!J18</f>
        <v>1</v>
      </c>
      <c r="I18" s="316"/>
      <c r="J18" s="316"/>
      <c r="K18" s="316"/>
      <c r="L18" s="316"/>
      <c r="M18" s="316"/>
      <c r="N18" s="316"/>
      <c r="O18" s="287">
        <f t="shared" si="2"/>
        <v>2675947.2181537421</v>
      </c>
      <c r="P18" s="320">
        <f>(1+Parameters!$AB$39)*'Cost+Escalation'!P18</f>
        <v>0</v>
      </c>
      <c r="Q18" s="287">
        <f>(1+Parameters!$AB$39)*'Cost+Escalation'!Q18</f>
        <v>0</v>
      </c>
      <c r="R18" s="341">
        <f>(1+Parameters!$AB$39)*'Cost+Escalation'!R18</f>
        <v>0</v>
      </c>
      <c r="S18" s="341">
        <f>(1+Parameters!$AB$39)*'Cost+Escalation'!S18</f>
        <v>0</v>
      </c>
      <c r="T18" s="341">
        <f>(1+Parameters!$AB$39)*'Cost+Escalation'!T18</f>
        <v>0</v>
      </c>
      <c r="U18" s="341">
        <f>(1+Parameters!$AB$39)*'Cost+Escalation'!U18</f>
        <v>344678.57983607048</v>
      </c>
      <c r="V18" s="341">
        <f>(1+Parameters!$AB$39)*'Cost+Escalation'!V18</f>
        <v>2304472.1353653357</v>
      </c>
      <c r="W18" s="287">
        <f>(1+Parameters!$AB$39)*'Cost+Escalation'!W18</f>
        <v>26796.502952336021</v>
      </c>
      <c r="X18" s="321">
        <f>(1+Parameters!$AB$39)*'Cost+Escalation'!X18</f>
        <v>0</v>
      </c>
      <c r="Y18" s="287">
        <f t="shared" si="3"/>
        <v>0</v>
      </c>
      <c r="Z18" s="287">
        <f t="shared" si="1"/>
        <v>0</v>
      </c>
      <c r="AA18" s="341">
        <f t="shared" si="1"/>
        <v>0</v>
      </c>
      <c r="AB18" s="341">
        <f t="shared" si="1"/>
        <v>0</v>
      </c>
      <c r="AC18" s="341">
        <f t="shared" si="1"/>
        <v>0</v>
      </c>
      <c r="AD18" s="341">
        <f t="shared" si="1"/>
        <v>344678.57983607048</v>
      </c>
      <c r="AE18" s="341">
        <f t="shared" si="1"/>
        <v>2304472.1353653357</v>
      </c>
      <c r="AF18" s="287">
        <f t="shared" si="1"/>
        <v>26796.502952336021</v>
      </c>
      <c r="AG18" s="287">
        <f t="shared" si="1"/>
        <v>0</v>
      </c>
      <c r="AH18" s="322">
        <f>IF($H18,0,IFERROR(IF(VALUE(LEFT(D18,4))&gt;VALUE(LEFT(Parameters!$B$66,4))+1,O18-SUM(R18:X18),0),0))</f>
        <v>0</v>
      </c>
    </row>
    <row r="19" spans="1:34" ht="12.75" x14ac:dyDescent="0.2">
      <c r="A19" s="313" t="str">
        <f>'Base Costs'!A19</f>
        <v>ND1205-1</v>
      </c>
      <c r="B19" s="314" t="str">
        <f>'Base Costs'!B19</f>
        <v>Information Technology applications program</v>
      </c>
      <c r="C19" s="314" t="str">
        <f>'Base Costs'!C19</f>
        <v>Information Technology</v>
      </c>
      <c r="D19" s="333" t="str">
        <f>'Base Costs'!D19</f>
        <v>2018/19</v>
      </c>
      <c r="E19" s="333">
        <f>'Base Costs'!E19</f>
        <v>18</v>
      </c>
      <c r="F19" s="315"/>
      <c r="G19" s="315"/>
      <c r="H19" s="316">
        <f>'Input Data Sheet'!J19</f>
        <v>1</v>
      </c>
      <c r="I19" s="316"/>
      <c r="J19" s="316"/>
      <c r="K19" s="316"/>
      <c r="L19" s="316"/>
      <c r="M19" s="316"/>
      <c r="N19" s="316"/>
      <c r="O19" s="287">
        <f t="shared" si="2"/>
        <v>5425713.7192031872</v>
      </c>
      <c r="P19" s="320">
        <f>(1+Parameters!$AB$39)*'Cost+Escalation'!P19</f>
        <v>0</v>
      </c>
      <c r="Q19" s="287">
        <f>(1+Parameters!$AB$39)*'Cost+Escalation'!Q19</f>
        <v>0</v>
      </c>
      <c r="R19" s="341">
        <f>(1+Parameters!$AB$39)*'Cost+Escalation'!R19</f>
        <v>1497229.6170517928</v>
      </c>
      <c r="S19" s="341">
        <f>(1+Parameters!$AB$39)*'Cost+Escalation'!S19</f>
        <v>531377.13179282867</v>
      </c>
      <c r="T19" s="341">
        <f>(1+Parameters!$AB$39)*'Cost+Escalation'!T19</f>
        <v>918373.01513944217</v>
      </c>
      <c r="U19" s="341">
        <f>(1+Parameters!$AB$39)*'Cost+Escalation'!U19</f>
        <v>1800115.8919521912</v>
      </c>
      <c r="V19" s="341">
        <f>(1+Parameters!$AB$39)*'Cost+Escalation'!V19</f>
        <v>678618.06326693215</v>
      </c>
      <c r="W19" s="287">
        <f>(1+Parameters!$AB$39)*'Cost+Escalation'!W19</f>
        <v>0</v>
      </c>
      <c r="X19" s="321">
        <f>(1+Parameters!$AB$39)*'Cost+Escalation'!X19</f>
        <v>0</v>
      </c>
      <c r="Y19" s="287">
        <f t="shared" si="3"/>
        <v>0</v>
      </c>
      <c r="Z19" s="287">
        <f t="shared" si="1"/>
        <v>0</v>
      </c>
      <c r="AA19" s="341">
        <f t="shared" si="1"/>
        <v>1497229.6170517928</v>
      </c>
      <c r="AB19" s="341">
        <f t="shared" si="1"/>
        <v>531377.13179282867</v>
      </c>
      <c r="AC19" s="341">
        <f t="shared" si="1"/>
        <v>918373.01513944217</v>
      </c>
      <c r="AD19" s="341">
        <f t="shared" si="1"/>
        <v>1800115.8919521912</v>
      </c>
      <c r="AE19" s="341">
        <f t="shared" si="1"/>
        <v>678618.06326693215</v>
      </c>
      <c r="AF19" s="287">
        <f t="shared" si="1"/>
        <v>0</v>
      </c>
      <c r="AG19" s="287">
        <f t="shared" si="1"/>
        <v>0</v>
      </c>
      <c r="AH19" s="322">
        <f>IF($H19,0,IFERROR(IF(VALUE(LEFT(D19,4))&gt;VALUE(LEFT(Parameters!$B$66,4))+1,O19-SUM(R19:X19),0),0))</f>
        <v>0</v>
      </c>
    </row>
    <row r="20" spans="1:34" ht="12.75" x14ac:dyDescent="0.2">
      <c r="A20" s="313" t="str">
        <f>'Base Costs'!A20</f>
        <v>ND1205-2</v>
      </c>
      <c r="B20" s="314" t="str">
        <f>'Base Costs'!B20</f>
        <v>Information Technology applications program</v>
      </c>
      <c r="C20" s="314" t="str">
        <f>'Base Costs'!C20</f>
        <v>Operational Support Systems</v>
      </c>
      <c r="D20" s="333" t="str">
        <f>'Base Costs'!D20</f>
        <v>2018/19</v>
      </c>
      <c r="E20" s="333">
        <f>'Base Costs'!E20</f>
        <v>18</v>
      </c>
      <c r="F20" s="315"/>
      <c r="G20" s="315"/>
      <c r="H20" s="316">
        <f>'Input Data Sheet'!J20</f>
        <v>1</v>
      </c>
      <c r="I20" s="316"/>
      <c r="J20" s="316"/>
      <c r="K20" s="316"/>
      <c r="L20" s="316"/>
      <c r="M20" s="316"/>
      <c r="N20" s="316"/>
      <c r="O20" s="287">
        <f t="shared" si="2"/>
        <v>5008351.1254183259</v>
      </c>
      <c r="P20" s="320">
        <f>(1+Parameters!$AB$39)*'Cost+Escalation'!P20</f>
        <v>0</v>
      </c>
      <c r="Q20" s="287">
        <f>(1+Parameters!$AB$39)*'Cost+Escalation'!Q20</f>
        <v>0</v>
      </c>
      <c r="R20" s="341">
        <f>(1+Parameters!$AB$39)*'Cost+Escalation'!R20</f>
        <v>1382058.1080478085</v>
      </c>
      <c r="S20" s="341">
        <f>(1+Parameters!$AB$39)*'Cost+Escalation'!S20</f>
        <v>490501.96780876489</v>
      </c>
      <c r="T20" s="341">
        <f>(1+Parameters!$AB$39)*'Cost+Escalation'!T20</f>
        <v>847728.93705179275</v>
      </c>
      <c r="U20" s="341">
        <f>(1+Parameters!$AB$39)*'Cost+Escalation'!U20</f>
        <v>1661645.4387250994</v>
      </c>
      <c r="V20" s="341">
        <f>(1+Parameters!$AB$39)*'Cost+Escalation'!V20</f>
        <v>626416.67378486053</v>
      </c>
      <c r="W20" s="287">
        <f>(1+Parameters!$AB$39)*'Cost+Escalation'!W20</f>
        <v>0</v>
      </c>
      <c r="X20" s="321">
        <f>(1+Parameters!$AB$39)*'Cost+Escalation'!X20</f>
        <v>0</v>
      </c>
      <c r="Y20" s="287">
        <f t="shared" si="3"/>
        <v>0</v>
      </c>
      <c r="Z20" s="287">
        <f t="shared" si="1"/>
        <v>0</v>
      </c>
      <c r="AA20" s="341">
        <f t="shared" si="1"/>
        <v>1382058.1080478085</v>
      </c>
      <c r="AB20" s="341">
        <f t="shared" si="1"/>
        <v>490501.96780876489</v>
      </c>
      <c r="AC20" s="341">
        <f t="shared" si="1"/>
        <v>847728.93705179275</v>
      </c>
      <c r="AD20" s="341">
        <f t="shared" si="1"/>
        <v>1661645.4387250994</v>
      </c>
      <c r="AE20" s="341">
        <f t="shared" si="1"/>
        <v>626416.67378486053</v>
      </c>
      <c r="AF20" s="287">
        <f t="shared" si="1"/>
        <v>0</v>
      </c>
      <c r="AG20" s="287">
        <f t="shared" si="1"/>
        <v>0</v>
      </c>
      <c r="AH20" s="322">
        <f>IF($H20,0,IFERROR(IF(VALUE(LEFT(D20,4))&gt;VALUE(LEFT(Parameters!$B$66,4))+1,O20-SUM(R20:X20),0),0))</f>
        <v>0</v>
      </c>
    </row>
    <row r="21" spans="1:34" ht="12.75" x14ac:dyDescent="0.2">
      <c r="A21" s="313" t="str">
        <f>'Base Costs'!A21</f>
        <v>ND1206-1</v>
      </c>
      <c r="B21" s="314" t="str">
        <f>'Base Costs'!B21</f>
        <v>Information Technology desktop program</v>
      </c>
      <c r="C21" s="314" t="str">
        <f>'Base Costs'!C21</f>
        <v>Information Technology</v>
      </c>
      <c r="D21" s="333" t="str">
        <f>'Base Costs'!D21</f>
        <v>2018/19</v>
      </c>
      <c r="E21" s="333">
        <f>'Base Costs'!E21</f>
        <v>18</v>
      </c>
      <c r="F21" s="315"/>
      <c r="G21" s="315"/>
      <c r="H21" s="316">
        <f>'Input Data Sheet'!J21</f>
        <v>1</v>
      </c>
      <c r="I21" s="316"/>
      <c r="J21" s="316"/>
      <c r="K21" s="316"/>
      <c r="L21" s="316"/>
      <c r="M21" s="316"/>
      <c r="N21" s="316"/>
      <c r="O21" s="287">
        <f t="shared" si="2"/>
        <v>401794.70103585662</v>
      </c>
      <c r="P21" s="320">
        <f>(1+Parameters!$AB$39)*'Cost+Escalation'!P21</f>
        <v>0</v>
      </c>
      <c r="Q21" s="287">
        <f>(1+Parameters!$AB$39)*'Cost+Escalation'!Q21</f>
        <v>0</v>
      </c>
      <c r="R21" s="341">
        <f>(1+Parameters!$AB$39)*'Cost+Escalation'!R21</f>
        <v>75282.205211155393</v>
      </c>
      <c r="S21" s="341">
        <f>(1+Parameters!$AB$39)*'Cost+Escalation'!S21</f>
        <v>96041.858374502001</v>
      </c>
      <c r="T21" s="341">
        <f>(1+Parameters!$AB$39)*'Cost+Escalation'!T21</f>
        <v>77768.097609561752</v>
      </c>
      <c r="U21" s="341">
        <f>(1+Parameters!$AB$39)*'Cost+Escalation'!U21</f>
        <v>90358.259346613529</v>
      </c>
      <c r="V21" s="341">
        <f>(1+Parameters!$AB$39)*'Cost+Escalation'!V21</f>
        <v>62344.280494023908</v>
      </c>
      <c r="W21" s="287">
        <f>(1+Parameters!$AB$39)*'Cost+Escalation'!W21</f>
        <v>0</v>
      </c>
      <c r="X21" s="321">
        <f>(1+Parameters!$AB$39)*'Cost+Escalation'!X21</f>
        <v>0</v>
      </c>
      <c r="Y21" s="287">
        <f t="shared" si="3"/>
        <v>0</v>
      </c>
      <c r="Z21" s="287">
        <f t="shared" si="1"/>
        <v>0</v>
      </c>
      <c r="AA21" s="341">
        <f t="shared" si="1"/>
        <v>75282.205211155393</v>
      </c>
      <c r="AB21" s="341">
        <f t="shared" si="1"/>
        <v>96041.858374502001</v>
      </c>
      <c r="AC21" s="341">
        <f t="shared" si="1"/>
        <v>77768.097609561752</v>
      </c>
      <c r="AD21" s="341">
        <f t="shared" si="1"/>
        <v>90358.259346613529</v>
      </c>
      <c r="AE21" s="341">
        <f t="shared" si="1"/>
        <v>62344.280494023908</v>
      </c>
      <c r="AF21" s="287">
        <f t="shared" si="1"/>
        <v>0</v>
      </c>
      <c r="AG21" s="287">
        <f t="shared" si="1"/>
        <v>0</v>
      </c>
      <c r="AH21" s="322">
        <f>IF($H21,0,IFERROR(IF(VALUE(LEFT(D21,4))&gt;VALUE(LEFT(Parameters!$B$66,4))+1,O21-SUM(R21:X21),0),0))</f>
        <v>0</v>
      </c>
    </row>
    <row r="22" spans="1:34" ht="12.75" x14ac:dyDescent="0.2">
      <c r="A22" s="313" t="str">
        <f>'Base Costs'!A22</f>
        <v>ND1206-2</v>
      </c>
      <c r="B22" s="314" t="str">
        <f>'Base Costs'!B22</f>
        <v>Information Technology desktop program</v>
      </c>
      <c r="C22" s="314" t="str">
        <f>'Base Costs'!C22</f>
        <v>Operational Support Systems</v>
      </c>
      <c r="D22" s="333" t="str">
        <f>'Base Costs'!D22</f>
        <v>2018/19</v>
      </c>
      <c r="E22" s="333">
        <f>'Base Costs'!E22</f>
        <v>18</v>
      </c>
      <c r="F22" s="315"/>
      <c r="G22" s="315"/>
      <c r="H22" s="316">
        <f>'Input Data Sheet'!J22</f>
        <v>1</v>
      </c>
      <c r="I22" s="316"/>
      <c r="J22" s="316"/>
      <c r="K22" s="316"/>
      <c r="L22" s="316"/>
      <c r="M22" s="316"/>
      <c r="N22" s="316"/>
      <c r="O22" s="287">
        <f t="shared" si="2"/>
        <v>2109422.1804382466</v>
      </c>
      <c r="P22" s="320">
        <f>(1+Parameters!$AB$39)*'Cost+Escalation'!P22</f>
        <v>0</v>
      </c>
      <c r="Q22" s="287">
        <f>(1+Parameters!$AB$39)*'Cost+Escalation'!Q22</f>
        <v>0</v>
      </c>
      <c r="R22" s="341">
        <f>(1+Parameters!$AB$39)*'Cost+Escalation'!R22</f>
        <v>395231.5773585657</v>
      </c>
      <c r="S22" s="341">
        <f>(1+Parameters!$AB$39)*'Cost+Escalation'!S22</f>
        <v>504219.75646613544</v>
      </c>
      <c r="T22" s="341">
        <f>(1+Parameters!$AB$39)*'Cost+Escalation'!T22</f>
        <v>408282.51245019917</v>
      </c>
      <c r="U22" s="341">
        <f>(1+Parameters!$AB$39)*'Cost+Escalation'!U22</f>
        <v>474380.86156972108</v>
      </c>
      <c r="V22" s="341">
        <f>(1+Parameters!$AB$39)*'Cost+Escalation'!V22</f>
        <v>327307.47259362548</v>
      </c>
      <c r="W22" s="287">
        <f>(1+Parameters!$AB$39)*'Cost+Escalation'!W22</f>
        <v>0</v>
      </c>
      <c r="X22" s="321">
        <f>(1+Parameters!$AB$39)*'Cost+Escalation'!X22</f>
        <v>0</v>
      </c>
      <c r="Y22" s="287">
        <f t="shared" si="3"/>
        <v>0</v>
      </c>
      <c r="Z22" s="287">
        <f t="shared" si="1"/>
        <v>0</v>
      </c>
      <c r="AA22" s="341">
        <f t="shared" si="1"/>
        <v>395231.5773585657</v>
      </c>
      <c r="AB22" s="341">
        <f t="shared" si="1"/>
        <v>504219.75646613544</v>
      </c>
      <c r="AC22" s="341">
        <f t="shared" si="1"/>
        <v>408282.51245019917</v>
      </c>
      <c r="AD22" s="341">
        <f t="shared" si="1"/>
        <v>474380.86156972108</v>
      </c>
      <c r="AE22" s="341">
        <f t="shared" si="1"/>
        <v>327307.47259362548</v>
      </c>
      <c r="AF22" s="287">
        <f t="shared" si="1"/>
        <v>0</v>
      </c>
      <c r="AG22" s="287">
        <f t="shared" si="1"/>
        <v>0</v>
      </c>
      <c r="AH22" s="322">
        <f>IF($H22,0,IFERROR(IF(VALUE(LEFT(D22,4))&gt;VALUE(LEFT(Parameters!$B$66,4))+1,O22-SUM(R22:X22),0),0))</f>
        <v>0</v>
      </c>
    </row>
    <row r="23" spans="1:34" ht="12.75" x14ac:dyDescent="0.2">
      <c r="A23" s="313" t="str">
        <f>'Base Costs'!A23</f>
        <v>ND1207-1</v>
      </c>
      <c r="B23" s="314" t="str">
        <f>'Base Costs'!B23</f>
        <v>Information Technology infrastructure program</v>
      </c>
      <c r="C23" s="314" t="str">
        <f>'Base Costs'!C23</f>
        <v>Information Technology</v>
      </c>
      <c r="D23" s="333" t="str">
        <f>'Base Costs'!D23</f>
        <v>2018/19</v>
      </c>
      <c r="E23" s="333">
        <f>'Base Costs'!E23</f>
        <v>18</v>
      </c>
      <c r="F23" s="315"/>
      <c r="G23" s="315"/>
      <c r="H23" s="316">
        <f>'Input Data Sheet'!J23</f>
        <v>1</v>
      </c>
      <c r="I23" s="316"/>
      <c r="J23" s="316"/>
      <c r="K23" s="316"/>
      <c r="L23" s="316"/>
      <c r="M23" s="316"/>
      <c r="N23" s="316"/>
      <c r="O23" s="287">
        <f t="shared" si="2"/>
        <v>854300.66664541815</v>
      </c>
      <c r="P23" s="320">
        <f>(1+Parameters!$AB$39)*'Cost+Escalation'!P23</f>
        <v>0</v>
      </c>
      <c r="Q23" s="287">
        <f>(1+Parameters!$AB$39)*'Cost+Escalation'!Q23</f>
        <v>0</v>
      </c>
      <c r="R23" s="341">
        <f>(1+Parameters!$AB$39)*'Cost+Escalation'!R23</f>
        <v>89405.311537848596</v>
      </c>
      <c r="S23" s="341">
        <f>(1+Parameters!$AB$39)*'Cost+Escalation'!S23</f>
        <v>450900.81528286857</v>
      </c>
      <c r="T23" s="341">
        <f>(1+Parameters!$AB$39)*'Cost+Escalation'!T23</f>
        <v>197884.35623904382</v>
      </c>
      <c r="U23" s="341">
        <f>(1+Parameters!$AB$39)*'Cost+Escalation'!U23</f>
        <v>53123.775792828681</v>
      </c>
      <c r="V23" s="341">
        <f>(1+Parameters!$AB$39)*'Cost+Escalation'!V23</f>
        <v>62986.407792828686</v>
      </c>
      <c r="W23" s="287">
        <f>(1+Parameters!$AB$39)*'Cost+Escalation'!W23</f>
        <v>0</v>
      </c>
      <c r="X23" s="321">
        <f>(1+Parameters!$AB$39)*'Cost+Escalation'!X23</f>
        <v>0</v>
      </c>
      <c r="Y23" s="287">
        <f t="shared" si="3"/>
        <v>0</v>
      </c>
      <c r="Z23" s="287">
        <f t="shared" si="1"/>
        <v>0</v>
      </c>
      <c r="AA23" s="341">
        <f t="shared" si="1"/>
        <v>89405.311537848596</v>
      </c>
      <c r="AB23" s="341">
        <f t="shared" si="1"/>
        <v>450900.81528286857</v>
      </c>
      <c r="AC23" s="341">
        <f t="shared" si="1"/>
        <v>197884.35623904382</v>
      </c>
      <c r="AD23" s="341">
        <f t="shared" si="1"/>
        <v>53123.775792828681</v>
      </c>
      <c r="AE23" s="341">
        <f t="shared" si="1"/>
        <v>62986.407792828686</v>
      </c>
      <c r="AF23" s="287">
        <f t="shared" si="1"/>
        <v>0</v>
      </c>
      <c r="AG23" s="287">
        <f t="shared" si="1"/>
        <v>0</v>
      </c>
      <c r="AH23" s="322">
        <f>IF($H23,0,IFERROR(IF(VALUE(LEFT(D23,4))&gt;VALUE(LEFT(Parameters!$B$66,4))+1,O23-SUM(R23:X23),0),0))</f>
        <v>0</v>
      </c>
    </row>
    <row r="24" spans="1:34" ht="12.75" x14ac:dyDescent="0.2">
      <c r="A24" s="313" t="str">
        <f>'Base Costs'!A24</f>
        <v>ND1207-2</v>
      </c>
      <c r="B24" s="314" t="str">
        <f>'Base Costs'!B24</f>
        <v>Information Technology infrastructure program</v>
      </c>
      <c r="C24" s="314" t="str">
        <f>'Base Costs'!C24</f>
        <v>Operational Support Systems</v>
      </c>
      <c r="D24" s="333" t="str">
        <f>'Base Costs'!D24</f>
        <v>2018/19</v>
      </c>
      <c r="E24" s="333">
        <f>'Base Costs'!E24</f>
        <v>18</v>
      </c>
      <c r="F24" s="315"/>
      <c r="G24" s="315"/>
      <c r="H24" s="316">
        <f>'Input Data Sheet'!J24</f>
        <v>1</v>
      </c>
      <c r="I24" s="316"/>
      <c r="J24" s="316"/>
      <c r="K24" s="316"/>
      <c r="L24" s="316"/>
      <c r="M24" s="316"/>
      <c r="N24" s="316"/>
      <c r="O24" s="287">
        <f t="shared" si="2"/>
        <v>4485078.4998884462</v>
      </c>
      <c r="P24" s="320">
        <f>(1+Parameters!$AB$39)*'Cost+Escalation'!P24</f>
        <v>0</v>
      </c>
      <c r="Q24" s="287">
        <f>(1+Parameters!$AB$39)*'Cost+Escalation'!Q24</f>
        <v>0</v>
      </c>
      <c r="R24" s="341">
        <f>(1+Parameters!$AB$39)*'Cost+Escalation'!R24</f>
        <v>469377.88557370508</v>
      </c>
      <c r="S24" s="341">
        <f>(1+Parameters!$AB$39)*'Cost+Escalation'!S24</f>
        <v>2367229.2802350596</v>
      </c>
      <c r="T24" s="341">
        <f>(1+Parameters!$AB$39)*'Cost+Escalation'!T24</f>
        <v>1038892.8702549799</v>
      </c>
      <c r="U24" s="341">
        <f>(1+Parameters!$AB$39)*'Cost+Escalation'!U24</f>
        <v>278899.82291235059</v>
      </c>
      <c r="V24" s="341">
        <f>(1+Parameters!$AB$39)*'Cost+Escalation'!V24</f>
        <v>330678.64091235062</v>
      </c>
      <c r="W24" s="287">
        <f>(1+Parameters!$AB$39)*'Cost+Escalation'!W24</f>
        <v>0</v>
      </c>
      <c r="X24" s="321">
        <f>(1+Parameters!$AB$39)*'Cost+Escalation'!X24</f>
        <v>0</v>
      </c>
      <c r="Y24" s="287">
        <f t="shared" si="3"/>
        <v>0</v>
      </c>
      <c r="Z24" s="287">
        <f t="shared" si="1"/>
        <v>0</v>
      </c>
      <c r="AA24" s="341">
        <f t="shared" si="1"/>
        <v>469377.88557370508</v>
      </c>
      <c r="AB24" s="341">
        <f t="shared" si="1"/>
        <v>2367229.2802350596</v>
      </c>
      <c r="AC24" s="341">
        <f t="shared" si="1"/>
        <v>1038892.8702549799</v>
      </c>
      <c r="AD24" s="341">
        <f t="shared" si="1"/>
        <v>278899.82291235059</v>
      </c>
      <c r="AE24" s="341">
        <f t="shared" si="1"/>
        <v>330678.64091235062</v>
      </c>
      <c r="AF24" s="287">
        <f t="shared" si="1"/>
        <v>0</v>
      </c>
      <c r="AG24" s="287">
        <f t="shared" si="1"/>
        <v>0</v>
      </c>
      <c r="AH24" s="322">
        <f>IF($H24,0,IFERROR(IF(VALUE(LEFT(D24,4))&gt;VALUE(LEFT(Parameters!$B$66,4))+1,O24-SUM(R24:X24),0),0))</f>
        <v>0</v>
      </c>
    </row>
    <row r="25" spans="1:34" ht="12.75" x14ac:dyDescent="0.2">
      <c r="A25" s="313" t="str">
        <f>'Base Costs'!A25</f>
        <v>ND1260-1</v>
      </c>
      <c r="B25" s="314" t="str">
        <f>'Base Costs'!B25</f>
        <v>Information Technology security system program</v>
      </c>
      <c r="C25" s="314" t="str">
        <f>'Base Costs'!C25</f>
        <v>Information Technology</v>
      </c>
      <c r="D25" s="333" t="str">
        <f>'Base Costs'!D25</f>
        <v>2018/19</v>
      </c>
      <c r="E25" s="333">
        <f>'Base Costs'!E25</f>
        <v>18</v>
      </c>
      <c r="F25" s="315"/>
      <c r="G25" s="315"/>
      <c r="H25" s="316">
        <f>'Input Data Sheet'!J25</f>
        <v>1</v>
      </c>
      <c r="I25" s="316"/>
      <c r="J25" s="316"/>
      <c r="K25" s="316"/>
      <c r="L25" s="316"/>
      <c r="M25" s="316"/>
      <c r="N25" s="316"/>
      <c r="O25" s="287">
        <f t="shared" si="2"/>
        <v>291916.88007968129</v>
      </c>
      <c r="P25" s="320">
        <f>(1+Parameters!$AB$39)*'Cost+Escalation'!P25</f>
        <v>0</v>
      </c>
      <c r="Q25" s="287">
        <f>(1+Parameters!$AB$39)*'Cost+Escalation'!Q25</f>
        <v>0</v>
      </c>
      <c r="R25" s="341">
        <f>(1+Parameters!$AB$39)*'Cost+Escalation'!R25</f>
        <v>79552.418916334645</v>
      </c>
      <c r="S25" s="341">
        <f>(1+Parameters!$AB$39)*'Cost+Escalation'!S25</f>
        <v>29242.651824701195</v>
      </c>
      <c r="T25" s="341">
        <f>(1+Parameters!$AB$39)*'Cost+Escalation'!T25</f>
        <v>104956.74809561753</v>
      </c>
      <c r="U25" s="341">
        <f>(1+Parameters!$AB$39)*'Cost+Escalation'!U25</f>
        <v>57496.085051792827</v>
      </c>
      <c r="V25" s="341">
        <f>(1+Parameters!$AB$39)*'Cost+Escalation'!V25</f>
        <v>20668.976191235055</v>
      </c>
      <c r="W25" s="287">
        <f>(1+Parameters!$AB$39)*'Cost+Escalation'!W25</f>
        <v>0</v>
      </c>
      <c r="X25" s="321">
        <f>(1+Parameters!$AB$39)*'Cost+Escalation'!X25</f>
        <v>0</v>
      </c>
      <c r="Y25" s="287">
        <f t="shared" si="3"/>
        <v>0</v>
      </c>
      <c r="Z25" s="287">
        <f t="shared" si="1"/>
        <v>0</v>
      </c>
      <c r="AA25" s="341">
        <f t="shared" si="1"/>
        <v>79552.418916334645</v>
      </c>
      <c r="AB25" s="341">
        <f t="shared" si="1"/>
        <v>29242.651824701195</v>
      </c>
      <c r="AC25" s="341">
        <f t="shared" si="1"/>
        <v>104956.74809561753</v>
      </c>
      <c r="AD25" s="341">
        <f t="shared" si="1"/>
        <v>57496.085051792827</v>
      </c>
      <c r="AE25" s="341">
        <f t="shared" si="1"/>
        <v>20668.976191235055</v>
      </c>
      <c r="AF25" s="287">
        <f t="shared" si="1"/>
        <v>0</v>
      </c>
      <c r="AG25" s="287">
        <f t="shared" si="1"/>
        <v>0</v>
      </c>
      <c r="AH25" s="322">
        <f>IF($H25,0,IFERROR(IF(VALUE(LEFT(D25,4))&gt;VALUE(LEFT(Parameters!$B$66,4))+1,O25-SUM(R25:X25),0),0))</f>
        <v>0</v>
      </c>
    </row>
    <row r="26" spans="1:34" ht="12.75" x14ac:dyDescent="0.2">
      <c r="A26" s="313" t="str">
        <f>'Base Costs'!A26</f>
        <v>ND1260-2</v>
      </c>
      <c r="B26" s="314" t="str">
        <f>'Base Costs'!B26</f>
        <v>Information Technology security system program</v>
      </c>
      <c r="C26" s="314" t="str">
        <f>'Base Costs'!C26</f>
        <v>Operational Support Systems</v>
      </c>
      <c r="D26" s="333" t="str">
        <f>'Base Costs'!D26</f>
        <v>2018/19</v>
      </c>
      <c r="E26" s="333">
        <f>'Base Costs'!E26</f>
        <v>18</v>
      </c>
      <c r="F26" s="315"/>
      <c r="G26" s="315"/>
      <c r="H26" s="316">
        <f>'Input Data Sheet'!J26</f>
        <v>1</v>
      </c>
      <c r="I26" s="316"/>
      <c r="J26" s="316"/>
      <c r="K26" s="316"/>
      <c r="L26" s="316"/>
      <c r="M26" s="316"/>
      <c r="N26" s="316"/>
      <c r="O26" s="287">
        <f t="shared" si="2"/>
        <v>1532563.6204183262</v>
      </c>
      <c r="P26" s="320">
        <f>(1+Parameters!$AB$39)*'Cost+Escalation'!P26</f>
        <v>0</v>
      </c>
      <c r="Q26" s="287">
        <f>(1+Parameters!$AB$39)*'Cost+Escalation'!Q26</f>
        <v>0</v>
      </c>
      <c r="R26" s="341">
        <f>(1+Parameters!$AB$39)*'Cost+Escalation'!R26</f>
        <v>417650.19931075693</v>
      </c>
      <c r="S26" s="341">
        <f>(1+Parameters!$AB$39)*'Cost+Escalation'!S26</f>
        <v>153523.92207968124</v>
      </c>
      <c r="T26" s="341">
        <f>(1+Parameters!$AB$39)*'Cost+Escalation'!T26</f>
        <v>551022.92750199197</v>
      </c>
      <c r="U26" s="341">
        <f>(1+Parameters!$AB$39)*'Cost+Escalation'!U26</f>
        <v>301854.44652191229</v>
      </c>
      <c r="V26" s="341">
        <f>(1+Parameters!$AB$39)*'Cost+Escalation'!V26</f>
        <v>108512.12500398405</v>
      </c>
      <c r="W26" s="287">
        <f>(1+Parameters!$AB$39)*'Cost+Escalation'!W26</f>
        <v>0</v>
      </c>
      <c r="X26" s="321">
        <f>(1+Parameters!$AB$39)*'Cost+Escalation'!X26</f>
        <v>0</v>
      </c>
      <c r="Y26" s="287">
        <f t="shared" si="3"/>
        <v>0</v>
      </c>
      <c r="Z26" s="287">
        <f t="shared" si="1"/>
        <v>0</v>
      </c>
      <c r="AA26" s="341">
        <f t="shared" si="1"/>
        <v>417650.19931075693</v>
      </c>
      <c r="AB26" s="341">
        <f t="shared" si="1"/>
        <v>153523.92207968124</v>
      </c>
      <c r="AC26" s="341">
        <f t="shared" si="1"/>
        <v>551022.92750199197</v>
      </c>
      <c r="AD26" s="341">
        <f t="shared" si="1"/>
        <v>301854.44652191229</v>
      </c>
      <c r="AE26" s="341">
        <f t="shared" si="1"/>
        <v>108512.12500398405</v>
      </c>
      <c r="AF26" s="287">
        <f t="shared" si="1"/>
        <v>0</v>
      </c>
      <c r="AG26" s="287">
        <f t="shared" si="1"/>
        <v>0</v>
      </c>
      <c r="AH26" s="322">
        <f>IF($H26,0,IFERROR(IF(VALUE(LEFT(D26,4))&gt;VALUE(LEFT(Parameters!$B$66,4))+1,O26-SUM(R26:X26),0),0))</f>
        <v>0</v>
      </c>
    </row>
    <row r="27" spans="1:34" ht="12.75" x14ac:dyDescent="0.2">
      <c r="A27" s="313" t="str">
        <f>'Base Costs'!A27</f>
        <v>ND1062</v>
      </c>
      <c r="B27" s="314" t="str">
        <f>'Base Costs'!B27</f>
        <v>Insourcing Drawing Management</v>
      </c>
      <c r="C27" s="314" t="str">
        <f>'Base Costs'!C27</f>
        <v>Operational Support Systems</v>
      </c>
      <c r="D27" s="333" t="str">
        <f>'Base Costs'!D27</f>
        <v>2014/15</v>
      </c>
      <c r="E27" s="333">
        <f>'Base Costs'!E27</f>
        <v>0</v>
      </c>
      <c r="F27" s="315"/>
      <c r="G27" s="315"/>
      <c r="H27" s="316">
        <f>'Input Data Sheet'!J27</f>
        <v>0</v>
      </c>
      <c r="I27" s="316"/>
      <c r="J27" s="316"/>
      <c r="K27" s="316"/>
      <c r="L27" s="316"/>
      <c r="M27" s="316"/>
      <c r="N27" s="316"/>
      <c r="O27" s="287">
        <f t="shared" si="2"/>
        <v>530000</v>
      </c>
      <c r="P27" s="320">
        <f>(1+Parameters!$AB$39)*'Cost+Escalation'!P27</f>
        <v>0</v>
      </c>
      <c r="Q27" s="287">
        <f>(1+Parameters!$AB$39)*'Cost+Escalation'!Q27</f>
        <v>0</v>
      </c>
      <c r="R27" s="341">
        <f>(1+Parameters!$AB$39)*'Cost+Escalation'!R27</f>
        <v>530000</v>
      </c>
      <c r="S27" s="341">
        <f>(1+Parameters!$AB$39)*'Cost+Escalation'!S27</f>
        <v>0</v>
      </c>
      <c r="T27" s="341">
        <f>(1+Parameters!$AB$39)*'Cost+Escalation'!T27</f>
        <v>0</v>
      </c>
      <c r="U27" s="341">
        <f>(1+Parameters!$AB$39)*'Cost+Escalation'!U27</f>
        <v>0</v>
      </c>
      <c r="V27" s="341">
        <f>(1+Parameters!$AB$39)*'Cost+Escalation'!V27</f>
        <v>0</v>
      </c>
      <c r="W27" s="287">
        <f>(1+Parameters!$AB$39)*'Cost+Escalation'!W27</f>
        <v>0</v>
      </c>
      <c r="X27" s="321">
        <f>(1+Parameters!$AB$39)*'Cost+Escalation'!X27</f>
        <v>0</v>
      </c>
      <c r="Y27" s="287">
        <f t="shared" si="3"/>
        <v>0</v>
      </c>
      <c r="Z27" s="287">
        <f t="shared" si="1"/>
        <v>0</v>
      </c>
      <c r="AA27" s="341">
        <f t="shared" si="1"/>
        <v>530000</v>
      </c>
      <c r="AB27" s="341">
        <f t="shared" si="1"/>
        <v>0</v>
      </c>
      <c r="AC27" s="341">
        <f t="shared" si="1"/>
        <v>0</v>
      </c>
      <c r="AD27" s="341">
        <f t="shared" si="1"/>
        <v>0</v>
      </c>
      <c r="AE27" s="341">
        <f t="shared" si="1"/>
        <v>0</v>
      </c>
      <c r="AF27" s="287">
        <f t="shared" si="1"/>
        <v>0</v>
      </c>
      <c r="AG27" s="287">
        <f t="shared" si="1"/>
        <v>0</v>
      </c>
      <c r="AH27" s="322">
        <f>IF($H27,0,IFERROR(IF(VALUE(LEFT(D27,4))&gt;VALUE(LEFT(Parameters!$B$66,4))+1,O27-SUM(R27:X27),0),0))</f>
        <v>0</v>
      </c>
    </row>
    <row r="28" spans="1:34" ht="12.75" x14ac:dyDescent="0.2">
      <c r="A28" s="313" t="str">
        <f>'Base Costs'!A28</f>
        <v>ND0948</v>
      </c>
      <c r="B28" s="314" t="str">
        <f>'Base Costs'!B28</f>
        <v>Lindisfarne Substation transformer T2 and T3 replacement</v>
      </c>
      <c r="C28" s="314" t="str">
        <f>'Base Costs'!C28</f>
        <v>Asset Renewal</v>
      </c>
      <c r="D28" s="333" t="str">
        <f>'Base Costs'!D28</f>
        <v>2018/19</v>
      </c>
      <c r="E28" s="333">
        <f>'Base Costs'!E28</f>
        <v>11</v>
      </c>
      <c r="F28" s="315"/>
      <c r="G28" s="315"/>
      <c r="H28" s="316">
        <f>'Input Data Sheet'!J28</f>
        <v>0</v>
      </c>
      <c r="I28" s="316"/>
      <c r="J28" s="316"/>
      <c r="K28" s="316"/>
      <c r="L28" s="316"/>
      <c r="M28" s="316"/>
      <c r="N28" s="316"/>
      <c r="O28" s="287">
        <f t="shared" si="2"/>
        <v>6565583.7543194601</v>
      </c>
      <c r="P28" s="320">
        <f>(1+Parameters!$AB$39)*'Cost+Escalation'!P28</f>
        <v>0</v>
      </c>
      <c r="Q28" s="287">
        <f>(1+Parameters!$AB$39)*'Cost+Escalation'!Q28</f>
        <v>0</v>
      </c>
      <c r="R28" s="341">
        <f>(1+Parameters!$AB$39)*'Cost+Escalation'!R28</f>
        <v>0</v>
      </c>
      <c r="S28" s="341">
        <f>(1+Parameters!$AB$39)*'Cost+Escalation'!S28</f>
        <v>0</v>
      </c>
      <c r="T28" s="341">
        <f>(1+Parameters!$AB$39)*'Cost+Escalation'!T28</f>
        <v>56124.425540093274</v>
      </c>
      <c r="U28" s="341">
        <f>(1+Parameters!$AB$39)*'Cost+Escalation'!U28</f>
        <v>4757297.9957344783</v>
      </c>
      <c r="V28" s="341">
        <f>(1+Parameters!$AB$39)*'Cost+Escalation'!V28</f>
        <v>1752161.3330448887</v>
      </c>
      <c r="W28" s="287">
        <f>(1+Parameters!$AB$39)*'Cost+Escalation'!W28</f>
        <v>0</v>
      </c>
      <c r="X28" s="321">
        <f>(1+Parameters!$AB$39)*'Cost+Escalation'!X28</f>
        <v>0</v>
      </c>
      <c r="Y28" s="287">
        <f t="shared" si="3"/>
        <v>0</v>
      </c>
      <c r="Z28" s="287">
        <f t="shared" si="1"/>
        <v>0</v>
      </c>
      <c r="AA28" s="341">
        <f t="shared" si="1"/>
        <v>0</v>
      </c>
      <c r="AB28" s="341">
        <f t="shared" si="1"/>
        <v>0</v>
      </c>
      <c r="AC28" s="341">
        <f t="shared" si="1"/>
        <v>0</v>
      </c>
      <c r="AD28" s="341">
        <f t="shared" si="1"/>
        <v>0</v>
      </c>
      <c r="AE28" s="341">
        <f t="shared" si="1"/>
        <v>6565583.7543194601</v>
      </c>
      <c r="AF28" s="287">
        <f t="shared" si="1"/>
        <v>0</v>
      </c>
      <c r="AG28" s="287">
        <f t="shared" si="1"/>
        <v>0</v>
      </c>
      <c r="AH28" s="322">
        <f>IF($H28,0,IFERROR(IF(VALUE(LEFT(D28,4))&gt;VALUE(LEFT(Parameters!$B$66,4))+1,O28-SUM(R28:X28),0),0))</f>
        <v>0</v>
      </c>
    </row>
    <row r="29" spans="1:34" ht="12.75" x14ac:dyDescent="0.2">
      <c r="A29" s="313" t="str">
        <f>'Base Costs'!A29</f>
        <v>ND0949</v>
      </c>
      <c r="B29" s="314" t="str">
        <f>'Base Costs'!B29</f>
        <v>Meadowbank Substation 110 kV redevelopment</v>
      </c>
      <c r="C29" s="314" t="str">
        <f>'Base Costs'!C29</f>
        <v>Asset Renewal</v>
      </c>
      <c r="D29" s="333" t="str">
        <f>'Base Costs'!D29</f>
        <v>2014/15</v>
      </c>
      <c r="E29" s="333">
        <f>'Base Costs'!E29</f>
        <v>0</v>
      </c>
      <c r="F29" s="315"/>
      <c r="G29" s="315"/>
      <c r="H29" s="316">
        <f>'Input Data Sheet'!J29</f>
        <v>0</v>
      </c>
      <c r="I29" s="316"/>
      <c r="J29" s="316"/>
      <c r="K29" s="316"/>
      <c r="L29" s="316"/>
      <c r="M29" s="316"/>
      <c r="N29" s="316"/>
      <c r="O29" s="287">
        <f t="shared" si="2"/>
        <v>6410429</v>
      </c>
      <c r="P29" s="320">
        <f>(1+Parameters!$AB$39)*'Cost+Escalation'!P29</f>
        <v>0</v>
      </c>
      <c r="Q29" s="287">
        <f>(1+Parameters!$AB$39)*'Cost+Escalation'!Q29</f>
        <v>2114000</v>
      </c>
      <c r="R29" s="341">
        <f>(1+Parameters!$AB$39)*'Cost+Escalation'!R29</f>
        <v>4296429</v>
      </c>
      <c r="S29" s="341">
        <f>(1+Parameters!$AB$39)*'Cost+Escalation'!S29</f>
        <v>0</v>
      </c>
      <c r="T29" s="341">
        <f>(1+Parameters!$AB$39)*'Cost+Escalation'!T29</f>
        <v>0</v>
      </c>
      <c r="U29" s="341">
        <f>(1+Parameters!$AB$39)*'Cost+Escalation'!U29</f>
        <v>0</v>
      </c>
      <c r="V29" s="341">
        <f>(1+Parameters!$AB$39)*'Cost+Escalation'!V29</f>
        <v>0</v>
      </c>
      <c r="W29" s="287">
        <f>(1+Parameters!$AB$39)*'Cost+Escalation'!W29</f>
        <v>0</v>
      </c>
      <c r="X29" s="321">
        <f>(1+Parameters!$AB$39)*'Cost+Escalation'!X29</f>
        <v>0</v>
      </c>
      <c r="Y29" s="287">
        <f t="shared" si="3"/>
        <v>0</v>
      </c>
      <c r="Z29" s="287">
        <f t="shared" si="1"/>
        <v>0</v>
      </c>
      <c r="AA29" s="341">
        <f t="shared" si="1"/>
        <v>6410429</v>
      </c>
      <c r="AB29" s="341">
        <f t="shared" si="1"/>
        <v>0</v>
      </c>
      <c r="AC29" s="341">
        <f t="shared" si="1"/>
        <v>0</v>
      </c>
      <c r="AD29" s="341">
        <f t="shared" si="1"/>
        <v>0</v>
      </c>
      <c r="AE29" s="341">
        <f t="shared" si="1"/>
        <v>0</v>
      </c>
      <c r="AF29" s="287">
        <f t="shared" si="1"/>
        <v>0</v>
      </c>
      <c r="AG29" s="287">
        <f t="shared" si="1"/>
        <v>0</v>
      </c>
      <c r="AH29" s="322">
        <f>IF($H29,0,IFERROR(IF(VALUE(LEFT(D29,4))&gt;VALUE(LEFT(Parameters!$B$66,4))+1,O29-SUM(R29:X29),0),0))</f>
        <v>2114000</v>
      </c>
    </row>
    <row r="30" spans="1:34" ht="12.75" x14ac:dyDescent="0.2">
      <c r="A30" s="313" t="str">
        <f>'Base Costs'!A30</f>
        <v>ND1232</v>
      </c>
      <c r="B30" s="314" t="str">
        <f>'Base Costs'!B30</f>
        <v>Network Modelling Enhancement program</v>
      </c>
      <c r="C30" s="314" t="str">
        <f>'Base Costs'!C30</f>
        <v>Operational Support Systems</v>
      </c>
      <c r="D30" s="333" t="str">
        <f>'Base Costs'!D30</f>
        <v>2018/19</v>
      </c>
      <c r="E30" s="333">
        <f>'Base Costs'!E30</f>
        <v>18</v>
      </c>
      <c r="F30" s="315"/>
      <c r="G30" s="315"/>
      <c r="H30" s="316">
        <f>'Input Data Sheet'!J30</f>
        <v>1</v>
      </c>
      <c r="I30" s="316"/>
      <c r="J30" s="316"/>
      <c r="K30" s="316"/>
      <c r="L30" s="316"/>
      <c r="M30" s="316"/>
      <c r="N30" s="316"/>
      <c r="O30" s="287">
        <f t="shared" si="2"/>
        <v>808116.53386454179</v>
      </c>
      <c r="P30" s="320">
        <f>(1+Parameters!$AB$39)*'Cost+Escalation'!P30</f>
        <v>0</v>
      </c>
      <c r="Q30" s="287">
        <f>(1+Parameters!$AB$39)*'Cost+Escalation'!Q30</f>
        <v>0</v>
      </c>
      <c r="R30" s="341">
        <f>(1+Parameters!$AB$39)*'Cost+Escalation'!R30</f>
        <v>339408.94422310754</v>
      </c>
      <c r="S30" s="341">
        <f>(1+Parameters!$AB$39)*'Cost+Escalation'!S30</f>
        <v>105055.14940239044</v>
      </c>
      <c r="T30" s="341">
        <f>(1+Parameters!$AB$39)*'Cost+Escalation'!T30</f>
        <v>234353.79482071713</v>
      </c>
      <c r="U30" s="341">
        <f>(1+Parameters!$AB$39)*'Cost+Escalation'!U30</f>
        <v>105055.14940239044</v>
      </c>
      <c r="V30" s="341">
        <f>(1+Parameters!$AB$39)*'Cost+Escalation'!V30</f>
        <v>24243.496015936253</v>
      </c>
      <c r="W30" s="287">
        <f>(1+Parameters!$AB$39)*'Cost+Escalation'!W30</f>
        <v>0</v>
      </c>
      <c r="X30" s="321">
        <f>(1+Parameters!$AB$39)*'Cost+Escalation'!X30</f>
        <v>0</v>
      </c>
      <c r="Y30" s="287">
        <f t="shared" si="3"/>
        <v>0</v>
      </c>
      <c r="Z30" s="287">
        <f t="shared" si="1"/>
        <v>0</v>
      </c>
      <c r="AA30" s="341">
        <f t="shared" si="1"/>
        <v>339408.94422310754</v>
      </c>
      <c r="AB30" s="341">
        <f t="shared" si="1"/>
        <v>105055.14940239044</v>
      </c>
      <c r="AC30" s="341">
        <f t="shared" si="1"/>
        <v>234353.79482071713</v>
      </c>
      <c r="AD30" s="341">
        <f t="shared" si="1"/>
        <v>105055.14940239044</v>
      </c>
      <c r="AE30" s="341">
        <f t="shared" si="1"/>
        <v>24243.496015936253</v>
      </c>
      <c r="AF30" s="287">
        <f t="shared" si="1"/>
        <v>0</v>
      </c>
      <c r="AG30" s="287">
        <f t="shared" si="1"/>
        <v>0</v>
      </c>
      <c r="AH30" s="322">
        <f>IF($H30,0,IFERROR(IF(VALUE(LEFT(D30,4))&gt;VALUE(LEFT(Parameters!$B$66,4))+1,O30-SUM(R30:X30),0),0))</f>
        <v>0</v>
      </c>
    </row>
    <row r="31" spans="1:34" ht="12.75" x14ac:dyDescent="0.2">
      <c r="A31" s="313" t="str">
        <f>'Base Costs'!A31</f>
        <v>ND1233</v>
      </c>
      <c r="B31" s="314" t="str">
        <f>'Base Costs'!B31</f>
        <v>Network Operations and Control System enhancement program</v>
      </c>
      <c r="C31" s="314" t="str">
        <f>'Base Costs'!C31</f>
        <v>Operational Support Systems</v>
      </c>
      <c r="D31" s="333" t="str">
        <f>'Base Costs'!D31</f>
        <v>2018/19</v>
      </c>
      <c r="E31" s="333">
        <f>'Base Costs'!E31</f>
        <v>18</v>
      </c>
      <c r="F31" s="315"/>
      <c r="G31" s="315"/>
      <c r="H31" s="316">
        <f>'Input Data Sheet'!J31</f>
        <v>1</v>
      </c>
      <c r="I31" s="316"/>
      <c r="J31" s="316"/>
      <c r="K31" s="316"/>
      <c r="L31" s="316"/>
      <c r="M31" s="316"/>
      <c r="N31" s="316"/>
      <c r="O31" s="287">
        <f t="shared" si="2"/>
        <v>3779256.673306773</v>
      </c>
      <c r="P31" s="320">
        <f>(1+Parameters!$AB$39)*'Cost+Escalation'!P31</f>
        <v>0</v>
      </c>
      <c r="Q31" s="287">
        <f>(1+Parameters!$AB$39)*'Cost+Escalation'!Q31</f>
        <v>0</v>
      </c>
      <c r="R31" s="341">
        <f>(1+Parameters!$AB$39)*'Cost+Escalation'!R31</f>
        <v>608711.15537848603</v>
      </c>
      <c r="S31" s="341">
        <f>(1+Parameters!$AB$39)*'Cost+Escalation'!S31</f>
        <v>404320.64243027888</v>
      </c>
      <c r="T31" s="341">
        <f>(1+Parameters!$AB$39)*'Cost+Escalation'!T31</f>
        <v>1275407.295816733</v>
      </c>
      <c r="U31" s="341">
        <f>(1+Parameters!$AB$39)*'Cost+Escalation'!U31</f>
        <v>876596.53884462151</v>
      </c>
      <c r="V31" s="341">
        <f>(1+Parameters!$AB$39)*'Cost+Escalation'!V31</f>
        <v>614221.04083665332</v>
      </c>
      <c r="W31" s="287">
        <f>(1+Parameters!$AB$39)*'Cost+Escalation'!W31</f>
        <v>0</v>
      </c>
      <c r="X31" s="321">
        <f>(1+Parameters!$AB$39)*'Cost+Escalation'!X31</f>
        <v>0</v>
      </c>
      <c r="Y31" s="287">
        <f t="shared" si="3"/>
        <v>0</v>
      </c>
      <c r="Z31" s="287">
        <f t="shared" si="1"/>
        <v>0</v>
      </c>
      <c r="AA31" s="341">
        <f t="shared" si="1"/>
        <v>608711.15537848603</v>
      </c>
      <c r="AB31" s="341">
        <f t="shared" si="1"/>
        <v>404320.64243027888</v>
      </c>
      <c r="AC31" s="341">
        <f t="shared" si="1"/>
        <v>1275407.295816733</v>
      </c>
      <c r="AD31" s="341">
        <f t="shared" si="1"/>
        <v>876596.53884462151</v>
      </c>
      <c r="AE31" s="341">
        <f t="shared" si="1"/>
        <v>614221.04083665332</v>
      </c>
      <c r="AF31" s="287">
        <f t="shared" si="1"/>
        <v>0</v>
      </c>
      <c r="AG31" s="287">
        <f t="shared" si="1"/>
        <v>0</v>
      </c>
      <c r="AH31" s="322">
        <f>IF($H31,0,IFERROR(IF(VALUE(LEFT(D31,4))&gt;VALUE(LEFT(Parameters!$B$66,4))+1,O31-SUM(R31:X31),0),0))</f>
        <v>0</v>
      </c>
    </row>
    <row r="32" spans="1:34" ht="12.75" x14ac:dyDescent="0.2">
      <c r="A32" s="313" t="str">
        <f>'Base Costs'!A32</f>
        <v>ND1219</v>
      </c>
      <c r="B32" s="314" t="str">
        <f>'Base Costs'!B32</f>
        <v>Newton - Queenstown Security Augmentation</v>
      </c>
      <c r="C32" s="314" t="str">
        <f>'Base Costs'!C32</f>
        <v>Augmentation</v>
      </c>
      <c r="D32" s="333" t="str">
        <f>'Base Costs'!D32</f>
        <v>2016/17</v>
      </c>
      <c r="E32" s="333">
        <f>'Base Costs'!E32</f>
        <v>2</v>
      </c>
      <c r="F32" s="315"/>
      <c r="G32" s="315"/>
      <c r="H32" s="316">
        <f>'Input Data Sheet'!J32</f>
        <v>0</v>
      </c>
      <c r="I32" s="316"/>
      <c r="J32" s="316"/>
      <c r="K32" s="316"/>
      <c r="L32" s="316"/>
      <c r="M32" s="316"/>
      <c r="N32" s="316"/>
      <c r="O32" s="287">
        <f t="shared" si="2"/>
        <v>14100267.882445337</v>
      </c>
      <c r="P32" s="320">
        <f>(1+Parameters!$AB$39)*'Cost+Escalation'!P32</f>
        <v>0</v>
      </c>
      <c r="Q32" s="287">
        <f>(1+Parameters!$AB$39)*'Cost+Escalation'!Q32</f>
        <v>0</v>
      </c>
      <c r="R32" s="341">
        <f>(1+Parameters!$AB$39)*'Cost+Escalation'!R32</f>
        <v>375384.90375931113</v>
      </c>
      <c r="S32" s="341">
        <f>(1+Parameters!$AB$39)*'Cost+Escalation'!S32</f>
        <v>4324738.8616354028</v>
      </c>
      <c r="T32" s="341">
        <f>(1+Parameters!$AB$39)*'Cost+Escalation'!T32</f>
        <v>9400144.1170506235</v>
      </c>
      <c r="U32" s="341">
        <f>(1+Parameters!$AB$39)*'Cost+Escalation'!U32</f>
        <v>0</v>
      </c>
      <c r="V32" s="341">
        <f>(1+Parameters!$AB$39)*'Cost+Escalation'!V32</f>
        <v>0</v>
      </c>
      <c r="W32" s="287">
        <f>(1+Parameters!$AB$39)*'Cost+Escalation'!W32</f>
        <v>0</v>
      </c>
      <c r="X32" s="321">
        <f>(1+Parameters!$AB$39)*'Cost+Escalation'!X32</f>
        <v>0</v>
      </c>
      <c r="Y32" s="287">
        <f t="shared" si="3"/>
        <v>0</v>
      </c>
      <c r="Z32" s="287">
        <f t="shared" si="1"/>
        <v>0</v>
      </c>
      <c r="AA32" s="341">
        <f t="shared" si="1"/>
        <v>0</v>
      </c>
      <c r="AB32" s="341">
        <f t="shared" si="1"/>
        <v>0</v>
      </c>
      <c r="AC32" s="341">
        <f t="shared" si="1"/>
        <v>14100267.882445337</v>
      </c>
      <c r="AD32" s="341">
        <f t="shared" si="1"/>
        <v>0</v>
      </c>
      <c r="AE32" s="341">
        <f t="shared" si="1"/>
        <v>0</v>
      </c>
      <c r="AF32" s="287">
        <f t="shared" si="1"/>
        <v>0</v>
      </c>
      <c r="AG32" s="287">
        <f t="shared" si="1"/>
        <v>0</v>
      </c>
      <c r="AH32" s="322">
        <f>IF($H32,0,IFERROR(IF(VALUE(LEFT(D32,4))&gt;VALUE(LEFT(Parameters!$B$66,4))+1,O32-SUM(R32:X32),0),0))</f>
        <v>0</v>
      </c>
    </row>
    <row r="33" spans="1:34" ht="12.75" x14ac:dyDescent="0.2">
      <c r="A33" s="313" t="str">
        <f>'Base Costs'!A33</f>
        <v>ND1220</v>
      </c>
      <c r="B33" s="314" t="str">
        <f>'Base Costs'!B33</f>
        <v>North Hobart Substation 11 kV connection point</v>
      </c>
      <c r="C33" s="314" t="str">
        <f>'Base Costs'!C33</f>
        <v>Connection</v>
      </c>
      <c r="D33" s="333" t="str">
        <f>'Base Costs'!D33</f>
        <v>2016/17</v>
      </c>
      <c r="E33" s="333">
        <f>'Base Costs'!E33</f>
        <v>9</v>
      </c>
      <c r="F33" s="315"/>
      <c r="G33" s="315"/>
      <c r="H33" s="316">
        <f>'Input Data Sheet'!J33</f>
        <v>0</v>
      </c>
      <c r="I33" s="316"/>
      <c r="J33" s="316"/>
      <c r="K33" s="316"/>
      <c r="L33" s="316"/>
      <c r="M33" s="316"/>
      <c r="N33" s="316"/>
      <c r="O33" s="287">
        <f t="shared" si="2"/>
        <v>4747500.3781630984</v>
      </c>
      <c r="P33" s="320">
        <f>(1+Parameters!$AB$39)*'Cost+Escalation'!P33</f>
        <v>0</v>
      </c>
      <c r="Q33" s="287">
        <f>(1+Parameters!$AB$39)*'Cost+Escalation'!Q33</f>
        <v>0</v>
      </c>
      <c r="R33" s="341">
        <f>(1+Parameters!$AB$39)*'Cost+Escalation'!R33</f>
        <v>632020.69971694471</v>
      </c>
      <c r="S33" s="341">
        <f>(1+Parameters!$AB$39)*'Cost+Escalation'!S33</f>
        <v>2844762.5095917666</v>
      </c>
      <c r="T33" s="341">
        <f>(1+Parameters!$AB$39)*'Cost+Escalation'!T33</f>
        <v>1270717.1688543872</v>
      </c>
      <c r="U33" s="341">
        <f>(1+Parameters!$AB$39)*'Cost+Escalation'!U33</f>
        <v>0</v>
      </c>
      <c r="V33" s="341">
        <f>(1+Parameters!$AB$39)*'Cost+Escalation'!V33</f>
        <v>0</v>
      </c>
      <c r="W33" s="287">
        <f>(1+Parameters!$AB$39)*'Cost+Escalation'!W33</f>
        <v>0</v>
      </c>
      <c r="X33" s="321">
        <f>(1+Parameters!$AB$39)*'Cost+Escalation'!X33</f>
        <v>0</v>
      </c>
      <c r="Y33" s="287">
        <f t="shared" si="3"/>
        <v>0</v>
      </c>
      <c r="Z33" s="287">
        <f t="shared" si="1"/>
        <v>0</v>
      </c>
      <c r="AA33" s="341">
        <f t="shared" si="1"/>
        <v>0</v>
      </c>
      <c r="AB33" s="341">
        <f t="shared" si="1"/>
        <v>0</v>
      </c>
      <c r="AC33" s="341">
        <f t="shared" si="1"/>
        <v>4747500.3781630984</v>
      </c>
      <c r="AD33" s="341">
        <f t="shared" si="1"/>
        <v>0</v>
      </c>
      <c r="AE33" s="341">
        <f t="shared" si="1"/>
        <v>0</v>
      </c>
      <c r="AF33" s="287">
        <f t="shared" si="1"/>
        <v>0</v>
      </c>
      <c r="AG33" s="287">
        <f t="shared" si="1"/>
        <v>0</v>
      </c>
      <c r="AH33" s="322">
        <f>IF($H33,0,IFERROR(IF(VALUE(LEFT(D33,4))&gt;VALUE(LEFT(Parameters!$B$66,4))+1,O33-SUM(R33:X33),0),0))</f>
        <v>0</v>
      </c>
    </row>
    <row r="34" spans="1:34" ht="12.75" x14ac:dyDescent="0.2">
      <c r="A34" s="313" t="str">
        <f>'Base Costs'!A34</f>
        <v>ND1031</v>
      </c>
      <c r="B34" s="314" t="str">
        <f>'Base Costs'!B34</f>
        <v>Northern OPGW Program</v>
      </c>
      <c r="C34" s="314" t="str">
        <f>'Base Costs'!C34</f>
        <v>Asset Renewal</v>
      </c>
      <c r="D34" s="333" t="str">
        <f>'Base Costs'!D34</f>
        <v>2014/15</v>
      </c>
      <c r="E34" s="333">
        <f>'Base Costs'!E34</f>
        <v>0</v>
      </c>
      <c r="F34" s="315"/>
      <c r="G34" s="315"/>
      <c r="H34" s="316">
        <f>'Input Data Sheet'!J34</f>
        <v>0</v>
      </c>
      <c r="I34" s="316"/>
      <c r="J34" s="316"/>
      <c r="K34" s="316"/>
      <c r="L34" s="316"/>
      <c r="M34" s="316"/>
      <c r="N34" s="316"/>
      <c r="O34" s="287">
        <f t="shared" si="2"/>
        <v>137000</v>
      </c>
      <c r="P34" s="320">
        <f>(1+Parameters!$AB$39)*'Cost+Escalation'!P34</f>
        <v>0</v>
      </c>
      <c r="Q34" s="287">
        <f>(1+Parameters!$AB$39)*'Cost+Escalation'!Q34</f>
        <v>0</v>
      </c>
      <c r="R34" s="341">
        <f>(1+Parameters!$AB$39)*'Cost+Escalation'!R34</f>
        <v>137000</v>
      </c>
      <c r="S34" s="341">
        <f>(1+Parameters!$AB$39)*'Cost+Escalation'!S34</f>
        <v>0</v>
      </c>
      <c r="T34" s="341">
        <f>(1+Parameters!$AB$39)*'Cost+Escalation'!T34</f>
        <v>0</v>
      </c>
      <c r="U34" s="341">
        <f>(1+Parameters!$AB$39)*'Cost+Escalation'!U34</f>
        <v>0</v>
      </c>
      <c r="V34" s="341">
        <f>(1+Parameters!$AB$39)*'Cost+Escalation'!V34</f>
        <v>0</v>
      </c>
      <c r="W34" s="287">
        <f>(1+Parameters!$AB$39)*'Cost+Escalation'!W34</f>
        <v>0</v>
      </c>
      <c r="X34" s="321">
        <f>(1+Parameters!$AB$39)*'Cost+Escalation'!X34</f>
        <v>0</v>
      </c>
      <c r="Y34" s="287">
        <f t="shared" si="3"/>
        <v>0</v>
      </c>
      <c r="Z34" s="287">
        <f t="shared" si="1"/>
        <v>0</v>
      </c>
      <c r="AA34" s="341">
        <f t="shared" si="1"/>
        <v>137000</v>
      </c>
      <c r="AB34" s="341">
        <f t="shared" si="1"/>
        <v>0</v>
      </c>
      <c r="AC34" s="341">
        <f t="shared" si="1"/>
        <v>0</v>
      </c>
      <c r="AD34" s="341">
        <f t="shared" si="1"/>
        <v>0</v>
      </c>
      <c r="AE34" s="341">
        <f t="shared" si="1"/>
        <v>0</v>
      </c>
      <c r="AF34" s="287">
        <f t="shared" si="1"/>
        <v>0</v>
      </c>
      <c r="AG34" s="287">
        <f t="shared" si="1"/>
        <v>0</v>
      </c>
      <c r="AH34" s="322">
        <f>IF($H34,0,IFERROR(IF(VALUE(LEFT(D34,4))&gt;VALUE(LEFT(Parameters!$B$66,4))+1,O34-SUM(R34:X34),0),0))</f>
        <v>0</v>
      </c>
    </row>
    <row r="35" spans="1:34" ht="12.75" x14ac:dyDescent="0.2">
      <c r="A35" s="313" t="str">
        <f>'Base Costs'!A35</f>
        <v>ND0790</v>
      </c>
      <c r="B35" s="314" t="str">
        <f>'Base Costs'!B35</f>
        <v>Office equipment and minor assets</v>
      </c>
      <c r="C35" s="314" t="str">
        <f>'Base Costs'!C35</f>
        <v>Business support</v>
      </c>
      <c r="D35" s="333" t="str">
        <f>'Base Costs'!D35</f>
        <v>2018/19</v>
      </c>
      <c r="E35" s="333">
        <f>'Base Costs'!E35</f>
        <v>18</v>
      </c>
      <c r="F35" s="315"/>
      <c r="G35" s="315"/>
      <c r="H35" s="316">
        <f>'Input Data Sheet'!J35</f>
        <v>1</v>
      </c>
      <c r="I35" s="316"/>
      <c r="J35" s="316"/>
      <c r="K35" s="316"/>
      <c r="L35" s="316"/>
      <c r="M35" s="316"/>
      <c r="N35" s="316"/>
      <c r="O35" s="287">
        <f t="shared" si="2"/>
        <v>419800.79681274894</v>
      </c>
      <c r="P35" s="320">
        <f>(1+Parameters!$AB$39)*'Cost+Escalation'!P35</f>
        <v>0</v>
      </c>
      <c r="Q35" s="287">
        <f>(1+Parameters!$AB$39)*'Cost+Escalation'!Q35</f>
        <v>0</v>
      </c>
      <c r="R35" s="341">
        <f>(1+Parameters!$AB$39)*'Cost+Escalation'!R35</f>
        <v>83960.159362549792</v>
      </c>
      <c r="S35" s="341">
        <f>(1+Parameters!$AB$39)*'Cost+Escalation'!S35</f>
        <v>83960.159362549792</v>
      </c>
      <c r="T35" s="341">
        <f>(1+Parameters!$AB$39)*'Cost+Escalation'!T35</f>
        <v>83960.159362549792</v>
      </c>
      <c r="U35" s="341">
        <f>(1+Parameters!$AB$39)*'Cost+Escalation'!U35</f>
        <v>83960.159362549792</v>
      </c>
      <c r="V35" s="341">
        <f>(1+Parameters!$AB$39)*'Cost+Escalation'!V35</f>
        <v>83960.159362549792</v>
      </c>
      <c r="W35" s="287">
        <f>(1+Parameters!$AB$39)*'Cost+Escalation'!W35</f>
        <v>0</v>
      </c>
      <c r="X35" s="321">
        <f>(1+Parameters!$AB$39)*'Cost+Escalation'!X35</f>
        <v>0</v>
      </c>
      <c r="Y35" s="287">
        <f t="shared" si="3"/>
        <v>0</v>
      </c>
      <c r="Z35" s="287">
        <f t="shared" si="1"/>
        <v>0</v>
      </c>
      <c r="AA35" s="341">
        <f t="shared" si="1"/>
        <v>83960.159362549792</v>
      </c>
      <c r="AB35" s="341">
        <f t="shared" si="1"/>
        <v>83960.159362549792</v>
      </c>
      <c r="AC35" s="341">
        <f t="shared" si="1"/>
        <v>83960.159362549792</v>
      </c>
      <c r="AD35" s="341">
        <f t="shared" si="1"/>
        <v>83960.159362549792</v>
      </c>
      <c r="AE35" s="341">
        <f t="shared" si="1"/>
        <v>83960.159362549792</v>
      </c>
      <c r="AF35" s="287">
        <f t="shared" si="1"/>
        <v>0</v>
      </c>
      <c r="AG35" s="287">
        <f t="shared" ref="AG35:AG98" si="4">IF($H35,X35,IF(AG$3=$D35,$O35,0))</f>
        <v>0</v>
      </c>
      <c r="AH35" s="322">
        <f>IF($H35,0,IFERROR(IF(VALUE(LEFT(D35,4))&gt;VALUE(LEFT(Parameters!$B$66,4))+1,O35-SUM(R35:X35),0),0))</f>
        <v>0</v>
      </c>
    </row>
    <row r="36" spans="1:34" ht="12.75" x14ac:dyDescent="0.2">
      <c r="A36" s="313" t="str">
        <f>'Base Costs'!A36</f>
        <v>ND1348</v>
      </c>
      <c r="B36" s="314" t="str">
        <f>'Base Costs'!B36</f>
        <v>Operations Building accommodation expansion</v>
      </c>
      <c r="C36" s="314" t="str">
        <f>'Base Costs'!C36</f>
        <v>Business Support</v>
      </c>
      <c r="D36" s="333" t="str">
        <f>'Base Costs'!D36</f>
        <v>2014/15</v>
      </c>
      <c r="E36" s="333">
        <f>'Base Costs'!E36</f>
        <v>0</v>
      </c>
      <c r="F36" s="315"/>
      <c r="G36" s="315"/>
      <c r="H36" s="316">
        <f>'Input Data Sheet'!J36</f>
        <v>0</v>
      </c>
      <c r="I36" s="316"/>
      <c r="J36" s="316"/>
      <c r="K36" s="316"/>
      <c r="L36" s="316"/>
      <c r="M36" s="316"/>
      <c r="N36" s="316"/>
      <c r="O36" s="287">
        <f t="shared" si="2"/>
        <v>419850</v>
      </c>
      <c r="P36" s="320">
        <f>(1+Parameters!$AB$39)*'Cost+Escalation'!P36</f>
        <v>0</v>
      </c>
      <c r="Q36" s="287">
        <f>(1+Parameters!$AB$39)*'Cost+Escalation'!Q36</f>
        <v>165000</v>
      </c>
      <c r="R36" s="341">
        <f>(1+Parameters!$AB$39)*'Cost+Escalation'!R36</f>
        <v>254850</v>
      </c>
      <c r="S36" s="341">
        <f>(1+Parameters!$AB$39)*'Cost+Escalation'!S36</f>
        <v>0</v>
      </c>
      <c r="T36" s="341">
        <f>(1+Parameters!$AB$39)*'Cost+Escalation'!T36</f>
        <v>0</v>
      </c>
      <c r="U36" s="341">
        <f>(1+Parameters!$AB$39)*'Cost+Escalation'!U36</f>
        <v>0</v>
      </c>
      <c r="V36" s="341">
        <f>(1+Parameters!$AB$39)*'Cost+Escalation'!V36</f>
        <v>0</v>
      </c>
      <c r="W36" s="287">
        <f>(1+Parameters!$AB$39)*'Cost+Escalation'!W36</f>
        <v>0</v>
      </c>
      <c r="X36" s="321">
        <f>(1+Parameters!$AB$39)*'Cost+Escalation'!X36</f>
        <v>0</v>
      </c>
      <c r="Y36" s="287">
        <f t="shared" si="3"/>
        <v>0</v>
      </c>
      <c r="Z36" s="287">
        <f t="shared" si="3"/>
        <v>0</v>
      </c>
      <c r="AA36" s="341">
        <f t="shared" si="3"/>
        <v>419850</v>
      </c>
      <c r="AB36" s="341">
        <f t="shared" si="3"/>
        <v>0</v>
      </c>
      <c r="AC36" s="341">
        <f t="shared" si="3"/>
        <v>0</v>
      </c>
      <c r="AD36" s="341">
        <f t="shared" si="3"/>
        <v>0</v>
      </c>
      <c r="AE36" s="341">
        <f t="shared" si="3"/>
        <v>0</v>
      </c>
      <c r="AF36" s="287">
        <f t="shared" si="3"/>
        <v>0</v>
      </c>
      <c r="AG36" s="287">
        <f t="shared" si="4"/>
        <v>0</v>
      </c>
      <c r="AH36" s="322">
        <f>IF($H36,0,IFERROR(IF(VALUE(LEFT(D36,4))&gt;VALUE(LEFT(Parameters!$B$66,4))+1,O36-SUM(R36:X36),0),0))</f>
        <v>165000</v>
      </c>
    </row>
    <row r="37" spans="1:34" ht="12.75" x14ac:dyDescent="0.2">
      <c r="A37" s="313" t="str">
        <f>'Base Costs'!A37</f>
        <v>ND1221</v>
      </c>
      <c r="B37" s="314" t="str">
        <f>'Base Costs'!B37</f>
        <v>Operations Building air conditioning renewal</v>
      </c>
      <c r="C37" s="314" t="str">
        <f>'Base Costs'!C37</f>
        <v>Business support</v>
      </c>
      <c r="D37" s="333" t="str">
        <f>'Base Costs'!D37</f>
        <v>2018/19</v>
      </c>
      <c r="E37" s="333">
        <f>'Base Costs'!E37</f>
        <v>18</v>
      </c>
      <c r="F37" s="315"/>
      <c r="G37" s="315"/>
      <c r="H37" s="316">
        <f>'Input Data Sheet'!J37</f>
        <v>0</v>
      </c>
      <c r="I37" s="316"/>
      <c r="J37" s="316"/>
      <c r="K37" s="316"/>
      <c r="L37" s="316"/>
      <c r="M37" s="316"/>
      <c r="N37" s="316"/>
      <c r="O37" s="287">
        <f t="shared" si="2"/>
        <v>363285.11454183265</v>
      </c>
      <c r="P37" s="320">
        <f>(1+Parameters!$AB$39)*'Cost+Escalation'!P37</f>
        <v>0</v>
      </c>
      <c r="Q37" s="287">
        <f>(1+Parameters!$AB$39)*'Cost+Escalation'!Q37</f>
        <v>0</v>
      </c>
      <c r="R37" s="341">
        <f>(1+Parameters!$AB$39)*'Cost+Escalation'!R37</f>
        <v>167762.89342629482</v>
      </c>
      <c r="S37" s="341">
        <f>(1+Parameters!$AB$39)*'Cost+Escalation'!S37</f>
        <v>48277.091633466131</v>
      </c>
      <c r="T37" s="341">
        <f>(1+Parameters!$AB$39)*'Cost+Escalation'!T37</f>
        <v>54311.728087649397</v>
      </c>
      <c r="U37" s="341">
        <f>(1+Parameters!$AB$39)*'Cost+Escalation'!U37</f>
        <v>59139.437250996016</v>
      </c>
      <c r="V37" s="341">
        <f>(1+Parameters!$AB$39)*'Cost+Escalation'!V37</f>
        <v>33793.964143426296</v>
      </c>
      <c r="W37" s="287">
        <f>(1+Parameters!$AB$39)*'Cost+Escalation'!W37</f>
        <v>0</v>
      </c>
      <c r="X37" s="321">
        <f>(1+Parameters!$AB$39)*'Cost+Escalation'!X37</f>
        <v>0</v>
      </c>
      <c r="Y37" s="287">
        <f t="shared" si="3"/>
        <v>0</v>
      </c>
      <c r="Z37" s="287">
        <f t="shared" si="3"/>
        <v>0</v>
      </c>
      <c r="AA37" s="341">
        <f t="shared" si="3"/>
        <v>0</v>
      </c>
      <c r="AB37" s="341">
        <f t="shared" si="3"/>
        <v>0</v>
      </c>
      <c r="AC37" s="341">
        <f t="shared" si="3"/>
        <v>0</v>
      </c>
      <c r="AD37" s="341">
        <f t="shared" si="3"/>
        <v>0</v>
      </c>
      <c r="AE37" s="341">
        <f t="shared" si="3"/>
        <v>363285.11454183265</v>
      </c>
      <c r="AF37" s="287">
        <f t="shared" si="3"/>
        <v>0</v>
      </c>
      <c r="AG37" s="287">
        <f t="shared" si="4"/>
        <v>0</v>
      </c>
      <c r="AH37" s="322">
        <f>IF($H37,0,IFERROR(IF(VALUE(LEFT(D37,4))&gt;VALUE(LEFT(Parameters!$B$66,4))+1,O37-SUM(R37:X37),0),0))</f>
        <v>0</v>
      </c>
    </row>
    <row r="38" spans="1:34" ht="12.75" x14ac:dyDescent="0.2">
      <c r="A38" s="313" t="str">
        <f>'Base Costs'!A38</f>
        <v>ND1275</v>
      </c>
      <c r="B38" s="314" t="str">
        <f>'Base Costs'!B38</f>
        <v>Operations Building compliance program</v>
      </c>
      <c r="C38" s="314" t="str">
        <f>'Base Costs'!C38</f>
        <v>Business support</v>
      </c>
      <c r="D38" s="333" t="str">
        <f>'Base Costs'!D38</f>
        <v>2015/16</v>
      </c>
      <c r="E38" s="333">
        <f>'Base Costs'!E38</f>
        <v>18</v>
      </c>
      <c r="F38" s="315"/>
      <c r="G38" s="315"/>
      <c r="H38" s="316">
        <f>'Input Data Sheet'!J38</f>
        <v>0</v>
      </c>
      <c r="I38" s="316"/>
      <c r="J38" s="316"/>
      <c r="K38" s="316"/>
      <c r="L38" s="316"/>
      <c r="M38" s="316"/>
      <c r="N38" s="316"/>
      <c r="O38" s="287">
        <f t="shared" si="2"/>
        <v>734651.39442231064</v>
      </c>
      <c r="P38" s="320">
        <f>(1+Parameters!$AB$39)*'Cost+Escalation'!P38</f>
        <v>0</v>
      </c>
      <c r="Q38" s="287">
        <f>(1+Parameters!$AB$39)*'Cost+Escalation'!Q38</f>
        <v>0</v>
      </c>
      <c r="R38" s="341">
        <f>(1+Parameters!$AB$39)*'Cost+Escalation'!R38</f>
        <v>110197.7091633466</v>
      </c>
      <c r="S38" s="341">
        <f>(1+Parameters!$AB$39)*'Cost+Escalation'!S38</f>
        <v>624453.68525896408</v>
      </c>
      <c r="T38" s="341">
        <f>(1+Parameters!$AB$39)*'Cost+Escalation'!T38</f>
        <v>0</v>
      </c>
      <c r="U38" s="341">
        <f>(1+Parameters!$AB$39)*'Cost+Escalation'!U38</f>
        <v>0</v>
      </c>
      <c r="V38" s="341">
        <f>(1+Parameters!$AB$39)*'Cost+Escalation'!V38</f>
        <v>0</v>
      </c>
      <c r="W38" s="287">
        <f>(1+Parameters!$AB$39)*'Cost+Escalation'!W38</f>
        <v>0</v>
      </c>
      <c r="X38" s="321">
        <f>(1+Parameters!$AB$39)*'Cost+Escalation'!X38</f>
        <v>0</v>
      </c>
      <c r="Y38" s="287">
        <f t="shared" si="3"/>
        <v>0</v>
      </c>
      <c r="Z38" s="287">
        <f t="shared" si="3"/>
        <v>0</v>
      </c>
      <c r="AA38" s="341">
        <f t="shared" si="3"/>
        <v>0</v>
      </c>
      <c r="AB38" s="341">
        <f t="shared" si="3"/>
        <v>734651.39442231064</v>
      </c>
      <c r="AC38" s="341">
        <f t="shared" si="3"/>
        <v>0</v>
      </c>
      <c r="AD38" s="341">
        <f t="shared" si="3"/>
        <v>0</v>
      </c>
      <c r="AE38" s="341">
        <f t="shared" si="3"/>
        <v>0</v>
      </c>
      <c r="AF38" s="287">
        <f t="shared" si="3"/>
        <v>0</v>
      </c>
      <c r="AG38" s="287">
        <f t="shared" si="4"/>
        <v>0</v>
      </c>
      <c r="AH38" s="322">
        <f>IF($H38,0,IFERROR(IF(VALUE(LEFT(D38,4))&gt;VALUE(LEFT(Parameters!$B$66,4))+1,O38-SUM(R38:X38),0),0))</f>
        <v>0</v>
      </c>
    </row>
    <row r="39" spans="1:34" ht="12.75" x14ac:dyDescent="0.2">
      <c r="A39" s="313" t="str">
        <f>'Base Costs'!A39</f>
        <v>ND1253</v>
      </c>
      <c r="B39" s="314" t="str">
        <f>'Base Costs'!B39</f>
        <v>Port Latta Substation structure renewal</v>
      </c>
      <c r="C39" s="314" t="str">
        <f>'Base Costs'!C39</f>
        <v>Asset Renewal</v>
      </c>
      <c r="D39" s="333" t="str">
        <f>'Base Costs'!D39</f>
        <v>2014/15</v>
      </c>
      <c r="E39" s="333">
        <f>'Base Costs'!E39</f>
        <v>9</v>
      </c>
      <c r="F39" s="315"/>
      <c r="G39" s="315"/>
      <c r="H39" s="316">
        <f>'Input Data Sheet'!J39</f>
        <v>0</v>
      </c>
      <c r="I39" s="316"/>
      <c r="J39" s="316"/>
      <c r="K39" s="316"/>
      <c r="L39" s="316"/>
      <c r="M39" s="316"/>
      <c r="N39" s="316"/>
      <c r="O39" s="287">
        <f t="shared" si="2"/>
        <v>1596214.2953398074</v>
      </c>
      <c r="P39" s="320">
        <f>(1+Parameters!$AB$39)*'Cost+Escalation'!P39</f>
        <v>0</v>
      </c>
      <c r="Q39" s="287">
        <f>(1+Parameters!$AB$39)*'Cost+Escalation'!Q39</f>
        <v>24070.181627182399</v>
      </c>
      <c r="R39" s="341">
        <f>(1+Parameters!$AB$39)*'Cost+Escalation'!R39</f>
        <v>1572144.1137126251</v>
      </c>
      <c r="S39" s="341">
        <f>(1+Parameters!$AB$39)*'Cost+Escalation'!S39</f>
        <v>0</v>
      </c>
      <c r="T39" s="341">
        <f>(1+Parameters!$AB$39)*'Cost+Escalation'!T39</f>
        <v>0</v>
      </c>
      <c r="U39" s="341">
        <f>(1+Parameters!$AB$39)*'Cost+Escalation'!U39</f>
        <v>0</v>
      </c>
      <c r="V39" s="341">
        <f>(1+Parameters!$AB$39)*'Cost+Escalation'!V39</f>
        <v>0</v>
      </c>
      <c r="W39" s="287">
        <f>(1+Parameters!$AB$39)*'Cost+Escalation'!W39</f>
        <v>0</v>
      </c>
      <c r="X39" s="321">
        <f>(1+Parameters!$AB$39)*'Cost+Escalation'!X39</f>
        <v>0</v>
      </c>
      <c r="Y39" s="287">
        <f t="shared" si="3"/>
        <v>0</v>
      </c>
      <c r="Z39" s="287">
        <f t="shared" si="3"/>
        <v>0</v>
      </c>
      <c r="AA39" s="341">
        <f t="shared" si="3"/>
        <v>1596214.2953398074</v>
      </c>
      <c r="AB39" s="341">
        <f t="shared" si="3"/>
        <v>0</v>
      </c>
      <c r="AC39" s="341">
        <f t="shared" si="3"/>
        <v>0</v>
      </c>
      <c r="AD39" s="341">
        <f t="shared" si="3"/>
        <v>0</v>
      </c>
      <c r="AE39" s="341">
        <f t="shared" si="3"/>
        <v>0</v>
      </c>
      <c r="AF39" s="287">
        <f t="shared" si="3"/>
        <v>0</v>
      </c>
      <c r="AG39" s="287">
        <f t="shared" si="4"/>
        <v>0</v>
      </c>
      <c r="AH39" s="322">
        <f>IF($H39,0,IFERROR(IF(VALUE(LEFT(D39,4))&gt;VALUE(LEFT(Parameters!$B$66,4))+1,O39-SUM(R39:X39),0),0))</f>
        <v>24070.18162718229</v>
      </c>
    </row>
    <row r="40" spans="1:34" ht="12.75" x14ac:dyDescent="0.2">
      <c r="A40" s="313" t="str">
        <f>'Base Costs'!A40</f>
        <v>ND0958</v>
      </c>
      <c r="B40" s="314" t="str">
        <f>'Base Costs'!B40</f>
        <v>Queenstown Substation Transformer T1 replacement</v>
      </c>
      <c r="C40" s="314" t="str">
        <f>'Base Costs'!C40</f>
        <v>Asset Renewal</v>
      </c>
      <c r="D40" s="333" t="str">
        <f>'Base Costs'!D40</f>
        <v>2014/15</v>
      </c>
      <c r="E40" s="333">
        <f>'Base Costs'!E40</f>
        <v>0</v>
      </c>
      <c r="F40" s="315"/>
      <c r="G40" s="315"/>
      <c r="H40" s="316">
        <f>'Input Data Sheet'!J40</f>
        <v>0</v>
      </c>
      <c r="I40" s="316"/>
      <c r="J40" s="316"/>
      <c r="K40" s="316"/>
      <c r="L40" s="316"/>
      <c r="M40" s="316"/>
      <c r="N40" s="316"/>
      <c r="O40" s="287">
        <f t="shared" si="2"/>
        <v>15000</v>
      </c>
      <c r="P40" s="320">
        <f>(1+Parameters!$AB$39)*'Cost+Escalation'!P40</f>
        <v>0</v>
      </c>
      <c r="Q40" s="287">
        <f>(1+Parameters!$AB$39)*'Cost+Escalation'!Q40</f>
        <v>0</v>
      </c>
      <c r="R40" s="341">
        <f>(1+Parameters!$AB$39)*'Cost+Escalation'!R40</f>
        <v>15000</v>
      </c>
      <c r="S40" s="341">
        <f>(1+Parameters!$AB$39)*'Cost+Escalation'!S40</f>
        <v>0</v>
      </c>
      <c r="T40" s="341">
        <f>(1+Parameters!$AB$39)*'Cost+Escalation'!T40</f>
        <v>0</v>
      </c>
      <c r="U40" s="341">
        <f>(1+Parameters!$AB$39)*'Cost+Escalation'!U40</f>
        <v>0</v>
      </c>
      <c r="V40" s="341">
        <f>(1+Parameters!$AB$39)*'Cost+Escalation'!V40</f>
        <v>0</v>
      </c>
      <c r="W40" s="287">
        <f>(1+Parameters!$AB$39)*'Cost+Escalation'!W40</f>
        <v>0</v>
      </c>
      <c r="X40" s="321">
        <f>(1+Parameters!$AB$39)*'Cost+Escalation'!X40</f>
        <v>0</v>
      </c>
      <c r="Y40" s="287">
        <f t="shared" si="3"/>
        <v>0</v>
      </c>
      <c r="Z40" s="287">
        <f t="shared" si="3"/>
        <v>0</v>
      </c>
      <c r="AA40" s="341">
        <f t="shared" si="3"/>
        <v>15000</v>
      </c>
      <c r="AB40" s="341">
        <f t="shared" si="3"/>
        <v>0</v>
      </c>
      <c r="AC40" s="341">
        <f t="shared" si="3"/>
        <v>0</v>
      </c>
      <c r="AD40" s="341">
        <f t="shared" si="3"/>
        <v>0</v>
      </c>
      <c r="AE40" s="341">
        <f t="shared" si="3"/>
        <v>0</v>
      </c>
      <c r="AF40" s="287">
        <f t="shared" si="3"/>
        <v>0</v>
      </c>
      <c r="AG40" s="287">
        <f t="shared" si="4"/>
        <v>0</v>
      </c>
      <c r="AH40" s="322">
        <f>IF($H40,0,IFERROR(IF(VALUE(LEFT(D40,4))&gt;VALUE(LEFT(Parameters!$B$66,4))+1,O40-SUM(R40:X40),0),0))</f>
        <v>0</v>
      </c>
    </row>
    <row r="41" spans="1:34" ht="13.95" x14ac:dyDescent="0.3">
      <c r="A41" s="313" t="str">
        <f>'Base Costs'!A41</f>
        <v>ND1254</v>
      </c>
      <c r="B41" s="314" t="str">
        <f>'Base Costs'!B41</f>
        <v>Railton Substation 110 kV post insulator and busbar renewal</v>
      </c>
      <c r="C41" s="314" t="str">
        <f>'Base Costs'!C41</f>
        <v>Asset Renewal</v>
      </c>
      <c r="D41" s="333" t="str">
        <f>'Base Costs'!D41</f>
        <v>2015/16</v>
      </c>
      <c r="E41" s="333">
        <f>'Base Costs'!E41</f>
        <v>9</v>
      </c>
      <c r="F41" s="315"/>
      <c r="G41" s="315"/>
      <c r="H41" s="316">
        <f>'Input Data Sheet'!J41</f>
        <v>0</v>
      </c>
      <c r="I41" s="316"/>
      <c r="J41" s="316"/>
      <c r="K41" s="316"/>
      <c r="L41" s="316"/>
      <c r="M41" s="316"/>
      <c r="N41" s="316"/>
      <c r="O41" s="287">
        <f t="shared" si="2"/>
        <v>1084053.8972040236</v>
      </c>
      <c r="P41" s="320">
        <f>(1+Parameters!$AB$39)*'Cost+Escalation'!P41</f>
        <v>0</v>
      </c>
      <c r="Q41" s="287">
        <f>(1+Parameters!$AB$39)*'Cost+Escalation'!Q41</f>
        <v>145697.25566268153</v>
      </c>
      <c r="R41" s="341">
        <f>(1+Parameters!$AB$39)*'Cost+Escalation'!R41</f>
        <v>649184.40654542448</v>
      </c>
      <c r="S41" s="341">
        <f>(1+Parameters!$AB$39)*'Cost+Escalation'!S41</f>
        <v>289172.23499591759</v>
      </c>
      <c r="T41" s="341">
        <f>(1+Parameters!$AB$39)*'Cost+Escalation'!T41</f>
        <v>0</v>
      </c>
      <c r="U41" s="341">
        <f>(1+Parameters!$AB$39)*'Cost+Escalation'!U41</f>
        <v>0</v>
      </c>
      <c r="V41" s="341">
        <f>(1+Parameters!$AB$39)*'Cost+Escalation'!V41</f>
        <v>0</v>
      </c>
      <c r="W41" s="287">
        <f>(1+Parameters!$AB$39)*'Cost+Escalation'!W41</f>
        <v>0</v>
      </c>
      <c r="X41" s="321">
        <f>(1+Parameters!$AB$39)*'Cost+Escalation'!X41</f>
        <v>0</v>
      </c>
      <c r="Y41" s="287">
        <f t="shared" si="3"/>
        <v>0</v>
      </c>
      <c r="Z41" s="287">
        <f t="shared" si="3"/>
        <v>0</v>
      </c>
      <c r="AA41" s="341">
        <f t="shared" si="3"/>
        <v>0</v>
      </c>
      <c r="AB41" s="341">
        <f t="shared" si="3"/>
        <v>1084053.8972040236</v>
      </c>
      <c r="AC41" s="341">
        <f t="shared" si="3"/>
        <v>0</v>
      </c>
      <c r="AD41" s="341">
        <f t="shared" si="3"/>
        <v>0</v>
      </c>
      <c r="AE41" s="341">
        <f t="shared" si="3"/>
        <v>0</v>
      </c>
      <c r="AF41" s="287">
        <f t="shared" si="3"/>
        <v>0</v>
      </c>
      <c r="AG41" s="287">
        <f t="shared" si="4"/>
        <v>0</v>
      </c>
      <c r="AH41" s="322">
        <f>IF($H41,0,IFERROR(IF(VALUE(LEFT(D41,4))&gt;VALUE(LEFT(Parameters!$B$66,4))+1,O41-SUM(R41:X41),0),0))</f>
        <v>145697.25566268153</v>
      </c>
    </row>
    <row r="42" spans="1:34" ht="13.95" x14ac:dyDescent="0.3">
      <c r="A42" s="313" t="str">
        <f>'Base Costs'!A42</f>
        <v>ND1308</v>
      </c>
      <c r="B42" s="314" t="str">
        <f>'Base Costs'!B42</f>
        <v>Reyrolle Type LMT Switchgear renewal program</v>
      </c>
      <c r="C42" s="314" t="str">
        <f>'Base Costs'!C42</f>
        <v>Asset Renewal</v>
      </c>
      <c r="D42" s="333" t="str">
        <f>'Base Costs'!D42</f>
        <v>2016/17</v>
      </c>
      <c r="E42" s="333">
        <f>'Base Costs'!E42</f>
        <v>9</v>
      </c>
      <c r="F42" s="315"/>
      <c r="G42" s="315"/>
      <c r="H42" s="316">
        <f>'Input Data Sheet'!J42</f>
        <v>1</v>
      </c>
      <c r="I42" s="316"/>
      <c r="J42" s="316"/>
      <c r="K42" s="316"/>
      <c r="L42" s="316"/>
      <c r="M42" s="316"/>
      <c r="N42" s="316"/>
      <c r="O42" s="287">
        <f t="shared" ref="O42:O100" si="5">SUM(P42:X42)</f>
        <v>3622358.2388421251</v>
      </c>
      <c r="P42" s="320">
        <f>(1+Parameters!$AB$39)*'Cost+Escalation'!P42</f>
        <v>0</v>
      </c>
      <c r="Q42" s="287">
        <f>(1+Parameters!$AB$39)*'Cost+Escalation'!Q42</f>
        <v>0</v>
      </c>
      <c r="R42" s="341">
        <f>(1+Parameters!$AB$39)*'Cost+Escalation'!R42</f>
        <v>482234.44349967514</v>
      </c>
      <c r="S42" s="341">
        <f>(1+Parameters!$AB$39)*'Cost+Escalation'!S42</f>
        <v>2170562.6486946815</v>
      </c>
      <c r="T42" s="341">
        <f>(1+Parameters!$AB$39)*'Cost+Escalation'!T42</f>
        <v>969561.14664776879</v>
      </c>
      <c r="U42" s="341">
        <f>(1+Parameters!$AB$39)*'Cost+Escalation'!U42</f>
        <v>0</v>
      </c>
      <c r="V42" s="341">
        <f>(1+Parameters!$AB$39)*'Cost+Escalation'!V42</f>
        <v>0</v>
      </c>
      <c r="W42" s="287">
        <f>(1+Parameters!$AB$39)*'Cost+Escalation'!W42</f>
        <v>0</v>
      </c>
      <c r="X42" s="321">
        <f>(1+Parameters!$AB$39)*'Cost+Escalation'!X42</f>
        <v>0</v>
      </c>
      <c r="Y42" s="287">
        <f t="shared" si="3"/>
        <v>0</v>
      </c>
      <c r="Z42" s="287">
        <f t="shared" si="3"/>
        <v>0</v>
      </c>
      <c r="AA42" s="341">
        <f t="shared" si="3"/>
        <v>482234.44349967514</v>
      </c>
      <c r="AB42" s="341">
        <f t="shared" si="3"/>
        <v>2170562.6486946815</v>
      </c>
      <c r="AC42" s="341">
        <f t="shared" si="3"/>
        <v>969561.14664776879</v>
      </c>
      <c r="AD42" s="341">
        <f t="shared" si="3"/>
        <v>0</v>
      </c>
      <c r="AE42" s="341">
        <f t="shared" si="3"/>
        <v>0</v>
      </c>
      <c r="AF42" s="287">
        <f t="shared" si="3"/>
        <v>0</v>
      </c>
      <c r="AG42" s="287">
        <f t="shared" si="4"/>
        <v>0</v>
      </c>
      <c r="AH42" s="322">
        <f>IF($H42,0,IFERROR(IF(VALUE(LEFT(D42,4))&gt;VALUE(LEFT(Parameters!$B$66,4))+1,O42-SUM(R42:X42),0),0))</f>
        <v>0</v>
      </c>
    </row>
    <row r="43" spans="1:34" ht="13.95" x14ac:dyDescent="0.3">
      <c r="A43" s="313" t="str">
        <f>'Base Costs'!A43</f>
        <v>ND1313</v>
      </c>
      <c r="B43" s="314" t="str">
        <f>'Base Costs'!B43</f>
        <v>Rosebery Substation transformer capacity augmentation</v>
      </c>
      <c r="C43" s="314" t="str">
        <f>'Base Costs'!C43</f>
        <v>Connection</v>
      </c>
      <c r="D43" s="333" t="str">
        <f>'Base Costs'!D43</f>
        <v>2016/17</v>
      </c>
      <c r="E43" s="333">
        <f>'Base Costs'!E43</f>
        <v>11</v>
      </c>
      <c r="F43" s="315"/>
      <c r="G43" s="315"/>
      <c r="H43" s="316">
        <f>'Input Data Sheet'!J43</f>
        <v>0</v>
      </c>
      <c r="I43" s="316"/>
      <c r="J43" s="316"/>
      <c r="K43" s="316"/>
      <c r="L43" s="316"/>
      <c r="M43" s="316"/>
      <c r="N43" s="316"/>
      <c r="O43" s="287">
        <f t="shared" si="5"/>
        <v>6134592.4374028239</v>
      </c>
      <c r="P43" s="320">
        <f>(1+Parameters!$AB$39)*'Cost+Escalation'!P43</f>
        <v>0</v>
      </c>
      <c r="Q43" s="287">
        <f>(1+Parameters!$AB$39)*'Cost+Escalation'!Q43</f>
        <v>0</v>
      </c>
      <c r="R43" s="341">
        <f>(1+Parameters!$AB$39)*'Cost+Escalation'!R43</f>
        <v>697941.4295393388</v>
      </c>
      <c r="S43" s="341">
        <f>(1+Parameters!$AB$39)*'Cost+Escalation'!S43</f>
        <v>5317931.0105185257</v>
      </c>
      <c r="T43" s="341">
        <f>(1+Parameters!$AB$39)*'Cost+Escalation'!T43</f>
        <v>118719.99734495928</v>
      </c>
      <c r="U43" s="341">
        <f>(1+Parameters!$AB$39)*'Cost+Escalation'!U43</f>
        <v>0</v>
      </c>
      <c r="V43" s="341">
        <f>(1+Parameters!$AB$39)*'Cost+Escalation'!V43</f>
        <v>0</v>
      </c>
      <c r="W43" s="287">
        <f>(1+Parameters!$AB$39)*'Cost+Escalation'!W43</f>
        <v>0</v>
      </c>
      <c r="X43" s="321">
        <f>(1+Parameters!$AB$39)*'Cost+Escalation'!X43</f>
        <v>0</v>
      </c>
      <c r="Y43" s="287">
        <f t="shared" si="3"/>
        <v>0</v>
      </c>
      <c r="Z43" s="287">
        <f t="shared" si="3"/>
        <v>0</v>
      </c>
      <c r="AA43" s="341">
        <f t="shared" si="3"/>
        <v>0</v>
      </c>
      <c r="AB43" s="341">
        <f t="shared" si="3"/>
        <v>0</v>
      </c>
      <c r="AC43" s="341">
        <f t="shared" si="3"/>
        <v>6134592.4374028239</v>
      </c>
      <c r="AD43" s="341">
        <f t="shared" si="3"/>
        <v>0</v>
      </c>
      <c r="AE43" s="341">
        <f t="shared" si="3"/>
        <v>0</v>
      </c>
      <c r="AF43" s="287">
        <f t="shared" si="3"/>
        <v>0</v>
      </c>
      <c r="AG43" s="287">
        <f t="shared" si="4"/>
        <v>0</v>
      </c>
      <c r="AH43" s="322">
        <f>IF($H43,0,IFERROR(IF(VALUE(LEFT(D43,4))&gt;VALUE(LEFT(Parameters!$B$66,4))+1,O43-SUM(R43:X43),0),0))</f>
        <v>0</v>
      </c>
    </row>
    <row r="44" spans="1:34" ht="13.95" x14ac:dyDescent="0.3">
      <c r="A44" s="313" t="str">
        <f>'Base Costs'!A44</f>
        <v>ND1224</v>
      </c>
      <c r="B44" s="314" t="str">
        <f>'Base Costs'!B44</f>
        <v>SCADA System renewal program</v>
      </c>
      <c r="C44" s="314" t="str">
        <f>'Base Costs'!C44</f>
        <v>Asset Renewal</v>
      </c>
      <c r="D44" s="333" t="str">
        <f>'Base Costs'!D44</f>
        <v>2016/17</v>
      </c>
      <c r="E44" s="333">
        <f>'Base Costs'!E44</f>
        <v>13</v>
      </c>
      <c r="F44" s="315"/>
      <c r="G44" s="315"/>
      <c r="H44" s="316">
        <f>'Input Data Sheet'!J44</f>
        <v>1</v>
      </c>
      <c r="I44" s="316"/>
      <c r="J44" s="316"/>
      <c r="K44" s="316"/>
      <c r="L44" s="316"/>
      <c r="M44" s="316"/>
      <c r="N44" s="316"/>
      <c r="O44" s="287">
        <f t="shared" si="5"/>
        <v>3601553.5541670187</v>
      </c>
      <c r="P44" s="320">
        <f>(1+Parameters!$AB$39)*'Cost+Escalation'!P44</f>
        <v>0</v>
      </c>
      <c r="Q44" s="287">
        <f>(1+Parameters!$AB$39)*'Cost+Escalation'!Q44</f>
        <v>0</v>
      </c>
      <c r="R44" s="341">
        <f>(1+Parameters!$AB$39)*'Cost+Escalation'!R44</f>
        <v>464967.62110064912</v>
      </c>
      <c r="S44" s="341">
        <f>(1+Parameters!$AB$39)*'Cost+Escalation'!S44</f>
        <v>3100112.9008011497</v>
      </c>
      <c r="T44" s="341">
        <f>(1+Parameters!$AB$39)*'Cost+Escalation'!T44</f>
        <v>36473.032265219917</v>
      </c>
      <c r="U44" s="341">
        <f>(1+Parameters!$AB$39)*'Cost+Escalation'!U44</f>
        <v>0</v>
      </c>
      <c r="V44" s="341">
        <f>(1+Parameters!$AB$39)*'Cost+Escalation'!V44</f>
        <v>0</v>
      </c>
      <c r="W44" s="287">
        <f>(1+Parameters!$AB$39)*'Cost+Escalation'!W44</f>
        <v>0</v>
      </c>
      <c r="X44" s="321">
        <f>(1+Parameters!$AB$39)*'Cost+Escalation'!X44</f>
        <v>0</v>
      </c>
      <c r="Y44" s="287">
        <f t="shared" si="3"/>
        <v>0</v>
      </c>
      <c r="Z44" s="287">
        <f t="shared" si="3"/>
        <v>0</v>
      </c>
      <c r="AA44" s="341">
        <f t="shared" si="3"/>
        <v>464967.62110064912</v>
      </c>
      <c r="AB44" s="341">
        <f t="shared" si="3"/>
        <v>3100112.9008011497</v>
      </c>
      <c r="AC44" s="341">
        <f t="shared" si="3"/>
        <v>36473.032265219917</v>
      </c>
      <c r="AD44" s="341">
        <f t="shared" si="3"/>
        <v>0</v>
      </c>
      <c r="AE44" s="341">
        <f t="shared" si="3"/>
        <v>0</v>
      </c>
      <c r="AF44" s="287">
        <f t="shared" si="3"/>
        <v>0</v>
      </c>
      <c r="AG44" s="287">
        <f t="shared" si="4"/>
        <v>0</v>
      </c>
      <c r="AH44" s="322">
        <f>IF($H44,0,IFERROR(IF(VALUE(LEFT(D44,4))&gt;VALUE(LEFT(Parameters!$B$66,4))+1,O44-SUM(R44:X44),0),0))</f>
        <v>0</v>
      </c>
    </row>
    <row r="45" spans="1:34" ht="12.75" x14ac:dyDescent="0.2">
      <c r="A45" s="313" t="str">
        <f>'Base Costs'!A45</f>
        <v>ND1192</v>
      </c>
      <c r="B45" s="314" t="str">
        <f>'Base Costs'!B45</f>
        <v>Smart Transmission Grid Development program</v>
      </c>
      <c r="C45" s="314" t="str">
        <f>'Base Costs'!C45</f>
        <v>Operational Support Systems</v>
      </c>
      <c r="D45" s="333" t="str">
        <f>'Base Costs'!D45</f>
        <v>2018/19</v>
      </c>
      <c r="E45" s="333">
        <f>'Base Costs'!E45</f>
        <v>18</v>
      </c>
      <c r="F45" s="315"/>
      <c r="G45" s="315"/>
      <c r="H45" s="316">
        <f>'Input Data Sheet'!J45</f>
        <v>1</v>
      </c>
      <c r="I45" s="316"/>
      <c r="J45" s="316"/>
      <c r="K45" s="316"/>
      <c r="L45" s="316"/>
      <c r="M45" s="316"/>
      <c r="N45" s="316"/>
      <c r="O45" s="287">
        <f t="shared" si="5"/>
        <v>1574252.9880478089</v>
      </c>
      <c r="P45" s="320">
        <f>(1+Parameters!$AB$39)*'Cost+Escalation'!P45</f>
        <v>0</v>
      </c>
      <c r="Q45" s="287">
        <f>(1+Parameters!$AB$39)*'Cost+Escalation'!Q45</f>
        <v>0</v>
      </c>
      <c r="R45" s="341">
        <f>(1+Parameters!$AB$39)*'Cost+Escalation'!R45</f>
        <v>314850.59760956175</v>
      </c>
      <c r="S45" s="341">
        <f>(1+Parameters!$AB$39)*'Cost+Escalation'!S45</f>
        <v>314850.59760956175</v>
      </c>
      <c r="T45" s="341">
        <f>(1+Parameters!$AB$39)*'Cost+Escalation'!T45</f>
        <v>314850.59760956175</v>
      </c>
      <c r="U45" s="341">
        <f>(1+Parameters!$AB$39)*'Cost+Escalation'!U45</f>
        <v>314850.59760956175</v>
      </c>
      <c r="V45" s="341">
        <f>(1+Parameters!$AB$39)*'Cost+Escalation'!V45</f>
        <v>314850.59760956175</v>
      </c>
      <c r="W45" s="287">
        <f>(1+Parameters!$AB$39)*'Cost+Escalation'!W45</f>
        <v>0</v>
      </c>
      <c r="X45" s="321">
        <f>(1+Parameters!$AB$39)*'Cost+Escalation'!X45</f>
        <v>0</v>
      </c>
      <c r="Y45" s="287">
        <f t="shared" si="3"/>
        <v>0</v>
      </c>
      <c r="Z45" s="287">
        <f t="shared" si="3"/>
        <v>0</v>
      </c>
      <c r="AA45" s="341">
        <f t="shared" si="3"/>
        <v>314850.59760956175</v>
      </c>
      <c r="AB45" s="341">
        <f t="shared" si="3"/>
        <v>314850.59760956175</v>
      </c>
      <c r="AC45" s="341">
        <f t="shared" si="3"/>
        <v>314850.59760956175</v>
      </c>
      <c r="AD45" s="341">
        <f t="shared" si="3"/>
        <v>314850.59760956175</v>
      </c>
      <c r="AE45" s="341">
        <f t="shared" si="3"/>
        <v>314850.59760956175</v>
      </c>
      <c r="AF45" s="287">
        <f t="shared" si="3"/>
        <v>0</v>
      </c>
      <c r="AG45" s="287">
        <f t="shared" si="4"/>
        <v>0</v>
      </c>
      <c r="AH45" s="322">
        <f>IF($H45,0,IFERROR(IF(VALUE(LEFT(D45,4))&gt;VALUE(LEFT(Parameters!$B$66,4))+1,O45-SUM(R45:X45),0),0))</f>
        <v>0</v>
      </c>
    </row>
    <row r="46" spans="1:34" ht="13.95" x14ac:dyDescent="0.3">
      <c r="A46" s="313" t="str">
        <f>'Base Costs'!A46</f>
        <v>ND1312</v>
      </c>
      <c r="B46" s="314" t="str">
        <f>'Base Costs'!B46</f>
        <v>Southern transmission system rationalisation program</v>
      </c>
      <c r="C46" s="314" t="str">
        <f>'Base Costs'!C46</f>
        <v>Asset Renewal</v>
      </c>
      <c r="D46" s="333" t="str">
        <f>'Base Costs'!D46</f>
        <v>2020/21</v>
      </c>
      <c r="E46" s="333">
        <f>'Base Costs'!E46</f>
        <v>10</v>
      </c>
      <c r="F46" s="315"/>
      <c r="G46" s="315"/>
      <c r="H46" s="316">
        <f>'Input Data Sheet'!J46</f>
        <v>0</v>
      </c>
      <c r="I46" s="316"/>
      <c r="J46" s="316"/>
      <c r="K46" s="316"/>
      <c r="L46" s="316"/>
      <c r="M46" s="316"/>
      <c r="N46" s="316"/>
      <c r="O46" s="287">
        <f t="shared" si="5"/>
        <v>9312588.7547717132</v>
      </c>
      <c r="P46" s="320">
        <f>(1+Parameters!$AB$39)*'Cost+Escalation'!P46</f>
        <v>0</v>
      </c>
      <c r="Q46" s="287">
        <f>(1+Parameters!$AB$39)*'Cost+Escalation'!Q46</f>
        <v>0</v>
      </c>
      <c r="R46" s="341">
        <f>(1+Parameters!$AB$39)*'Cost+Escalation'!R46</f>
        <v>0</v>
      </c>
      <c r="S46" s="341">
        <f>(1+Parameters!$AB$39)*'Cost+Escalation'!S46</f>
        <v>0</v>
      </c>
      <c r="T46" s="341">
        <f>(1+Parameters!$AB$39)*'Cost+Escalation'!T46</f>
        <v>0</v>
      </c>
      <c r="U46" s="341">
        <f>(1+Parameters!$AB$39)*'Cost+Escalation'!U46</f>
        <v>0</v>
      </c>
      <c r="V46" s="341">
        <f>(1+Parameters!$AB$39)*'Cost+Escalation'!V46</f>
        <v>2841051.3835665779</v>
      </c>
      <c r="W46" s="287">
        <f>(1+Parameters!$AB$39)*'Cost+Escalation'!W46</f>
        <v>6471537.3712051352</v>
      </c>
      <c r="X46" s="321">
        <f>(1+Parameters!$AB$39)*'Cost+Escalation'!X46</f>
        <v>0</v>
      </c>
      <c r="Y46" s="287">
        <f t="shared" si="3"/>
        <v>0</v>
      </c>
      <c r="Z46" s="287">
        <f t="shared" si="3"/>
        <v>0</v>
      </c>
      <c r="AA46" s="341">
        <f t="shared" si="3"/>
        <v>0</v>
      </c>
      <c r="AB46" s="341">
        <f t="shared" si="3"/>
        <v>0</v>
      </c>
      <c r="AC46" s="341">
        <f t="shared" si="3"/>
        <v>0</v>
      </c>
      <c r="AD46" s="341">
        <f t="shared" si="3"/>
        <v>0</v>
      </c>
      <c r="AE46" s="341">
        <f t="shared" si="3"/>
        <v>0</v>
      </c>
      <c r="AF46" s="287">
        <f t="shared" si="3"/>
        <v>0</v>
      </c>
      <c r="AG46" s="287">
        <f t="shared" si="4"/>
        <v>9312588.7547717132</v>
      </c>
      <c r="AH46" s="322">
        <f>IF($H46,0,IFERROR(IF(VALUE(LEFT(D46,4))&gt;VALUE(LEFT(Parameters!$B$66,4))+1,O46-SUM(R46:X46),0),0))</f>
        <v>0</v>
      </c>
    </row>
    <row r="47" spans="1:34" ht="13.95" x14ac:dyDescent="0.3">
      <c r="A47" s="313" t="str">
        <f>'Base Costs'!A47</f>
        <v>ND0941</v>
      </c>
      <c r="B47" s="314" t="str">
        <f>'Base Costs'!B47</f>
        <v>St Marys Substation transformer capacity augmentation</v>
      </c>
      <c r="C47" s="314" t="str">
        <f>'Base Costs'!C47</f>
        <v>Connection</v>
      </c>
      <c r="D47" s="333" t="str">
        <f>'Base Costs'!D47</f>
        <v>2017/18</v>
      </c>
      <c r="E47" s="333">
        <f>'Base Costs'!E47</f>
        <v>11</v>
      </c>
      <c r="F47" s="315"/>
      <c r="G47" s="315"/>
      <c r="H47" s="316">
        <f>'Input Data Sheet'!J47</f>
        <v>0</v>
      </c>
      <c r="I47" s="316"/>
      <c r="J47" s="316"/>
      <c r="K47" s="316"/>
      <c r="L47" s="316"/>
      <c r="M47" s="316"/>
      <c r="N47" s="316"/>
      <c r="O47" s="287">
        <f t="shared" si="5"/>
        <v>3676778.6598472372</v>
      </c>
      <c r="P47" s="320">
        <f>(1+Parameters!$AB$39)*'Cost+Escalation'!P47</f>
        <v>0</v>
      </c>
      <c r="Q47" s="287">
        <f>(1+Parameters!$AB$39)*'Cost+Escalation'!Q47</f>
        <v>0</v>
      </c>
      <c r="R47" s="341">
        <f>(1+Parameters!$AB$39)*'Cost+Escalation'!R47</f>
        <v>0</v>
      </c>
      <c r="S47" s="341">
        <f>(1+Parameters!$AB$39)*'Cost+Escalation'!S47</f>
        <v>219256.4438206873</v>
      </c>
      <c r="T47" s="341">
        <f>(1+Parameters!$AB$39)*'Cost+Escalation'!T47</f>
        <v>2369137.7207605466</v>
      </c>
      <c r="U47" s="341">
        <f>(1+Parameters!$AB$39)*'Cost+Escalation'!U47</f>
        <v>1088384.4952660031</v>
      </c>
      <c r="V47" s="341">
        <f>(1+Parameters!$AB$39)*'Cost+Escalation'!V47</f>
        <v>0</v>
      </c>
      <c r="W47" s="287">
        <f>(1+Parameters!$AB$39)*'Cost+Escalation'!W47</f>
        <v>0</v>
      </c>
      <c r="X47" s="321">
        <f>(1+Parameters!$AB$39)*'Cost+Escalation'!X47</f>
        <v>0</v>
      </c>
      <c r="Y47" s="287">
        <f t="shared" si="3"/>
        <v>0</v>
      </c>
      <c r="Z47" s="287">
        <f t="shared" si="3"/>
        <v>0</v>
      </c>
      <c r="AA47" s="341">
        <f t="shared" si="3"/>
        <v>0</v>
      </c>
      <c r="AB47" s="341">
        <f t="shared" si="3"/>
        <v>0</v>
      </c>
      <c r="AC47" s="341">
        <f t="shared" si="3"/>
        <v>0</v>
      </c>
      <c r="AD47" s="341">
        <f t="shared" si="3"/>
        <v>3676778.6598472372</v>
      </c>
      <c r="AE47" s="341">
        <f t="shared" si="3"/>
        <v>0</v>
      </c>
      <c r="AF47" s="287">
        <f t="shared" si="3"/>
        <v>0</v>
      </c>
      <c r="AG47" s="287">
        <f t="shared" si="4"/>
        <v>0</v>
      </c>
      <c r="AH47" s="322">
        <f>IF($H47,0,IFERROR(IF(VALUE(LEFT(D47,4))&gt;VALUE(LEFT(Parameters!$B$66,4))+1,O47-SUM(R47:X47),0),0))</f>
        <v>0</v>
      </c>
    </row>
    <row r="48" spans="1:34" ht="13.95" x14ac:dyDescent="0.3">
      <c r="A48" s="313" t="str">
        <f>'Base Costs'!A48</f>
        <v>ND1261</v>
      </c>
      <c r="B48" s="314" t="str">
        <f>'Base Costs'!B48</f>
        <v>Strategic Easement and Land Acquisition</v>
      </c>
      <c r="C48" s="314" t="str">
        <f>'Base Costs'!C48</f>
        <v>Physical Security / Compliance</v>
      </c>
      <c r="D48" s="333" t="str">
        <f>'Base Costs'!D48</f>
        <v>2018/19</v>
      </c>
      <c r="E48" s="333">
        <f>'Base Costs'!E48</f>
        <v>15</v>
      </c>
      <c r="F48" s="315"/>
      <c r="G48" s="315"/>
      <c r="H48" s="316">
        <f>'Input Data Sheet'!J48</f>
        <v>1</v>
      </c>
      <c r="I48" s="316"/>
      <c r="J48" s="316"/>
      <c r="K48" s="316"/>
      <c r="L48" s="316"/>
      <c r="M48" s="316"/>
      <c r="N48" s="316"/>
      <c r="O48" s="287">
        <f t="shared" si="5"/>
        <v>2003904.2162710791</v>
      </c>
      <c r="P48" s="320">
        <f>(1+Parameters!$AB$39)*'Cost+Escalation'!P48</f>
        <v>0</v>
      </c>
      <c r="Q48" s="287">
        <f>(1+Parameters!$AB$39)*'Cost+Escalation'!Q48</f>
        <v>0</v>
      </c>
      <c r="R48" s="341">
        <f>(1+Parameters!$AB$39)*'Cost+Escalation'!R48</f>
        <v>363252.21523505094</v>
      </c>
      <c r="S48" s="341">
        <f>(1+Parameters!$AB$39)*'Cost+Escalation'!S48</f>
        <v>380688.3215663333</v>
      </c>
      <c r="T48" s="341">
        <f>(1+Parameters!$AB$39)*'Cost+Escalation'!T48</f>
        <v>399341.86787007691</v>
      </c>
      <c r="U48" s="341">
        <f>(1+Parameters!$AB$39)*'Cost+Escalation'!U48</f>
        <v>419508.58467944217</v>
      </c>
      <c r="V48" s="341">
        <f>(1+Parameters!$AB$39)*'Cost+Escalation'!V48</f>
        <v>441113.2269201756</v>
      </c>
      <c r="W48" s="287">
        <f>(1+Parameters!$AB$39)*'Cost+Escalation'!W48</f>
        <v>0</v>
      </c>
      <c r="X48" s="321">
        <f>(1+Parameters!$AB$39)*'Cost+Escalation'!X48</f>
        <v>0</v>
      </c>
      <c r="Y48" s="287">
        <f t="shared" si="3"/>
        <v>0</v>
      </c>
      <c r="Z48" s="287">
        <f t="shared" si="3"/>
        <v>0</v>
      </c>
      <c r="AA48" s="341">
        <f t="shared" si="3"/>
        <v>363252.21523505094</v>
      </c>
      <c r="AB48" s="341">
        <f t="shared" si="3"/>
        <v>380688.3215663333</v>
      </c>
      <c r="AC48" s="341">
        <f t="shared" si="3"/>
        <v>399341.86787007691</v>
      </c>
      <c r="AD48" s="341">
        <f t="shared" si="3"/>
        <v>419508.58467944217</v>
      </c>
      <c r="AE48" s="341">
        <f t="shared" si="3"/>
        <v>441113.2269201756</v>
      </c>
      <c r="AF48" s="287">
        <f t="shared" si="3"/>
        <v>0</v>
      </c>
      <c r="AG48" s="287">
        <f t="shared" si="4"/>
        <v>0</v>
      </c>
      <c r="AH48" s="322">
        <f>IF($H48,0,IFERROR(IF(VALUE(LEFT(D48,4))&gt;VALUE(LEFT(Parameters!$B$66,4))+1,O48-SUM(R48:X48),0),0))</f>
        <v>0</v>
      </c>
    </row>
    <row r="49" spans="1:34" ht="13.95" x14ac:dyDescent="0.3">
      <c r="A49" s="313" t="str">
        <f>'Base Costs'!A49</f>
        <v>ND1341</v>
      </c>
      <c r="B49" s="314" t="str">
        <f>'Base Costs'!B49</f>
        <v>Strategic spare 110/22/11 kV 17/25 MVA supply transformer</v>
      </c>
      <c r="C49" s="314" t="str">
        <f>'Base Costs'!C49</f>
        <v>Inventory / Spares</v>
      </c>
      <c r="D49" s="333" t="str">
        <f>'Base Costs'!D49</f>
        <v>2016/17</v>
      </c>
      <c r="E49" s="333">
        <f>'Base Costs'!E49</f>
        <v>11</v>
      </c>
      <c r="F49" s="315"/>
      <c r="G49" s="315"/>
      <c r="H49" s="316">
        <f>'Input Data Sheet'!J49</f>
        <v>0</v>
      </c>
      <c r="I49" s="316"/>
      <c r="J49" s="316"/>
      <c r="K49" s="316"/>
      <c r="L49" s="316"/>
      <c r="M49" s="316"/>
      <c r="N49" s="316"/>
      <c r="O49" s="287">
        <f t="shared" si="5"/>
        <v>1619754.6199309803</v>
      </c>
      <c r="P49" s="320">
        <f>(1+Parameters!$AB$39)*'Cost+Escalation'!P49</f>
        <v>0</v>
      </c>
      <c r="Q49" s="287">
        <f>(1+Parameters!$AB$39)*'Cost+Escalation'!Q49</f>
        <v>0</v>
      </c>
      <c r="R49" s="341">
        <f>(1+Parameters!$AB$39)*'Cost+Escalation'!R49</f>
        <v>199645.7617433409</v>
      </c>
      <c r="S49" s="341">
        <f>(1+Parameters!$AB$39)*'Cost+Escalation'!S49</f>
        <v>1391357.4374719604</v>
      </c>
      <c r="T49" s="341">
        <f>(1+Parameters!$AB$39)*'Cost+Escalation'!T49</f>
        <v>28751.420715678982</v>
      </c>
      <c r="U49" s="341">
        <f>(1+Parameters!$AB$39)*'Cost+Escalation'!U49</f>
        <v>0</v>
      </c>
      <c r="V49" s="341">
        <f>(1+Parameters!$AB$39)*'Cost+Escalation'!V49</f>
        <v>0</v>
      </c>
      <c r="W49" s="287">
        <f>(1+Parameters!$AB$39)*'Cost+Escalation'!W49</f>
        <v>0</v>
      </c>
      <c r="X49" s="321">
        <f>(1+Parameters!$AB$39)*'Cost+Escalation'!X49</f>
        <v>0</v>
      </c>
      <c r="Y49" s="287">
        <f t="shared" si="3"/>
        <v>0</v>
      </c>
      <c r="Z49" s="287">
        <f t="shared" si="3"/>
        <v>0</v>
      </c>
      <c r="AA49" s="341">
        <f t="shared" si="3"/>
        <v>0</v>
      </c>
      <c r="AB49" s="341">
        <f t="shared" si="3"/>
        <v>0</v>
      </c>
      <c r="AC49" s="341">
        <f t="shared" si="3"/>
        <v>1619754.6199309803</v>
      </c>
      <c r="AD49" s="341">
        <f t="shared" si="3"/>
        <v>0</v>
      </c>
      <c r="AE49" s="341">
        <f t="shared" si="3"/>
        <v>0</v>
      </c>
      <c r="AF49" s="287">
        <f t="shared" si="3"/>
        <v>0</v>
      </c>
      <c r="AG49" s="287">
        <f t="shared" si="4"/>
        <v>0</v>
      </c>
      <c r="AH49" s="322">
        <f>IF($H49,0,IFERROR(IF(VALUE(LEFT(D49,4))&gt;VALUE(LEFT(Parameters!$B$66,4))+1,O49-SUM(R49:X49),0),0))</f>
        <v>0</v>
      </c>
    </row>
    <row r="50" spans="1:34" ht="12.75" x14ac:dyDescent="0.2">
      <c r="A50" s="313" t="str">
        <f>'Base Costs'!A50</f>
        <v>ND1342</v>
      </c>
      <c r="B50" s="314" t="str">
        <f>'Base Costs'!B50</f>
        <v>Strategic spare 110/33/22/11 kV 30/60 MVA supply transformer</v>
      </c>
      <c r="C50" s="314" t="str">
        <f>'Base Costs'!C50</f>
        <v>Inventory / Spares</v>
      </c>
      <c r="D50" s="333" t="str">
        <f>'Base Costs'!D50</f>
        <v>2016/17</v>
      </c>
      <c r="E50" s="333">
        <f>'Base Costs'!E50</f>
        <v>11</v>
      </c>
      <c r="F50" s="315"/>
      <c r="G50" s="315"/>
      <c r="H50" s="316">
        <f>'Input Data Sheet'!J50</f>
        <v>0</v>
      </c>
      <c r="I50" s="316"/>
      <c r="J50" s="316"/>
      <c r="K50" s="316"/>
      <c r="L50" s="316"/>
      <c r="M50" s="316"/>
      <c r="N50" s="316"/>
      <c r="O50" s="287">
        <f t="shared" si="5"/>
        <v>2227950.4408335011</v>
      </c>
      <c r="P50" s="320">
        <f>(1+Parameters!$AB$39)*'Cost+Escalation'!P50</f>
        <v>0</v>
      </c>
      <c r="Q50" s="287">
        <f>(1+Parameters!$AB$39)*'Cost+Escalation'!Q50</f>
        <v>0</v>
      </c>
      <c r="R50" s="341">
        <f>(1+Parameters!$AB$39)*'Cost+Escalation'!R50</f>
        <v>309374.13962109393</v>
      </c>
      <c r="S50" s="341">
        <f>(1+Parameters!$AB$39)*'Cost+Escalation'!S50</f>
        <v>1884901.6458883511</v>
      </c>
      <c r="T50" s="341">
        <f>(1+Parameters!$AB$39)*'Cost+Escalation'!T50</f>
        <v>33674.655324055959</v>
      </c>
      <c r="U50" s="341">
        <f>(1+Parameters!$AB$39)*'Cost+Escalation'!U50</f>
        <v>0</v>
      </c>
      <c r="V50" s="341">
        <f>(1+Parameters!$AB$39)*'Cost+Escalation'!V50</f>
        <v>0</v>
      </c>
      <c r="W50" s="287">
        <f>(1+Parameters!$AB$39)*'Cost+Escalation'!W50</f>
        <v>0</v>
      </c>
      <c r="X50" s="321">
        <f>(1+Parameters!$AB$39)*'Cost+Escalation'!X50</f>
        <v>0</v>
      </c>
      <c r="Y50" s="287">
        <f t="shared" si="3"/>
        <v>0</v>
      </c>
      <c r="Z50" s="287">
        <f t="shared" si="3"/>
        <v>0</v>
      </c>
      <c r="AA50" s="341">
        <f t="shared" si="3"/>
        <v>0</v>
      </c>
      <c r="AB50" s="341">
        <f t="shared" si="3"/>
        <v>0</v>
      </c>
      <c r="AC50" s="341">
        <f t="shared" si="3"/>
        <v>2227950.4408335011</v>
      </c>
      <c r="AD50" s="341">
        <f t="shared" si="3"/>
        <v>0</v>
      </c>
      <c r="AE50" s="341">
        <f t="shared" si="3"/>
        <v>0</v>
      </c>
      <c r="AF50" s="287">
        <f t="shared" si="3"/>
        <v>0</v>
      </c>
      <c r="AG50" s="287">
        <f t="shared" si="4"/>
        <v>0</v>
      </c>
      <c r="AH50" s="322">
        <f>IF($H50,0,IFERROR(IF(VALUE(LEFT(D50,4))&gt;VALUE(LEFT(Parameters!$B$66,4))+1,O50-SUM(R50:X50),0),0))</f>
        <v>0</v>
      </c>
    </row>
    <row r="51" spans="1:34" ht="12.75" x14ac:dyDescent="0.2">
      <c r="A51" s="313" t="str">
        <f>'Base Costs'!A51</f>
        <v>ND1340</v>
      </c>
      <c r="B51" s="314" t="str">
        <f>'Base Costs'!B51</f>
        <v>Strategic spare 33 kV switchgear</v>
      </c>
      <c r="C51" s="314" t="str">
        <f>'Base Costs'!C51</f>
        <v>Inventory / Spares</v>
      </c>
      <c r="D51" s="333" t="str">
        <f>'Base Costs'!D51</f>
        <v>2015/16</v>
      </c>
      <c r="E51" s="333">
        <f>'Base Costs'!E51</f>
        <v>8</v>
      </c>
      <c r="F51" s="315"/>
      <c r="G51" s="315"/>
      <c r="H51" s="316">
        <f>'Input Data Sheet'!J51</f>
        <v>0</v>
      </c>
      <c r="I51" s="316"/>
      <c r="J51" s="316"/>
      <c r="K51" s="316"/>
      <c r="L51" s="316"/>
      <c r="M51" s="316"/>
      <c r="N51" s="316"/>
      <c r="O51" s="287">
        <f t="shared" si="5"/>
        <v>723355.74737485335</v>
      </c>
      <c r="P51" s="320">
        <f>(1+Parameters!$AB$39)*'Cost+Escalation'!P51</f>
        <v>0</v>
      </c>
      <c r="Q51" s="287">
        <f>(1+Parameters!$AB$39)*'Cost+Escalation'!Q51</f>
        <v>0</v>
      </c>
      <c r="R51" s="341">
        <f>(1+Parameters!$AB$39)*'Cost+Escalation'!R51</f>
        <v>249802.73382665537</v>
      </c>
      <c r="S51" s="341">
        <f>(1+Parameters!$AB$39)*'Cost+Escalation'!S51</f>
        <v>473553.01354819792</v>
      </c>
      <c r="T51" s="341">
        <f>(1+Parameters!$AB$39)*'Cost+Escalation'!T51</f>
        <v>0</v>
      </c>
      <c r="U51" s="341">
        <f>(1+Parameters!$AB$39)*'Cost+Escalation'!U51</f>
        <v>0</v>
      </c>
      <c r="V51" s="341">
        <f>(1+Parameters!$AB$39)*'Cost+Escalation'!V51</f>
        <v>0</v>
      </c>
      <c r="W51" s="287">
        <f>(1+Parameters!$AB$39)*'Cost+Escalation'!W51</f>
        <v>0</v>
      </c>
      <c r="X51" s="321">
        <f>(1+Parameters!$AB$39)*'Cost+Escalation'!X51</f>
        <v>0</v>
      </c>
      <c r="Y51" s="287">
        <f t="shared" si="3"/>
        <v>0</v>
      </c>
      <c r="Z51" s="287">
        <f t="shared" si="3"/>
        <v>0</v>
      </c>
      <c r="AA51" s="341">
        <f t="shared" si="3"/>
        <v>0</v>
      </c>
      <c r="AB51" s="341">
        <f t="shared" si="3"/>
        <v>723355.74737485335</v>
      </c>
      <c r="AC51" s="341">
        <f t="shared" si="3"/>
        <v>0</v>
      </c>
      <c r="AD51" s="341">
        <f t="shared" si="3"/>
        <v>0</v>
      </c>
      <c r="AE51" s="341">
        <f t="shared" si="3"/>
        <v>0</v>
      </c>
      <c r="AF51" s="287">
        <f t="shared" si="3"/>
        <v>0</v>
      </c>
      <c r="AG51" s="287">
        <f t="shared" si="4"/>
        <v>0</v>
      </c>
      <c r="AH51" s="322">
        <f>IF($H51,0,IFERROR(IF(VALUE(LEFT(D51,4))&gt;VALUE(LEFT(Parameters!$B$66,4))+1,O51-SUM(R51:X51),0),0))</f>
        <v>0</v>
      </c>
    </row>
    <row r="52" spans="1:34" ht="12.75" x14ac:dyDescent="0.2">
      <c r="A52" s="313" t="str">
        <f>'Base Costs'!A52</f>
        <v>ND1118</v>
      </c>
      <c r="B52" s="314" t="str">
        <f>'Base Costs'!B52</f>
        <v>Strategic spare dual secondary winding 110/11-6.6 kV 45-45 MVA supply transformer</v>
      </c>
      <c r="C52" s="314" t="str">
        <f>'Base Costs'!C52</f>
        <v>Inventory / Spares</v>
      </c>
      <c r="D52" s="333" t="str">
        <f>'Base Costs'!D52</f>
        <v>2016/17</v>
      </c>
      <c r="E52" s="333">
        <f>'Base Costs'!E52</f>
        <v>11</v>
      </c>
      <c r="F52" s="315"/>
      <c r="G52" s="315"/>
      <c r="H52" s="316">
        <f>'Input Data Sheet'!J52</f>
        <v>0</v>
      </c>
      <c r="I52" s="316"/>
      <c r="J52" s="316"/>
      <c r="K52" s="316"/>
      <c r="L52" s="316"/>
      <c r="M52" s="316"/>
      <c r="N52" s="316"/>
      <c r="O52" s="287">
        <f t="shared" si="5"/>
        <v>2507008.2607706096</v>
      </c>
      <c r="P52" s="320">
        <f>(1+Parameters!$AB$39)*'Cost+Escalation'!P52</f>
        <v>0</v>
      </c>
      <c r="Q52" s="287">
        <f>(1+Parameters!$AB$39)*'Cost+Escalation'!Q52</f>
        <v>0</v>
      </c>
      <c r="R52" s="341">
        <f>(1+Parameters!$AB$39)*'Cost+Escalation'!R52</f>
        <v>348045.9070737306</v>
      </c>
      <c r="S52" s="341">
        <f>(1+Parameters!$AB$39)*'Cost+Escalation'!S52</f>
        <v>2032682.3962316688</v>
      </c>
      <c r="T52" s="341">
        <f>(1+Parameters!$AB$39)*'Cost+Escalation'!T52</f>
        <v>126279.95746520985</v>
      </c>
      <c r="U52" s="341">
        <f>(1+Parameters!$AB$39)*'Cost+Escalation'!U52</f>
        <v>0</v>
      </c>
      <c r="V52" s="341">
        <f>(1+Parameters!$AB$39)*'Cost+Escalation'!V52</f>
        <v>0</v>
      </c>
      <c r="W52" s="287">
        <f>(1+Parameters!$AB$39)*'Cost+Escalation'!W52</f>
        <v>0</v>
      </c>
      <c r="X52" s="321">
        <f>(1+Parameters!$AB$39)*'Cost+Escalation'!X52</f>
        <v>0</v>
      </c>
      <c r="Y52" s="287">
        <f t="shared" si="3"/>
        <v>0</v>
      </c>
      <c r="Z52" s="287">
        <f t="shared" si="3"/>
        <v>0</v>
      </c>
      <c r="AA52" s="341">
        <f t="shared" si="3"/>
        <v>0</v>
      </c>
      <c r="AB52" s="341">
        <f t="shared" si="3"/>
        <v>0</v>
      </c>
      <c r="AC52" s="341">
        <f t="shared" si="3"/>
        <v>2507008.2607706096</v>
      </c>
      <c r="AD52" s="341">
        <f t="shared" si="3"/>
        <v>0</v>
      </c>
      <c r="AE52" s="341">
        <f t="shared" si="3"/>
        <v>0</v>
      </c>
      <c r="AF52" s="287">
        <f t="shared" si="3"/>
        <v>0</v>
      </c>
      <c r="AG52" s="287">
        <f t="shared" si="4"/>
        <v>0</v>
      </c>
      <c r="AH52" s="322">
        <f>IF($H52,0,IFERROR(IF(VALUE(LEFT(D52,4))&gt;VALUE(LEFT(Parameters!$B$66,4))+1,O52-SUM(R52:X52),0),0))</f>
        <v>0</v>
      </c>
    </row>
    <row r="53" spans="1:34" ht="12.75" x14ac:dyDescent="0.2">
      <c r="A53" s="313" t="str">
        <f>'Base Costs'!A53</f>
        <v>ND1343</v>
      </c>
      <c r="B53" s="314" t="str">
        <f>'Base Costs'!B53</f>
        <v>Strategic spare mobile 110/33/22/11 kV substation</v>
      </c>
      <c r="C53" s="314" t="str">
        <f>'Base Costs'!C53</f>
        <v>Inventory / Spares</v>
      </c>
      <c r="D53" s="333" t="str">
        <f>'Base Costs'!D53</f>
        <v>2016/17</v>
      </c>
      <c r="E53" s="333" t="str">
        <f>'Base Costs'!E53</f>
        <v>7a</v>
      </c>
      <c r="F53" s="315"/>
      <c r="G53" s="315"/>
      <c r="H53" s="316">
        <f>'Input Data Sheet'!J53</f>
        <v>0</v>
      </c>
      <c r="I53" s="316"/>
      <c r="J53" s="316"/>
      <c r="K53" s="316"/>
      <c r="L53" s="316"/>
      <c r="M53" s="316"/>
      <c r="N53" s="316"/>
      <c r="O53" s="287">
        <f t="shared" si="5"/>
        <v>7107021.9100508504</v>
      </c>
      <c r="P53" s="320">
        <f>(1+Parameters!$AB$39)*'Cost+Escalation'!P53</f>
        <v>0</v>
      </c>
      <c r="Q53" s="287">
        <f>(1+Parameters!$AB$39)*'Cost+Escalation'!Q53</f>
        <v>0</v>
      </c>
      <c r="R53" s="341">
        <f>(1+Parameters!$AB$39)*'Cost+Escalation'!R53</f>
        <v>280949.77672715182</v>
      </c>
      <c r="S53" s="341">
        <f>(1+Parameters!$AB$39)*'Cost+Escalation'!S53</f>
        <v>2732559.0626307577</v>
      </c>
      <c r="T53" s="341">
        <f>(1+Parameters!$AB$39)*'Cost+Escalation'!T53</f>
        <v>4093513.0706929401</v>
      </c>
      <c r="U53" s="341">
        <f>(1+Parameters!$AB$39)*'Cost+Escalation'!U53</f>
        <v>0</v>
      </c>
      <c r="V53" s="341">
        <f>(1+Parameters!$AB$39)*'Cost+Escalation'!V53</f>
        <v>0</v>
      </c>
      <c r="W53" s="287">
        <f>(1+Parameters!$AB$39)*'Cost+Escalation'!W53</f>
        <v>0</v>
      </c>
      <c r="X53" s="321">
        <f>(1+Parameters!$AB$39)*'Cost+Escalation'!X53</f>
        <v>0</v>
      </c>
      <c r="Y53" s="287">
        <f t="shared" si="3"/>
        <v>0</v>
      </c>
      <c r="Z53" s="287">
        <f t="shared" si="3"/>
        <v>0</v>
      </c>
      <c r="AA53" s="341">
        <f t="shared" si="3"/>
        <v>0</v>
      </c>
      <c r="AB53" s="341">
        <f t="shared" si="3"/>
        <v>0</v>
      </c>
      <c r="AC53" s="341">
        <f t="shared" si="3"/>
        <v>7107021.9100508504</v>
      </c>
      <c r="AD53" s="341">
        <f t="shared" si="3"/>
        <v>0</v>
      </c>
      <c r="AE53" s="341">
        <f t="shared" si="3"/>
        <v>0</v>
      </c>
      <c r="AF53" s="287">
        <f t="shared" si="3"/>
        <v>0</v>
      </c>
      <c r="AG53" s="287">
        <f t="shared" si="4"/>
        <v>0</v>
      </c>
      <c r="AH53" s="322">
        <f>IF($H53,0,IFERROR(IF(VALUE(LEFT(D53,4))&gt;VALUE(LEFT(Parameters!$B$66,4))+1,O53-SUM(R53:X53),0),0))</f>
        <v>0</v>
      </c>
    </row>
    <row r="54" spans="1:34" ht="12.75" x14ac:dyDescent="0.2">
      <c r="A54" s="313" t="str">
        <f>'Base Costs'!A54</f>
        <v>ND1204</v>
      </c>
      <c r="B54" s="314" t="str">
        <f>'Base Costs'!B54</f>
        <v>Substation AC distribution system renewal program</v>
      </c>
      <c r="C54" s="314" t="str">
        <f>'Base Costs'!C54</f>
        <v>Asset Renewal</v>
      </c>
      <c r="D54" s="333" t="str">
        <f>'Base Costs'!D54</f>
        <v>2017/18</v>
      </c>
      <c r="E54" s="333">
        <f>'Base Costs'!E54</f>
        <v>8</v>
      </c>
      <c r="F54" s="315"/>
      <c r="G54" s="315"/>
      <c r="H54" s="316">
        <f>'Input Data Sheet'!J54</f>
        <v>1</v>
      </c>
      <c r="I54" s="316"/>
      <c r="J54" s="316"/>
      <c r="K54" s="316"/>
      <c r="L54" s="316"/>
      <c r="M54" s="316"/>
      <c r="N54" s="316"/>
      <c r="O54" s="287">
        <f t="shared" si="5"/>
        <v>2398405.9280118402</v>
      </c>
      <c r="P54" s="320">
        <f>(1+Parameters!$AB$39)*'Cost+Escalation'!P54</f>
        <v>0</v>
      </c>
      <c r="Q54" s="287">
        <f>(1+Parameters!$AB$39)*'Cost+Escalation'!Q54</f>
        <v>0</v>
      </c>
      <c r="R54" s="341">
        <f>(1+Parameters!$AB$39)*'Cost+Escalation'!R54</f>
        <v>0</v>
      </c>
      <c r="S54" s="341">
        <f>(1+Parameters!$AB$39)*'Cost+Escalation'!S54</f>
        <v>0</v>
      </c>
      <c r="T54" s="341">
        <f>(1+Parameters!$AB$39)*'Cost+Escalation'!T54</f>
        <v>194728.42155805629</v>
      </c>
      <c r="U54" s="341">
        <f>(1+Parameters!$AB$39)*'Cost+Escalation'!U54</f>
        <v>923600.4739040141</v>
      </c>
      <c r="V54" s="341">
        <f>(1+Parameters!$AB$39)*'Cost+Escalation'!V54</f>
        <v>1280077.0325497696</v>
      </c>
      <c r="W54" s="287">
        <f>(1+Parameters!$AB$39)*'Cost+Escalation'!W54</f>
        <v>0</v>
      </c>
      <c r="X54" s="321">
        <f>(1+Parameters!$AB$39)*'Cost+Escalation'!X54</f>
        <v>0</v>
      </c>
      <c r="Y54" s="287">
        <f t="shared" si="3"/>
        <v>0</v>
      </c>
      <c r="Z54" s="287">
        <f t="shared" si="3"/>
        <v>0</v>
      </c>
      <c r="AA54" s="341">
        <f t="shared" si="3"/>
        <v>0</v>
      </c>
      <c r="AB54" s="341">
        <f t="shared" si="3"/>
        <v>0</v>
      </c>
      <c r="AC54" s="341">
        <f t="shared" si="3"/>
        <v>194728.42155805629</v>
      </c>
      <c r="AD54" s="341">
        <f t="shared" si="3"/>
        <v>923600.4739040141</v>
      </c>
      <c r="AE54" s="341">
        <f t="shared" si="3"/>
        <v>1280077.0325497696</v>
      </c>
      <c r="AF54" s="287">
        <f t="shared" si="3"/>
        <v>0</v>
      </c>
      <c r="AG54" s="287">
        <f t="shared" si="4"/>
        <v>0</v>
      </c>
      <c r="AH54" s="322">
        <f>IF($H54,0,IFERROR(IF(VALUE(LEFT(D54,4))&gt;VALUE(LEFT(Parameters!$B$66,4))+1,O54-SUM(R54:X54),0),0))</f>
        <v>0</v>
      </c>
    </row>
    <row r="55" spans="1:34" ht="12.75" x14ac:dyDescent="0.2">
      <c r="A55" s="313" t="str">
        <f>'Base Costs'!A55</f>
        <v>ND0989</v>
      </c>
      <c r="B55" s="314" t="str">
        <f>'Base Costs'!B55</f>
        <v>Substation AC supply replacement program</v>
      </c>
      <c r="C55" s="314" t="str">
        <f>'Base Costs'!C55</f>
        <v>Asset Renewal</v>
      </c>
      <c r="D55" s="333" t="str">
        <f>'Base Costs'!D55</f>
        <v>2014/15</v>
      </c>
      <c r="E55" s="333">
        <f>'Base Costs'!E55</f>
        <v>0</v>
      </c>
      <c r="F55" s="315"/>
      <c r="G55" s="315"/>
      <c r="H55" s="316">
        <f>'Input Data Sheet'!J55</f>
        <v>0</v>
      </c>
      <c r="I55" s="316"/>
      <c r="J55" s="316"/>
      <c r="K55" s="316"/>
      <c r="L55" s="316"/>
      <c r="M55" s="316"/>
      <c r="N55" s="316"/>
      <c r="O55" s="287">
        <f t="shared" si="5"/>
        <v>340000</v>
      </c>
      <c r="P55" s="320">
        <f>(1+Parameters!$AB$39)*'Cost+Escalation'!P55</f>
        <v>0</v>
      </c>
      <c r="Q55" s="287">
        <f>(1+Parameters!$AB$39)*'Cost+Escalation'!Q55</f>
        <v>0</v>
      </c>
      <c r="R55" s="341">
        <f>(1+Parameters!$AB$39)*'Cost+Escalation'!R55</f>
        <v>340000</v>
      </c>
      <c r="S55" s="341">
        <f>(1+Parameters!$AB$39)*'Cost+Escalation'!S55</f>
        <v>0</v>
      </c>
      <c r="T55" s="341">
        <f>(1+Parameters!$AB$39)*'Cost+Escalation'!T55</f>
        <v>0</v>
      </c>
      <c r="U55" s="341">
        <f>(1+Parameters!$AB$39)*'Cost+Escalation'!U55</f>
        <v>0</v>
      </c>
      <c r="V55" s="341">
        <f>(1+Parameters!$AB$39)*'Cost+Escalation'!V55</f>
        <v>0</v>
      </c>
      <c r="W55" s="287">
        <f>(1+Parameters!$AB$39)*'Cost+Escalation'!W55</f>
        <v>0</v>
      </c>
      <c r="X55" s="321">
        <f>(1+Parameters!$AB$39)*'Cost+Escalation'!X55</f>
        <v>0</v>
      </c>
      <c r="Y55" s="287">
        <f t="shared" si="3"/>
        <v>0</v>
      </c>
      <c r="Z55" s="287">
        <f t="shared" si="3"/>
        <v>0</v>
      </c>
      <c r="AA55" s="341">
        <f t="shared" si="3"/>
        <v>340000</v>
      </c>
      <c r="AB55" s="341">
        <f t="shared" si="3"/>
        <v>0</v>
      </c>
      <c r="AC55" s="341">
        <f t="shared" si="3"/>
        <v>0</v>
      </c>
      <c r="AD55" s="341">
        <f t="shared" si="3"/>
        <v>0</v>
      </c>
      <c r="AE55" s="341">
        <f t="shared" si="3"/>
        <v>0</v>
      </c>
      <c r="AF55" s="287">
        <f t="shared" si="3"/>
        <v>0</v>
      </c>
      <c r="AG55" s="287">
        <f t="shared" si="4"/>
        <v>0</v>
      </c>
      <c r="AH55" s="322">
        <f>IF($H55,0,IFERROR(IF(VALUE(LEFT(D55,4))&gt;VALUE(LEFT(Parameters!$B$66,4))+1,O55-SUM(R55:X55),0),0))</f>
        <v>0</v>
      </c>
    </row>
    <row r="56" spans="1:34" ht="12.75" x14ac:dyDescent="0.2">
      <c r="A56" s="313" t="str">
        <f>'Base Costs'!A56</f>
        <v>ND1002</v>
      </c>
      <c r="B56" s="314" t="str">
        <f>'Base Costs'!B56</f>
        <v>Substation condition based monitoring program</v>
      </c>
      <c r="C56" s="314" t="str">
        <f>'Base Costs'!C56</f>
        <v>Operational Support Systems</v>
      </c>
      <c r="D56" s="333" t="str">
        <f>'Base Costs'!D56</f>
        <v>2018/19</v>
      </c>
      <c r="E56" s="333">
        <f>'Base Costs'!E56</f>
        <v>8</v>
      </c>
      <c r="F56" s="315"/>
      <c r="G56" s="315"/>
      <c r="H56" s="316">
        <f>'Input Data Sheet'!J56</f>
        <v>1</v>
      </c>
      <c r="I56" s="316"/>
      <c r="J56" s="316"/>
      <c r="K56" s="316"/>
      <c r="L56" s="316"/>
      <c r="M56" s="316"/>
      <c r="N56" s="316"/>
      <c r="O56" s="287">
        <f t="shared" si="5"/>
        <v>1671445.0556105692</v>
      </c>
      <c r="P56" s="320">
        <f>(1+Parameters!$AB$39)*'Cost+Escalation'!P56</f>
        <v>0</v>
      </c>
      <c r="Q56" s="287">
        <f>(1+Parameters!$AB$39)*'Cost+Escalation'!Q56</f>
        <v>0</v>
      </c>
      <c r="R56" s="341">
        <f>(1+Parameters!$AB$39)*'Cost+Escalation'!R56</f>
        <v>327175.26200305304</v>
      </c>
      <c r="S56" s="341">
        <f>(1+Parameters!$AB$39)*'Cost+Escalation'!S56</f>
        <v>330593.61323176086</v>
      </c>
      <c r="T56" s="341">
        <f>(1+Parameters!$AB$39)*'Cost+Escalation'!T56</f>
        <v>334437.37543333642</v>
      </c>
      <c r="U56" s="341">
        <f>(1+Parameters!$AB$39)*'Cost+Escalation'!U56</f>
        <v>338051.22012138844</v>
      </c>
      <c r="V56" s="341">
        <f>(1+Parameters!$AB$39)*'Cost+Escalation'!V56</f>
        <v>341187.58482103038</v>
      </c>
      <c r="W56" s="287">
        <f>(1+Parameters!$AB$39)*'Cost+Escalation'!W56</f>
        <v>0</v>
      </c>
      <c r="X56" s="321">
        <f>(1+Parameters!$AB$39)*'Cost+Escalation'!X56</f>
        <v>0</v>
      </c>
      <c r="Y56" s="287">
        <f t="shared" si="3"/>
        <v>0</v>
      </c>
      <c r="Z56" s="287">
        <f t="shared" si="3"/>
        <v>0</v>
      </c>
      <c r="AA56" s="341">
        <f t="shared" si="3"/>
        <v>327175.26200305304</v>
      </c>
      <c r="AB56" s="341">
        <f t="shared" si="3"/>
        <v>330593.61323176086</v>
      </c>
      <c r="AC56" s="341">
        <f t="shared" si="3"/>
        <v>334437.37543333642</v>
      </c>
      <c r="AD56" s="341">
        <f t="shared" si="3"/>
        <v>338051.22012138844</v>
      </c>
      <c r="AE56" s="341">
        <f t="shared" si="3"/>
        <v>341187.58482103038</v>
      </c>
      <c r="AF56" s="287">
        <f t="shared" si="3"/>
        <v>0</v>
      </c>
      <c r="AG56" s="287">
        <f t="shared" si="4"/>
        <v>0</v>
      </c>
      <c r="AH56" s="322">
        <f>IF($H56,0,IFERROR(IF(VALUE(LEFT(D56,4))&gt;VALUE(LEFT(Parameters!$B$66,4))+1,O56-SUM(R56:X56),0),0))</f>
        <v>0</v>
      </c>
    </row>
    <row r="57" spans="1:34" ht="12.75" x14ac:dyDescent="0.2">
      <c r="A57" s="313" t="str">
        <f>'Base Costs'!A57</f>
        <v>ND0981</v>
      </c>
      <c r="B57" s="314" t="str">
        <f>'Base Costs'!B57</f>
        <v>Substation DC distribution system renewal program</v>
      </c>
      <c r="C57" s="314" t="str">
        <f>'Base Costs'!C57</f>
        <v>Asset Renewal</v>
      </c>
      <c r="D57" s="333" t="str">
        <f>'Base Costs'!D57</f>
        <v>2018/19</v>
      </c>
      <c r="E57" s="333">
        <f>'Base Costs'!E57</f>
        <v>9</v>
      </c>
      <c r="F57" s="315"/>
      <c r="G57" s="315"/>
      <c r="H57" s="316">
        <f>'Input Data Sheet'!J57</f>
        <v>1</v>
      </c>
      <c r="I57" s="316"/>
      <c r="J57" s="316"/>
      <c r="K57" s="316"/>
      <c r="L57" s="316"/>
      <c r="M57" s="316"/>
      <c r="N57" s="316"/>
      <c r="O57" s="287">
        <f t="shared" si="5"/>
        <v>3771297.2589167529</v>
      </c>
      <c r="P57" s="320">
        <f>(1+Parameters!$AB$39)*'Cost+Escalation'!P57</f>
        <v>0</v>
      </c>
      <c r="Q57" s="287">
        <f>(1+Parameters!$AB$39)*'Cost+Escalation'!Q57</f>
        <v>0</v>
      </c>
      <c r="R57" s="341">
        <f>(1+Parameters!$AB$39)*'Cost+Escalation'!R57</f>
        <v>0</v>
      </c>
      <c r="S57" s="341">
        <f>(1+Parameters!$AB$39)*'Cost+Escalation'!S57</f>
        <v>0</v>
      </c>
      <c r="T57" s="341">
        <f>(1+Parameters!$AB$39)*'Cost+Escalation'!T57</f>
        <v>501333.91374315543</v>
      </c>
      <c r="U57" s="341">
        <f>(1+Parameters!$AB$39)*'Cost+Escalation'!U57</f>
        <v>2261561.1403349955</v>
      </c>
      <c r="V57" s="341">
        <f>(1+Parameters!$AB$39)*'Cost+Escalation'!V57</f>
        <v>1008402.204838602</v>
      </c>
      <c r="W57" s="287">
        <f>(1+Parameters!$AB$39)*'Cost+Escalation'!W57</f>
        <v>0</v>
      </c>
      <c r="X57" s="321">
        <f>(1+Parameters!$AB$39)*'Cost+Escalation'!X57</f>
        <v>0</v>
      </c>
      <c r="Y57" s="287">
        <f t="shared" si="3"/>
        <v>0</v>
      </c>
      <c r="Z57" s="287">
        <f t="shared" si="3"/>
        <v>0</v>
      </c>
      <c r="AA57" s="341">
        <f t="shared" si="3"/>
        <v>0</v>
      </c>
      <c r="AB57" s="341">
        <f t="shared" si="3"/>
        <v>0</v>
      </c>
      <c r="AC57" s="341">
        <f t="shared" si="3"/>
        <v>501333.91374315543</v>
      </c>
      <c r="AD57" s="341">
        <f t="shared" si="3"/>
        <v>2261561.1403349955</v>
      </c>
      <c r="AE57" s="341">
        <f t="shared" si="3"/>
        <v>1008402.204838602</v>
      </c>
      <c r="AF57" s="287">
        <f t="shared" si="3"/>
        <v>0</v>
      </c>
      <c r="AG57" s="287">
        <f t="shared" si="4"/>
        <v>0</v>
      </c>
      <c r="AH57" s="322">
        <f>IF($H57,0,IFERROR(IF(VALUE(LEFT(D57,4))&gt;VALUE(LEFT(Parameters!$B$66,4))+1,O57-SUM(R57:X57),0),0))</f>
        <v>0</v>
      </c>
    </row>
    <row r="58" spans="1:34" ht="12.75" x14ac:dyDescent="0.2">
      <c r="A58" s="313" t="str">
        <f>'Base Costs'!A58</f>
        <v>ND1259</v>
      </c>
      <c r="B58" s="314" t="str">
        <f>'Base Costs'!B58</f>
        <v>Substation Disconnector and Earth Switch renewal program</v>
      </c>
      <c r="C58" s="314" t="str">
        <f>'Base Costs'!C58</f>
        <v>Asset Renewal</v>
      </c>
      <c r="D58" s="333" t="str">
        <f>'Base Costs'!D58</f>
        <v>2017/18</v>
      </c>
      <c r="E58" s="333">
        <f>'Base Costs'!E58</f>
        <v>9</v>
      </c>
      <c r="F58" s="315"/>
      <c r="G58" s="315"/>
      <c r="H58" s="316">
        <f>'Input Data Sheet'!J58</f>
        <v>1</v>
      </c>
      <c r="I58" s="316"/>
      <c r="J58" s="316"/>
      <c r="K58" s="316"/>
      <c r="L58" s="316"/>
      <c r="M58" s="316"/>
      <c r="N58" s="316"/>
      <c r="O58" s="287">
        <f t="shared" si="5"/>
        <v>8684441.1953773033</v>
      </c>
      <c r="P58" s="320">
        <f>(1+Parameters!$AB$39)*'Cost+Escalation'!P58</f>
        <v>0</v>
      </c>
      <c r="Q58" s="287">
        <f>(1+Parameters!$AB$39)*'Cost+Escalation'!Q58</f>
        <v>0</v>
      </c>
      <c r="R58" s="341">
        <f>(1+Parameters!$AB$39)*'Cost+Escalation'!R58</f>
        <v>0</v>
      </c>
      <c r="S58" s="341">
        <f>(1+Parameters!$AB$39)*'Cost+Escalation'!S58</f>
        <v>1153512.3330411396</v>
      </c>
      <c r="T58" s="341">
        <f>(1+Parameters!$AB$39)*'Cost+Escalation'!T58</f>
        <v>5206553.0587193808</v>
      </c>
      <c r="U58" s="341">
        <f>(1+Parameters!$AB$39)*'Cost+Escalation'!U58</f>
        <v>2324375.8036167831</v>
      </c>
      <c r="V58" s="341">
        <f>(1+Parameters!$AB$39)*'Cost+Escalation'!V58</f>
        <v>0</v>
      </c>
      <c r="W58" s="287">
        <f>(1+Parameters!$AB$39)*'Cost+Escalation'!W58</f>
        <v>0</v>
      </c>
      <c r="X58" s="321">
        <f>(1+Parameters!$AB$39)*'Cost+Escalation'!X58</f>
        <v>0</v>
      </c>
      <c r="Y58" s="287">
        <f t="shared" si="3"/>
        <v>0</v>
      </c>
      <c r="Z58" s="287">
        <f t="shared" si="3"/>
        <v>0</v>
      </c>
      <c r="AA58" s="341">
        <f t="shared" si="3"/>
        <v>0</v>
      </c>
      <c r="AB58" s="341">
        <f t="shared" si="3"/>
        <v>1153512.3330411396</v>
      </c>
      <c r="AC58" s="341">
        <f t="shared" si="3"/>
        <v>5206553.0587193808</v>
      </c>
      <c r="AD58" s="341">
        <f t="shared" si="3"/>
        <v>2324375.8036167831</v>
      </c>
      <c r="AE58" s="341">
        <f t="shared" si="3"/>
        <v>0</v>
      </c>
      <c r="AF58" s="287">
        <f t="shared" si="3"/>
        <v>0</v>
      </c>
      <c r="AG58" s="287">
        <f t="shared" si="4"/>
        <v>0</v>
      </c>
      <c r="AH58" s="322">
        <f>IF($H58,0,IFERROR(IF(VALUE(LEFT(D58,4))&gt;VALUE(LEFT(Parameters!$B$66,4))+1,O58-SUM(R58:X58),0),0))</f>
        <v>0</v>
      </c>
    </row>
    <row r="59" spans="1:34" ht="12.75" x14ac:dyDescent="0.2">
      <c r="A59" s="313" t="str">
        <f>'Base Costs'!A59</f>
        <v>ND1209</v>
      </c>
      <c r="B59" s="314" t="str">
        <f>'Base Costs'!B59</f>
        <v>Substation EHV Bus Bar protection renewal program</v>
      </c>
      <c r="C59" s="314" t="str">
        <f>'Base Costs'!C59</f>
        <v>Asset Renewal</v>
      </c>
      <c r="D59" s="333" t="str">
        <f>'Base Costs'!D59</f>
        <v>2019/20</v>
      </c>
      <c r="E59" s="333">
        <f>'Base Costs'!E59</f>
        <v>13</v>
      </c>
      <c r="F59" s="315"/>
      <c r="G59" s="315"/>
      <c r="H59" s="316">
        <f>'Input Data Sheet'!J59</f>
        <v>1</v>
      </c>
      <c r="I59" s="316"/>
      <c r="J59" s="316"/>
      <c r="K59" s="316"/>
      <c r="L59" s="316"/>
      <c r="M59" s="316"/>
      <c r="N59" s="316"/>
      <c r="O59" s="287">
        <f t="shared" si="5"/>
        <v>4299552.6460073981</v>
      </c>
      <c r="P59" s="320">
        <f>(1+Parameters!$AB$39)*'Cost+Escalation'!P59</f>
        <v>0</v>
      </c>
      <c r="Q59" s="287">
        <f>(1+Parameters!$AB$39)*'Cost+Escalation'!Q59</f>
        <v>0</v>
      </c>
      <c r="R59" s="341">
        <f>(1+Parameters!$AB$39)*'Cost+Escalation'!R59</f>
        <v>0</v>
      </c>
      <c r="S59" s="341">
        <f>(1+Parameters!$AB$39)*'Cost+Escalation'!S59</f>
        <v>0</v>
      </c>
      <c r="T59" s="341">
        <f>(1+Parameters!$AB$39)*'Cost+Escalation'!T59</f>
        <v>0</v>
      </c>
      <c r="U59" s="341">
        <f>(1+Parameters!$AB$39)*'Cost+Escalation'!U59</f>
        <v>553809.44124323607</v>
      </c>
      <c r="V59" s="341">
        <f>(1+Parameters!$AB$39)*'Cost+Escalation'!V59</f>
        <v>3702689.1397423251</v>
      </c>
      <c r="W59" s="287">
        <f>(1+Parameters!$AB$39)*'Cost+Escalation'!W59</f>
        <v>43054.065021836788</v>
      </c>
      <c r="X59" s="321">
        <f>(1+Parameters!$AB$39)*'Cost+Escalation'!X59</f>
        <v>0</v>
      </c>
      <c r="Y59" s="287">
        <f t="shared" si="3"/>
        <v>0</v>
      </c>
      <c r="Z59" s="287">
        <f t="shared" si="3"/>
        <v>0</v>
      </c>
      <c r="AA59" s="341">
        <f t="shared" si="3"/>
        <v>0</v>
      </c>
      <c r="AB59" s="341">
        <f t="shared" si="3"/>
        <v>0</v>
      </c>
      <c r="AC59" s="341">
        <f t="shared" si="3"/>
        <v>0</v>
      </c>
      <c r="AD59" s="341">
        <f t="shared" si="3"/>
        <v>553809.44124323607</v>
      </c>
      <c r="AE59" s="341">
        <f t="shared" si="3"/>
        <v>3702689.1397423251</v>
      </c>
      <c r="AF59" s="287">
        <f t="shared" si="3"/>
        <v>43054.065021836788</v>
      </c>
      <c r="AG59" s="287">
        <f t="shared" si="4"/>
        <v>0</v>
      </c>
      <c r="AH59" s="322">
        <f>IF($H59,0,IFERROR(IF(VALUE(LEFT(D59,4))&gt;VALUE(LEFT(Parameters!$B$66,4))+1,O59-SUM(R59:X59),0),0))</f>
        <v>0</v>
      </c>
    </row>
    <row r="60" spans="1:34" ht="12.75" x14ac:dyDescent="0.2">
      <c r="A60" s="313" t="str">
        <f>'Base Costs'!A60</f>
        <v>ND1098</v>
      </c>
      <c r="B60" s="314" t="str">
        <f>'Base Costs'!B60</f>
        <v>Substation fire suppression renewal program</v>
      </c>
      <c r="C60" s="314" t="str">
        <f>'Base Costs'!C60</f>
        <v>Physical Security / Compliance</v>
      </c>
      <c r="D60" s="333" t="str">
        <f>'Base Costs'!D60</f>
        <v>2018/19</v>
      </c>
      <c r="E60" s="333">
        <f>'Base Costs'!E60</f>
        <v>9</v>
      </c>
      <c r="F60" s="315"/>
      <c r="G60" s="315"/>
      <c r="H60" s="316">
        <f>'Input Data Sheet'!J60</f>
        <v>1</v>
      </c>
      <c r="I60" s="316"/>
      <c r="J60" s="316"/>
      <c r="K60" s="316"/>
      <c r="L60" s="316"/>
      <c r="M60" s="316"/>
      <c r="N60" s="316"/>
      <c r="O60" s="287">
        <f t="shared" si="5"/>
        <v>4685969.3566795075</v>
      </c>
      <c r="P60" s="320">
        <f>(1+Parameters!$AB$39)*'Cost+Escalation'!P60</f>
        <v>0</v>
      </c>
      <c r="Q60" s="287">
        <f>(1+Parameters!$AB$39)*'Cost+Escalation'!Q60</f>
        <v>0</v>
      </c>
      <c r="R60" s="341">
        <f>(1+Parameters!$AB$39)*'Cost+Escalation'!R60</f>
        <v>916119.72052995779</v>
      </c>
      <c r="S60" s="341">
        <f>(1+Parameters!$AB$39)*'Cost+Escalation'!S60</f>
        <v>925252.81258263579</v>
      </c>
      <c r="T60" s="341">
        <f>(1+Parameters!$AB$39)*'Cost+Escalation'!T60</f>
        <v>937091.84613707475</v>
      </c>
      <c r="U60" s="341">
        <f>(1+Parameters!$AB$39)*'Cost+Escalation'!U60</f>
        <v>948543.06139000261</v>
      </c>
      <c r="V60" s="341">
        <f>(1+Parameters!$AB$39)*'Cost+Escalation'!V60</f>
        <v>958961.91603983694</v>
      </c>
      <c r="W60" s="287">
        <f>(1+Parameters!$AB$39)*'Cost+Escalation'!W60</f>
        <v>0</v>
      </c>
      <c r="X60" s="321">
        <f>(1+Parameters!$AB$39)*'Cost+Escalation'!X60</f>
        <v>0</v>
      </c>
      <c r="Y60" s="287">
        <f t="shared" si="3"/>
        <v>0</v>
      </c>
      <c r="Z60" s="287">
        <f t="shared" si="3"/>
        <v>0</v>
      </c>
      <c r="AA60" s="341">
        <f t="shared" si="3"/>
        <v>916119.72052995779</v>
      </c>
      <c r="AB60" s="341">
        <f t="shared" si="3"/>
        <v>925252.81258263579</v>
      </c>
      <c r="AC60" s="341">
        <f t="shared" si="3"/>
        <v>937091.84613707475</v>
      </c>
      <c r="AD60" s="341">
        <f t="shared" si="3"/>
        <v>948543.06139000261</v>
      </c>
      <c r="AE60" s="341">
        <f t="shared" si="3"/>
        <v>958961.91603983694</v>
      </c>
      <c r="AF60" s="287">
        <f t="shared" si="3"/>
        <v>0</v>
      </c>
      <c r="AG60" s="287">
        <f t="shared" si="4"/>
        <v>0</v>
      </c>
      <c r="AH60" s="322">
        <f>IF($H60,0,IFERROR(IF(VALUE(LEFT(D60,4))&gt;VALUE(LEFT(Parameters!$B$66,4))+1,O60-SUM(R60:X60),0),0))</f>
        <v>0</v>
      </c>
    </row>
    <row r="61" spans="1:34" ht="12.75" x14ac:dyDescent="0.2">
      <c r="A61" s="313" t="str">
        <f>'Base Costs'!A61</f>
        <v>ND1339</v>
      </c>
      <c r="B61" s="314" t="str">
        <f>'Base Costs'!B61</f>
        <v>Substation HV switchgear replacement program</v>
      </c>
      <c r="C61" s="314" t="str">
        <f>'Base Costs'!C61</f>
        <v>Asset Renewal</v>
      </c>
      <c r="D61" s="333" t="str">
        <f>'Base Costs'!D61</f>
        <v>2016/17</v>
      </c>
      <c r="E61" s="333">
        <f>'Base Costs'!E61</f>
        <v>9</v>
      </c>
      <c r="F61" s="315"/>
      <c r="G61" s="315"/>
      <c r="H61" s="316">
        <f>'Input Data Sheet'!J61</f>
        <v>1</v>
      </c>
      <c r="I61" s="316"/>
      <c r="J61" s="316"/>
      <c r="K61" s="316"/>
      <c r="L61" s="316"/>
      <c r="M61" s="316"/>
      <c r="N61" s="316"/>
      <c r="O61" s="287">
        <f t="shared" si="5"/>
        <v>3956668.691955274</v>
      </c>
      <c r="P61" s="320">
        <f>(1+Parameters!$AB$39)*'Cost+Escalation'!P61</f>
        <v>0</v>
      </c>
      <c r="Q61" s="287">
        <f>(1+Parameters!$AB$39)*'Cost+Escalation'!Q61</f>
        <v>0</v>
      </c>
      <c r="R61" s="341">
        <f>(1+Parameters!$AB$39)*'Cost+Escalation'!R61</f>
        <v>526739.41439434455</v>
      </c>
      <c r="S61" s="341">
        <f>(1+Parameters!$AB$39)*'Cost+Escalation'!S61</f>
        <v>2370886.4528231537</v>
      </c>
      <c r="T61" s="341">
        <f>(1+Parameters!$AB$39)*'Cost+Escalation'!T61</f>
        <v>1059042.8247377756</v>
      </c>
      <c r="U61" s="341">
        <f>(1+Parameters!$AB$39)*'Cost+Escalation'!U61</f>
        <v>0</v>
      </c>
      <c r="V61" s="341">
        <f>(1+Parameters!$AB$39)*'Cost+Escalation'!V61</f>
        <v>0</v>
      </c>
      <c r="W61" s="287">
        <f>(1+Parameters!$AB$39)*'Cost+Escalation'!W61</f>
        <v>0</v>
      </c>
      <c r="X61" s="321">
        <f>(1+Parameters!$AB$39)*'Cost+Escalation'!X61</f>
        <v>0</v>
      </c>
      <c r="Y61" s="287">
        <f t="shared" si="3"/>
        <v>0</v>
      </c>
      <c r="Z61" s="287">
        <f t="shared" si="3"/>
        <v>0</v>
      </c>
      <c r="AA61" s="341">
        <f t="shared" si="3"/>
        <v>526739.41439434455</v>
      </c>
      <c r="AB61" s="341">
        <f t="shared" si="3"/>
        <v>2370886.4528231537</v>
      </c>
      <c r="AC61" s="341">
        <f t="shared" si="3"/>
        <v>1059042.8247377756</v>
      </c>
      <c r="AD61" s="341">
        <f t="shared" si="3"/>
        <v>0</v>
      </c>
      <c r="AE61" s="341">
        <f t="shared" si="3"/>
        <v>0</v>
      </c>
      <c r="AF61" s="287">
        <f t="shared" si="3"/>
        <v>0</v>
      </c>
      <c r="AG61" s="287">
        <f t="shared" si="4"/>
        <v>0</v>
      </c>
      <c r="AH61" s="322">
        <f>IF($H61,0,IFERROR(IF(VALUE(LEFT(D61,4))&gt;VALUE(LEFT(Parameters!$B$66,4))+1,O61-SUM(R61:X61),0),0))</f>
        <v>0</v>
      </c>
    </row>
    <row r="62" spans="1:34" ht="12.75" x14ac:dyDescent="0.2">
      <c r="A62" s="313" t="str">
        <f>'Base Costs'!A62</f>
        <v>ND1309</v>
      </c>
      <c r="B62" s="314" t="str">
        <f>'Base Costs'!B62</f>
        <v>Substation Lightning Protection enhancement program</v>
      </c>
      <c r="C62" s="314" t="str">
        <f>'Base Costs'!C62</f>
        <v>Asset Renewal</v>
      </c>
      <c r="D62" s="333" t="str">
        <f>'Base Costs'!D62</f>
        <v>2018/19</v>
      </c>
      <c r="E62" s="333">
        <f>'Base Costs'!E62</f>
        <v>9</v>
      </c>
      <c r="F62" s="315"/>
      <c r="G62" s="315"/>
      <c r="H62" s="316">
        <f>'Input Data Sheet'!J62</f>
        <v>0</v>
      </c>
      <c r="I62" s="316"/>
      <c r="J62" s="316"/>
      <c r="K62" s="316"/>
      <c r="L62" s="316"/>
      <c r="M62" s="316"/>
      <c r="N62" s="316"/>
      <c r="O62" s="287">
        <f t="shared" si="5"/>
        <v>2856580.0452396115</v>
      </c>
      <c r="P62" s="320">
        <f>(1+Parameters!$AB$39)*'Cost+Escalation'!P62</f>
        <v>0</v>
      </c>
      <c r="Q62" s="287">
        <f>(1+Parameters!$AB$39)*'Cost+Escalation'!Q62</f>
        <v>0</v>
      </c>
      <c r="R62" s="341">
        <f>(1+Parameters!$AB$39)*'Cost+Escalation'!R62</f>
        <v>0</v>
      </c>
      <c r="S62" s="341">
        <f>(1+Parameters!$AB$39)*'Cost+Escalation'!S62</f>
        <v>0</v>
      </c>
      <c r="T62" s="341">
        <f>(1+Parameters!$AB$39)*'Cost+Escalation'!T62</f>
        <v>379737.03532459232</v>
      </c>
      <c r="U62" s="341">
        <f>(1+Parameters!$AB$39)*'Cost+Escalation'!U62</f>
        <v>1713026.3242545605</v>
      </c>
      <c r="V62" s="341">
        <f>(1+Parameters!$AB$39)*'Cost+Escalation'!V62</f>
        <v>763816.68566045887</v>
      </c>
      <c r="W62" s="287">
        <f>(1+Parameters!$AB$39)*'Cost+Escalation'!W62</f>
        <v>0</v>
      </c>
      <c r="X62" s="321">
        <f>(1+Parameters!$AB$39)*'Cost+Escalation'!X62</f>
        <v>0</v>
      </c>
      <c r="Y62" s="287">
        <f t="shared" si="3"/>
        <v>0</v>
      </c>
      <c r="Z62" s="287">
        <f t="shared" si="3"/>
        <v>0</v>
      </c>
      <c r="AA62" s="341">
        <f t="shared" si="3"/>
        <v>0</v>
      </c>
      <c r="AB62" s="341">
        <f t="shared" si="3"/>
        <v>0</v>
      </c>
      <c r="AC62" s="341">
        <f t="shared" si="3"/>
        <v>0</v>
      </c>
      <c r="AD62" s="341">
        <f t="shared" si="3"/>
        <v>0</v>
      </c>
      <c r="AE62" s="341">
        <f t="shared" si="3"/>
        <v>2856580.0452396115</v>
      </c>
      <c r="AF62" s="287">
        <f t="shared" si="3"/>
        <v>0</v>
      </c>
      <c r="AG62" s="287">
        <f t="shared" si="4"/>
        <v>0</v>
      </c>
      <c r="AH62" s="322">
        <f>IF($H62,0,IFERROR(IF(VALUE(LEFT(D62,4))&gt;VALUE(LEFT(Parameters!$B$66,4))+1,O62-SUM(R62:X62),0),0))</f>
        <v>0</v>
      </c>
    </row>
    <row r="63" spans="1:34" ht="12.75" x14ac:dyDescent="0.2">
      <c r="A63" s="313" t="str">
        <f>'Base Costs'!A63</f>
        <v>ND1226</v>
      </c>
      <c r="B63" s="314" t="str">
        <f>'Base Costs'!B63</f>
        <v>Substation Power transformer refurbishment program</v>
      </c>
      <c r="C63" s="314" t="str">
        <f>'Base Costs'!C63</f>
        <v>Asset Renewal</v>
      </c>
      <c r="D63" s="333" t="str">
        <f>'Base Costs'!D63</f>
        <v>2016/17</v>
      </c>
      <c r="E63" s="333">
        <f>'Base Costs'!E63</f>
        <v>11</v>
      </c>
      <c r="F63" s="315"/>
      <c r="G63" s="315"/>
      <c r="H63" s="316">
        <f>'Input Data Sheet'!J63</f>
        <v>1</v>
      </c>
      <c r="I63" s="316"/>
      <c r="J63" s="316"/>
      <c r="K63" s="316"/>
      <c r="L63" s="316"/>
      <c r="M63" s="316"/>
      <c r="N63" s="316"/>
      <c r="O63" s="287">
        <f t="shared" si="5"/>
        <v>1424671.8251645942</v>
      </c>
      <c r="P63" s="320">
        <f>(1+Parameters!$AB$39)*'Cost+Escalation'!P63</f>
        <v>0</v>
      </c>
      <c r="Q63" s="287">
        <f>(1+Parameters!$AB$39)*'Cost+Escalation'!Q63</f>
        <v>0</v>
      </c>
      <c r="R63" s="341">
        <f>(1+Parameters!$AB$39)*'Cost+Escalation'!R63</f>
        <v>197830.39848834998</v>
      </c>
      <c r="S63" s="341">
        <f>(1+Parameters!$AB$39)*'Cost+Escalation'!S63</f>
        <v>1205307.6070850212</v>
      </c>
      <c r="T63" s="341">
        <f>(1+Parameters!$AB$39)*'Cost+Escalation'!T63</f>
        <v>21533.819591222986</v>
      </c>
      <c r="U63" s="341">
        <f>(1+Parameters!$AB$39)*'Cost+Escalation'!U63</f>
        <v>0</v>
      </c>
      <c r="V63" s="341">
        <f>(1+Parameters!$AB$39)*'Cost+Escalation'!V63</f>
        <v>0</v>
      </c>
      <c r="W63" s="287">
        <f>(1+Parameters!$AB$39)*'Cost+Escalation'!W63</f>
        <v>0</v>
      </c>
      <c r="X63" s="321">
        <f>(1+Parameters!$AB$39)*'Cost+Escalation'!X63</f>
        <v>0</v>
      </c>
      <c r="Y63" s="287">
        <f t="shared" si="3"/>
        <v>0</v>
      </c>
      <c r="Z63" s="287">
        <f t="shared" si="3"/>
        <v>0</v>
      </c>
      <c r="AA63" s="341">
        <f t="shared" si="3"/>
        <v>197830.39848834998</v>
      </c>
      <c r="AB63" s="341">
        <f t="shared" si="3"/>
        <v>1205307.6070850212</v>
      </c>
      <c r="AC63" s="341">
        <f t="shared" si="3"/>
        <v>21533.819591222986</v>
      </c>
      <c r="AD63" s="341">
        <f t="shared" si="3"/>
        <v>0</v>
      </c>
      <c r="AE63" s="341">
        <f t="shared" si="3"/>
        <v>0</v>
      </c>
      <c r="AF63" s="287">
        <f t="shared" si="3"/>
        <v>0</v>
      </c>
      <c r="AG63" s="287">
        <f t="shared" si="4"/>
        <v>0</v>
      </c>
      <c r="AH63" s="322">
        <f>IF($H63,0,IFERROR(IF(VALUE(LEFT(D63,4))&gt;VALUE(LEFT(Parameters!$B$66,4))+1,O63-SUM(R63:X63),0),0))</f>
        <v>0</v>
      </c>
    </row>
    <row r="64" spans="1:34" ht="12.75" x14ac:dyDescent="0.2">
      <c r="A64" s="313" t="str">
        <f>'Base Costs'!A64</f>
        <v>ND1256</v>
      </c>
      <c r="B64" s="314" t="str">
        <f>'Base Costs'!B64</f>
        <v>Substation site infrastructure program</v>
      </c>
      <c r="C64" s="314" t="str">
        <f>'Base Costs'!C64</f>
        <v>Asset Renewal</v>
      </c>
      <c r="D64" s="333" t="str">
        <f>'Base Costs'!D64</f>
        <v>2015/16</v>
      </c>
      <c r="E64" s="333">
        <f>'Base Costs'!E64</f>
        <v>8</v>
      </c>
      <c r="F64" s="315"/>
      <c r="G64" s="315"/>
      <c r="H64" s="316">
        <f>'Input Data Sheet'!J64</f>
        <v>1</v>
      </c>
      <c r="I64" s="316"/>
      <c r="J64" s="316"/>
      <c r="K64" s="316"/>
      <c r="L64" s="316"/>
      <c r="M64" s="316"/>
      <c r="N64" s="316"/>
      <c r="O64" s="287">
        <f t="shared" si="5"/>
        <v>3804609.2539094971</v>
      </c>
      <c r="P64" s="320">
        <f>(1+Parameters!$AB$39)*'Cost+Escalation'!P64</f>
        <v>0</v>
      </c>
      <c r="Q64" s="287">
        <f>(1+Parameters!$AB$39)*'Cost+Escalation'!Q64</f>
        <v>0</v>
      </c>
      <c r="R64" s="341">
        <f>(1+Parameters!$AB$39)*'Cost+Escalation'!R64</f>
        <v>1311253.2361202021</v>
      </c>
      <c r="S64" s="341">
        <f>(1+Parameters!$AB$39)*'Cost+Escalation'!S64</f>
        <v>2493356.0177892949</v>
      </c>
      <c r="T64" s="341">
        <f>(1+Parameters!$AB$39)*'Cost+Escalation'!T64</f>
        <v>0</v>
      </c>
      <c r="U64" s="341">
        <f>(1+Parameters!$AB$39)*'Cost+Escalation'!U64</f>
        <v>0</v>
      </c>
      <c r="V64" s="341">
        <f>(1+Parameters!$AB$39)*'Cost+Escalation'!V64</f>
        <v>0</v>
      </c>
      <c r="W64" s="287">
        <f>(1+Parameters!$AB$39)*'Cost+Escalation'!W64</f>
        <v>0</v>
      </c>
      <c r="X64" s="321">
        <f>(1+Parameters!$AB$39)*'Cost+Escalation'!X64</f>
        <v>0</v>
      </c>
      <c r="Y64" s="287">
        <f t="shared" ref="Y64:AF95" si="6">IF($H64,P64,IF(Y$3=$D64,$O64,0))</f>
        <v>0</v>
      </c>
      <c r="Z64" s="287">
        <f t="shared" si="6"/>
        <v>0</v>
      </c>
      <c r="AA64" s="341">
        <f t="shared" si="6"/>
        <v>1311253.2361202021</v>
      </c>
      <c r="AB64" s="341">
        <f t="shared" si="6"/>
        <v>2493356.0177892949</v>
      </c>
      <c r="AC64" s="341">
        <f t="shared" si="6"/>
        <v>0</v>
      </c>
      <c r="AD64" s="341">
        <f t="shared" si="6"/>
        <v>0</v>
      </c>
      <c r="AE64" s="341">
        <f t="shared" si="6"/>
        <v>0</v>
      </c>
      <c r="AF64" s="287">
        <f t="shared" si="6"/>
        <v>0</v>
      </c>
      <c r="AG64" s="287">
        <f t="shared" si="4"/>
        <v>0</v>
      </c>
      <c r="AH64" s="322">
        <f>IF($H64,0,IFERROR(IF(VALUE(LEFT(D64,4))&gt;VALUE(LEFT(Parameters!$B$66,4))+1,O64-SUM(R64:X64),0),0))</f>
        <v>0</v>
      </c>
    </row>
    <row r="65" spans="1:34" ht="12.75" x14ac:dyDescent="0.2">
      <c r="A65" s="313" t="str">
        <f>'Base Costs'!A65</f>
        <v>ND0990</v>
      </c>
      <c r="B65" s="314" t="str">
        <f>'Base Costs'!B65</f>
        <v>Substation VESDA and fire suppression program</v>
      </c>
      <c r="C65" s="314" t="str">
        <f>'Base Costs'!C65</f>
        <v>Asset Renewal</v>
      </c>
      <c r="D65" s="333" t="str">
        <f>'Base Costs'!D65</f>
        <v>2014/15</v>
      </c>
      <c r="E65" s="333">
        <f>'Base Costs'!E65</f>
        <v>0</v>
      </c>
      <c r="F65" s="315"/>
      <c r="G65" s="315"/>
      <c r="H65" s="316">
        <f>'Input Data Sheet'!J65</f>
        <v>0</v>
      </c>
      <c r="I65" s="316"/>
      <c r="J65" s="316"/>
      <c r="K65" s="316"/>
      <c r="L65" s="316"/>
      <c r="M65" s="316"/>
      <c r="N65" s="316"/>
      <c r="O65" s="287">
        <f t="shared" si="5"/>
        <v>2575000</v>
      </c>
      <c r="P65" s="320">
        <f>(1+Parameters!$AB$39)*'Cost+Escalation'!P65</f>
        <v>0</v>
      </c>
      <c r="Q65" s="287">
        <f>(1+Parameters!$AB$39)*'Cost+Escalation'!Q65</f>
        <v>0</v>
      </c>
      <c r="R65" s="341">
        <f>(1+Parameters!$AB$39)*'Cost+Escalation'!R65</f>
        <v>2575000</v>
      </c>
      <c r="S65" s="341">
        <f>(1+Parameters!$AB$39)*'Cost+Escalation'!S65</f>
        <v>0</v>
      </c>
      <c r="T65" s="341">
        <f>(1+Parameters!$AB$39)*'Cost+Escalation'!T65</f>
        <v>0</v>
      </c>
      <c r="U65" s="341">
        <f>(1+Parameters!$AB$39)*'Cost+Escalation'!U65</f>
        <v>0</v>
      </c>
      <c r="V65" s="341">
        <f>(1+Parameters!$AB$39)*'Cost+Escalation'!V65</f>
        <v>0</v>
      </c>
      <c r="W65" s="287">
        <f>(1+Parameters!$AB$39)*'Cost+Escalation'!W65</f>
        <v>0</v>
      </c>
      <c r="X65" s="321">
        <f>(1+Parameters!$AB$39)*'Cost+Escalation'!X65</f>
        <v>0</v>
      </c>
      <c r="Y65" s="287">
        <f t="shared" si="6"/>
        <v>0</v>
      </c>
      <c r="Z65" s="287">
        <f t="shared" si="6"/>
        <v>0</v>
      </c>
      <c r="AA65" s="341">
        <f t="shared" si="6"/>
        <v>2575000</v>
      </c>
      <c r="AB65" s="341">
        <f t="shared" si="6"/>
        <v>0</v>
      </c>
      <c r="AC65" s="341">
        <f t="shared" si="6"/>
        <v>0</v>
      </c>
      <c r="AD65" s="341">
        <f t="shared" si="6"/>
        <v>0</v>
      </c>
      <c r="AE65" s="341">
        <f t="shared" si="6"/>
        <v>0</v>
      </c>
      <c r="AF65" s="287">
        <f t="shared" si="6"/>
        <v>0</v>
      </c>
      <c r="AG65" s="287">
        <f t="shared" si="4"/>
        <v>0</v>
      </c>
      <c r="AH65" s="322">
        <f>IF($H65,0,IFERROR(IF(VALUE(LEFT(D65,4))&gt;VALUE(LEFT(Parameters!$B$66,4))+1,O65-SUM(R65:X65),0),0))</f>
        <v>0</v>
      </c>
    </row>
    <row r="66" spans="1:34" ht="12.75" x14ac:dyDescent="0.2">
      <c r="A66" s="313" t="str">
        <f>'Base Costs'!A66</f>
        <v>ND1227</v>
      </c>
      <c r="B66" s="314" t="str">
        <f>'Base Costs'!B66</f>
        <v>Telecommunications bearer system program</v>
      </c>
      <c r="C66" s="314" t="str">
        <f>'Base Costs'!C66</f>
        <v>Asset Renewal</v>
      </c>
      <c r="D66" s="333" t="str">
        <f>'Base Costs'!D66</f>
        <v>2018/19</v>
      </c>
      <c r="E66" s="333">
        <f>'Base Costs'!E66</f>
        <v>13</v>
      </c>
      <c r="F66" s="315"/>
      <c r="G66" s="315"/>
      <c r="H66" s="316">
        <f>'Input Data Sheet'!J66</f>
        <v>1</v>
      </c>
      <c r="I66" s="316"/>
      <c r="J66" s="316"/>
      <c r="K66" s="316"/>
      <c r="L66" s="316"/>
      <c r="M66" s="316"/>
      <c r="N66" s="316"/>
      <c r="O66" s="287">
        <f t="shared" si="5"/>
        <v>4141999.2487784666</v>
      </c>
      <c r="P66" s="320">
        <f>(1+Parameters!$AB$39)*'Cost+Escalation'!P66</f>
        <v>0</v>
      </c>
      <c r="Q66" s="287">
        <f>(1+Parameters!$AB$39)*'Cost+Escalation'!Q66</f>
        <v>0</v>
      </c>
      <c r="R66" s="341">
        <f>(1+Parameters!$AB$39)*'Cost+Escalation'!R66</f>
        <v>886027.35527878348</v>
      </c>
      <c r="S66" s="341">
        <f>(1+Parameters!$AB$39)*'Cost+Escalation'!S66</f>
        <v>695129.27270584519</v>
      </c>
      <c r="T66" s="341">
        <f>(1+Parameters!$AB$39)*'Cost+Escalation'!T66</f>
        <v>1170598.3886952817</v>
      </c>
      <c r="U66" s="341">
        <f>(1+Parameters!$AB$39)*'Cost+Escalation'!U66</f>
        <v>909309.43323286704</v>
      </c>
      <c r="V66" s="341">
        <f>(1+Parameters!$AB$39)*'Cost+Escalation'!V66</f>
        <v>480934.79886568955</v>
      </c>
      <c r="W66" s="287">
        <f>(1+Parameters!$AB$39)*'Cost+Escalation'!W66</f>
        <v>0</v>
      </c>
      <c r="X66" s="321">
        <f>(1+Parameters!$AB$39)*'Cost+Escalation'!X66</f>
        <v>0</v>
      </c>
      <c r="Y66" s="287">
        <f t="shared" si="6"/>
        <v>0</v>
      </c>
      <c r="Z66" s="287">
        <f t="shared" si="6"/>
        <v>0</v>
      </c>
      <c r="AA66" s="341">
        <f t="shared" si="6"/>
        <v>886027.35527878348</v>
      </c>
      <c r="AB66" s="341">
        <f t="shared" si="6"/>
        <v>695129.27270584519</v>
      </c>
      <c r="AC66" s="341">
        <f t="shared" si="6"/>
        <v>1170598.3886952817</v>
      </c>
      <c r="AD66" s="341">
        <f t="shared" si="6"/>
        <v>909309.43323286704</v>
      </c>
      <c r="AE66" s="341">
        <f t="shared" si="6"/>
        <v>480934.79886568955</v>
      </c>
      <c r="AF66" s="287">
        <f t="shared" si="6"/>
        <v>0</v>
      </c>
      <c r="AG66" s="287">
        <f t="shared" si="4"/>
        <v>0</v>
      </c>
      <c r="AH66" s="322">
        <f>IF($H66,0,IFERROR(IF(VALUE(LEFT(D66,4))&gt;VALUE(LEFT(Parameters!$B$66,4))+1,O66-SUM(R66:X66),0),0))</f>
        <v>0</v>
      </c>
    </row>
    <row r="67" spans="1:34" ht="12.75" x14ac:dyDescent="0.2">
      <c r="A67" s="313" t="str">
        <f>'Base Costs'!A67</f>
        <v>ND1228</v>
      </c>
      <c r="B67" s="314" t="str">
        <f>'Base Costs'!B67</f>
        <v>Telecommunications ethernet system program</v>
      </c>
      <c r="C67" s="314" t="str">
        <f>'Base Costs'!C67</f>
        <v>Asset Renewal</v>
      </c>
      <c r="D67" s="333" t="str">
        <f>'Base Costs'!D67</f>
        <v>2018/19</v>
      </c>
      <c r="E67" s="333">
        <f>'Base Costs'!E67</f>
        <v>13</v>
      </c>
      <c r="F67" s="315"/>
      <c r="G67" s="315"/>
      <c r="H67" s="316">
        <f>'Input Data Sheet'!J67</f>
        <v>1</v>
      </c>
      <c r="I67" s="316"/>
      <c r="J67" s="316"/>
      <c r="K67" s="316"/>
      <c r="L67" s="316"/>
      <c r="M67" s="316"/>
      <c r="N67" s="316"/>
      <c r="O67" s="287">
        <f t="shared" si="5"/>
        <v>3862603.2259614621</v>
      </c>
      <c r="P67" s="320">
        <f>(1+Parameters!$AB$39)*'Cost+Escalation'!P67</f>
        <v>0</v>
      </c>
      <c r="Q67" s="287">
        <f>(1+Parameters!$AB$39)*'Cost+Escalation'!Q67</f>
        <v>0</v>
      </c>
      <c r="R67" s="341">
        <f>(1+Parameters!$AB$39)*'Cost+Escalation'!R67</f>
        <v>1813169.9079980343</v>
      </c>
      <c r="S67" s="341">
        <f>(1+Parameters!$AB$39)*'Cost+Escalation'!S67</f>
        <v>517483.65624416276</v>
      </c>
      <c r="T67" s="341">
        <f>(1+Parameters!$AB$39)*'Cost+Escalation'!T67</f>
        <v>275860.47184786783</v>
      </c>
      <c r="U67" s="341">
        <f>(1+Parameters!$AB$39)*'Cost+Escalation'!U67</f>
        <v>380680.2631459994</v>
      </c>
      <c r="V67" s="341">
        <f>(1+Parameters!$AB$39)*'Cost+Escalation'!V67</f>
        <v>875408.92672539782</v>
      </c>
      <c r="W67" s="287">
        <f>(1+Parameters!$AB$39)*'Cost+Escalation'!W67</f>
        <v>0</v>
      </c>
      <c r="X67" s="321">
        <f>(1+Parameters!$AB$39)*'Cost+Escalation'!X67</f>
        <v>0</v>
      </c>
      <c r="Y67" s="287">
        <f t="shared" si="6"/>
        <v>0</v>
      </c>
      <c r="Z67" s="287">
        <f t="shared" si="6"/>
        <v>0</v>
      </c>
      <c r="AA67" s="341">
        <f t="shared" si="6"/>
        <v>1813169.9079980343</v>
      </c>
      <c r="AB67" s="341">
        <f t="shared" si="6"/>
        <v>517483.65624416276</v>
      </c>
      <c r="AC67" s="341">
        <f t="shared" si="6"/>
        <v>275860.47184786783</v>
      </c>
      <c r="AD67" s="341">
        <f t="shared" si="6"/>
        <v>380680.2631459994</v>
      </c>
      <c r="AE67" s="341">
        <f t="shared" si="6"/>
        <v>875408.92672539782</v>
      </c>
      <c r="AF67" s="287">
        <f t="shared" si="6"/>
        <v>0</v>
      </c>
      <c r="AG67" s="287">
        <f t="shared" si="4"/>
        <v>0</v>
      </c>
      <c r="AH67" s="322">
        <f>IF($H67,0,IFERROR(IF(VALUE(LEFT(D67,4))&gt;VALUE(LEFT(Parameters!$B$66,4))+1,O67-SUM(R67:X67),0),0))</f>
        <v>0</v>
      </c>
    </row>
    <row r="68" spans="1:34" ht="12.75" x14ac:dyDescent="0.2">
      <c r="A68" s="313" t="str">
        <f>'Base Costs'!A68</f>
        <v>ND1229</v>
      </c>
      <c r="B68" s="314" t="str">
        <f>'Base Costs'!B68</f>
        <v>Telecommunications multiplexer system program</v>
      </c>
      <c r="C68" s="314" t="str">
        <f>'Base Costs'!C68</f>
        <v>Asset Renewal</v>
      </c>
      <c r="D68" s="333" t="str">
        <f>'Base Costs'!D68</f>
        <v>2018/19</v>
      </c>
      <c r="E68" s="333">
        <f>'Base Costs'!E68</f>
        <v>13</v>
      </c>
      <c r="F68" s="315"/>
      <c r="G68" s="315"/>
      <c r="H68" s="316">
        <f>'Input Data Sheet'!J68</f>
        <v>1</v>
      </c>
      <c r="I68" s="316"/>
      <c r="J68" s="316"/>
      <c r="K68" s="316"/>
      <c r="L68" s="316"/>
      <c r="M68" s="316"/>
      <c r="N68" s="316"/>
      <c r="O68" s="287">
        <f t="shared" si="5"/>
        <v>6610500.3151848381</v>
      </c>
      <c r="P68" s="320">
        <f>(1+Parameters!$AB$39)*'Cost+Escalation'!P68</f>
        <v>0</v>
      </c>
      <c r="Q68" s="287">
        <f>(1+Parameters!$AB$39)*'Cost+Escalation'!Q68</f>
        <v>0</v>
      </c>
      <c r="R68" s="341">
        <f>(1+Parameters!$AB$39)*'Cost+Escalation'!R68</f>
        <v>0</v>
      </c>
      <c r="S68" s="341">
        <f>(1+Parameters!$AB$39)*'Cost+Escalation'!S68</f>
        <v>107640.23680132229</v>
      </c>
      <c r="T68" s="341">
        <f>(1+Parameters!$AB$39)*'Cost+Escalation'!T68</f>
        <v>2308531.1264032722</v>
      </c>
      <c r="U68" s="341">
        <f>(1+Parameters!$AB$39)*'Cost+Escalation'!U68</f>
        <v>3334305.2744304324</v>
      </c>
      <c r="V68" s="341">
        <f>(1+Parameters!$AB$39)*'Cost+Escalation'!V68</f>
        <v>860023.67754981236</v>
      </c>
      <c r="W68" s="287">
        <f>(1+Parameters!$AB$39)*'Cost+Escalation'!W68</f>
        <v>0</v>
      </c>
      <c r="X68" s="321">
        <f>(1+Parameters!$AB$39)*'Cost+Escalation'!X68</f>
        <v>0</v>
      </c>
      <c r="Y68" s="287">
        <f t="shared" si="6"/>
        <v>0</v>
      </c>
      <c r="Z68" s="287">
        <f t="shared" si="6"/>
        <v>0</v>
      </c>
      <c r="AA68" s="341">
        <f t="shared" si="6"/>
        <v>0</v>
      </c>
      <c r="AB68" s="341">
        <f t="shared" si="6"/>
        <v>107640.23680132229</v>
      </c>
      <c r="AC68" s="341">
        <f t="shared" si="6"/>
        <v>2308531.1264032722</v>
      </c>
      <c r="AD68" s="341">
        <f t="shared" si="6"/>
        <v>3334305.2744304324</v>
      </c>
      <c r="AE68" s="341">
        <f t="shared" si="6"/>
        <v>860023.67754981236</v>
      </c>
      <c r="AF68" s="287">
        <f t="shared" si="6"/>
        <v>0</v>
      </c>
      <c r="AG68" s="287">
        <f t="shared" si="4"/>
        <v>0</v>
      </c>
      <c r="AH68" s="322">
        <f>IF($H68,0,IFERROR(IF(VALUE(LEFT(D68,4))&gt;VALUE(LEFT(Parameters!$B$66,4))+1,O68-SUM(R68:X68),0),0))</f>
        <v>0</v>
      </c>
    </row>
    <row r="69" spans="1:34" ht="12.75" x14ac:dyDescent="0.2">
      <c r="A69" s="313" t="str">
        <f>'Base Costs'!A69</f>
        <v>ND1234</v>
      </c>
      <c r="B69" s="314" t="str">
        <f>'Base Costs'!B69</f>
        <v>Telecommunications Network Operation and Control System enhancement program</v>
      </c>
      <c r="C69" s="314" t="str">
        <f>'Base Costs'!C69</f>
        <v>Operational Support Systems</v>
      </c>
      <c r="D69" s="333" t="str">
        <f>'Base Costs'!D69</f>
        <v>2018/19</v>
      </c>
      <c r="E69" s="333">
        <f>'Base Costs'!E69</f>
        <v>18</v>
      </c>
      <c r="F69" s="315"/>
      <c r="G69" s="315"/>
      <c r="H69" s="316">
        <f>'Input Data Sheet'!J69</f>
        <v>1</v>
      </c>
      <c r="I69" s="316"/>
      <c r="J69" s="316"/>
      <c r="K69" s="316"/>
      <c r="L69" s="316"/>
      <c r="M69" s="316"/>
      <c r="N69" s="316"/>
      <c r="O69" s="287">
        <f t="shared" si="5"/>
        <v>1259402.390438247</v>
      </c>
      <c r="P69" s="320">
        <f>(1+Parameters!$AB$39)*'Cost+Escalation'!P69</f>
        <v>0</v>
      </c>
      <c r="Q69" s="287">
        <f>(1+Parameters!$AB$39)*'Cost+Escalation'!Q69</f>
        <v>0</v>
      </c>
      <c r="R69" s="341">
        <f>(1+Parameters!$AB$39)*'Cost+Escalation'!R69</f>
        <v>0</v>
      </c>
      <c r="S69" s="341">
        <f>(1+Parameters!$AB$39)*'Cost+Escalation'!S69</f>
        <v>629701.1952191235</v>
      </c>
      <c r="T69" s="341">
        <f>(1+Parameters!$AB$39)*'Cost+Escalation'!T69</f>
        <v>0</v>
      </c>
      <c r="U69" s="341">
        <f>(1+Parameters!$AB$39)*'Cost+Escalation'!U69</f>
        <v>0</v>
      </c>
      <c r="V69" s="341">
        <f>(1+Parameters!$AB$39)*'Cost+Escalation'!V69</f>
        <v>629701.1952191235</v>
      </c>
      <c r="W69" s="287">
        <f>(1+Parameters!$AB$39)*'Cost+Escalation'!W69</f>
        <v>0</v>
      </c>
      <c r="X69" s="321">
        <f>(1+Parameters!$AB$39)*'Cost+Escalation'!X69</f>
        <v>0</v>
      </c>
      <c r="Y69" s="287">
        <f t="shared" si="6"/>
        <v>0</v>
      </c>
      <c r="Z69" s="287">
        <f t="shared" si="6"/>
        <v>0</v>
      </c>
      <c r="AA69" s="341">
        <f t="shared" si="6"/>
        <v>0</v>
      </c>
      <c r="AB69" s="341">
        <f t="shared" si="6"/>
        <v>629701.1952191235</v>
      </c>
      <c r="AC69" s="341">
        <f t="shared" si="6"/>
        <v>0</v>
      </c>
      <c r="AD69" s="341">
        <f t="shared" si="6"/>
        <v>0</v>
      </c>
      <c r="AE69" s="341">
        <f t="shared" si="6"/>
        <v>629701.1952191235</v>
      </c>
      <c r="AF69" s="287">
        <f t="shared" si="6"/>
        <v>0</v>
      </c>
      <c r="AG69" s="287">
        <f t="shared" si="4"/>
        <v>0</v>
      </c>
      <c r="AH69" s="322">
        <f>IF($H69,0,IFERROR(IF(VALUE(LEFT(D69,4))&gt;VALUE(LEFT(Parameters!$B$66,4))+1,O69-SUM(R69:X69),0),0))</f>
        <v>0</v>
      </c>
    </row>
    <row r="70" spans="1:34" ht="12.75" x14ac:dyDescent="0.2">
      <c r="A70" s="313" t="str">
        <f>'Base Costs'!A70</f>
        <v>ND1230</v>
      </c>
      <c r="B70" s="314" t="str">
        <f>'Base Costs'!B70</f>
        <v>Telecommunications site infrastructure program</v>
      </c>
      <c r="C70" s="314" t="str">
        <f>'Base Costs'!C70</f>
        <v>Asset Renewal</v>
      </c>
      <c r="D70" s="333" t="str">
        <f>'Base Costs'!D70</f>
        <v>2018/19</v>
      </c>
      <c r="E70" s="333">
        <f>'Base Costs'!E70</f>
        <v>13</v>
      </c>
      <c r="F70" s="315"/>
      <c r="G70" s="315"/>
      <c r="H70" s="316">
        <f>'Input Data Sheet'!J70</f>
        <v>1</v>
      </c>
      <c r="I70" s="316"/>
      <c r="J70" s="316"/>
      <c r="K70" s="316"/>
      <c r="L70" s="316"/>
      <c r="M70" s="316"/>
      <c r="N70" s="316"/>
      <c r="O70" s="287">
        <f t="shared" si="5"/>
        <v>1910040.06936049</v>
      </c>
      <c r="P70" s="320">
        <f>(1+Parameters!$AB$39)*'Cost+Escalation'!P70</f>
        <v>0</v>
      </c>
      <c r="Q70" s="287">
        <f>(1+Parameters!$AB$39)*'Cost+Escalation'!Q70</f>
        <v>0</v>
      </c>
      <c r="R70" s="341">
        <f>(1+Parameters!$AB$39)*'Cost+Escalation'!R70</f>
        <v>488543.94802847638</v>
      </c>
      <c r="S70" s="341">
        <f>(1+Parameters!$AB$39)*'Cost+Escalation'!S70</f>
        <v>140760.3096632676</v>
      </c>
      <c r="T70" s="341">
        <f>(1+Parameters!$AB$39)*'Cost+Escalation'!T70</f>
        <v>753822.80013067892</v>
      </c>
      <c r="U70" s="341">
        <f>(1+Parameters!$AB$39)*'Cost+Escalation'!U70</f>
        <v>314221.20718524954</v>
      </c>
      <c r="V70" s="341">
        <f>(1+Parameters!$AB$39)*'Cost+Escalation'!V70</f>
        <v>212691.80435281747</v>
      </c>
      <c r="W70" s="287">
        <f>(1+Parameters!$AB$39)*'Cost+Escalation'!W70</f>
        <v>0</v>
      </c>
      <c r="X70" s="321">
        <f>(1+Parameters!$AB$39)*'Cost+Escalation'!X70</f>
        <v>0</v>
      </c>
      <c r="Y70" s="287">
        <f t="shared" si="6"/>
        <v>0</v>
      </c>
      <c r="Z70" s="287">
        <f t="shared" si="6"/>
        <v>0</v>
      </c>
      <c r="AA70" s="341">
        <f t="shared" si="6"/>
        <v>488543.94802847638</v>
      </c>
      <c r="AB70" s="341">
        <f t="shared" si="6"/>
        <v>140760.3096632676</v>
      </c>
      <c r="AC70" s="341">
        <f t="shared" si="6"/>
        <v>753822.80013067892</v>
      </c>
      <c r="AD70" s="341">
        <f t="shared" si="6"/>
        <v>314221.20718524954</v>
      </c>
      <c r="AE70" s="341">
        <f t="shared" si="6"/>
        <v>212691.80435281747</v>
      </c>
      <c r="AF70" s="287">
        <f t="shared" si="6"/>
        <v>0</v>
      </c>
      <c r="AG70" s="287">
        <f t="shared" si="4"/>
        <v>0</v>
      </c>
      <c r="AH70" s="322">
        <f>IF($H70,0,IFERROR(IF(VALUE(LEFT(D70,4))&gt;VALUE(LEFT(Parameters!$B$66,4))+1,O70-SUM(R70:X70),0),0))</f>
        <v>0</v>
      </c>
    </row>
    <row r="71" spans="1:34" ht="12.75" x14ac:dyDescent="0.2">
      <c r="A71" s="313" t="str">
        <f>'Base Costs'!A71</f>
        <v>ND1231</v>
      </c>
      <c r="B71" s="314" t="str">
        <f>'Base Costs'!B71</f>
        <v>Telecommunications telephone system program</v>
      </c>
      <c r="C71" s="314" t="str">
        <f>'Base Costs'!C71</f>
        <v>Asset Renewal</v>
      </c>
      <c r="D71" s="333" t="str">
        <f>'Base Costs'!D71</f>
        <v>2017/18</v>
      </c>
      <c r="E71" s="333">
        <f>'Base Costs'!E71</f>
        <v>13</v>
      </c>
      <c r="F71" s="315"/>
      <c r="G71" s="315"/>
      <c r="H71" s="316">
        <f>'Input Data Sheet'!J71</f>
        <v>1</v>
      </c>
      <c r="I71" s="316"/>
      <c r="J71" s="316"/>
      <c r="K71" s="316"/>
      <c r="L71" s="316"/>
      <c r="M71" s="316"/>
      <c r="N71" s="316"/>
      <c r="O71" s="287">
        <f t="shared" si="5"/>
        <v>1692563.8768590575</v>
      </c>
      <c r="P71" s="320">
        <f>(1+Parameters!$AB$39)*'Cost+Escalation'!P71</f>
        <v>0</v>
      </c>
      <c r="Q71" s="287">
        <f>(1+Parameters!$AB$39)*'Cost+Escalation'!Q71</f>
        <v>0</v>
      </c>
      <c r="R71" s="341">
        <f>(1+Parameters!$AB$39)*'Cost+Escalation'!R71</f>
        <v>0</v>
      </c>
      <c r="S71" s="341">
        <f>(1+Parameters!$AB$39)*'Cost+Escalation'!S71</f>
        <v>452479.28521039023</v>
      </c>
      <c r="T71" s="341">
        <f>(1+Parameters!$AB$39)*'Cost+Escalation'!T71</f>
        <v>441794.41716529976</v>
      </c>
      <c r="U71" s="341">
        <f>(1+Parameters!$AB$39)*'Cost+Escalation'!U71</f>
        <v>798290.17448336747</v>
      </c>
      <c r="V71" s="341">
        <f>(1+Parameters!$AB$39)*'Cost+Escalation'!V71</f>
        <v>0</v>
      </c>
      <c r="W71" s="287">
        <f>(1+Parameters!$AB$39)*'Cost+Escalation'!W71</f>
        <v>0</v>
      </c>
      <c r="X71" s="321">
        <f>(1+Parameters!$AB$39)*'Cost+Escalation'!X71</f>
        <v>0</v>
      </c>
      <c r="Y71" s="287">
        <f t="shared" si="6"/>
        <v>0</v>
      </c>
      <c r="Z71" s="287">
        <f t="shared" si="6"/>
        <v>0</v>
      </c>
      <c r="AA71" s="341">
        <f t="shared" si="6"/>
        <v>0</v>
      </c>
      <c r="AB71" s="341">
        <f t="shared" si="6"/>
        <v>452479.28521039023</v>
      </c>
      <c r="AC71" s="341">
        <f t="shared" si="6"/>
        <v>441794.41716529976</v>
      </c>
      <c r="AD71" s="341">
        <f t="shared" si="6"/>
        <v>798290.17448336747</v>
      </c>
      <c r="AE71" s="341">
        <f t="shared" si="6"/>
        <v>0</v>
      </c>
      <c r="AF71" s="287">
        <f t="shared" si="6"/>
        <v>0</v>
      </c>
      <c r="AG71" s="287">
        <f t="shared" si="4"/>
        <v>0</v>
      </c>
      <c r="AH71" s="322">
        <f>IF($H71,0,IFERROR(IF(VALUE(LEFT(D71,4))&gt;VALUE(LEFT(Parameters!$B$66,4))+1,O71-SUM(R71:X71),0),0))</f>
        <v>0</v>
      </c>
    </row>
    <row r="72" spans="1:34" ht="12.75" x14ac:dyDescent="0.2">
      <c r="A72" s="313" t="str">
        <f>'Base Costs'!A72</f>
        <v>ND1310</v>
      </c>
      <c r="B72" s="314" t="str">
        <f>'Base Costs'!B72</f>
        <v>Test equipment</v>
      </c>
      <c r="C72" s="314" t="str">
        <f>'Base Costs'!C72</f>
        <v>Inventory / Spares</v>
      </c>
      <c r="D72" s="333" t="str">
        <f>'Base Costs'!D72</f>
        <v>2018/19</v>
      </c>
      <c r="E72" s="333">
        <f>'Base Costs'!E72</f>
        <v>9</v>
      </c>
      <c r="F72" s="315"/>
      <c r="G72" s="315"/>
      <c r="H72" s="316">
        <f>'Input Data Sheet'!J72</f>
        <v>1</v>
      </c>
      <c r="I72" s="316"/>
      <c r="J72" s="316"/>
      <c r="K72" s="316"/>
      <c r="L72" s="316"/>
      <c r="M72" s="316"/>
      <c r="N72" s="316"/>
      <c r="O72" s="287">
        <f t="shared" si="5"/>
        <v>911879.13519104058</v>
      </c>
      <c r="P72" s="320">
        <f>(1+Parameters!$AB$39)*'Cost+Escalation'!P72</f>
        <v>0</v>
      </c>
      <c r="Q72" s="287">
        <f>(1+Parameters!$AB$39)*'Cost+Escalation'!Q72</f>
        <v>0</v>
      </c>
      <c r="R72" s="341">
        <f>(1+Parameters!$AB$39)*'Cost+Escalation'!R72</f>
        <v>178274.84452016905</v>
      </c>
      <c r="S72" s="341">
        <f>(1+Parameters!$AB$39)*'Cost+Escalation'!S72</f>
        <v>180052.12376565638</v>
      </c>
      <c r="T72" s="341">
        <f>(1+Parameters!$AB$39)*'Cost+Escalation'!T72</f>
        <v>182355.97316316277</v>
      </c>
      <c r="U72" s="341">
        <f>(1+Parameters!$AB$39)*'Cost+Escalation'!U72</f>
        <v>184584.35398832583</v>
      </c>
      <c r="V72" s="341">
        <f>(1+Parameters!$AB$39)*'Cost+Escalation'!V72</f>
        <v>186611.83975372664</v>
      </c>
      <c r="W72" s="287">
        <f>(1+Parameters!$AB$39)*'Cost+Escalation'!W72</f>
        <v>0</v>
      </c>
      <c r="X72" s="321">
        <f>(1+Parameters!$AB$39)*'Cost+Escalation'!X72</f>
        <v>0</v>
      </c>
      <c r="Y72" s="287">
        <f t="shared" si="6"/>
        <v>0</v>
      </c>
      <c r="Z72" s="287">
        <f t="shared" si="6"/>
        <v>0</v>
      </c>
      <c r="AA72" s="341">
        <f t="shared" si="6"/>
        <v>178274.84452016905</v>
      </c>
      <c r="AB72" s="341">
        <f t="shared" si="6"/>
        <v>180052.12376565638</v>
      </c>
      <c r="AC72" s="341">
        <f t="shared" si="6"/>
        <v>182355.97316316277</v>
      </c>
      <c r="AD72" s="341">
        <f t="shared" si="6"/>
        <v>184584.35398832583</v>
      </c>
      <c r="AE72" s="341">
        <f t="shared" si="6"/>
        <v>186611.83975372664</v>
      </c>
      <c r="AF72" s="287">
        <f t="shared" si="6"/>
        <v>0</v>
      </c>
      <c r="AG72" s="287">
        <f t="shared" si="4"/>
        <v>0</v>
      </c>
      <c r="AH72" s="322">
        <f>IF($H72,0,IFERROR(IF(VALUE(LEFT(D72,4))&gt;VALUE(LEFT(Parameters!$B$66,4))+1,O72-SUM(R72:X72),0),0))</f>
        <v>0</v>
      </c>
    </row>
    <row r="73" spans="1:34" ht="12.75" x14ac:dyDescent="0.2">
      <c r="A73" s="313" t="str">
        <f>'Base Costs'!A73</f>
        <v>ND1235</v>
      </c>
      <c r="B73" s="314" t="str">
        <f>'Base Costs'!B73</f>
        <v>Transformer protection renewal program</v>
      </c>
      <c r="C73" s="314" t="str">
        <f>'Base Costs'!C73</f>
        <v>Asset Renewal</v>
      </c>
      <c r="D73" s="333" t="str">
        <f>'Base Costs'!D73</f>
        <v>2017/18</v>
      </c>
      <c r="E73" s="333">
        <f>'Base Costs'!E73</f>
        <v>13</v>
      </c>
      <c r="F73" s="315"/>
      <c r="G73" s="315"/>
      <c r="H73" s="316">
        <f>'Input Data Sheet'!J73</f>
        <v>1</v>
      </c>
      <c r="I73" s="316"/>
      <c r="J73" s="316"/>
      <c r="K73" s="316"/>
      <c r="L73" s="316"/>
      <c r="M73" s="316"/>
      <c r="N73" s="316"/>
      <c r="O73" s="287">
        <f t="shared" si="5"/>
        <v>6478007.3496431243</v>
      </c>
      <c r="P73" s="320">
        <f>(1+Parameters!$AB$39)*'Cost+Escalation'!P73</f>
        <v>0</v>
      </c>
      <c r="Q73" s="287">
        <f>(1+Parameters!$AB$39)*'Cost+Escalation'!Q73</f>
        <v>0</v>
      </c>
      <c r="R73" s="341">
        <f>(1+Parameters!$AB$39)*'Cost+Escalation'!R73</f>
        <v>0</v>
      </c>
      <c r="S73" s="341">
        <f>(1+Parameters!$AB$39)*'Cost+Escalation'!S73</f>
        <v>833502.16619059106</v>
      </c>
      <c r="T73" s="341">
        <f>(1+Parameters!$AB$39)*'Cost+Escalation'!T73</f>
        <v>5578899.1843647221</v>
      </c>
      <c r="U73" s="341">
        <f>(1+Parameters!$AB$39)*'Cost+Escalation'!U73</f>
        <v>65605.999087811884</v>
      </c>
      <c r="V73" s="341">
        <f>(1+Parameters!$AB$39)*'Cost+Escalation'!V73</f>
        <v>0</v>
      </c>
      <c r="W73" s="287">
        <f>(1+Parameters!$AB$39)*'Cost+Escalation'!W73</f>
        <v>0</v>
      </c>
      <c r="X73" s="321">
        <f>(1+Parameters!$AB$39)*'Cost+Escalation'!X73</f>
        <v>0</v>
      </c>
      <c r="Y73" s="287">
        <f t="shared" si="6"/>
        <v>0</v>
      </c>
      <c r="Z73" s="287">
        <f t="shared" si="6"/>
        <v>0</v>
      </c>
      <c r="AA73" s="341">
        <f t="shared" si="6"/>
        <v>0</v>
      </c>
      <c r="AB73" s="341">
        <f t="shared" si="6"/>
        <v>833502.16619059106</v>
      </c>
      <c r="AC73" s="341">
        <f t="shared" si="6"/>
        <v>5578899.1843647221</v>
      </c>
      <c r="AD73" s="341">
        <f t="shared" si="6"/>
        <v>65605.999087811884</v>
      </c>
      <c r="AE73" s="341">
        <f t="shared" si="6"/>
        <v>0</v>
      </c>
      <c r="AF73" s="287">
        <f t="shared" si="6"/>
        <v>0</v>
      </c>
      <c r="AG73" s="287">
        <f t="shared" si="4"/>
        <v>0</v>
      </c>
      <c r="AH73" s="322">
        <f>IF($H73,0,IFERROR(IF(VALUE(LEFT(D73,4))&gt;VALUE(LEFT(Parameters!$B$66,4))+1,O73-SUM(R73:X73),0),0))</f>
        <v>0</v>
      </c>
    </row>
    <row r="74" spans="1:34" ht="12.75" x14ac:dyDescent="0.2">
      <c r="A74" s="313" t="str">
        <f>'Base Costs'!A74</f>
        <v>ND0925</v>
      </c>
      <c r="B74" s="314" t="str">
        <f>'Base Costs'!B74</f>
        <v>Transmission line access track renewal program</v>
      </c>
      <c r="C74" s="314" t="str">
        <f>'Base Costs'!C74</f>
        <v>Physical Security / Compliance</v>
      </c>
      <c r="D74" s="333" t="str">
        <f>'Base Costs'!D74</f>
        <v>2018/19</v>
      </c>
      <c r="E74" s="333">
        <f>'Base Costs'!E74</f>
        <v>6</v>
      </c>
      <c r="F74" s="315"/>
      <c r="G74" s="315"/>
      <c r="H74" s="316">
        <f>'Input Data Sheet'!J74</f>
        <v>1</v>
      </c>
      <c r="I74" s="316"/>
      <c r="J74" s="316"/>
      <c r="K74" s="316"/>
      <c r="L74" s="316"/>
      <c r="M74" s="316"/>
      <c r="N74" s="316"/>
      <c r="O74" s="287">
        <f t="shared" si="5"/>
        <v>4194122.7393542775</v>
      </c>
      <c r="P74" s="320">
        <f>(1+Parameters!$AB$39)*'Cost+Escalation'!P74</f>
        <v>0</v>
      </c>
      <c r="Q74" s="287">
        <f>(1+Parameters!$AB$39)*'Cost+Escalation'!Q74</f>
        <v>0</v>
      </c>
      <c r="R74" s="341">
        <f>(1+Parameters!$AB$39)*'Cost+Escalation'!R74</f>
        <v>817524.67662972864</v>
      </c>
      <c r="S74" s="341">
        <f>(1+Parameters!$AB$39)*'Cost+Escalation'!S74</f>
        <v>827850.97888100438</v>
      </c>
      <c r="T74" s="341">
        <f>(1+Parameters!$AB$39)*'Cost+Escalation'!T74</f>
        <v>839222.06572596671</v>
      </c>
      <c r="U74" s="341">
        <f>(1+Parameters!$AB$39)*'Cost+Escalation'!U74</f>
        <v>850045.34745182551</v>
      </c>
      <c r="V74" s="341">
        <f>(1+Parameters!$AB$39)*'Cost+Escalation'!V74</f>
        <v>859479.67066575214</v>
      </c>
      <c r="W74" s="287">
        <f>(1+Parameters!$AB$39)*'Cost+Escalation'!W74</f>
        <v>0</v>
      </c>
      <c r="X74" s="321">
        <f>(1+Parameters!$AB$39)*'Cost+Escalation'!X74</f>
        <v>0</v>
      </c>
      <c r="Y74" s="287">
        <f t="shared" si="6"/>
        <v>0</v>
      </c>
      <c r="Z74" s="287">
        <f t="shared" si="6"/>
        <v>0</v>
      </c>
      <c r="AA74" s="341">
        <f t="shared" si="6"/>
        <v>817524.67662972864</v>
      </c>
      <c r="AB74" s="341">
        <f t="shared" si="6"/>
        <v>827850.97888100438</v>
      </c>
      <c r="AC74" s="341">
        <f t="shared" si="6"/>
        <v>839222.06572596671</v>
      </c>
      <c r="AD74" s="341">
        <f t="shared" si="6"/>
        <v>850045.34745182551</v>
      </c>
      <c r="AE74" s="341">
        <f t="shared" si="6"/>
        <v>859479.67066575214</v>
      </c>
      <c r="AF74" s="287">
        <f t="shared" si="6"/>
        <v>0</v>
      </c>
      <c r="AG74" s="287">
        <f t="shared" si="4"/>
        <v>0</v>
      </c>
      <c r="AH74" s="322">
        <f>IF($H74,0,IFERROR(IF(VALUE(LEFT(D74,4))&gt;VALUE(LEFT(Parameters!$B$66,4))+1,O74-SUM(R74:X74),0),0))</f>
        <v>0</v>
      </c>
    </row>
    <row r="75" spans="1:34" ht="12.75" x14ac:dyDescent="0.2">
      <c r="A75" s="313" t="str">
        <f>'Base Costs'!A75</f>
        <v>ND1244</v>
      </c>
      <c r="B75" s="314" t="str">
        <f>'Base Costs'!B75</f>
        <v>Transmission line access track security system compliance program</v>
      </c>
      <c r="C75" s="314" t="str">
        <f>'Base Costs'!C75</f>
        <v>Physical Security / Compliance</v>
      </c>
      <c r="D75" s="333" t="str">
        <f>'Base Costs'!D75</f>
        <v>2018/19</v>
      </c>
      <c r="E75" s="333">
        <f>'Base Costs'!E75</f>
        <v>6</v>
      </c>
      <c r="F75" s="315"/>
      <c r="G75" s="315"/>
      <c r="H75" s="316">
        <f>'Input Data Sheet'!J75</f>
        <v>1</v>
      </c>
      <c r="I75" s="316"/>
      <c r="J75" s="316"/>
      <c r="K75" s="316"/>
      <c r="L75" s="316"/>
      <c r="M75" s="316"/>
      <c r="N75" s="316"/>
      <c r="O75" s="287">
        <f t="shared" si="5"/>
        <v>692398.49491915386</v>
      </c>
      <c r="P75" s="320">
        <f>(1+Parameters!$AB$39)*'Cost+Escalation'!P75</f>
        <v>0</v>
      </c>
      <c r="Q75" s="287">
        <f>(1+Parameters!$AB$39)*'Cost+Escalation'!Q75</f>
        <v>0</v>
      </c>
      <c r="R75" s="341">
        <f>(1+Parameters!$AB$39)*'Cost+Escalation'!R75</f>
        <v>67268.161514386258</v>
      </c>
      <c r="S75" s="341">
        <f>(1+Parameters!$AB$39)*'Cost+Escalation'!S75</f>
        <v>153265.13515196627</v>
      </c>
      <c r="T75" s="341">
        <f>(1+Parameters!$AB$39)*'Cost+Escalation'!T75</f>
        <v>155370.33428390863</v>
      </c>
      <c r="U75" s="341">
        <f>(1+Parameters!$AB$39)*'Cost+Escalation'!U75</f>
        <v>157374.11489034549</v>
      </c>
      <c r="V75" s="341">
        <f>(1+Parameters!$AB$39)*'Cost+Escalation'!V75</f>
        <v>159120.7490785472</v>
      </c>
      <c r="W75" s="287">
        <f>(1+Parameters!$AB$39)*'Cost+Escalation'!W75</f>
        <v>0</v>
      </c>
      <c r="X75" s="321">
        <f>(1+Parameters!$AB$39)*'Cost+Escalation'!X75</f>
        <v>0</v>
      </c>
      <c r="Y75" s="287">
        <f t="shared" si="6"/>
        <v>0</v>
      </c>
      <c r="Z75" s="287">
        <f t="shared" si="6"/>
        <v>0</v>
      </c>
      <c r="AA75" s="341">
        <f t="shared" si="6"/>
        <v>67268.161514386258</v>
      </c>
      <c r="AB75" s="341">
        <f t="shared" si="6"/>
        <v>153265.13515196627</v>
      </c>
      <c r="AC75" s="341">
        <f t="shared" si="6"/>
        <v>155370.33428390863</v>
      </c>
      <c r="AD75" s="341">
        <f t="shared" si="6"/>
        <v>157374.11489034549</v>
      </c>
      <c r="AE75" s="341">
        <f t="shared" si="6"/>
        <v>159120.7490785472</v>
      </c>
      <c r="AF75" s="287">
        <f t="shared" si="6"/>
        <v>0</v>
      </c>
      <c r="AG75" s="287">
        <f t="shared" si="4"/>
        <v>0</v>
      </c>
      <c r="AH75" s="322">
        <f>IF($H75,0,IFERROR(IF(VALUE(LEFT(D75,4))&gt;VALUE(LEFT(Parameters!$B$66,4))+1,O75-SUM(R75:X75),0),0))</f>
        <v>0</v>
      </c>
    </row>
    <row r="76" spans="1:34" ht="12.75" x14ac:dyDescent="0.2">
      <c r="A76" s="313" t="str">
        <f>'Base Costs'!A76</f>
        <v>ND1238</v>
      </c>
      <c r="B76" s="314" t="str">
        <f>'Base Costs'!B76</f>
        <v>Transmission line anode renewal program</v>
      </c>
      <c r="C76" s="314" t="str">
        <f>'Base Costs'!C76</f>
        <v>Asset Renewal</v>
      </c>
      <c r="D76" s="333" t="str">
        <f>'Base Costs'!D76</f>
        <v>2018/19</v>
      </c>
      <c r="E76" s="333">
        <f>'Base Costs'!E76</f>
        <v>15</v>
      </c>
      <c r="F76" s="315"/>
      <c r="G76" s="315"/>
      <c r="H76" s="316">
        <f>'Input Data Sheet'!J76</f>
        <v>1</v>
      </c>
      <c r="I76" s="316"/>
      <c r="J76" s="316"/>
      <c r="K76" s="316"/>
      <c r="L76" s="316"/>
      <c r="M76" s="316"/>
      <c r="N76" s="316"/>
      <c r="O76" s="287">
        <f t="shared" si="5"/>
        <v>4351989.6665196121</v>
      </c>
      <c r="P76" s="320">
        <f>(1+Parameters!$AB$39)*'Cost+Escalation'!P76</f>
        <v>0</v>
      </c>
      <c r="Q76" s="287">
        <f>(1+Parameters!$AB$39)*'Cost+Escalation'!Q76</f>
        <v>0</v>
      </c>
      <c r="R76" s="341">
        <f>(1+Parameters!$AB$39)*'Cost+Escalation'!R76</f>
        <v>389883.93578390183</v>
      </c>
      <c r="S76" s="341">
        <f>(1+Parameters!$AB$39)*'Cost+Escalation'!S76</f>
        <v>919346.32057844044</v>
      </c>
      <c r="T76" s="341">
        <f>(1+Parameters!$AB$39)*'Cost+Escalation'!T76</f>
        <v>964393.85208538768</v>
      </c>
      <c r="U76" s="341">
        <f>(1+Parameters!$AB$39)*'Cost+Escalation'!U76</f>
        <v>1013095.6268615461</v>
      </c>
      <c r="V76" s="341">
        <f>(1+Parameters!$AB$39)*'Cost+Escalation'!V76</f>
        <v>1065269.931210336</v>
      </c>
      <c r="W76" s="287">
        <f>(1+Parameters!$AB$39)*'Cost+Escalation'!W76</f>
        <v>0</v>
      </c>
      <c r="X76" s="321">
        <f>(1+Parameters!$AB$39)*'Cost+Escalation'!X76</f>
        <v>0</v>
      </c>
      <c r="Y76" s="287">
        <f t="shared" si="6"/>
        <v>0</v>
      </c>
      <c r="Z76" s="287">
        <f t="shared" si="6"/>
        <v>0</v>
      </c>
      <c r="AA76" s="341">
        <f t="shared" si="6"/>
        <v>389883.93578390183</v>
      </c>
      <c r="AB76" s="341">
        <f t="shared" si="6"/>
        <v>919346.32057844044</v>
      </c>
      <c r="AC76" s="341">
        <f t="shared" si="6"/>
        <v>964393.85208538768</v>
      </c>
      <c r="AD76" s="341">
        <f t="shared" si="6"/>
        <v>1013095.6268615461</v>
      </c>
      <c r="AE76" s="341">
        <f t="shared" si="6"/>
        <v>1065269.931210336</v>
      </c>
      <c r="AF76" s="287">
        <f t="shared" si="6"/>
        <v>0</v>
      </c>
      <c r="AG76" s="287">
        <f t="shared" si="4"/>
        <v>0</v>
      </c>
      <c r="AH76" s="322">
        <f>IF($H76,0,IFERROR(IF(VALUE(LEFT(D76,4))&gt;VALUE(LEFT(Parameters!$B$66,4))+1,O76-SUM(R76:X76),0),0))</f>
        <v>0</v>
      </c>
    </row>
    <row r="77" spans="1:34" ht="12.75" x14ac:dyDescent="0.2">
      <c r="A77" s="313" t="str">
        <f>'Base Costs'!A77</f>
        <v>ND0928</v>
      </c>
      <c r="B77" s="314" t="str">
        <f>'Base Costs'!B77</f>
        <v>Transmission line conductor assembly renewal program</v>
      </c>
      <c r="C77" s="314" t="str">
        <f>'Base Costs'!C77</f>
        <v>Asset Renewal</v>
      </c>
      <c r="D77" s="333" t="str">
        <f>'Base Costs'!D77</f>
        <v>2018/19</v>
      </c>
      <c r="E77" s="333">
        <f>'Base Costs'!E77</f>
        <v>6</v>
      </c>
      <c r="F77" s="315"/>
      <c r="G77" s="315"/>
      <c r="H77" s="316">
        <f>'Input Data Sheet'!J77</f>
        <v>1</v>
      </c>
      <c r="I77" s="316"/>
      <c r="J77" s="316"/>
      <c r="K77" s="316"/>
      <c r="L77" s="316"/>
      <c r="M77" s="316"/>
      <c r="N77" s="316"/>
      <c r="O77" s="287">
        <f t="shared" si="5"/>
        <v>4874934.5275788978</v>
      </c>
      <c r="P77" s="320">
        <f>(1+Parameters!$AB$39)*'Cost+Escalation'!P77</f>
        <v>0</v>
      </c>
      <c r="Q77" s="287">
        <f>(1+Parameters!$AB$39)*'Cost+Escalation'!Q77</f>
        <v>0</v>
      </c>
      <c r="R77" s="341">
        <f>(1+Parameters!$AB$39)*'Cost+Escalation'!R77</f>
        <v>473611.49046334258</v>
      </c>
      <c r="S77" s="341">
        <f>(1+Parameters!$AB$39)*'Cost+Escalation'!S77</f>
        <v>1079085.9666926437</v>
      </c>
      <c r="T77" s="341">
        <f>(1+Parameters!$AB$39)*'Cost+Escalation'!T77</f>
        <v>1093907.9341160897</v>
      </c>
      <c r="U77" s="341">
        <f>(1+Parameters!$AB$39)*'Cost+Escalation'!U77</f>
        <v>1108015.849334988</v>
      </c>
      <c r="V77" s="341">
        <f>(1+Parameters!$AB$39)*'Cost+Escalation'!V77</f>
        <v>1120313.2869718338</v>
      </c>
      <c r="W77" s="287">
        <f>(1+Parameters!$AB$39)*'Cost+Escalation'!W77</f>
        <v>0</v>
      </c>
      <c r="X77" s="321">
        <f>(1+Parameters!$AB$39)*'Cost+Escalation'!X77</f>
        <v>0</v>
      </c>
      <c r="Y77" s="287">
        <f t="shared" si="6"/>
        <v>0</v>
      </c>
      <c r="Z77" s="287">
        <f t="shared" si="6"/>
        <v>0</v>
      </c>
      <c r="AA77" s="341">
        <f t="shared" si="6"/>
        <v>473611.49046334258</v>
      </c>
      <c r="AB77" s="341">
        <f t="shared" si="6"/>
        <v>1079085.9666926437</v>
      </c>
      <c r="AC77" s="341">
        <f t="shared" si="6"/>
        <v>1093907.9341160897</v>
      </c>
      <c r="AD77" s="341">
        <f t="shared" si="6"/>
        <v>1108015.849334988</v>
      </c>
      <c r="AE77" s="341">
        <f t="shared" si="6"/>
        <v>1120313.2869718338</v>
      </c>
      <c r="AF77" s="287">
        <f t="shared" si="6"/>
        <v>0</v>
      </c>
      <c r="AG77" s="287">
        <f t="shared" si="4"/>
        <v>0</v>
      </c>
      <c r="AH77" s="322">
        <f>IF($H77,0,IFERROR(IF(VALUE(LEFT(D77,4))&gt;VALUE(LEFT(Parameters!$B$66,4))+1,O77-SUM(R77:X77),0),0))</f>
        <v>0</v>
      </c>
    </row>
    <row r="78" spans="1:34" ht="12.75" x14ac:dyDescent="0.2">
      <c r="A78" s="313" t="str">
        <f>'Base Costs'!A78</f>
        <v>ND1239</v>
      </c>
      <c r="B78" s="314" t="str">
        <f>'Base Costs'!B78</f>
        <v>Transmission line fall arrest system installation program</v>
      </c>
      <c r="C78" s="314" t="str">
        <f>'Base Costs'!C78</f>
        <v>Physical Security / Compliance</v>
      </c>
      <c r="D78" s="333" t="str">
        <f>'Base Costs'!D78</f>
        <v>2018/19</v>
      </c>
      <c r="E78" s="333">
        <f>'Base Costs'!E78</f>
        <v>6</v>
      </c>
      <c r="F78" s="315"/>
      <c r="G78" s="315"/>
      <c r="H78" s="316">
        <f>'Input Data Sheet'!J78</f>
        <v>1</v>
      </c>
      <c r="I78" s="316"/>
      <c r="J78" s="316"/>
      <c r="K78" s="316"/>
      <c r="L78" s="316"/>
      <c r="M78" s="316"/>
      <c r="N78" s="316"/>
      <c r="O78" s="287">
        <f t="shared" si="5"/>
        <v>965445.07583936059</v>
      </c>
      <c r="P78" s="320">
        <f>(1+Parameters!$AB$39)*'Cost+Escalation'!P78</f>
        <v>0</v>
      </c>
      <c r="Q78" s="287">
        <f>(1+Parameters!$AB$39)*'Cost+Escalation'!Q78</f>
        <v>0</v>
      </c>
      <c r="R78" s="341">
        <f>(1+Parameters!$AB$39)*'Cost+Escalation'!R78</f>
        <v>93795.286632467309</v>
      </c>
      <c r="S78" s="341">
        <f>(1+Parameters!$AB$39)*'Cost+Escalation'!S78</f>
        <v>213705.07174137802</v>
      </c>
      <c r="T78" s="341">
        <f>(1+Parameters!$AB$39)*'Cost+Escalation'!T78</f>
        <v>216640.45382338605</v>
      </c>
      <c r="U78" s="341">
        <f>(1+Parameters!$AB$39)*'Cost+Escalation'!U78</f>
        <v>219434.4230964891</v>
      </c>
      <c r="V78" s="341">
        <f>(1+Parameters!$AB$39)*'Cost+Escalation'!V78</f>
        <v>221869.84054564009</v>
      </c>
      <c r="W78" s="287">
        <f>(1+Parameters!$AB$39)*'Cost+Escalation'!W78</f>
        <v>0</v>
      </c>
      <c r="X78" s="321">
        <f>(1+Parameters!$AB$39)*'Cost+Escalation'!X78</f>
        <v>0</v>
      </c>
      <c r="Y78" s="287">
        <f t="shared" si="6"/>
        <v>0</v>
      </c>
      <c r="Z78" s="287">
        <f t="shared" si="6"/>
        <v>0</v>
      </c>
      <c r="AA78" s="341">
        <f t="shared" si="6"/>
        <v>93795.286632467309</v>
      </c>
      <c r="AB78" s="341">
        <f t="shared" si="6"/>
        <v>213705.07174137802</v>
      </c>
      <c r="AC78" s="341">
        <f t="shared" si="6"/>
        <v>216640.45382338605</v>
      </c>
      <c r="AD78" s="341">
        <f t="shared" si="6"/>
        <v>219434.4230964891</v>
      </c>
      <c r="AE78" s="341">
        <f t="shared" si="6"/>
        <v>221869.84054564009</v>
      </c>
      <c r="AF78" s="287">
        <f t="shared" si="6"/>
        <v>0</v>
      </c>
      <c r="AG78" s="287">
        <f t="shared" si="4"/>
        <v>0</v>
      </c>
      <c r="AH78" s="322">
        <f>IF($H78,0,IFERROR(IF(VALUE(LEFT(D78,4))&gt;VALUE(LEFT(Parameters!$B$66,4))+1,O78-SUM(R78:X78),0),0))</f>
        <v>0</v>
      </c>
    </row>
    <row r="79" spans="1:34" ht="12.75" x14ac:dyDescent="0.2">
      <c r="A79" s="313" t="str">
        <f>'Base Costs'!A79</f>
        <v>ND0929</v>
      </c>
      <c r="B79" s="314" t="str">
        <f>'Base Costs'!B79</f>
        <v>Transmission line foundation renewal program</v>
      </c>
      <c r="C79" s="314" t="str">
        <f>'Base Costs'!C79</f>
        <v>Asset Renewal</v>
      </c>
      <c r="D79" s="333" t="str">
        <f>'Base Costs'!D79</f>
        <v>2018/19</v>
      </c>
      <c r="E79" s="333">
        <f>'Base Costs'!E79</f>
        <v>6</v>
      </c>
      <c r="F79" s="315"/>
      <c r="G79" s="315"/>
      <c r="H79" s="316">
        <f>'Input Data Sheet'!J79</f>
        <v>1</v>
      </c>
      <c r="I79" s="316"/>
      <c r="J79" s="316"/>
      <c r="K79" s="316"/>
      <c r="L79" s="316"/>
      <c r="M79" s="316"/>
      <c r="N79" s="316"/>
      <c r="O79" s="287">
        <f t="shared" si="5"/>
        <v>4996066.2701691436</v>
      </c>
      <c r="P79" s="320">
        <f>(1+Parameters!$AB$39)*'Cost+Escalation'!P79</f>
        <v>0</v>
      </c>
      <c r="Q79" s="287">
        <f>(1+Parameters!$AB$39)*'Cost+Escalation'!Q79</f>
        <v>0</v>
      </c>
      <c r="R79" s="341">
        <f>(1+Parameters!$AB$39)*'Cost+Escalation'!R79</f>
        <v>485379.72751884215</v>
      </c>
      <c r="S79" s="341">
        <f>(1+Parameters!$AB$39)*'Cost+Escalation'!S79</f>
        <v>1105898.9552180665</v>
      </c>
      <c r="T79" s="341">
        <f>(1+Parameters!$AB$39)*'Cost+Escalation'!T79</f>
        <v>1121089.216970895</v>
      </c>
      <c r="U79" s="341">
        <f>(1+Parameters!$AB$39)*'Cost+Escalation'!U79</f>
        <v>1135547.6838423565</v>
      </c>
      <c r="V79" s="341">
        <f>(1+Parameters!$AB$39)*'Cost+Escalation'!V79</f>
        <v>1148150.686618984</v>
      </c>
      <c r="W79" s="287">
        <f>(1+Parameters!$AB$39)*'Cost+Escalation'!W79</f>
        <v>0</v>
      </c>
      <c r="X79" s="321">
        <f>(1+Parameters!$AB$39)*'Cost+Escalation'!X79</f>
        <v>0</v>
      </c>
      <c r="Y79" s="287">
        <f t="shared" si="6"/>
        <v>0</v>
      </c>
      <c r="Z79" s="287">
        <f t="shared" si="6"/>
        <v>0</v>
      </c>
      <c r="AA79" s="341">
        <f t="shared" si="6"/>
        <v>485379.72751884215</v>
      </c>
      <c r="AB79" s="341">
        <f t="shared" si="6"/>
        <v>1105898.9552180665</v>
      </c>
      <c r="AC79" s="341">
        <f t="shared" si="6"/>
        <v>1121089.216970895</v>
      </c>
      <c r="AD79" s="341">
        <f t="shared" si="6"/>
        <v>1135547.6838423565</v>
      </c>
      <c r="AE79" s="341">
        <f t="shared" si="6"/>
        <v>1148150.686618984</v>
      </c>
      <c r="AF79" s="287">
        <f t="shared" si="6"/>
        <v>0</v>
      </c>
      <c r="AG79" s="287">
        <f t="shared" si="4"/>
        <v>0</v>
      </c>
      <c r="AH79" s="322">
        <f>IF($H79,0,IFERROR(IF(VALUE(LEFT(D79,4))&gt;VALUE(LEFT(Parameters!$B$66,4))+1,O79-SUM(R79:X79),0),0))</f>
        <v>0</v>
      </c>
    </row>
    <row r="80" spans="1:34" ht="12.75" x14ac:dyDescent="0.2">
      <c r="A80" s="313" t="str">
        <f>'Base Costs'!A80</f>
        <v>ND0924</v>
      </c>
      <c r="B80" s="314" t="str">
        <f>'Base Costs'!B80</f>
        <v>Transmission line insulator assembly renewal program</v>
      </c>
      <c r="C80" s="314" t="str">
        <f>'Base Costs'!C80</f>
        <v>Asset Renewal</v>
      </c>
      <c r="D80" s="333" t="str">
        <f>'Base Costs'!D80</f>
        <v>2018/19</v>
      </c>
      <c r="E80" s="333">
        <f>'Base Costs'!E80</f>
        <v>6</v>
      </c>
      <c r="F80" s="315"/>
      <c r="G80" s="315"/>
      <c r="H80" s="316">
        <f>'Input Data Sheet'!J80</f>
        <v>1</v>
      </c>
      <c r="I80" s="316"/>
      <c r="J80" s="316"/>
      <c r="K80" s="316"/>
      <c r="L80" s="316"/>
      <c r="M80" s="316"/>
      <c r="N80" s="316"/>
      <c r="O80" s="287">
        <f t="shared" si="5"/>
        <v>13248004.617773356</v>
      </c>
      <c r="P80" s="320">
        <f>(1+Parameters!$AB$39)*'Cost+Escalation'!P80</f>
        <v>0</v>
      </c>
      <c r="Q80" s="287">
        <f>(1+Parameters!$AB$39)*'Cost+Escalation'!Q80</f>
        <v>0</v>
      </c>
      <c r="R80" s="341">
        <f>(1+Parameters!$AB$39)*'Cost+Escalation'!R80</f>
        <v>1287075.1755111313</v>
      </c>
      <c r="S80" s="341">
        <f>(1+Parameters!$AB$39)*'Cost+Escalation'!S80</f>
        <v>2932498.0240951967</v>
      </c>
      <c r="T80" s="341">
        <f>(1+Parameters!$AB$39)*'Cost+Escalation'!T80</f>
        <v>2972777.8456516564</v>
      </c>
      <c r="U80" s="341">
        <f>(1+Parameters!$AB$39)*'Cost+Escalation'!U80</f>
        <v>3011117.1761410735</v>
      </c>
      <c r="V80" s="341">
        <f>(1+Parameters!$AB$39)*'Cost+Escalation'!V80</f>
        <v>3044536.3963742987</v>
      </c>
      <c r="W80" s="287">
        <f>(1+Parameters!$AB$39)*'Cost+Escalation'!W80</f>
        <v>0</v>
      </c>
      <c r="X80" s="321">
        <f>(1+Parameters!$AB$39)*'Cost+Escalation'!X80</f>
        <v>0</v>
      </c>
      <c r="Y80" s="287">
        <f t="shared" si="6"/>
        <v>0</v>
      </c>
      <c r="Z80" s="287">
        <f t="shared" si="6"/>
        <v>0</v>
      </c>
      <c r="AA80" s="341">
        <f t="shared" si="6"/>
        <v>1287075.1755111313</v>
      </c>
      <c r="AB80" s="341">
        <f t="shared" si="6"/>
        <v>2932498.0240951967</v>
      </c>
      <c r="AC80" s="341">
        <f t="shared" si="6"/>
        <v>2972777.8456516564</v>
      </c>
      <c r="AD80" s="341">
        <f t="shared" si="6"/>
        <v>3011117.1761410735</v>
      </c>
      <c r="AE80" s="341">
        <f t="shared" si="6"/>
        <v>3044536.3963742987</v>
      </c>
      <c r="AF80" s="287">
        <f t="shared" si="6"/>
        <v>0</v>
      </c>
      <c r="AG80" s="287">
        <f t="shared" si="4"/>
        <v>0</v>
      </c>
      <c r="AH80" s="322">
        <f>IF($H80,0,IFERROR(IF(VALUE(LEFT(D80,4))&gt;VALUE(LEFT(Parameters!$B$66,4))+1,O80-SUM(R80:X80),0),0))</f>
        <v>0</v>
      </c>
    </row>
    <row r="81" spans="1:34" ht="12.75" x14ac:dyDescent="0.2">
      <c r="A81" s="313" t="str">
        <f>'Base Costs'!A81</f>
        <v>ND1242</v>
      </c>
      <c r="B81" s="314" t="str">
        <f>'Base Costs'!B81</f>
        <v>Transmission line K-pole renewal program</v>
      </c>
      <c r="C81" s="314" t="str">
        <f>'Base Costs'!C81</f>
        <v>Asset Renewal</v>
      </c>
      <c r="D81" s="333" t="str">
        <f>'Base Costs'!D81</f>
        <v>2015/16</v>
      </c>
      <c r="E81" s="333">
        <f>'Base Costs'!E81</f>
        <v>6</v>
      </c>
      <c r="F81" s="315"/>
      <c r="G81" s="315"/>
      <c r="H81" s="316">
        <f>'Input Data Sheet'!J81</f>
        <v>1</v>
      </c>
      <c r="I81" s="316"/>
      <c r="J81" s="316"/>
      <c r="K81" s="316"/>
      <c r="L81" s="316"/>
      <c r="M81" s="316"/>
      <c r="N81" s="316"/>
      <c r="O81" s="287">
        <f t="shared" si="5"/>
        <v>5847863.1336288638</v>
      </c>
      <c r="P81" s="320">
        <f>(1+Parameters!$AB$39)*'Cost+Escalation'!P81</f>
        <v>0</v>
      </c>
      <c r="Q81" s="287">
        <f>(1+Parameters!$AB$39)*'Cost+Escalation'!Q81</f>
        <v>0</v>
      </c>
      <c r="R81" s="341">
        <f>(1+Parameters!$AB$39)*'Cost+Escalation'!R81</f>
        <v>2791836.9531750591</v>
      </c>
      <c r="S81" s="341">
        <f>(1+Parameters!$AB$39)*'Cost+Escalation'!S81</f>
        <v>3056026.1804538053</v>
      </c>
      <c r="T81" s="341">
        <f>(1+Parameters!$AB$39)*'Cost+Escalation'!T81</f>
        <v>0</v>
      </c>
      <c r="U81" s="341">
        <f>(1+Parameters!$AB$39)*'Cost+Escalation'!U81</f>
        <v>0</v>
      </c>
      <c r="V81" s="341">
        <f>(1+Parameters!$AB$39)*'Cost+Escalation'!V81</f>
        <v>0</v>
      </c>
      <c r="W81" s="287">
        <f>(1+Parameters!$AB$39)*'Cost+Escalation'!W81</f>
        <v>0</v>
      </c>
      <c r="X81" s="321">
        <f>(1+Parameters!$AB$39)*'Cost+Escalation'!X81</f>
        <v>0</v>
      </c>
      <c r="Y81" s="287">
        <f t="shared" si="6"/>
        <v>0</v>
      </c>
      <c r="Z81" s="287">
        <f t="shared" si="6"/>
        <v>0</v>
      </c>
      <c r="AA81" s="341">
        <f t="shared" si="6"/>
        <v>2791836.9531750591</v>
      </c>
      <c r="AB81" s="341">
        <f t="shared" si="6"/>
        <v>3056026.1804538053</v>
      </c>
      <c r="AC81" s="341">
        <f t="shared" si="6"/>
        <v>0</v>
      </c>
      <c r="AD81" s="341">
        <f t="shared" si="6"/>
        <v>0</v>
      </c>
      <c r="AE81" s="341">
        <f t="shared" si="6"/>
        <v>0</v>
      </c>
      <c r="AF81" s="287">
        <f t="shared" si="6"/>
        <v>0</v>
      </c>
      <c r="AG81" s="287">
        <f t="shared" si="4"/>
        <v>0</v>
      </c>
      <c r="AH81" s="322">
        <f>IF($H81,0,IFERROR(IF(VALUE(LEFT(D81,4))&gt;VALUE(LEFT(Parameters!$B$66,4))+1,O81-SUM(R81:X81),0),0))</f>
        <v>0</v>
      </c>
    </row>
    <row r="82" spans="1:34" ht="12.75" x14ac:dyDescent="0.2">
      <c r="A82" s="313" t="str">
        <f>'Base Costs'!A82</f>
        <v>ND1243</v>
      </c>
      <c r="B82" s="314" t="str">
        <f>'Base Costs'!B82</f>
        <v>Transmission line light detection and ranging program</v>
      </c>
      <c r="C82" s="314" t="str">
        <f>'Base Costs'!C82</f>
        <v>Operational Support Systems</v>
      </c>
      <c r="D82" s="333" t="str">
        <f>'Base Costs'!D82</f>
        <v>2014/15</v>
      </c>
      <c r="E82" s="333">
        <f>'Base Costs'!E82</f>
        <v>15</v>
      </c>
      <c r="F82" s="315"/>
      <c r="G82" s="315"/>
      <c r="H82" s="316">
        <f>'Input Data Sheet'!J82</f>
        <v>1</v>
      </c>
      <c r="I82" s="316"/>
      <c r="J82" s="316"/>
      <c r="K82" s="316"/>
      <c r="L82" s="316"/>
      <c r="M82" s="316"/>
      <c r="N82" s="316"/>
      <c r="O82" s="287">
        <f t="shared" si="5"/>
        <v>1538742.6521447445</v>
      </c>
      <c r="P82" s="320">
        <f>(1+Parameters!$AB$39)*'Cost+Escalation'!P82</f>
        <v>0</v>
      </c>
      <c r="Q82" s="287">
        <f>(1+Parameters!$AB$39)*'Cost+Escalation'!Q82</f>
        <v>34047.719825552369</v>
      </c>
      <c r="R82" s="341">
        <f>(1+Parameters!$AB$39)*'Cost+Escalation'!R82</f>
        <v>1504694.9323191922</v>
      </c>
      <c r="S82" s="341">
        <f>(1+Parameters!$AB$39)*'Cost+Escalation'!S82</f>
        <v>0</v>
      </c>
      <c r="T82" s="341">
        <f>(1+Parameters!$AB$39)*'Cost+Escalation'!T82</f>
        <v>0</v>
      </c>
      <c r="U82" s="341">
        <f>(1+Parameters!$AB$39)*'Cost+Escalation'!U82</f>
        <v>0</v>
      </c>
      <c r="V82" s="341">
        <f>(1+Parameters!$AB$39)*'Cost+Escalation'!V82</f>
        <v>0</v>
      </c>
      <c r="W82" s="287">
        <f>(1+Parameters!$AB$39)*'Cost+Escalation'!W82</f>
        <v>0</v>
      </c>
      <c r="X82" s="321">
        <f>(1+Parameters!$AB$39)*'Cost+Escalation'!X82</f>
        <v>0</v>
      </c>
      <c r="Y82" s="287">
        <f t="shared" si="6"/>
        <v>0</v>
      </c>
      <c r="Z82" s="287">
        <f t="shared" si="6"/>
        <v>34047.719825552369</v>
      </c>
      <c r="AA82" s="341">
        <f t="shared" si="6"/>
        <v>1504694.9323191922</v>
      </c>
      <c r="AB82" s="341">
        <f t="shared" si="6"/>
        <v>0</v>
      </c>
      <c r="AC82" s="341">
        <f t="shared" si="6"/>
        <v>0</v>
      </c>
      <c r="AD82" s="341">
        <f t="shared" si="6"/>
        <v>0</v>
      </c>
      <c r="AE82" s="341">
        <f t="shared" si="6"/>
        <v>0</v>
      </c>
      <c r="AF82" s="287">
        <f t="shared" si="6"/>
        <v>0</v>
      </c>
      <c r="AG82" s="287">
        <f t="shared" si="4"/>
        <v>0</v>
      </c>
      <c r="AH82" s="322">
        <f>IF($H82,0,IFERROR(IF(VALUE(LEFT(D82,4))&gt;VALUE(LEFT(Parameters!$B$66,4))+1,O82-SUM(R82:X82),0),0))</f>
        <v>0</v>
      </c>
    </row>
    <row r="83" spans="1:34" ht="12.75" x14ac:dyDescent="0.2">
      <c r="A83" s="313" t="str">
        <f>'Base Costs'!A83</f>
        <v>ND1236</v>
      </c>
      <c r="B83" s="314" t="str">
        <f>'Base Costs'!B83</f>
        <v>Transmission line protection renewal program</v>
      </c>
      <c r="C83" s="314" t="str">
        <f>'Base Costs'!C83</f>
        <v>Asset Renewal</v>
      </c>
      <c r="D83" s="333" t="str">
        <f>'Base Costs'!D83</f>
        <v>2018/19</v>
      </c>
      <c r="E83" s="333">
        <f>'Base Costs'!E83</f>
        <v>13</v>
      </c>
      <c r="F83" s="315"/>
      <c r="G83" s="315"/>
      <c r="H83" s="316">
        <f>'Input Data Sheet'!J83</f>
        <v>1</v>
      </c>
      <c r="I83" s="316"/>
      <c r="J83" s="316"/>
      <c r="K83" s="316"/>
      <c r="L83" s="316"/>
      <c r="M83" s="316"/>
      <c r="N83" s="316"/>
      <c r="O83" s="287">
        <f t="shared" si="5"/>
        <v>4406569.124214801</v>
      </c>
      <c r="P83" s="320">
        <f>(1+Parameters!$AB$39)*'Cost+Escalation'!P83</f>
        <v>0</v>
      </c>
      <c r="Q83" s="287">
        <f>(1+Parameters!$AB$39)*'Cost+Escalation'!Q83</f>
        <v>0</v>
      </c>
      <c r="R83" s="341">
        <f>(1+Parameters!$AB$39)*'Cost+Escalation'!R83</f>
        <v>0</v>
      </c>
      <c r="S83" s="341">
        <f>(1+Parameters!$AB$39)*'Cost+Escalation'!S83</f>
        <v>0</v>
      </c>
      <c r="T83" s="341">
        <f>(1+Parameters!$AB$39)*'Cost+Escalation'!T83</f>
        <v>543976.83630552387</v>
      </c>
      <c r="U83" s="341">
        <f>(1+Parameters!$AB$39)*'Cost+Escalation'!U83</f>
        <v>3815602.6454139845</v>
      </c>
      <c r="V83" s="341">
        <f>(1+Parameters!$AB$39)*'Cost+Escalation'!V83</f>
        <v>46989.642495291831</v>
      </c>
      <c r="W83" s="287">
        <f>(1+Parameters!$AB$39)*'Cost+Escalation'!W83</f>
        <v>0</v>
      </c>
      <c r="X83" s="321">
        <f>(1+Parameters!$AB$39)*'Cost+Escalation'!X83</f>
        <v>0</v>
      </c>
      <c r="Y83" s="287">
        <f t="shared" si="6"/>
        <v>0</v>
      </c>
      <c r="Z83" s="287">
        <f t="shared" si="6"/>
        <v>0</v>
      </c>
      <c r="AA83" s="341">
        <f t="shared" si="6"/>
        <v>0</v>
      </c>
      <c r="AB83" s="341">
        <f t="shared" si="6"/>
        <v>0</v>
      </c>
      <c r="AC83" s="341">
        <f t="shared" si="6"/>
        <v>543976.83630552387</v>
      </c>
      <c r="AD83" s="341">
        <f t="shared" si="6"/>
        <v>3815602.6454139845</v>
      </c>
      <c r="AE83" s="341">
        <f t="shared" si="6"/>
        <v>46989.642495291831</v>
      </c>
      <c r="AF83" s="287">
        <f t="shared" si="6"/>
        <v>0</v>
      </c>
      <c r="AG83" s="287">
        <f t="shared" si="4"/>
        <v>0</v>
      </c>
      <c r="AH83" s="322">
        <f>IF($H83,0,IFERROR(IF(VALUE(LEFT(D83,4))&gt;VALUE(LEFT(Parameters!$B$66,4))+1,O83-SUM(R83:X83),0),0))</f>
        <v>0</v>
      </c>
    </row>
    <row r="84" spans="1:34" ht="12.75" x14ac:dyDescent="0.2">
      <c r="A84" s="313" t="str">
        <f>'Base Costs'!A84</f>
        <v>ND0822</v>
      </c>
      <c r="B84" s="314" t="str">
        <f>'Base Costs'!B84</f>
        <v>Transmission line signage compliance program</v>
      </c>
      <c r="C84" s="314" t="str">
        <f>'Base Costs'!C84</f>
        <v>Physical Security / Compliance</v>
      </c>
      <c r="D84" s="333" t="str">
        <f>'Base Costs'!D84</f>
        <v>2018/19</v>
      </c>
      <c r="E84" s="333">
        <f>'Base Costs'!E84</f>
        <v>6</v>
      </c>
      <c r="F84" s="315"/>
      <c r="G84" s="315"/>
      <c r="H84" s="316">
        <f>'Input Data Sheet'!J84</f>
        <v>1</v>
      </c>
      <c r="I84" s="316"/>
      <c r="J84" s="316"/>
      <c r="K84" s="316"/>
      <c r="L84" s="316"/>
      <c r="M84" s="316"/>
      <c r="N84" s="316"/>
      <c r="O84" s="287">
        <f t="shared" si="5"/>
        <v>1828249.5885498375</v>
      </c>
      <c r="P84" s="320">
        <f>(1+Parameters!$AB$39)*'Cost+Escalation'!P84</f>
        <v>0</v>
      </c>
      <c r="Q84" s="287">
        <f>(1+Parameters!$AB$39)*'Cost+Escalation'!Q84</f>
        <v>0</v>
      </c>
      <c r="R84" s="341">
        <f>(1+Parameters!$AB$39)*'Cost+Escalation'!R84</f>
        <v>177618.79829842853</v>
      </c>
      <c r="S84" s="341">
        <f>(1+Parameters!$AB$39)*'Cost+Escalation'!S84</f>
        <v>404690.25039307063</v>
      </c>
      <c r="T84" s="341">
        <f>(1+Parameters!$AB$39)*'Cost+Escalation'!T84</f>
        <v>410248.94163089379</v>
      </c>
      <c r="U84" s="341">
        <f>(1+Parameters!$AB$39)*'Cost+Escalation'!U84</f>
        <v>415539.84144674346</v>
      </c>
      <c r="V84" s="341">
        <f>(1+Parameters!$AB$39)*'Cost+Escalation'!V84</f>
        <v>420151.75678070111</v>
      </c>
      <c r="W84" s="287">
        <f>(1+Parameters!$AB$39)*'Cost+Escalation'!W84</f>
        <v>0</v>
      </c>
      <c r="X84" s="321">
        <f>(1+Parameters!$AB$39)*'Cost+Escalation'!X84</f>
        <v>0</v>
      </c>
      <c r="Y84" s="287">
        <f t="shared" si="6"/>
        <v>0</v>
      </c>
      <c r="Z84" s="287">
        <f t="shared" si="6"/>
        <v>0</v>
      </c>
      <c r="AA84" s="341">
        <f t="shared" si="6"/>
        <v>177618.79829842853</v>
      </c>
      <c r="AB84" s="341">
        <f t="shared" si="6"/>
        <v>404690.25039307063</v>
      </c>
      <c r="AC84" s="341">
        <f t="shared" si="6"/>
        <v>410248.94163089379</v>
      </c>
      <c r="AD84" s="341">
        <f t="shared" si="6"/>
        <v>415539.84144674346</v>
      </c>
      <c r="AE84" s="341">
        <f t="shared" si="6"/>
        <v>420151.75678070111</v>
      </c>
      <c r="AF84" s="287">
        <f t="shared" si="6"/>
        <v>0</v>
      </c>
      <c r="AG84" s="287">
        <f t="shared" si="4"/>
        <v>0</v>
      </c>
      <c r="AH84" s="322">
        <f>IF($H84,0,IFERROR(IF(VALUE(LEFT(D84,4))&gt;VALUE(LEFT(Parameters!$B$66,4))+1,O84-SUM(R84:X84),0),0))</f>
        <v>0</v>
      </c>
    </row>
    <row r="85" spans="1:34" ht="12.75" x14ac:dyDescent="0.2">
      <c r="A85" s="313" t="str">
        <f>'Base Costs'!A85</f>
        <v>ND1268</v>
      </c>
      <c r="B85" s="314" t="str">
        <f>'Base Costs'!B85</f>
        <v>Transmission line support assembly refurbishment program</v>
      </c>
      <c r="C85" s="314" t="str">
        <f>'Base Costs'!C85</f>
        <v>Asset Renewal</v>
      </c>
      <c r="D85" s="333" t="str">
        <f>'Base Costs'!D85</f>
        <v>2018/19</v>
      </c>
      <c r="E85" s="333">
        <f>'Base Costs'!E85</f>
        <v>6</v>
      </c>
      <c r="F85" s="315"/>
      <c r="G85" s="315"/>
      <c r="H85" s="316">
        <f>'Input Data Sheet'!J85</f>
        <v>1</v>
      </c>
      <c r="I85" s="316"/>
      <c r="J85" s="316"/>
      <c r="K85" s="316"/>
      <c r="L85" s="316"/>
      <c r="M85" s="316"/>
      <c r="N85" s="316"/>
      <c r="O85" s="287">
        <f t="shared" si="5"/>
        <v>2551498.0940509662</v>
      </c>
      <c r="P85" s="320">
        <f>(1+Parameters!$AB$39)*'Cost+Escalation'!P85</f>
        <v>0</v>
      </c>
      <c r="Q85" s="287">
        <f>(1+Parameters!$AB$39)*'Cost+Escalation'!Q85</f>
        <v>0</v>
      </c>
      <c r="R85" s="341">
        <f>(1+Parameters!$AB$39)*'Cost+Escalation'!R85</f>
        <v>247884.11175606266</v>
      </c>
      <c r="S85" s="341">
        <f>(1+Parameters!$AB$39)*'Cost+Escalation'!S85</f>
        <v>564784.15694760613</v>
      </c>
      <c r="T85" s="341">
        <f>(1+Parameters!$AB$39)*'Cost+Escalation'!T85</f>
        <v>572541.84505953058</v>
      </c>
      <c r="U85" s="341">
        <f>(1+Parameters!$AB$39)*'Cost+Escalation'!U85</f>
        <v>579925.80449291575</v>
      </c>
      <c r="V85" s="341">
        <f>(1+Parameters!$AB$39)*'Cost+Escalation'!V85</f>
        <v>586362.17579485115</v>
      </c>
      <c r="W85" s="287">
        <f>(1+Parameters!$AB$39)*'Cost+Escalation'!W85</f>
        <v>0</v>
      </c>
      <c r="X85" s="321">
        <f>(1+Parameters!$AB$39)*'Cost+Escalation'!X85</f>
        <v>0</v>
      </c>
      <c r="Y85" s="287">
        <f t="shared" si="6"/>
        <v>0</v>
      </c>
      <c r="Z85" s="287">
        <f t="shared" si="6"/>
        <v>0</v>
      </c>
      <c r="AA85" s="341">
        <f t="shared" si="6"/>
        <v>247884.11175606266</v>
      </c>
      <c r="AB85" s="341">
        <f t="shared" si="6"/>
        <v>564784.15694760613</v>
      </c>
      <c r="AC85" s="341">
        <f t="shared" si="6"/>
        <v>572541.84505953058</v>
      </c>
      <c r="AD85" s="341">
        <f t="shared" si="6"/>
        <v>579925.80449291575</v>
      </c>
      <c r="AE85" s="341">
        <f t="shared" si="6"/>
        <v>586362.17579485115</v>
      </c>
      <c r="AF85" s="287">
        <f t="shared" si="6"/>
        <v>0</v>
      </c>
      <c r="AG85" s="287">
        <f t="shared" si="4"/>
        <v>0</v>
      </c>
      <c r="AH85" s="322">
        <f>IF($H85,0,IFERROR(IF(VALUE(LEFT(D85,4))&gt;VALUE(LEFT(Parameters!$B$66,4))+1,O85-SUM(R85:X85),0),0))</f>
        <v>0</v>
      </c>
    </row>
    <row r="86" spans="1:34" ht="12.75" x14ac:dyDescent="0.2">
      <c r="A86" s="313" t="str">
        <f>'Base Costs'!A86</f>
        <v>ND0926</v>
      </c>
      <c r="B86" s="314" t="str">
        <f>'Base Costs'!B86</f>
        <v>Transmission line support assembly renewal program</v>
      </c>
      <c r="C86" s="314" t="str">
        <f>'Base Costs'!C86</f>
        <v>Asset Renewal</v>
      </c>
      <c r="D86" s="333" t="str">
        <f>'Base Costs'!D86</f>
        <v>2018/19</v>
      </c>
      <c r="E86" s="333">
        <f>'Base Costs'!E86</f>
        <v>6</v>
      </c>
      <c r="F86" s="315"/>
      <c r="G86" s="315"/>
      <c r="H86" s="316">
        <f>'Input Data Sheet'!J86</f>
        <v>1</v>
      </c>
      <c r="I86" s="316"/>
      <c r="J86" s="316"/>
      <c r="K86" s="316"/>
      <c r="L86" s="316"/>
      <c r="M86" s="316"/>
      <c r="N86" s="316"/>
      <c r="O86" s="287">
        <f t="shared" si="5"/>
        <v>2275901.9442256354</v>
      </c>
      <c r="P86" s="320">
        <f>(1+Parameters!$AB$39)*'Cost+Escalation'!P86</f>
        <v>0</v>
      </c>
      <c r="Q86" s="287">
        <f>(1+Parameters!$AB$39)*'Cost+Escalation'!Q86</f>
        <v>0</v>
      </c>
      <c r="R86" s="341">
        <f>(1+Parameters!$AB$39)*'Cost+Escalation'!R86</f>
        <v>221109.28995152077</v>
      </c>
      <c r="S86" s="341">
        <f>(1+Parameters!$AB$39)*'Cost+Escalation'!S86</f>
        <v>503779.86323481757</v>
      </c>
      <c r="T86" s="341">
        <f>(1+Parameters!$AB$39)*'Cost+Escalation'!T86</f>
        <v>510699.61657415592</v>
      </c>
      <c r="U86" s="341">
        <f>(1+Parameters!$AB$39)*'Cost+Escalation'!U86</f>
        <v>517286.00896445685</v>
      </c>
      <c r="V86" s="341">
        <f>(1+Parameters!$AB$39)*'Cost+Escalation'!V86</f>
        <v>523027.16550068441</v>
      </c>
      <c r="W86" s="287">
        <f>(1+Parameters!$AB$39)*'Cost+Escalation'!W86</f>
        <v>0</v>
      </c>
      <c r="X86" s="321">
        <f>(1+Parameters!$AB$39)*'Cost+Escalation'!X86</f>
        <v>0</v>
      </c>
      <c r="Y86" s="287">
        <f t="shared" si="6"/>
        <v>0</v>
      </c>
      <c r="Z86" s="287">
        <f t="shared" si="6"/>
        <v>0</v>
      </c>
      <c r="AA86" s="341">
        <f t="shared" si="6"/>
        <v>221109.28995152077</v>
      </c>
      <c r="AB86" s="341">
        <f t="shared" si="6"/>
        <v>503779.86323481757</v>
      </c>
      <c r="AC86" s="341">
        <f t="shared" si="6"/>
        <v>510699.61657415592</v>
      </c>
      <c r="AD86" s="341">
        <f t="shared" si="6"/>
        <v>517286.00896445685</v>
      </c>
      <c r="AE86" s="341">
        <f t="shared" si="6"/>
        <v>523027.16550068441</v>
      </c>
      <c r="AF86" s="287">
        <f t="shared" si="6"/>
        <v>0</v>
      </c>
      <c r="AG86" s="287">
        <f t="shared" si="4"/>
        <v>0</v>
      </c>
      <c r="AH86" s="322">
        <f>IF($H86,0,IFERROR(IF(VALUE(LEFT(D86,4))&gt;VALUE(LEFT(Parameters!$B$66,4))+1,O86-SUM(R86:X86),0),0))</f>
        <v>0</v>
      </c>
    </row>
    <row r="87" spans="1:34" ht="12.75" x14ac:dyDescent="0.2">
      <c r="A87" s="313" t="str">
        <f>'Base Costs'!A87</f>
        <v>ND0966</v>
      </c>
      <c r="B87" s="314" t="str">
        <f>'Base Costs'!B87</f>
        <v>Transmission line wood pole renewal program</v>
      </c>
      <c r="C87" s="314" t="str">
        <f>'Base Costs'!C87</f>
        <v>Asset Renewal</v>
      </c>
      <c r="D87" s="333" t="str">
        <f>'Base Costs'!D87</f>
        <v>2017/18</v>
      </c>
      <c r="E87" s="333">
        <f>'Base Costs'!E87</f>
        <v>6</v>
      </c>
      <c r="F87" s="315"/>
      <c r="G87" s="315"/>
      <c r="H87" s="316">
        <f>'Input Data Sheet'!J87</f>
        <v>1</v>
      </c>
      <c r="I87" s="316"/>
      <c r="J87" s="316"/>
      <c r="K87" s="316"/>
      <c r="L87" s="316"/>
      <c r="M87" s="316"/>
      <c r="N87" s="316"/>
      <c r="O87" s="287">
        <f t="shared" si="5"/>
        <v>2499903.4813607205</v>
      </c>
      <c r="P87" s="320">
        <f>(1+Parameters!$AB$39)*'Cost+Escalation'!P87</f>
        <v>0</v>
      </c>
      <c r="Q87" s="287">
        <f>(1+Parameters!$AB$39)*'Cost+Escalation'!Q87</f>
        <v>0</v>
      </c>
      <c r="R87" s="341">
        <f>(1+Parameters!$AB$39)*'Cost+Escalation'!R87</f>
        <v>0</v>
      </c>
      <c r="S87" s="341">
        <f>(1+Parameters!$AB$39)*'Cost+Escalation'!S87</f>
        <v>0</v>
      </c>
      <c r="T87" s="341">
        <f>(1+Parameters!$AB$39)*'Cost+Escalation'!T87</f>
        <v>1193318.8197132868</v>
      </c>
      <c r="U87" s="341">
        <f>(1+Parameters!$AB$39)*'Cost+Escalation'!U87</f>
        <v>1306584.6616474334</v>
      </c>
      <c r="V87" s="341">
        <f>(1+Parameters!$AB$39)*'Cost+Escalation'!V87</f>
        <v>0</v>
      </c>
      <c r="W87" s="287">
        <f>(1+Parameters!$AB$39)*'Cost+Escalation'!W87</f>
        <v>0</v>
      </c>
      <c r="X87" s="321">
        <f>(1+Parameters!$AB$39)*'Cost+Escalation'!X87</f>
        <v>0</v>
      </c>
      <c r="Y87" s="287">
        <f t="shared" si="6"/>
        <v>0</v>
      </c>
      <c r="Z87" s="287">
        <f t="shared" si="6"/>
        <v>0</v>
      </c>
      <c r="AA87" s="341">
        <f t="shared" si="6"/>
        <v>0</v>
      </c>
      <c r="AB87" s="341">
        <f t="shared" si="6"/>
        <v>0</v>
      </c>
      <c r="AC87" s="341">
        <f t="shared" si="6"/>
        <v>1193318.8197132868</v>
      </c>
      <c r="AD87" s="341">
        <f t="shared" si="6"/>
        <v>1306584.6616474334</v>
      </c>
      <c r="AE87" s="341">
        <f t="shared" si="6"/>
        <v>0</v>
      </c>
      <c r="AF87" s="287">
        <f t="shared" si="6"/>
        <v>0</v>
      </c>
      <c r="AG87" s="287">
        <f t="shared" si="4"/>
        <v>0</v>
      </c>
      <c r="AH87" s="322">
        <f>IF($H87,0,IFERROR(IF(VALUE(LEFT(D87,4))&gt;VALUE(LEFT(Parameters!$B$66,4))+1,O87-SUM(R87:X87),0),0))</f>
        <v>0</v>
      </c>
    </row>
    <row r="88" spans="1:34" x14ac:dyDescent="0.3">
      <c r="A88" s="313" t="str">
        <f>'Base Costs'!A88</f>
        <v>ND1311</v>
      </c>
      <c r="B88" s="314" t="str">
        <f>'Base Costs'!B88</f>
        <v>Trevallyn Office Building compliance program</v>
      </c>
      <c r="C88" s="314" t="str">
        <f>'Base Costs'!C88</f>
        <v>Business support</v>
      </c>
      <c r="D88" s="333" t="str">
        <f>'Base Costs'!D88</f>
        <v>2016/17</v>
      </c>
      <c r="E88" s="333">
        <f>'Base Costs'!E88</f>
        <v>18</v>
      </c>
      <c r="F88" s="315"/>
      <c r="G88" s="315"/>
      <c r="H88" s="316">
        <f>'Input Data Sheet'!J88</f>
        <v>0</v>
      </c>
      <c r="I88" s="316"/>
      <c r="J88" s="316"/>
      <c r="K88" s="316"/>
      <c r="L88" s="316"/>
      <c r="M88" s="316"/>
      <c r="N88" s="316"/>
      <c r="O88" s="287">
        <f t="shared" si="5"/>
        <v>461780.87649402389</v>
      </c>
      <c r="P88" s="320">
        <f>(1+Parameters!$AB$39)*'Cost+Escalation'!P88</f>
        <v>0</v>
      </c>
      <c r="Q88" s="287">
        <f>(1+Parameters!$AB$39)*'Cost+Escalation'!Q88</f>
        <v>0</v>
      </c>
      <c r="R88" s="341">
        <f>(1+Parameters!$AB$39)*'Cost+Escalation'!R88</f>
        <v>0</v>
      </c>
      <c r="S88" s="341">
        <f>(1+Parameters!$AB$39)*'Cost+Escalation'!S88</f>
        <v>138534.26294820715</v>
      </c>
      <c r="T88" s="341">
        <f>(1+Parameters!$AB$39)*'Cost+Escalation'!T88</f>
        <v>323246.61354581674</v>
      </c>
      <c r="U88" s="341">
        <f>(1+Parameters!$AB$39)*'Cost+Escalation'!U88</f>
        <v>0</v>
      </c>
      <c r="V88" s="341">
        <f>(1+Parameters!$AB$39)*'Cost+Escalation'!V88</f>
        <v>0</v>
      </c>
      <c r="W88" s="287">
        <f>(1+Parameters!$AB$39)*'Cost+Escalation'!W88</f>
        <v>0</v>
      </c>
      <c r="X88" s="321">
        <f>(1+Parameters!$AB$39)*'Cost+Escalation'!X88</f>
        <v>0</v>
      </c>
      <c r="Y88" s="287">
        <f t="shared" si="6"/>
        <v>0</v>
      </c>
      <c r="Z88" s="287">
        <f t="shared" si="6"/>
        <v>0</v>
      </c>
      <c r="AA88" s="341">
        <f t="shared" si="6"/>
        <v>0</v>
      </c>
      <c r="AB88" s="341">
        <f t="shared" si="6"/>
        <v>0</v>
      </c>
      <c r="AC88" s="341">
        <f t="shared" si="6"/>
        <v>461780.87649402389</v>
      </c>
      <c r="AD88" s="341">
        <f t="shared" si="6"/>
        <v>0</v>
      </c>
      <c r="AE88" s="341">
        <f t="shared" si="6"/>
        <v>0</v>
      </c>
      <c r="AF88" s="287">
        <f t="shared" si="6"/>
        <v>0</v>
      </c>
      <c r="AG88" s="287">
        <f t="shared" si="4"/>
        <v>0</v>
      </c>
      <c r="AH88" s="322">
        <f>IF($H88,0,IFERROR(IF(VALUE(LEFT(D88,4))&gt;VALUE(LEFT(Parameters!$B$66,4))+1,O88-SUM(R88:X88),0),0))</f>
        <v>0</v>
      </c>
    </row>
    <row r="89" spans="1:34" x14ac:dyDescent="0.3">
      <c r="A89" s="313" t="str">
        <f>'Base Costs'!A89</f>
        <v>ND0709</v>
      </c>
      <c r="B89" s="314" t="str">
        <f>'Base Costs'!B89</f>
        <v>Tungatinah Substation 110 kV redevelopment</v>
      </c>
      <c r="C89" s="314" t="str">
        <f>'Base Costs'!C89</f>
        <v>Asset Renewal</v>
      </c>
      <c r="D89" s="333" t="str">
        <f>'Base Costs'!D89</f>
        <v>2014/15</v>
      </c>
      <c r="E89" s="333">
        <f>'Base Costs'!E89</f>
        <v>0</v>
      </c>
      <c r="F89" s="315"/>
      <c r="G89" s="315"/>
      <c r="H89" s="316">
        <f>'Input Data Sheet'!J89</f>
        <v>0</v>
      </c>
      <c r="I89" s="316"/>
      <c r="J89" s="316"/>
      <c r="K89" s="316"/>
      <c r="L89" s="316"/>
      <c r="M89" s="316"/>
      <c r="N89" s="316"/>
      <c r="O89" s="287">
        <f t="shared" si="5"/>
        <v>4093564</v>
      </c>
      <c r="P89" s="320">
        <f>(1+Parameters!$AB$39)*'Cost+Escalation'!P89</f>
        <v>0</v>
      </c>
      <c r="Q89" s="287">
        <f>(1+Parameters!$AB$39)*'Cost+Escalation'!Q89</f>
        <v>0</v>
      </c>
      <c r="R89" s="341">
        <f>(1+Parameters!$AB$39)*'Cost+Escalation'!R89</f>
        <v>4093564</v>
      </c>
      <c r="S89" s="341">
        <f>(1+Parameters!$AB$39)*'Cost+Escalation'!S89</f>
        <v>0</v>
      </c>
      <c r="T89" s="341">
        <f>(1+Parameters!$AB$39)*'Cost+Escalation'!T89</f>
        <v>0</v>
      </c>
      <c r="U89" s="341">
        <f>(1+Parameters!$AB$39)*'Cost+Escalation'!U89</f>
        <v>0</v>
      </c>
      <c r="V89" s="341">
        <f>(1+Parameters!$AB$39)*'Cost+Escalation'!V89</f>
        <v>0</v>
      </c>
      <c r="W89" s="287">
        <f>(1+Parameters!$AB$39)*'Cost+Escalation'!W89</f>
        <v>0</v>
      </c>
      <c r="X89" s="321">
        <f>(1+Parameters!$AB$39)*'Cost+Escalation'!X89</f>
        <v>0</v>
      </c>
      <c r="Y89" s="287">
        <f t="shared" si="6"/>
        <v>0</v>
      </c>
      <c r="Z89" s="287">
        <f t="shared" si="6"/>
        <v>0</v>
      </c>
      <c r="AA89" s="341">
        <f t="shared" si="6"/>
        <v>4093564</v>
      </c>
      <c r="AB89" s="341">
        <f t="shared" si="6"/>
        <v>0</v>
      </c>
      <c r="AC89" s="341">
        <f t="shared" si="6"/>
        <v>0</v>
      </c>
      <c r="AD89" s="341">
        <f t="shared" si="6"/>
        <v>0</v>
      </c>
      <c r="AE89" s="341">
        <f t="shared" si="6"/>
        <v>0</v>
      </c>
      <c r="AF89" s="287">
        <f t="shared" si="6"/>
        <v>0</v>
      </c>
      <c r="AG89" s="287">
        <f t="shared" si="4"/>
        <v>0</v>
      </c>
      <c r="AH89" s="322">
        <f>IF($H89,0,IFERROR(IF(VALUE(LEFT(D89,4))&gt;VALUE(LEFT(Parameters!$B$66,4))+1,O89-SUM(R89:X89),0),0))</f>
        <v>0</v>
      </c>
    </row>
    <row r="90" spans="1:34" x14ac:dyDescent="0.3">
      <c r="A90" s="313" t="str">
        <f>'Base Costs'!A90</f>
        <v>ND1114</v>
      </c>
      <c r="B90" s="314" t="str">
        <f>'Base Costs'!B90</f>
        <v>Waddamana - Palmerston 220 kV Security Augmentation</v>
      </c>
      <c r="C90" s="314" t="str">
        <f>'Base Costs'!C90</f>
        <v>Augmentation</v>
      </c>
      <c r="D90" s="333" t="str">
        <f>'Base Costs'!D90</f>
        <v>2018/19</v>
      </c>
      <c r="E90" s="333">
        <f>'Base Costs'!E90</f>
        <v>4</v>
      </c>
      <c r="F90" s="315"/>
      <c r="G90" s="315"/>
      <c r="H90" s="316">
        <f>'Input Data Sheet'!J90</f>
        <v>0</v>
      </c>
      <c r="I90" s="316"/>
      <c r="J90" s="316"/>
      <c r="K90" s="316"/>
      <c r="L90" s="316"/>
      <c r="M90" s="316"/>
      <c r="N90" s="316"/>
      <c r="O90" s="287">
        <f t="shared" si="5"/>
        <v>21051452.83006572</v>
      </c>
      <c r="P90" s="320">
        <f>(1+Parameters!$AB$39)*'Cost+Escalation'!P90</f>
        <v>0</v>
      </c>
      <c r="Q90" s="287">
        <f>(1+Parameters!$AB$39)*'Cost+Escalation'!Q90</f>
        <v>0</v>
      </c>
      <c r="R90" s="341">
        <f>(1+Parameters!$AB$39)*'Cost+Escalation'!R90</f>
        <v>0</v>
      </c>
      <c r="S90" s="341">
        <f>(1+Parameters!$AB$39)*'Cost+Escalation'!S90</f>
        <v>0</v>
      </c>
      <c r="T90" s="341">
        <f>(1+Parameters!$AB$39)*'Cost+Escalation'!T90</f>
        <v>629696.86801471247</v>
      </c>
      <c r="U90" s="341">
        <f>(1+Parameters!$AB$39)*'Cost+Escalation'!U90</f>
        <v>9160533.1372579001</v>
      </c>
      <c r="V90" s="341">
        <f>(1+Parameters!$AB$39)*'Cost+Escalation'!V90</f>
        <v>11261222.824793108</v>
      </c>
      <c r="W90" s="287">
        <f>(1+Parameters!$AB$39)*'Cost+Escalation'!W90</f>
        <v>0</v>
      </c>
      <c r="X90" s="321">
        <f>(1+Parameters!$AB$39)*'Cost+Escalation'!X90</f>
        <v>0</v>
      </c>
      <c r="Y90" s="287">
        <f t="shared" si="6"/>
        <v>0</v>
      </c>
      <c r="Z90" s="287">
        <f t="shared" si="6"/>
        <v>0</v>
      </c>
      <c r="AA90" s="341">
        <f t="shared" si="6"/>
        <v>0</v>
      </c>
      <c r="AB90" s="341">
        <f t="shared" si="6"/>
        <v>0</v>
      </c>
      <c r="AC90" s="341">
        <f t="shared" si="6"/>
        <v>0</v>
      </c>
      <c r="AD90" s="341">
        <f t="shared" si="6"/>
        <v>0</v>
      </c>
      <c r="AE90" s="341">
        <f t="shared" si="6"/>
        <v>21051452.83006572</v>
      </c>
      <c r="AF90" s="287">
        <f t="shared" si="6"/>
        <v>0</v>
      </c>
      <c r="AG90" s="287">
        <f t="shared" si="4"/>
        <v>0</v>
      </c>
      <c r="AH90" s="322">
        <f>IF($H90,0,IFERROR(IF(VALUE(LEFT(D90,4))&gt;VALUE(LEFT(Parameters!$B$66,4))+1,O90-SUM(R90:X90),0),0))</f>
        <v>0</v>
      </c>
    </row>
    <row r="91" spans="1:34" x14ac:dyDescent="0.3">
      <c r="A91" s="313" t="str">
        <f>'Base Costs'!A91</f>
        <v>ND0730</v>
      </c>
      <c r="B91" s="314" t="str">
        <f>'Base Costs'!B91</f>
        <v>Wesley Vale 11 kV to 22 kV conversion</v>
      </c>
      <c r="C91" s="314" t="str">
        <f>'Base Costs'!C91</f>
        <v>Connection</v>
      </c>
      <c r="D91" s="333" t="str">
        <f>'Base Costs'!D91</f>
        <v>2014/15</v>
      </c>
      <c r="E91" s="333">
        <f>'Base Costs'!E91</f>
        <v>9</v>
      </c>
      <c r="F91" s="315"/>
      <c r="G91" s="315"/>
      <c r="H91" s="316">
        <f>'Input Data Sheet'!J91</f>
        <v>0</v>
      </c>
      <c r="I91" s="316"/>
      <c r="J91" s="316"/>
      <c r="K91" s="316"/>
      <c r="L91" s="316"/>
      <c r="M91" s="316"/>
      <c r="N91" s="316"/>
      <c r="O91" s="287">
        <f t="shared" si="5"/>
        <v>1117500.4003727539</v>
      </c>
      <c r="P91" s="320">
        <f>(1+Parameters!$AB$39)*'Cost+Escalation'!P91</f>
        <v>0</v>
      </c>
      <c r="Q91" s="287">
        <f>(1+Parameters!$AB$39)*'Cost+Escalation'!Q91</f>
        <v>0</v>
      </c>
      <c r="R91" s="341">
        <f>(1+Parameters!$AB$39)*'Cost+Escalation'!R91</f>
        <v>1117500.4003727539</v>
      </c>
      <c r="S91" s="341">
        <f>(1+Parameters!$AB$39)*'Cost+Escalation'!S91</f>
        <v>0</v>
      </c>
      <c r="T91" s="341">
        <f>(1+Parameters!$AB$39)*'Cost+Escalation'!T91</f>
        <v>0</v>
      </c>
      <c r="U91" s="341">
        <f>(1+Parameters!$AB$39)*'Cost+Escalation'!U91</f>
        <v>0</v>
      </c>
      <c r="V91" s="341">
        <f>(1+Parameters!$AB$39)*'Cost+Escalation'!V91</f>
        <v>0</v>
      </c>
      <c r="W91" s="287">
        <f>(1+Parameters!$AB$39)*'Cost+Escalation'!W91</f>
        <v>0</v>
      </c>
      <c r="X91" s="321">
        <f>(1+Parameters!$AB$39)*'Cost+Escalation'!X91</f>
        <v>0</v>
      </c>
      <c r="Y91" s="287">
        <f t="shared" si="6"/>
        <v>0</v>
      </c>
      <c r="Z91" s="287">
        <f t="shared" si="6"/>
        <v>0</v>
      </c>
      <c r="AA91" s="341">
        <f t="shared" si="6"/>
        <v>1117500.4003727539</v>
      </c>
      <c r="AB91" s="341">
        <f t="shared" si="6"/>
        <v>0</v>
      </c>
      <c r="AC91" s="341">
        <f t="shared" si="6"/>
        <v>0</v>
      </c>
      <c r="AD91" s="341">
        <f t="shared" si="6"/>
        <v>0</v>
      </c>
      <c r="AE91" s="341">
        <f t="shared" si="6"/>
        <v>0</v>
      </c>
      <c r="AF91" s="287">
        <f t="shared" si="6"/>
        <v>0</v>
      </c>
      <c r="AG91" s="287">
        <f t="shared" si="4"/>
        <v>0</v>
      </c>
      <c r="AH91" s="322">
        <f>IF($H91,0,IFERROR(IF(VALUE(LEFT(D91,4))&gt;VALUE(LEFT(Parameters!$B$66,4))+1,O91-SUM(R91:X91),0),0))</f>
        <v>0</v>
      </c>
    </row>
    <row r="92" spans="1:34" x14ac:dyDescent="0.3">
      <c r="A92" s="313" t="str">
        <f>'Base Costs'!A92</f>
        <v>ND1001</v>
      </c>
      <c r="B92" s="314" t="str">
        <f>'Base Costs'!B92</f>
        <v>Strategic easement acquisition</v>
      </c>
      <c r="C92" s="314" t="str">
        <f>'Base Costs'!C92</f>
        <v>Land and Easements</v>
      </c>
      <c r="D92" s="333" t="str">
        <f>'Base Costs'!D92</f>
        <v>2013/14</v>
      </c>
      <c r="E92" s="333">
        <f>'Base Costs'!E92</f>
        <v>0</v>
      </c>
      <c r="F92" s="315"/>
      <c r="G92" s="315"/>
      <c r="H92" s="316">
        <f>'Input Data Sheet'!J92</f>
        <v>0</v>
      </c>
      <c r="I92" s="316"/>
      <c r="J92" s="316"/>
      <c r="K92" s="316"/>
      <c r="L92" s="316"/>
      <c r="M92" s="316"/>
      <c r="N92" s="316"/>
      <c r="O92" s="287">
        <f t="shared" si="5"/>
        <v>506118.27538195066</v>
      </c>
      <c r="P92" s="320">
        <f>(1+Parameters!$AB$39)*'Cost+Escalation'!P92</f>
        <v>0</v>
      </c>
      <c r="Q92" s="287">
        <f>(1+Parameters!$AB$39)*'Cost+Escalation'!Q92</f>
        <v>506118.27538195066</v>
      </c>
      <c r="R92" s="341">
        <f>(1+Parameters!$AB$39)*'Cost+Escalation'!R92</f>
        <v>0</v>
      </c>
      <c r="S92" s="341">
        <f>(1+Parameters!$AB$39)*'Cost+Escalation'!S92</f>
        <v>0</v>
      </c>
      <c r="T92" s="341">
        <f>(1+Parameters!$AB$39)*'Cost+Escalation'!T92</f>
        <v>0</v>
      </c>
      <c r="U92" s="341">
        <f>(1+Parameters!$AB$39)*'Cost+Escalation'!U92</f>
        <v>0</v>
      </c>
      <c r="V92" s="341">
        <f>(1+Parameters!$AB$39)*'Cost+Escalation'!V92</f>
        <v>0</v>
      </c>
      <c r="W92" s="287">
        <f>(1+Parameters!$AB$39)*'Cost+Escalation'!W92</f>
        <v>0</v>
      </c>
      <c r="X92" s="321">
        <f>(1+Parameters!$AB$39)*'Cost+Escalation'!X92</f>
        <v>0</v>
      </c>
      <c r="Y92" s="287">
        <f t="shared" si="6"/>
        <v>0</v>
      </c>
      <c r="Z92" s="287">
        <f t="shared" si="6"/>
        <v>506118.27538195066</v>
      </c>
      <c r="AA92" s="341">
        <f t="shared" si="6"/>
        <v>0</v>
      </c>
      <c r="AB92" s="341">
        <f t="shared" si="6"/>
        <v>0</v>
      </c>
      <c r="AC92" s="341">
        <f t="shared" si="6"/>
        <v>0</v>
      </c>
      <c r="AD92" s="341">
        <f t="shared" si="6"/>
        <v>0</v>
      </c>
      <c r="AE92" s="341">
        <f t="shared" si="6"/>
        <v>0</v>
      </c>
      <c r="AF92" s="287">
        <f t="shared" si="6"/>
        <v>0</v>
      </c>
      <c r="AG92" s="287">
        <f t="shared" si="4"/>
        <v>0</v>
      </c>
      <c r="AH92" s="322">
        <f>IF($H92,0,IFERROR(IF(VALUE(LEFT(D92,4))&gt;VALUE(LEFT(Parameters!$B$66,4))+1,O92-SUM(R92:X92),0),0))</f>
        <v>0</v>
      </c>
    </row>
    <row r="93" spans="1:34" x14ac:dyDescent="0.3">
      <c r="A93" s="313">
        <f>'Base Costs'!A93</f>
        <v>0</v>
      </c>
      <c r="B93" s="314">
        <f>'Base Costs'!B93</f>
        <v>0</v>
      </c>
      <c r="C93" s="314">
        <f>'Base Costs'!C93</f>
        <v>0</v>
      </c>
      <c r="D93" s="333">
        <f>'Base Costs'!D93</f>
        <v>0</v>
      </c>
      <c r="E93" s="333">
        <f>'Base Costs'!E93</f>
        <v>0</v>
      </c>
      <c r="F93" s="315"/>
      <c r="G93" s="315"/>
      <c r="H93" s="316">
        <f>'Input Data Sheet'!J93</f>
        <v>0</v>
      </c>
      <c r="I93" s="316"/>
      <c r="J93" s="316"/>
      <c r="K93" s="316"/>
      <c r="L93" s="316"/>
      <c r="M93" s="316"/>
      <c r="N93" s="316"/>
      <c r="O93" s="287">
        <f t="shared" si="5"/>
        <v>0</v>
      </c>
      <c r="P93" s="320">
        <f>(1+Parameters!$AB$39)*'Cost+Escalation'!P93</f>
        <v>0</v>
      </c>
      <c r="Q93" s="287">
        <f>(1+Parameters!$AB$39)*'Cost+Escalation'!Q93</f>
        <v>0</v>
      </c>
      <c r="R93" s="341">
        <f>(1+Parameters!$AB$39)*'Cost+Escalation'!R93</f>
        <v>0</v>
      </c>
      <c r="S93" s="341">
        <f>(1+Parameters!$AB$39)*'Cost+Escalation'!S93</f>
        <v>0</v>
      </c>
      <c r="T93" s="341">
        <f>(1+Parameters!$AB$39)*'Cost+Escalation'!T93</f>
        <v>0</v>
      </c>
      <c r="U93" s="341">
        <f>(1+Parameters!$AB$39)*'Cost+Escalation'!U93</f>
        <v>0</v>
      </c>
      <c r="V93" s="341">
        <f>(1+Parameters!$AB$39)*'Cost+Escalation'!V93</f>
        <v>0</v>
      </c>
      <c r="W93" s="287">
        <f>(1+Parameters!$AB$39)*'Cost+Escalation'!W93</f>
        <v>0</v>
      </c>
      <c r="X93" s="321">
        <f>(1+Parameters!$AB$39)*'Cost+Escalation'!X93</f>
        <v>0</v>
      </c>
      <c r="Y93" s="287">
        <f t="shared" si="6"/>
        <v>0</v>
      </c>
      <c r="Z93" s="287">
        <f t="shared" si="6"/>
        <v>0</v>
      </c>
      <c r="AA93" s="341">
        <f t="shared" si="6"/>
        <v>0</v>
      </c>
      <c r="AB93" s="341">
        <f t="shared" si="6"/>
        <v>0</v>
      </c>
      <c r="AC93" s="341">
        <f t="shared" si="6"/>
        <v>0</v>
      </c>
      <c r="AD93" s="341">
        <f t="shared" si="6"/>
        <v>0</v>
      </c>
      <c r="AE93" s="341">
        <f t="shared" si="6"/>
        <v>0</v>
      </c>
      <c r="AF93" s="287">
        <f t="shared" si="6"/>
        <v>0</v>
      </c>
      <c r="AG93" s="287">
        <f t="shared" si="4"/>
        <v>0</v>
      </c>
      <c r="AH93" s="322">
        <f>IF($H93,0,IFERROR(IF(VALUE(LEFT(D93,4))&gt;VALUE(LEFT(Parameters!$B$66,4))+1,O93-SUM(R93:X93),0),0))</f>
        <v>0</v>
      </c>
    </row>
    <row r="94" spans="1:34" x14ac:dyDescent="0.3">
      <c r="A94" s="313">
        <f>'Base Costs'!A94</f>
        <v>0</v>
      </c>
      <c r="B94" s="314">
        <f>'Base Costs'!B94</f>
        <v>0</v>
      </c>
      <c r="C94" s="314">
        <f>'Base Costs'!C94</f>
        <v>0</v>
      </c>
      <c r="D94" s="333">
        <f>'Base Costs'!D94</f>
        <v>0</v>
      </c>
      <c r="E94" s="333">
        <f>'Base Costs'!E94</f>
        <v>0</v>
      </c>
      <c r="F94" s="315"/>
      <c r="G94" s="315"/>
      <c r="H94" s="316">
        <f>'Input Data Sheet'!J94</f>
        <v>0</v>
      </c>
      <c r="I94" s="316"/>
      <c r="J94" s="316"/>
      <c r="K94" s="316"/>
      <c r="L94" s="316"/>
      <c r="M94" s="316"/>
      <c r="N94" s="316"/>
      <c r="O94" s="287">
        <f t="shared" si="5"/>
        <v>0</v>
      </c>
      <c r="P94" s="320">
        <f>(1+Parameters!$AB$39)*'Cost+Escalation'!P94</f>
        <v>0</v>
      </c>
      <c r="Q94" s="287">
        <f>(1+Parameters!$AB$39)*'Cost+Escalation'!Q94</f>
        <v>0</v>
      </c>
      <c r="R94" s="341">
        <f>(1+Parameters!$AB$39)*'Cost+Escalation'!R94</f>
        <v>0</v>
      </c>
      <c r="S94" s="341">
        <f>(1+Parameters!$AB$39)*'Cost+Escalation'!S94</f>
        <v>0</v>
      </c>
      <c r="T94" s="341">
        <f>(1+Parameters!$AB$39)*'Cost+Escalation'!T94</f>
        <v>0</v>
      </c>
      <c r="U94" s="341">
        <f>(1+Parameters!$AB$39)*'Cost+Escalation'!U94</f>
        <v>0</v>
      </c>
      <c r="V94" s="341">
        <f>(1+Parameters!$AB$39)*'Cost+Escalation'!V94</f>
        <v>0</v>
      </c>
      <c r="W94" s="287">
        <f>(1+Parameters!$AB$39)*'Cost+Escalation'!W94</f>
        <v>0</v>
      </c>
      <c r="X94" s="321">
        <f>(1+Parameters!$AB$39)*'Cost+Escalation'!X94</f>
        <v>0</v>
      </c>
      <c r="Y94" s="287">
        <f t="shared" si="6"/>
        <v>0</v>
      </c>
      <c r="Z94" s="287">
        <f t="shared" si="6"/>
        <v>0</v>
      </c>
      <c r="AA94" s="341">
        <f t="shared" si="6"/>
        <v>0</v>
      </c>
      <c r="AB94" s="341">
        <f t="shared" si="6"/>
        <v>0</v>
      </c>
      <c r="AC94" s="341">
        <f t="shared" si="6"/>
        <v>0</v>
      </c>
      <c r="AD94" s="341">
        <f t="shared" si="6"/>
        <v>0</v>
      </c>
      <c r="AE94" s="341">
        <f t="shared" si="6"/>
        <v>0</v>
      </c>
      <c r="AF94" s="287">
        <f t="shared" si="6"/>
        <v>0</v>
      </c>
      <c r="AG94" s="287">
        <f t="shared" si="4"/>
        <v>0</v>
      </c>
      <c r="AH94" s="322">
        <f>IF($H94,0,IFERROR(IF(VALUE(LEFT(D94,4))&gt;VALUE(LEFT(Parameters!$B$66,4))+1,O94-SUM(R94:X94),0),0))</f>
        <v>0</v>
      </c>
    </row>
    <row r="95" spans="1:34" x14ac:dyDescent="0.3">
      <c r="A95" s="313">
        <f>'Base Costs'!A95</f>
        <v>0</v>
      </c>
      <c r="B95" s="314">
        <f>'Base Costs'!B95</f>
        <v>0</v>
      </c>
      <c r="C95" s="314">
        <f>'Base Costs'!C95</f>
        <v>0</v>
      </c>
      <c r="D95" s="333">
        <f>'Base Costs'!D95</f>
        <v>0</v>
      </c>
      <c r="E95" s="333">
        <f>'Base Costs'!E95</f>
        <v>0</v>
      </c>
      <c r="F95" s="315"/>
      <c r="G95" s="315"/>
      <c r="H95" s="316">
        <f>'Input Data Sheet'!J95</f>
        <v>0</v>
      </c>
      <c r="I95" s="316"/>
      <c r="J95" s="316"/>
      <c r="K95" s="316"/>
      <c r="L95" s="316"/>
      <c r="M95" s="316"/>
      <c r="N95" s="316"/>
      <c r="O95" s="287">
        <f t="shared" si="5"/>
        <v>0</v>
      </c>
      <c r="P95" s="320">
        <f>(1+Parameters!$AB$39)*'Cost+Escalation'!P95</f>
        <v>0</v>
      </c>
      <c r="Q95" s="287">
        <f>(1+Parameters!$AB$39)*'Cost+Escalation'!Q95</f>
        <v>0</v>
      </c>
      <c r="R95" s="341">
        <f>(1+Parameters!$AB$39)*'Cost+Escalation'!R95</f>
        <v>0</v>
      </c>
      <c r="S95" s="341">
        <f>(1+Parameters!$AB$39)*'Cost+Escalation'!S95</f>
        <v>0</v>
      </c>
      <c r="T95" s="341">
        <f>(1+Parameters!$AB$39)*'Cost+Escalation'!T95</f>
        <v>0</v>
      </c>
      <c r="U95" s="341">
        <f>(1+Parameters!$AB$39)*'Cost+Escalation'!U95</f>
        <v>0</v>
      </c>
      <c r="V95" s="341">
        <f>(1+Parameters!$AB$39)*'Cost+Escalation'!V95</f>
        <v>0</v>
      </c>
      <c r="W95" s="287">
        <f>(1+Parameters!$AB$39)*'Cost+Escalation'!W95</f>
        <v>0</v>
      </c>
      <c r="X95" s="321">
        <f>(1+Parameters!$AB$39)*'Cost+Escalation'!X95</f>
        <v>0</v>
      </c>
      <c r="Y95" s="287">
        <f t="shared" si="6"/>
        <v>0</v>
      </c>
      <c r="Z95" s="287">
        <f t="shared" si="6"/>
        <v>0</v>
      </c>
      <c r="AA95" s="341">
        <f t="shared" si="6"/>
        <v>0</v>
      </c>
      <c r="AB95" s="341">
        <f t="shared" si="6"/>
        <v>0</v>
      </c>
      <c r="AC95" s="341">
        <f t="shared" si="6"/>
        <v>0</v>
      </c>
      <c r="AD95" s="341">
        <f t="shared" si="6"/>
        <v>0</v>
      </c>
      <c r="AE95" s="341">
        <f t="shared" si="6"/>
        <v>0</v>
      </c>
      <c r="AF95" s="287">
        <f t="shared" ref="AF95:AG100" si="7">IF($H95,W95,IF(AF$3=$D95,$O95,0))</f>
        <v>0</v>
      </c>
      <c r="AG95" s="287">
        <f t="shared" si="4"/>
        <v>0</v>
      </c>
      <c r="AH95" s="322">
        <f>IF($H95,0,IFERROR(IF(VALUE(LEFT(D95,4))&gt;VALUE(LEFT(Parameters!$B$66,4))+1,O95-SUM(R95:X95),0),0))</f>
        <v>0</v>
      </c>
    </row>
    <row r="96" spans="1:34" x14ac:dyDescent="0.3">
      <c r="A96" s="313">
        <f>'Base Costs'!A96</f>
        <v>0</v>
      </c>
      <c r="B96" s="314">
        <f>'Base Costs'!B96</f>
        <v>0</v>
      </c>
      <c r="C96" s="314">
        <f>'Base Costs'!C96</f>
        <v>0</v>
      </c>
      <c r="D96" s="333">
        <f>'Base Costs'!D96</f>
        <v>0</v>
      </c>
      <c r="E96" s="333">
        <f>'Base Costs'!E96</f>
        <v>0</v>
      </c>
      <c r="F96" s="315"/>
      <c r="G96" s="315"/>
      <c r="H96" s="316">
        <f>'Input Data Sheet'!J96</f>
        <v>0</v>
      </c>
      <c r="I96" s="316"/>
      <c r="J96" s="316"/>
      <c r="K96" s="316"/>
      <c r="L96" s="316"/>
      <c r="M96" s="316"/>
      <c r="N96" s="316"/>
      <c r="O96" s="287">
        <f t="shared" si="5"/>
        <v>0</v>
      </c>
      <c r="P96" s="320">
        <f>(1+Parameters!$AB$39)*'Cost+Escalation'!P96</f>
        <v>0</v>
      </c>
      <c r="Q96" s="287">
        <f>(1+Parameters!$AB$39)*'Cost+Escalation'!Q96</f>
        <v>0</v>
      </c>
      <c r="R96" s="341">
        <f>(1+Parameters!$AB$39)*'Cost+Escalation'!R96</f>
        <v>0</v>
      </c>
      <c r="S96" s="341">
        <f>(1+Parameters!$AB$39)*'Cost+Escalation'!S96</f>
        <v>0</v>
      </c>
      <c r="T96" s="341">
        <f>(1+Parameters!$AB$39)*'Cost+Escalation'!T96</f>
        <v>0</v>
      </c>
      <c r="U96" s="341">
        <f>(1+Parameters!$AB$39)*'Cost+Escalation'!U96</f>
        <v>0</v>
      </c>
      <c r="V96" s="341">
        <f>(1+Parameters!$AB$39)*'Cost+Escalation'!V96</f>
        <v>0</v>
      </c>
      <c r="W96" s="287">
        <f>(1+Parameters!$AB$39)*'Cost+Escalation'!W96</f>
        <v>0</v>
      </c>
      <c r="X96" s="321">
        <f>(1+Parameters!$AB$39)*'Cost+Escalation'!X96</f>
        <v>0</v>
      </c>
      <c r="Y96" s="287">
        <f t="shared" ref="Y96:AE100" si="8">IF($H96,P96,IF(Y$3=$D96,$O96,0))</f>
        <v>0</v>
      </c>
      <c r="Z96" s="287">
        <f t="shared" si="8"/>
        <v>0</v>
      </c>
      <c r="AA96" s="341">
        <f t="shared" si="8"/>
        <v>0</v>
      </c>
      <c r="AB96" s="341">
        <f t="shared" si="8"/>
        <v>0</v>
      </c>
      <c r="AC96" s="341">
        <f t="shared" si="8"/>
        <v>0</v>
      </c>
      <c r="AD96" s="341">
        <f t="shared" si="8"/>
        <v>0</v>
      </c>
      <c r="AE96" s="341">
        <f t="shared" si="8"/>
        <v>0</v>
      </c>
      <c r="AF96" s="287">
        <f t="shared" si="7"/>
        <v>0</v>
      </c>
      <c r="AG96" s="287">
        <f t="shared" si="4"/>
        <v>0</v>
      </c>
      <c r="AH96" s="322">
        <f>IF($H96,0,IFERROR(IF(VALUE(LEFT(D96,4))&gt;VALUE(LEFT(Parameters!$B$66,4))+1,O96-SUM(R96:X96),0),0))</f>
        <v>0</v>
      </c>
    </row>
    <row r="97" spans="1:34" x14ac:dyDescent="0.3">
      <c r="A97" s="313">
        <f>'Base Costs'!A97</f>
        <v>0</v>
      </c>
      <c r="B97" s="314">
        <f>'Base Costs'!B97</f>
        <v>0</v>
      </c>
      <c r="C97" s="314">
        <f>'Base Costs'!C97</f>
        <v>0</v>
      </c>
      <c r="D97" s="333">
        <f>'Base Costs'!D97</f>
        <v>0</v>
      </c>
      <c r="E97" s="333">
        <f>'Base Costs'!E97</f>
        <v>0</v>
      </c>
      <c r="F97" s="315"/>
      <c r="G97" s="315"/>
      <c r="H97" s="316">
        <f>'Input Data Sheet'!J97</f>
        <v>0</v>
      </c>
      <c r="I97" s="316"/>
      <c r="J97" s="316"/>
      <c r="K97" s="316"/>
      <c r="L97" s="316"/>
      <c r="M97" s="316"/>
      <c r="N97" s="316"/>
      <c r="O97" s="287">
        <f t="shared" si="5"/>
        <v>0</v>
      </c>
      <c r="P97" s="320">
        <f>(1+Parameters!$AB$39)*'Cost+Escalation'!P97</f>
        <v>0</v>
      </c>
      <c r="Q97" s="287">
        <f>(1+Parameters!$AB$39)*'Cost+Escalation'!Q97</f>
        <v>0</v>
      </c>
      <c r="R97" s="341">
        <f>(1+Parameters!$AB$39)*'Cost+Escalation'!R97</f>
        <v>0</v>
      </c>
      <c r="S97" s="341">
        <f>(1+Parameters!$AB$39)*'Cost+Escalation'!S97</f>
        <v>0</v>
      </c>
      <c r="T97" s="341">
        <f>(1+Parameters!$AB$39)*'Cost+Escalation'!T97</f>
        <v>0</v>
      </c>
      <c r="U97" s="341">
        <f>(1+Parameters!$AB$39)*'Cost+Escalation'!U97</f>
        <v>0</v>
      </c>
      <c r="V97" s="341">
        <f>(1+Parameters!$AB$39)*'Cost+Escalation'!V97</f>
        <v>0</v>
      </c>
      <c r="W97" s="287">
        <f>(1+Parameters!$AB$39)*'Cost+Escalation'!W97</f>
        <v>0</v>
      </c>
      <c r="X97" s="321">
        <f>(1+Parameters!$AB$39)*'Cost+Escalation'!X97</f>
        <v>0</v>
      </c>
      <c r="Y97" s="287">
        <f t="shared" si="8"/>
        <v>0</v>
      </c>
      <c r="Z97" s="287">
        <f t="shared" si="8"/>
        <v>0</v>
      </c>
      <c r="AA97" s="341">
        <f t="shared" si="8"/>
        <v>0</v>
      </c>
      <c r="AB97" s="341">
        <f t="shared" si="8"/>
        <v>0</v>
      </c>
      <c r="AC97" s="341">
        <f t="shared" si="8"/>
        <v>0</v>
      </c>
      <c r="AD97" s="341">
        <f t="shared" si="8"/>
        <v>0</v>
      </c>
      <c r="AE97" s="341">
        <f t="shared" si="8"/>
        <v>0</v>
      </c>
      <c r="AF97" s="287">
        <f t="shared" si="7"/>
        <v>0</v>
      </c>
      <c r="AG97" s="287">
        <f t="shared" si="4"/>
        <v>0</v>
      </c>
      <c r="AH97" s="322">
        <f>IF($H97,0,IFERROR(IF(VALUE(LEFT(D97,4))&gt;VALUE(LEFT(Parameters!$B$66,4))+1,O97-SUM(R97:X97),0),0))</f>
        <v>0</v>
      </c>
    </row>
    <row r="98" spans="1:34" x14ac:dyDescent="0.3">
      <c r="A98" s="313">
        <f>'Base Costs'!A98</f>
        <v>0</v>
      </c>
      <c r="B98" s="314">
        <f>'Base Costs'!B98</f>
        <v>0</v>
      </c>
      <c r="C98" s="314">
        <f>'Base Costs'!C98</f>
        <v>0</v>
      </c>
      <c r="D98" s="333">
        <f>'Base Costs'!D98</f>
        <v>0</v>
      </c>
      <c r="E98" s="333">
        <f>'Base Costs'!E98</f>
        <v>0</v>
      </c>
      <c r="F98" s="315"/>
      <c r="G98" s="315"/>
      <c r="H98" s="316">
        <f>'Input Data Sheet'!J98</f>
        <v>0</v>
      </c>
      <c r="I98" s="316"/>
      <c r="J98" s="316"/>
      <c r="K98" s="316"/>
      <c r="L98" s="316"/>
      <c r="M98" s="316"/>
      <c r="N98" s="316"/>
      <c r="O98" s="287">
        <f t="shared" si="5"/>
        <v>0</v>
      </c>
      <c r="P98" s="320">
        <f>(1+Parameters!$AB$39)*'Cost+Escalation'!P98</f>
        <v>0</v>
      </c>
      <c r="Q98" s="287">
        <f>(1+Parameters!$AB$39)*'Cost+Escalation'!Q98</f>
        <v>0</v>
      </c>
      <c r="R98" s="341">
        <f>(1+Parameters!$AB$39)*'Cost+Escalation'!R98</f>
        <v>0</v>
      </c>
      <c r="S98" s="341">
        <f>(1+Parameters!$AB$39)*'Cost+Escalation'!S98</f>
        <v>0</v>
      </c>
      <c r="T98" s="341">
        <f>(1+Parameters!$AB$39)*'Cost+Escalation'!T98</f>
        <v>0</v>
      </c>
      <c r="U98" s="341">
        <f>(1+Parameters!$AB$39)*'Cost+Escalation'!U98</f>
        <v>0</v>
      </c>
      <c r="V98" s="341">
        <f>(1+Parameters!$AB$39)*'Cost+Escalation'!V98</f>
        <v>0</v>
      </c>
      <c r="W98" s="287">
        <f>(1+Parameters!$AB$39)*'Cost+Escalation'!W98</f>
        <v>0</v>
      </c>
      <c r="X98" s="321">
        <f>(1+Parameters!$AB$39)*'Cost+Escalation'!X98</f>
        <v>0</v>
      </c>
      <c r="Y98" s="287">
        <f t="shared" si="8"/>
        <v>0</v>
      </c>
      <c r="Z98" s="287">
        <f t="shared" si="8"/>
        <v>0</v>
      </c>
      <c r="AA98" s="341">
        <f t="shared" si="8"/>
        <v>0</v>
      </c>
      <c r="AB98" s="341">
        <f t="shared" si="8"/>
        <v>0</v>
      </c>
      <c r="AC98" s="341">
        <f t="shared" si="8"/>
        <v>0</v>
      </c>
      <c r="AD98" s="341">
        <f t="shared" si="8"/>
        <v>0</v>
      </c>
      <c r="AE98" s="341">
        <f t="shared" si="8"/>
        <v>0</v>
      </c>
      <c r="AF98" s="287">
        <f t="shared" si="7"/>
        <v>0</v>
      </c>
      <c r="AG98" s="287">
        <f t="shared" si="4"/>
        <v>0</v>
      </c>
      <c r="AH98" s="322">
        <f>IF($H98,0,IFERROR(IF(VALUE(LEFT(D98,4))&gt;VALUE(LEFT(Parameters!$B$66,4))+1,O98-SUM(R98:X98),0),0))</f>
        <v>0</v>
      </c>
    </row>
    <row r="99" spans="1:34" x14ac:dyDescent="0.3">
      <c r="A99" s="313">
        <f>'Base Costs'!A99</f>
        <v>0</v>
      </c>
      <c r="B99" s="314">
        <f>'Base Costs'!B99</f>
        <v>0</v>
      </c>
      <c r="C99" s="314">
        <f>'Base Costs'!C99</f>
        <v>0</v>
      </c>
      <c r="D99" s="333">
        <f>'Base Costs'!D99</f>
        <v>0</v>
      </c>
      <c r="E99" s="333">
        <f>'Base Costs'!E99</f>
        <v>0</v>
      </c>
      <c r="F99" s="315"/>
      <c r="G99" s="315"/>
      <c r="H99" s="316">
        <f>'Input Data Sheet'!J99</f>
        <v>0</v>
      </c>
      <c r="I99" s="316"/>
      <c r="J99" s="316"/>
      <c r="K99" s="316"/>
      <c r="L99" s="316"/>
      <c r="M99" s="316"/>
      <c r="N99" s="316"/>
      <c r="O99" s="287">
        <f t="shared" si="5"/>
        <v>0</v>
      </c>
      <c r="P99" s="320">
        <f>(1+Parameters!$AB$39)*'Cost+Escalation'!P99</f>
        <v>0</v>
      </c>
      <c r="Q99" s="287">
        <f>(1+Parameters!$AB$39)*'Cost+Escalation'!Q99</f>
        <v>0</v>
      </c>
      <c r="R99" s="341">
        <f>(1+Parameters!$AB$39)*'Cost+Escalation'!R99</f>
        <v>0</v>
      </c>
      <c r="S99" s="341">
        <f>(1+Parameters!$AB$39)*'Cost+Escalation'!S99</f>
        <v>0</v>
      </c>
      <c r="T99" s="341">
        <f>(1+Parameters!$AB$39)*'Cost+Escalation'!T99</f>
        <v>0</v>
      </c>
      <c r="U99" s="341">
        <f>(1+Parameters!$AB$39)*'Cost+Escalation'!U99</f>
        <v>0</v>
      </c>
      <c r="V99" s="341">
        <f>(1+Parameters!$AB$39)*'Cost+Escalation'!V99</f>
        <v>0</v>
      </c>
      <c r="W99" s="287">
        <f>(1+Parameters!$AB$39)*'Cost+Escalation'!W99</f>
        <v>0</v>
      </c>
      <c r="X99" s="321">
        <f>(1+Parameters!$AB$39)*'Cost+Escalation'!X99</f>
        <v>0</v>
      </c>
      <c r="Y99" s="287">
        <f t="shared" si="8"/>
        <v>0</v>
      </c>
      <c r="Z99" s="287">
        <f t="shared" si="8"/>
        <v>0</v>
      </c>
      <c r="AA99" s="341">
        <f t="shared" si="8"/>
        <v>0</v>
      </c>
      <c r="AB99" s="341">
        <f t="shared" si="8"/>
        <v>0</v>
      </c>
      <c r="AC99" s="341">
        <f t="shared" si="8"/>
        <v>0</v>
      </c>
      <c r="AD99" s="341">
        <f t="shared" si="8"/>
        <v>0</v>
      </c>
      <c r="AE99" s="341">
        <f t="shared" si="8"/>
        <v>0</v>
      </c>
      <c r="AF99" s="287">
        <f t="shared" si="7"/>
        <v>0</v>
      </c>
      <c r="AG99" s="287">
        <f t="shared" si="7"/>
        <v>0</v>
      </c>
      <c r="AH99" s="322">
        <f>IF($H99,0,IFERROR(IF(VALUE(LEFT(D99,4))&gt;VALUE(LEFT(Parameters!$B$66,4))+1,O99-SUM(R99:X99),0),0))</f>
        <v>0</v>
      </c>
    </row>
    <row r="100" spans="1:34" x14ac:dyDescent="0.3">
      <c r="A100" s="313">
        <f>'Base Costs'!A100</f>
        <v>0</v>
      </c>
      <c r="B100" s="314">
        <f>'Base Costs'!B100</f>
        <v>0</v>
      </c>
      <c r="C100" s="314">
        <f>'Base Costs'!C100</f>
        <v>0</v>
      </c>
      <c r="D100" s="333">
        <f>'Base Costs'!D100</f>
        <v>0</v>
      </c>
      <c r="E100" s="333">
        <f>'Base Costs'!E100</f>
        <v>0</v>
      </c>
      <c r="F100" s="315"/>
      <c r="G100" s="315"/>
      <c r="H100" s="316">
        <f>'Input Data Sheet'!J100</f>
        <v>0</v>
      </c>
      <c r="I100" s="316"/>
      <c r="J100" s="316"/>
      <c r="K100" s="316"/>
      <c r="L100" s="316"/>
      <c r="M100" s="316"/>
      <c r="N100" s="316"/>
      <c r="O100" s="287">
        <f t="shared" si="5"/>
        <v>0</v>
      </c>
      <c r="P100" s="320">
        <f>(1+Parameters!$AB$39)*'Cost+Escalation'!P100</f>
        <v>0</v>
      </c>
      <c r="Q100" s="287">
        <f>(1+Parameters!$AB$39)*'Cost+Escalation'!Q100</f>
        <v>0</v>
      </c>
      <c r="R100" s="341">
        <f>(1+Parameters!$AB$39)*'Cost+Escalation'!R100</f>
        <v>0</v>
      </c>
      <c r="S100" s="341">
        <f>(1+Parameters!$AB$39)*'Cost+Escalation'!S100</f>
        <v>0</v>
      </c>
      <c r="T100" s="341">
        <f>(1+Parameters!$AB$39)*'Cost+Escalation'!T100</f>
        <v>0</v>
      </c>
      <c r="U100" s="341">
        <f>(1+Parameters!$AB$39)*'Cost+Escalation'!U100</f>
        <v>0</v>
      </c>
      <c r="V100" s="341">
        <f>(1+Parameters!$AB$39)*'Cost+Escalation'!V100</f>
        <v>0</v>
      </c>
      <c r="W100" s="287">
        <f>(1+Parameters!$AB$39)*'Cost+Escalation'!W100</f>
        <v>0</v>
      </c>
      <c r="X100" s="321">
        <f>(1+Parameters!$AB$39)*'Cost+Escalation'!X100</f>
        <v>0</v>
      </c>
      <c r="Y100" s="287">
        <f t="shared" si="8"/>
        <v>0</v>
      </c>
      <c r="Z100" s="287">
        <f t="shared" si="8"/>
        <v>0</v>
      </c>
      <c r="AA100" s="341">
        <f t="shared" si="8"/>
        <v>0</v>
      </c>
      <c r="AB100" s="341">
        <f t="shared" si="8"/>
        <v>0</v>
      </c>
      <c r="AC100" s="341">
        <f t="shared" si="8"/>
        <v>0</v>
      </c>
      <c r="AD100" s="341">
        <f t="shared" si="8"/>
        <v>0</v>
      </c>
      <c r="AE100" s="341">
        <f t="shared" si="8"/>
        <v>0</v>
      </c>
      <c r="AF100" s="287">
        <f t="shared" si="7"/>
        <v>0</v>
      </c>
      <c r="AG100" s="287">
        <f t="shared" si="7"/>
        <v>0</v>
      </c>
      <c r="AH100" s="322">
        <f>IF($H100,0,IFERROR(IF(VALUE(LEFT(D100,4))&gt;VALUE(LEFT(Parameters!$B$66,4))+1,O100-SUM(R100:X100),0),0))</f>
        <v>0</v>
      </c>
    </row>
  </sheetData>
  <autoFilter ref="A3:AH100"/>
  <printOptions horizontalCentered="1"/>
  <pageMargins left="0.39370078740157483" right="0.39370078740157483" top="0.39370078740157483" bottom="0.39370078740157483" header="0" footer="0"/>
  <pageSetup paperSize="8" scale="78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36"/>
  <sheetViews>
    <sheetView topLeftCell="A97" zoomScale="85" zoomScaleNormal="85" workbookViewId="0">
      <selection activeCell="P122" sqref="P122"/>
    </sheetView>
  </sheetViews>
  <sheetFormatPr defaultColWidth="9.109375" defaultRowHeight="13.8" x14ac:dyDescent="0.3"/>
  <cols>
    <col min="1" max="1" width="9.88671875" style="1" customWidth="1"/>
    <col min="2" max="2" width="9.109375" style="1"/>
    <col min="3" max="13" width="8.5546875" style="1" customWidth="1"/>
    <col min="14" max="14" width="2.88671875" style="1" customWidth="1"/>
    <col min="15" max="26" width="8.6640625" style="1" customWidth="1"/>
    <col min="27" max="16384" width="9.109375" style="1"/>
  </cols>
  <sheetData>
    <row r="1" spans="2:26" ht="35.25" customHeight="1" x14ac:dyDescent="0.7">
      <c r="B1" s="601" t="s">
        <v>94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</row>
    <row r="2" spans="2:26" ht="14.4" thickBot="1" x14ac:dyDescent="0.35">
      <c r="B2" s="71" t="s">
        <v>86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 t="s">
        <v>87</v>
      </c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2:26" ht="41.25" thickBot="1" x14ac:dyDescent="0.25">
      <c r="B3" s="72"/>
      <c r="C3" s="179" t="str">
        <f t="array" ref="C3:K3">'Base Costs'!P3:X3</f>
        <v>2012/13</v>
      </c>
      <c r="D3" s="180" t="str">
        <v>2013/14</v>
      </c>
      <c r="E3" s="285" t="str">
        <v>2014/15</v>
      </c>
      <c r="F3" s="285" t="str">
        <v>2015/16</v>
      </c>
      <c r="G3" s="285" t="str">
        <v>2016/17</v>
      </c>
      <c r="H3" s="285" t="str">
        <v>2017/18</v>
      </c>
      <c r="I3" s="285" t="str">
        <v>2018/19</v>
      </c>
      <c r="J3" s="180" t="str">
        <v>2019/20</v>
      </c>
      <c r="K3" s="181" t="str">
        <v>2020/21</v>
      </c>
      <c r="L3" s="296" t="str">
        <f>LEFT(E3,4) &amp; "-" &amp; RIGHT(I3,2) &amp; "
Total"</f>
        <v>2014-19
Total</v>
      </c>
      <c r="M3" s="73" t="s">
        <v>12</v>
      </c>
      <c r="N3" s="72"/>
      <c r="O3" s="72"/>
      <c r="P3" s="179" t="str">
        <f t="array" ref="P3:X3">'Base Costs'!P3:X3</f>
        <v>2012/13</v>
      </c>
      <c r="Q3" s="180" t="str">
        <v>2013/14</v>
      </c>
      <c r="R3" s="285" t="str">
        <v>2014/15</v>
      </c>
      <c r="S3" s="285" t="str">
        <v>2015/16</v>
      </c>
      <c r="T3" s="285" t="str">
        <v>2016/17</v>
      </c>
      <c r="U3" s="285" t="str">
        <v>2017/18</v>
      </c>
      <c r="V3" s="285" t="str">
        <v>2018/19</v>
      </c>
      <c r="W3" s="180" t="str">
        <v>2019/20</v>
      </c>
      <c r="X3" s="181" t="str">
        <v>2020/21</v>
      </c>
      <c r="Y3" s="296" t="str">
        <f>$L$3</f>
        <v>2014-19
Total</v>
      </c>
      <c r="Z3" s="73" t="s">
        <v>12</v>
      </c>
    </row>
    <row r="4" spans="2:26" ht="12.75" x14ac:dyDescent="0.2">
      <c r="B4" s="74" t="str">
        <f t="array" ref="B4:B27">TRANSPOSE('Input Data Sheet'!Z3:AW3)</f>
        <v>TL60</v>
      </c>
      <c r="C4" s="75">
        <f>SUMPRODUCT('Base Costs'!$AI$4:$AI$100,'Base Costs'!P$4:P$100)</f>
        <v>0</v>
      </c>
      <c r="D4" s="76">
        <f>SUMPRODUCT('Base Costs'!$AI$4:$AI$100,'Base Costs'!Q$4:Q$100)</f>
        <v>781.4363034819479</v>
      </c>
      <c r="E4" s="286">
        <f>SUMPRODUCT('Base Costs'!$AI$4:$AI$100,'Base Costs'!R$4:R$100)</f>
        <v>4037013.3127699746</v>
      </c>
      <c r="F4" s="286">
        <f>SUMPRODUCT('Base Costs'!$AI$4:$AI$100,'Base Costs'!S$4:S$100)</f>
        <v>6910962.0282751722</v>
      </c>
      <c r="G4" s="286">
        <f>SUMPRODUCT('Base Costs'!$AI$4:$AI$100,'Base Costs'!T$4:T$100)</f>
        <v>6875382.8840598334</v>
      </c>
      <c r="H4" s="286">
        <f>SUMPRODUCT('Base Costs'!$AI$4:$AI$100,'Base Costs'!U$4:U$100)</f>
        <v>7722984.4363966305</v>
      </c>
      <c r="I4" s="286">
        <f>SUMPRODUCT('Base Costs'!$AI$4:$AI$100,'Base Costs'!V$4:V$100)</f>
        <v>8901193.0215569511</v>
      </c>
      <c r="J4" s="76">
        <f>SUMPRODUCT('Base Costs'!$AI$4:$AI$100,'Base Costs'!W$4:W$100)</f>
        <v>2432150.0745718465</v>
      </c>
      <c r="K4" s="77">
        <f>SUMPRODUCT('Base Costs'!$AI$4:$AI$100,'Base Costs'!X$4:X$100)</f>
        <v>0</v>
      </c>
      <c r="L4" s="77">
        <f t="shared" ref="L4:L28" si="0">SUM(E4:I4)</f>
        <v>34447535.68305856</v>
      </c>
      <c r="M4" s="77">
        <f>SUM(C4:K4)</f>
        <v>36880467.193933889</v>
      </c>
      <c r="N4" s="72"/>
      <c r="O4" s="74" t="str">
        <f t="array" ref="O4:O27">$B$4:$B$27</f>
        <v>TL60</v>
      </c>
      <c r="P4" s="75">
        <f>SUMPRODUCT('Base Costs'!$AI$4:$AI$100,'Base Costs'!Y$4:Y$100)</f>
        <v>0</v>
      </c>
      <c r="Q4" s="76">
        <f>SUMPRODUCT('Base Costs'!$AI$4:$AI$100,'Base Costs'!Z$4:Z$100)</f>
        <v>781.4363034819479</v>
      </c>
      <c r="R4" s="286">
        <f>SUMPRODUCT('Base Costs'!$AI$4:$AI$100,'Base Costs'!AA$4:AA$100)</f>
        <v>3628335.9329856895</v>
      </c>
      <c r="S4" s="286">
        <f>SUMPRODUCT('Base Costs'!$AI$4:$AI$100,'Base Costs'!AB$4:AB$100)</f>
        <v>5576628</v>
      </c>
      <c r="T4" s="286">
        <f>SUMPRODUCT('Base Costs'!$AI$4:$AI$100,'Base Costs'!AC$4:AC$100)</f>
        <v>8419054.5402719267</v>
      </c>
      <c r="U4" s="286">
        <f>SUMPRODUCT('Base Costs'!$AI$4:$AI$100,'Base Costs'!AD$4:AD$100)</f>
        <v>4857305.0597280739</v>
      </c>
      <c r="V4" s="286">
        <f>SUMPRODUCT('Base Costs'!$AI$4:$AI$100,'Base Costs'!AE$4:AE$100)</f>
        <v>10898480.800000001</v>
      </c>
      <c r="W4" s="76">
        <f>SUMPRODUCT('Base Costs'!$AI$4:$AI$100,'Base Costs'!AF$4:AF$100)</f>
        <v>0</v>
      </c>
      <c r="X4" s="77">
        <f>SUMPRODUCT('Base Costs'!$AI$4:$AI$100,'Base Costs'!AG$4:AG$100)</f>
        <v>3499881.4246447179</v>
      </c>
      <c r="Y4" s="77">
        <f t="shared" ref="Y4:Y28" si="1">SUM(R4:V4)</f>
        <v>33379804.332985692</v>
      </c>
      <c r="Z4" s="77">
        <f>SUM(P4:X4)</f>
        <v>36880467.193933889</v>
      </c>
    </row>
    <row r="5" spans="2:26" ht="12.75" x14ac:dyDescent="0.2">
      <c r="B5" s="78" t="str">
        <v>TL45</v>
      </c>
      <c r="C5" s="79">
        <f>SUMPRODUCT('Base Costs'!$AJ$4:$AJ$100,'Base Costs'!P$4:P$100)</f>
        <v>0</v>
      </c>
      <c r="D5" s="80">
        <f>SUMPRODUCT('Base Costs'!$AJ$4:$AJ$100,'Base Costs'!Q$4:Q$100)</f>
        <v>850.89730823589878</v>
      </c>
      <c r="E5" s="287">
        <f>SUMPRODUCT('Base Costs'!$AJ$4:$AJ$100,'Base Costs'!R$4:R$100)</f>
        <v>2583441.068799891</v>
      </c>
      <c r="F5" s="287">
        <f>SUMPRODUCT('Base Costs'!$AJ$4:$AJ$100,'Base Costs'!S$4:S$100)</f>
        <v>4293777.1094895862</v>
      </c>
      <c r="G5" s="287">
        <f>SUMPRODUCT('Base Costs'!$AJ$4:$AJ$100,'Base Costs'!T$4:T$100)</f>
        <v>3622809.0827995772</v>
      </c>
      <c r="H5" s="287">
        <f>SUMPRODUCT('Base Costs'!$AJ$4:$AJ$100,'Base Costs'!U$4:U$100)</f>
        <v>5006223.8556214785</v>
      </c>
      <c r="I5" s="287">
        <f>SUMPRODUCT('Base Costs'!$AJ$4:$AJ$100,'Base Costs'!V$4:V$100)</f>
        <v>5959206.2939541843</v>
      </c>
      <c r="J5" s="80">
        <f>SUMPRODUCT('Base Costs'!$AJ$4:$AJ$100,'Base Costs'!W$4:W$100)</f>
        <v>2648340.8216856201</v>
      </c>
      <c r="K5" s="81">
        <f>SUMPRODUCT('Base Costs'!$AJ$4:$AJ$100,'Base Costs'!X$4:X$100)</f>
        <v>0</v>
      </c>
      <c r="L5" s="81">
        <f t="shared" si="0"/>
        <v>21465457.410664715</v>
      </c>
      <c r="M5" s="81">
        <f>SUM(C5:K5)</f>
        <v>24114649.129658572</v>
      </c>
      <c r="N5" s="72"/>
      <c r="O5" s="78" t="str">
        <v>TL45</v>
      </c>
      <c r="P5" s="79">
        <f>SUMPRODUCT('Base Costs'!$AJ$4:$AJ$100,'Base Costs'!Y$4:Y$100)</f>
        <v>0</v>
      </c>
      <c r="Q5" s="80">
        <f>SUMPRODUCT('Base Costs'!$AJ$4:$AJ$100,'Base Costs'!Z$4:Z$100)</f>
        <v>850.89730823589878</v>
      </c>
      <c r="R5" s="287">
        <f>SUMPRODUCT('Base Costs'!$AJ$4:$AJ$100,'Base Costs'!AA$4:AA$100)</f>
        <v>2550176.6299594869</v>
      </c>
      <c r="S5" s="287">
        <f>SUMPRODUCT('Base Costs'!$AJ$4:$AJ$100,'Base Costs'!AB$4:AB$100)</f>
        <v>4185168.5149999992</v>
      </c>
      <c r="T5" s="287">
        <f>SUMPRODUCT('Base Costs'!$AJ$4:$AJ$100,'Base Costs'!AC$4:AC$100)</f>
        <v>3653084.0152719254</v>
      </c>
      <c r="U5" s="287">
        <f>SUMPRODUCT('Base Costs'!$AJ$4:$AJ$100,'Base Costs'!AD$4:AD$100)</f>
        <v>3401905.7347280737</v>
      </c>
      <c r="V5" s="287">
        <f>SUMPRODUCT('Base Costs'!$AJ$4:$AJ$100,'Base Costs'!AE$4:AE$100)</f>
        <v>6512481.875</v>
      </c>
      <c r="W5" s="80">
        <f>SUMPRODUCT('Base Costs'!$AJ$4:$AJ$100,'Base Costs'!AF$4:AF$100)</f>
        <v>0</v>
      </c>
      <c r="X5" s="81">
        <f>SUMPRODUCT('Base Costs'!$AJ$4:$AJ$100,'Base Costs'!AG$4:AG$100)</f>
        <v>3810981.4623908508</v>
      </c>
      <c r="Y5" s="81">
        <f t="shared" si="1"/>
        <v>20302816.769959487</v>
      </c>
      <c r="Z5" s="81">
        <f t="shared" ref="Z5:Z18" si="2">SUM(P5:X5)</f>
        <v>24114649.129658572</v>
      </c>
    </row>
    <row r="6" spans="2:26" ht="12.75" x14ac:dyDescent="0.2">
      <c r="B6" s="78" t="str">
        <v>TL10</v>
      </c>
      <c r="C6" s="79">
        <f>SUMPRODUCT('Base Costs'!$AK$4:$AK$100,'Base Costs'!P$4:P$100)</f>
        <v>0</v>
      </c>
      <c r="D6" s="80">
        <f>SUMPRODUCT('Base Costs'!$AK$4:$AK$100,'Base Costs'!Q$4:Q$100)</f>
        <v>104.19150713092638</v>
      </c>
      <c r="E6" s="287">
        <f>SUMPRODUCT('Base Costs'!$AK$4:$AK$100,'Base Costs'!R$4:R$100)</f>
        <v>499724.75460099644</v>
      </c>
      <c r="F6" s="287">
        <f>SUMPRODUCT('Base Costs'!$AK$4:$AK$100,'Base Costs'!S$4:S$100)</f>
        <v>949972.00448958599</v>
      </c>
      <c r="G6" s="287">
        <f>SUMPRODUCT('Base Costs'!$AK$4:$AK$100,'Base Costs'!T$4:T$100)</f>
        <v>912635.76318316383</v>
      </c>
      <c r="H6" s="287">
        <f>SUMPRODUCT('Base Costs'!$AK$4:$AK$100,'Base Costs'!U$4:U$100)</f>
        <v>1049387.2083790926</v>
      </c>
      <c r="I6" s="287">
        <f>SUMPRODUCT('Base Costs'!$AK$4:$AK$100,'Base Costs'!V$4:V$100)</f>
        <v>1189471.9861327643</v>
      </c>
      <c r="J6" s="80">
        <f>SUMPRODUCT('Base Costs'!$AK$4:$AK$100,'Base Costs'!W$4:W$100)</f>
        <v>324286.8155943093</v>
      </c>
      <c r="K6" s="81">
        <f>SUMPRODUCT('Base Costs'!$AK$4:$AK$100,'Base Costs'!X$4:X$100)</f>
        <v>0</v>
      </c>
      <c r="L6" s="81">
        <f t="shared" si="0"/>
        <v>4601191.7167856032</v>
      </c>
      <c r="M6" s="81">
        <f t="shared" ref="M6:M18" si="3">SUM(C6:K6)</f>
        <v>4925582.7238870431</v>
      </c>
      <c r="N6" s="72"/>
      <c r="O6" s="78" t="str">
        <v>TL10</v>
      </c>
      <c r="P6" s="79">
        <f>SUMPRODUCT('Base Costs'!$AK$4:$AK$100,'Base Costs'!Y$4:Y$100)</f>
        <v>0</v>
      </c>
      <c r="Q6" s="80">
        <f>SUMPRODUCT('Base Costs'!$AK$4:$AK$100,'Base Costs'!Z$4:Z$100)</f>
        <v>104.19150713092638</v>
      </c>
      <c r="R6" s="287">
        <f>SUMPRODUCT('Base Costs'!$AK$4:$AK$100,'Base Costs'!AA$4:AA$100)</f>
        <v>466460.31576059241</v>
      </c>
      <c r="S6" s="287">
        <f>SUMPRODUCT('Base Costs'!$AK$4:$AK$100,'Base Costs'!AB$4:AB$100)</f>
        <v>841363.41</v>
      </c>
      <c r="T6" s="287">
        <f>SUMPRODUCT('Base Costs'!$AK$4:$AK$100,'Base Costs'!AC$4:AC$100)</f>
        <v>1033366.8499999999</v>
      </c>
      <c r="U6" s="287">
        <f>SUMPRODUCT('Base Costs'!$AK$4:$AK$100,'Base Costs'!AD$4:AD$100)</f>
        <v>745453.65</v>
      </c>
      <c r="V6" s="287">
        <f>SUMPRODUCT('Base Costs'!$AK$4:$AK$100,'Base Costs'!AE$4:AE$100)</f>
        <v>1372183.25</v>
      </c>
      <c r="W6" s="80">
        <f>SUMPRODUCT('Base Costs'!$AK$4:$AK$100,'Base Costs'!AF$4:AF$100)</f>
        <v>0</v>
      </c>
      <c r="X6" s="81">
        <f>SUMPRODUCT('Base Costs'!$AK$4:$AK$100,'Base Costs'!AG$4:AG$100)</f>
        <v>466651.05661932001</v>
      </c>
      <c r="Y6" s="81">
        <f t="shared" si="1"/>
        <v>4458827.4757605921</v>
      </c>
      <c r="Z6" s="81">
        <f t="shared" si="2"/>
        <v>4925582.7238870431</v>
      </c>
    </row>
    <row r="7" spans="2:26" ht="12.75" x14ac:dyDescent="0.2">
      <c r="B7" s="78" t="str">
        <v>SS60</v>
      </c>
      <c r="C7" s="79">
        <f>SUMPRODUCT('Base Costs'!$AL$4:$AL$100,'Base Costs'!P$4:P$100)</f>
        <v>0</v>
      </c>
      <c r="D7" s="80">
        <f>SUMPRODUCT('Base Costs'!$AL$4:$AL$100,'Base Costs'!Q$4:Q$100)</f>
        <v>1581074.9627622396</v>
      </c>
      <c r="E7" s="287">
        <f>SUMPRODUCT('Base Costs'!$AL$4:$AL$100,'Base Costs'!R$4:R$100)</f>
        <v>7113503.8254763652</v>
      </c>
      <c r="F7" s="287">
        <f>SUMPRODUCT('Base Costs'!$AL$4:$AL$100,'Base Costs'!S$4:S$100)</f>
        <v>6418621.4769195672</v>
      </c>
      <c r="G7" s="287">
        <f>SUMPRODUCT('Base Costs'!$AL$4:$AL$100,'Base Costs'!T$4:T$100)</f>
        <v>5677657.7837589299</v>
      </c>
      <c r="H7" s="287">
        <f>SUMPRODUCT('Base Costs'!$AL$4:$AL$100,'Base Costs'!U$4:U$100)</f>
        <v>3721091.1802017391</v>
      </c>
      <c r="I7" s="287">
        <f>SUMPRODUCT('Base Costs'!$AL$4:$AL$100,'Base Costs'!V$4:V$100)</f>
        <v>2058838.6054849185</v>
      </c>
      <c r="J7" s="80">
        <f>SUMPRODUCT('Base Costs'!$AL$4:$AL$100,'Base Costs'!W$4:W$100)</f>
        <v>28309.799601160121</v>
      </c>
      <c r="K7" s="81">
        <f>SUMPRODUCT('Base Costs'!$AL$4:$AL$100,'Base Costs'!X$4:X$100)</f>
        <v>0</v>
      </c>
      <c r="L7" s="81">
        <f t="shared" si="0"/>
        <v>24989712.87184152</v>
      </c>
      <c r="M7" s="81">
        <f t="shared" si="3"/>
        <v>26599097.63420492</v>
      </c>
      <c r="N7" s="72"/>
      <c r="O7" s="78" t="str">
        <v>SS60</v>
      </c>
      <c r="P7" s="79">
        <f>SUMPRODUCT('Base Costs'!$AL$4:$AL$100,'Base Costs'!Y$4:Y$100)</f>
        <v>0</v>
      </c>
      <c r="Q7" s="80">
        <f>SUMPRODUCT('Base Costs'!$AL$4:$AL$100,'Base Costs'!Z$4:Z$100)</f>
        <v>0</v>
      </c>
      <c r="R7" s="287">
        <f>SUMPRODUCT('Base Costs'!$AL$4:$AL$100,'Base Costs'!AA$4:AA$100)</f>
        <v>7925711.7962815221</v>
      </c>
      <c r="S7" s="287">
        <f>SUMPRODUCT('Base Costs'!$AL$4:$AL$100,'Base Costs'!AB$4:AB$100)</f>
        <v>3059231.4080328764</v>
      </c>
      <c r="T7" s="287">
        <f>SUMPRODUCT('Base Costs'!$AL$4:$AL$100,'Base Costs'!AC$4:AC$100)</f>
        <v>9214542.5945014544</v>
      </c>
      <c r="U7" s="287">
        <f>SUMPRODUCT('Base Costs'!$AL$4:$AL$100,'Base Costs'!AD$4:AD$100)</f>
        <v>2318407.5620801742</v>
      </c>
      <c r="V7" s="287">
        <f>SUMPRODUCT('Base Costs'!$AL$4:$AL$100,'Base Costs'!AE$4:AE$100)</f>
        <v>4040466.2683661021</v>
      </c>
      <c r="W7" s="80">
        <f>SUMPRODUCT('Base Costs'!$AL$4:$AL$100,'Base Costs'!AF$4:AF$100)</f>
        <v>0</v>
      </c>
      <c r="X7" s="81">
        <f>SUMPRODUCT('Base Costs'!$AL$4:$AL$100,'Base Costs'!AG$4:AG$100)</f>
        <v>40738.004942789914</v>
      </c>
      <c r="Y7" s="81">
        <f t="shared" si="1"/>
        <v>26558359.629262131</v>
      </c>
      <c r="Z7" s="81">
        <f t="shared" si="2"/>
        <v>26599097.63420492</v>
      </c>
    </row>
    <row r="8" spans="2:26" ht="12.75" x14ac:dyDescent="0.2">
      <c r="B8" s="78" t="str">
        <v>SS45</v>
      </c>
      <c r="C8" s="79">
        <f>SUMPRODUCT('Base Costs'!$AM$4:$AM$100,'Base Costs'!P$4:P$100)</f>
        <v>0</v>
      </c>
      <c r="D8" s="80">
        <f>SUMPRODUCT('Base Costs'!$AM$4:$AM$100,'Base Costs'!Q$4:Q$100)</f>
        <v>2540901.4343806626</v>
      </c>
      <c r="E8" s="287">
        <f>SUMPRODUCT('Base Costs'!$AM$4:$AM$100,'Base Costs'!R$4:R$100)</f>
        <v>12609673.696885718</v>
      </c>
      <c r="F8" s="287">
        <f>SUMPRODUCT('Base Costs'!$AM$4:$AM$100,'Base Costs'!S$4:S$100)</f>
        <v>18468434.509061694</v>
      </c>
      <c r="G8" s="287">
        <f>SUMPRODUCT('Base Costs'!$AM$4:$AM$100,'Base Costs'!T$4:T$100)</f>
        <v>11558978.819908222</v>
      </c>
      <c r="H8" s="287">
        <f>SUMPRODUCT('Base Costs'!$AM$4:$AM$100,'Base Costs'!U$4:U$100)</f>
        <v>9069336.5322960541</v>
      </c>
      <c r="I8" s="287">
        <f>SUMPRODUCT('Base Costs'!$AM$4:$AM$100,'Base Costs'!V$4:V$100)</f>
        <v>4301225.5826403564</v>
      </c>
      <c r="J8" s="80">
        <f>SUMPRODUCT('Base Costs'!$AM$4:$AM$100,'Base Costs'!W$4:W$100)</f>
        <v>45497.346204711925</v>
      </c>
      <c r="K8" s="81">
        <f>SUMPRODUCT('Base Costs'!$AM$4:$AM$100,'Base Costs'!X$4:X$100)</f>
        <v>0</v>
      </c>
      <c r="L8" s="81">
        <f t="shared" si="0"/>
        <v>56007649.140792049</v>
      </c>
      <c r="M8" s="81">
        <f t="shared" si="3"/>
        <v>58594047.921377428</v>
      </c>
      <c r="N8" s="72"/>
      <c r="O8" s="78" t="str">
        <v>SS45</v>
      </c>
      <c r="P8" s="79">
        <f>SUMPRODUCT('Base Costs'!$AM$4:$AM$100,'Base Costs'!Y$4:Y$100)</f>
        <v>0</v>
      </c>
      <c r="Q8" s="80">
        <f>SUMPRODUCT('Base Costs'!$AM$4:$AM$100,'Base Costs'!Z$4:Z$100)</f>
        <v>0</v>
      </c>
      <c r="R8" s="287">
        <f>SUMPRODUCT('Base Costs'!$AM$4:$AM$100,'Base Costs'!AA$4:AA$100)</f>
        <v>13059244.720765289</v>
      </c>
      <c r="S8" s="287">
        <f>SUMPRODUCT('Base Costs'!$AM$4:$AM$100,'Base Costs'!AB$4:AB$100)</f>
        <v>7007585.8075369075</v>
      </c>
      <c r="T8" s="287">
        <f>SUMPRODUCT('Base Costs'!$AM$4:$AM$100,'Base Costs'!AC$4:AC$100)</f>
        <v>23206512.766482461</v>
      </c>
      <c r="U8" s="287">
        <f>SUMPRODUCT('Base Costs'!$AM$4:$AM$100,'Base Costs'!AD$4:AD$100)</f>
        <v>5033797.4695802387</v>
      </c>
      <c r="V8" s="287">
        <f>SUMPRODUCT('Base Costs'!$AM$4:$AM$100,'Base Costs'!AE$4:AE$100)</f>
        <v>10221436.149068851</v>
      </c>
      <c r="W8" s="80">
        <f>SUMPRODUCT('Base Costs'!$AM$4:$AM$100,'Base Costs'!AF$4:AF$100)</f>
        <v>0</v>
      </c>
      <c r="X8" s="81">
        <f>SUMPRODUCT('Base Costs'!$AM$4:$AM$100,'Base Costs'!AG$4:AG$100)</f>
        <v>65471.007943674187</v>
      </c>
      <c r="Y8" s="81">
        <f t="shared" si="1"/>
        <v>58528576.913433746</v>
      </c>
      <c r="Z8" s="81">
        <f t="shared" si="2"/>
        <v>58594047.92137742</v>
      </c>
    </row>
    <row r="9" spans="2:26" ht="12.75" x14ac:dyDescent="0.2">
      <c r="B9" s="78" t="str">
        <v>SS15</v>
      </c>
      <c r="C9" s="79">
        <f>SUMPRODUCT('Base Costs'!$AN$4:$AN$100,'Base Costs'!P$4:P$100)</f>
        <v>0</v>
      </c>
      <c r="D9" s="80">
        <f>SUMPRODUCT('Base Costs'!$AN$4:$AN$100,'Base Costs'!Q$4:Q$100)</f>
        <v>338801.74671000079</v>
      </c>
      <c r="E9" s="287">
        <f>SUMPRODUCT('Base Costs'!$AN$4:$AN$100,'Base Costs'!R$4:R$100)</f>
        <v>2301399.8212667522</v>
      </c>
      <c r="F9" s="287">
        <f>SUMPRODUCT('Base Costs'!$AN$4:$AN$100,'Base Costs'!S$4:S$100)</f>
        <v>1809944.2330737982</v>
      </c>
      <c r="G9" s="287">
        <f>SUMPRODUCT('Base Costs'!$AN$4:$AN$100,'Base Costs'!T$4:T$100)</f>
        <v>1886403.3325183997</v>
      </c>
      <c r="H9" s="287">
        <f>SUMPRODUCT('Base Costs'!$AN$4:$AN$100,'Base Costs'!U$4:U$100)</f>
        <v>1496764.0407965058</v>
      </c>
      <c r="I9" s="287">
        <f>SUMPRODUCT('Base Costs'!$AN$4:$AN$100,'Base Costs'!V$4:V$100)</f>
        <v>1231674.0182694229</v>
      </c>
      <c r="J9" s="80">
        <f>SUMPRODUCT('Base Costs'!$AN$4:$AN$100,'Base Costs'!W$4:W$100)</f>
        <v>6066.6834532409021</v>
      </c>
      <c r="K9" s="81">
        <f>SUMPRODUCT('Base Costs'!$AN$4:$AN$100,'Base Costs'!X$4:X$100)</f>
        <v>0</v>
      </c>
      <c r="L9" s="81">
        <f t="shared" si="0"/>
        <v>8726185.44592488</v>
      </c>
      <c r="M9" s="81">
        <f t="shared" si="3"/>
        <v>9071053.8760881219</v>
      </c>
      <c r="N9" s="72"/>
      <c r="O9" s="78" t="str">
        <v>SS15</v>
      </c>
      <c r="P9" s="79">
        <f>SUMPRODUCT('Base Costs'!$AN$4:$AN$100,'Base Costs'!Y$4:Y$100)</f>
        <v>0</v>
      </c>
      <c r="Q9" s="80">
        <f>SUMPRODUCT('Base Costs'!$AN$4:$AN$100,'Base Costs'!Z$4:Z$100)</f>
        <v>0</v>
      </c>
      <c r="R9" s="287">
        <f>SUMPRODUCT('Base Costs'!$AN$4:$AN$100,'Base Costs'!AA$4:AA$100)</f>
        <v>2517691.0584978252</v>
      </c>
      <c r="S9" s="287">
        <f>SUMPRODUCT('Base Costs'!$AN$4:$AN$100,'Base Costs'!AB$4:AB$100)</f>
        <v>1398305.4116050962</v>
      </c>
      <c r="T9" s="287">
        <f>SUMPRODUCT('Base Costs'!$AN$4:$AN$100,'Base Costs'!AC$4:AC$100)</f>
        <v>2335295.1447386262</v>
      </c>
      <c r="U9" s="287">
        <f>SUMPRODUCT('Base Costs'!$AN$4:$AN$100,'Base Costs'!AD$4:AD$100)</f>
        <v>1273589.9726799938</v>
      </c>
      <c r="V9" s="287">
        <f>SUMPRODUCT('Base Costs'!$AN$4:$AN$100,'Base Costs'!AE$4:AE$100)</f>
        <v>1537442.2875073578</v>
      </c>
      <c r="W9" s="80">
        <f>SUMPRODUCT('Base Costs'!$AN$4:$AN$100,'Base Costs'!AF$4:AF$100)</f>
        <v>0</v>
      </c>
      <c r="X9" s="81">
        <f>SUMPRODUCT('Base Costs'!$AN$4:$AN$100,'Base Costs'!AG$4:AG$100)</f>
        <v>8730.0010592212675</v>
      </c>
      <c r="Y9" s="81">
        <f t="shared" si="1"/>
        <v>9062323.8750288989</v>
      </c>
      <c r="Z9" s="81">
        <f t="shared" si="2"/>
        <v>9071053.87608812</v>
      </c>
    </row>
    <row r="10" spans="2:26" ht="12.75" x14ac:dyDescent="0.2">
      <c r="B10" s="78" t="str">
        <v>PC15</v>
      </c>
      <c r="C10" s="79">
        <f>SUMPRODUCT('Base Costs'!$AO$4:$AO$100,'Base Costs'!P$4:P$100)</f>
        <v>0</v>
      </c>
      <c r="D10" s="80">
        <f>SUMPRODUCT('Base Costs'!$AO$4:$AO$100,'Base Costs'!Q$4:Q$100)</f>
        <v>1185806.2557544902</v>
      </c>
      <c r="E10" s="287">
        <f>SUMPRODUCT('Base Costs'!$AO$4:$AO$100,'Base Costs'!R$4:R$100)</f>
        <v>5616474.2923395159</v>
      </c>
      <c r="F10" s="287">
        <f>SUMPRODUCT('Base Costs'!$AO$4:$AO$100,'Base Costs'!S$4:S$100)</f>
        <v>7436109.9426158033</v>
      </c>
      <c r="G10" s="287">
        <f>SUMPRODUCT('Base Costs'!$AO$4:$AO$100,'Base Costs'!T$4:T$100)</f>
        <v>9690329.6012405567</v>
      </c>
      <c r="H10" s="287">
        <f>SUMPRODUCT('Base Costs'!$AO$4:$AO$100,'Base Costs'!U$4:U$100)</f>
        <v>6916854.0484088743</v>
      </c>
      <c r="I10" s="287">
        <f>SUMPRODUCT('Base Costs'!$AO$4:$AO$100,'Base Costs'!V$4:V$100)</f>
        <v>7325352.3025485575</v>
      </c>
      <c r="J10" s="80">
        <f>SUMPRODUCT('Base Costs'!$AO$4:$AO$100,'Base Costs'!W$4:W$100)</f>
        <v>83050.002239045731</v>
      </c>
      <c r="K10" s="81">
        <f>SUMPRODUCT('Base Costs'!$AO$4:$AO$100,'Base Costs'!X$4:X$100)</f>
        <v>0</v>
      </c>
      <c r="L10" s="81">
        <f t="shared" si="0"/>
        <v>36985120.18715331</v>
      </c>
      <c r="M10" s="81">
        <f t="shared" si="3"/>
        <v>38253976.445146844</v>
      </c>
      <c r="N10" s="72"/>
      <c r="O10" s="78" t="str">
        <v>PC15</v>
      </c>
      <c r="P10" s="79">
        <f>SUMPRODUCT('Base Costs'!$AO$4:$AO$100,'Base Costs'!Y$4:Y$100)</f>
        <v>0</v>
      </c>
      <c r="Q10" s="80">
        <f>SUMPRODUCT('Base Costs'!$AO$4:$AO$100,'Base Costs'!Z$4:Z$100)</f>
        <v>0</v>
      </c>
      <c r="R10" s="287">
        <f>SUMPRODUCT('Base Costs'!$AO$4:$AO$100,'Base Costs'!AA$4:AA$100)</f>
        <v>6333410.6618884653</v>
      </c>
      <c r="S10" s="287">
        <f>SUMPRODUCT('Base Costs'!$AO$4:$AO$100,'Base Costs'!AB$4:AB$100)</f>
        <v>5641749.2743791565</v>
      </c>
      <c r="T10" s="287">
        <f>SUMPRODUCT('Base Costs'!$AO$4:$AO$100,'Base Costs'!AC$4:AC$100)</f>
        <v>11618868.079723271</v>
      </c>
      <c r="U10" s="287">
        <f>SUMPRODUCT('Base Costs'!$AO$4:$AO$100,'Base Costs'!AD$4:AD$100)</f>
        <v>5986438.3952138741</v>
      </c>
      <c r="V10" s="287">
        <f>SUMPRODUCT('Base Costs'!$AO$4:$AO$100,'Base Costs'!AE$4:AE$100)</f>
        <v>8581139.0302350447</v>
      </c>
      <c r="W10" s="80">
        <f>SUMPRODUCT('Base Costs'!$AO$4:$AO$100,'Base Costs'!AF$4:AF$100)</f>
        <v>61818</v>
      </c>
      <c r="X10" s="81">
        <f>SUMPRODUCT('Base Costs'!$AO$4:$AO$100,'Base Costs'!AG$4:AG$100)</f>
        <v>30553.00370703177</v>
      </c>
      <c r="Y10" s="81">
        <f t="shared" si="1"/>
        <v>38161605.441439807</v>
      </c>
      <c r="Z10" s="81">
        <f t="shared" si="2"/>
        <v>38253976.445146836</v>
      </c>
    </row>
    <row r="11" spans="2:26" ht="12.75" x14ac:dyDescent="0.2">
      <c r="B11" s="78" t="str">
        <v>PC4</v>
      </c>
      <c r="C11" s="79">
        <f>SUMPRODUCT('Base Costs'!$AP$4:$AP$100,'Base Costs'!P$4:P$100)</f>
        <v>0</v>
      </c>
      <c r="D11" s="80">
        <f>SUMPRODUCT('Base Costs'!$AP$4:$AP$100,'Base Costs'!Q$4:Q$100)</f>
        <v>0</v>
      </c>
      <c r="E11" s="287">
        <f>SUMPRODUCT('Base Costs'!$AP$4:$AP$100,'Base Costs'!R$4:R$100)</f>
        <v>0</v>
      </c>
      <c r="F11" s="287">
        <f>SUMPRODUCT('Base Costs'!$AP$4:$AP$100,'Base Costs'!S$4:S$100)</f>
        <v>0</v>
      </c>
      <c r="G11" s="287">
        <f>SUMPRODUCT('Base Costs'!$AP$4:$AP$100,'Base Costs'!T$4:T$100)</f>
        <v>0</v>
      </c>
      <c r="H11" s="287">
        <f>SUMPRODUCT('Base Costs'!$AP$4:$AP$100,'Base Costs'!U$4:U$100)</f>
        <v>0</v>
      </c>
      <c r="I11" s="287">
        <f>SUMPRODUCT('Base Costs'!$AP$4:$AP$100,'Base Costs'!V$4:V$100)</f>
        <v>0</v>
      </c>
      <c r="J11" s="80">
        <f>SUMPRODUCT('Base Costs'!$AP$4:$AP$100,'Base Costs'!W$4:W$100)</f>
        <v>0</v>
      </c>
      <c r="K11" s="81">
        <f>SUMPRODUCT('Base Costs'!$AP$4:$AP$100,'Base Costs'!X$4:X$100)</f>
        <v>0</v>
      </c>
      <c r="L11" s="81">
        <f t="shared" si="0"/>
        <v>0</v>
      </c>
      <c r="M11" s="81">
        <f t="shared" si="3"/>
        <v>0</v>
      </c>
      <c r="N11" s="72"/>
      <c r="O11" s="78" t="str">
        <v>PC4</v>
      </c>
      <c r="P11" s="79">
        <f>SUMPRODUCT('Base Costs'!$AP$4:$AP$100,'Base Costs'!Y$4:Y$100)</f>
        <v>0</v>
      </c>
      <c r="Q11" s="80">
        <f>SUMPRODUCT('Base Costs'!$AP$4:$AP$100,'Base Costs'!Z$4:Z$100)</f>
        <v>0</v>
      </c>
      <c r="R11" s="287">
        <f>SUMPRODUCT('Base Costs'!$AP$4:$AP$100,'Base Costs'!AA$4:AA$100)</f>
        <v>0</v>
      </c>
      <c r="S11" s="287">
        <f>SUMPRODUCT('Base Costs'!$AP$4:$AP$100,'Base Costs'!AB$4:AB$100)</f>
        <v>0</v>
      </c>
      <c r="T11" s="287">
        <f>SUMPRODUCT('Base Costs'!$AP$4:$AP$100,'Base Costs'!AC$4:AC$100)</f>
        <v>0</v>
      </c>
      <c r="U11" s="287">
        <f>SUMPRODUCT('Base Costs'!$AP$4:$AP$100,'Base Costs'!AD$4:AD$100)</f>
        <v>0</v>
      </c>
      <c r="V11" s="287">
        <f>SUMPRODUCT('Base Costs'!$AP$4:$AP$100,'Base Costs'!AE$4:AE$100)</f>
        <v>0</v>
      </c>
      <c r="W11" s="80">
        <f>SUMPRODUCT('Base Costs'!$AP$4:$AP$100,'Base Costs'!AF$4:AF$100)</f>
        <v>0</v>
      </c>
      <c r="X11" s="81">
        <f>SUMPRODUCT('Base Costs'!$AP$4:$AP$100,'Base Costs'!AG$4:AG$100)</f>
        <v>0</v>
      </c>
      <c r="Y11" s="81">
        <f t="shared" si="1"/>
        <v>0</v>
      </c>
      <c r="Z11" s="81">
        <f t="shared" si="2"/>
        <v>0</v>
      </c>
    </row>
    <row r="12" spans="2:26" ht="12.75" x14ac:dyDescent="0.2">
      <c r="B12" s="78" t="str">
        <v>TO10</v>
      </c>
      <c r="C12" s="79">
        <f>SUMPRODUCT('Base Costs'!$AQ$4:$AQ$100,'Base Costs'!P$4:P$100)</f>
        <v>0</v>
      </c>
      <c r="D12" s="80">
        <f>SUMPRODUCT('Base Costs'!$AQ$4:$AQ$100,'Base Costs'!Q$4:Q$100)</f>
        <v>0</v>
      </c>
      <c r="E12" s="287">
        <f>SUMPRODUCT('Base Costs'!$AQ$4:$AQ$100,'Base Costs'!R$4:R$100)</f>
        <v>1358400</v>
      </c>
      <c r="F12" s="287">
        <f>SUMPRODUCT('Base Costs'!$AQ$4:$AQ$100,'Base Costs'!S$4:S$100)</f>
        <v>4072850</v>
      </c>
      <c r="G12" s="287">
        <f>SUMPRODUCT('Base Costs'!$AQ$4:$AQ$100,'Base Costs'!T$4:T$100)</f>
        <v>2922550</v>
      </c>
      <c r="H12" s="287">
        <f>SUMPRODUCT('Base Costs'!$AQ$4:$AQ$100,'Base Costs'!U$4:U$100)</f>
        <v>1577850</v>
      </c>
      <c r="I12" s="287">
        <f>SUMPRODUCT('Base Costs'!$AQ$4:$AQ$100,'Base Costs'!V$4:V$100)</f>
        <v>1812700</v>
      </c>
      <c r="J12" s="80">
        <f>SUMPRODUCT('Base Costs'!$AQ$4:$AQ$100,'Base Costs'!W$4:W$100)</f>
        <v>0</v>
      </c>
      <c r="K12" s="81">
        <f>SUMPRODUCT('Base Costs'!$AQ$4:$AQ$100,'Base Costs'!X$4:X$100)</f>
        <v>0</v>
      </c>
      <c r="L12" s="81">
        <f t="shared" si="0"/>
        <v>11744350</v>
      </c>
      <c r="M12" s="81">
        <f t="shared" si="3"/>
        <v>11744350</v>
      </c>
      <c r="N12" s="72"/>
      <c r="O12" s="78" t="str">
        <v>TO10</v>
      </c>
      <c r="P12" s="79">
        <f>SUMPRODUCT('Base Costs'!$AQ$4:$AQ$100,'Base Costs'!Y$4:Y$100)</f>
        <v>0</v>
      </c>
      <c r="Q12" s="80">
        <f>SUMPRODUCT('Base Costs'!$AQ$4:$AQ$100,'Base Costs'!Z$4:Z$100)</f>
        <v>0</v>
      </c>
      <c r="R12" s="287">
        <f>SUMPRODUCT('Base Costs'!$AQ$4:$AQ$100,'Base Costs'!AA$4:AA$100)</f>
        <v>1203400</v>
      </c>
      <c r="S12" s="287">
        <f>SUMPRODUCT('Base Costs'!$AQ$4:$AQ$100,'Base Costs'!AB$4:AB$100)</f>
        <v>3592850</v>
      </c>
      <c r="T12" s="287">
        <f>SUMPRODUCT('Base Costs'!$AQ$4:$AQ$100,'Base Costs'!AC$4:AC$100)</f>
        <v>2657550</v>
      </c>
      <c r="U12" s="287">
        <f>SUMPRODUCT('Base Costs'!$AQ$4:$AQ$100,'Base Costs'!AD$4:AD$100)</f>
        <v>2477850</v>
      </c>
      <c r="V12" s="287">
        <f>SUMPRODUCT('Base Costs'!$AQ$4:$AQ$100,'Base Costs'!AE$4:AE$100)</f>
        <v>1812700</v>
      </c>
      <c r="W12" s="80">
        <f>SUMPRODUCT('Base Costs'!$AQ$4:$AQ$100,'Base Costs'!AF$4:AF$100)</f>
        <v>0</v>
      </c>
      <c r="X12" s="81">
        <f>SUMPRODUCT('Base Costs'!$AQ$4:$AQ$100,'Base Costs'!AG$4:AG$100)</f>
        <v>0</v>
      </c>
      <c r="Y12" s="81">
        <f t="shared" si="1"/>
        <v>11744350</v>
      </c>
      <c r="Z12" s="81">
        <f t="shared" si="2"/>
        <v>11744350</v>
      </c>
    </row>
    <row r="13" spans="2:26" ht="12.75" x14ac:dyDescent="0.2">
      <c r="B13" s="78" t="str">
        <v>TO4</v>
      </c>
      <c r="C13" s="79">
        <f>SUMPRODUCT('Base Costs'!$AR$4:$AR$100,'Base Costs'!P$4:P$100)</f>
        <v>0</v>
      </c>
      <c r="D13" s="80">
        <f>SUMPRODUCT('Base Costs'!$AR$4:$AR$100,'Base Costs'!Q$4:Q$100)</f>
        <v>0</v>
      </c>
      <c r="E13" s="287">
        <f>SUMPRODUCT('Base Costs'!$AR$4:$AR$100,'Base Costs'!R$4:R$100)</f>
        <v>0</v>
      </c>
      <c r="F13" s="287">
        <f>SUMPRODUCT('Base Costs'!$AR$4:$AR$100,'Base Costs'!S$4:S$100)</f>
        <v>600000</v>
      </c>
      <c r="G13" s="287">
        <f>SUMPRODUCT('Base Costs'!$AR$4:$AR$100,'Base Costs'!T$4:T$100)</f>
        <v>0</v>
      </c>
      <c r="H13" s="287">
        <f>SUMPRODUCT('Base Costs'!$AR$4:$AR$100,'Base Costs'!U$4:U$100)</f>
        <v>0</v>
      </c>
      <c r="I13" s="287">
        <f>SUMPRODUCT('Base Costs'!$AR$4:$AR$100,'Base Costs'!V$4:V$100)</f>
        <v>600000</v>
      </c>
      <c r="J13" s="80">
        <f>SUMPRODUCT('Base Costs'!$AR$4:$AR$100,'Base Costs'!W$4:W$100)</f>
        <v>0</v>
      </c>
      <c r="K13" s="81">
        <f>SUMPRODUCT('Base Costs'!$AR$4:$AR$100,'Base Costs'!X$4:X$100)</f>
        <v>0</v>
      </c>
      <c r="L13" s="81">
        <f t="shared" si="0"/>
        <v>1200000</v>
      </c>
      <c r="M13" s="81">
        <f t="shared" si="3"/>
        <v>1200000</v>
      </c>
      <c r="N13" s="72"/>
      <c r="O13" s="78" t="str">
        <v>TO4</v>
      </c>
      <c r="P13" s="79">
        <f>SUMPRODUCT('Base Costs'!$AR$4:$AR$100,'Base Costs'!Y$4:Y$100)</f>
        <v>0</v>
      </c>
      <c r="Q13" s="80">
        <f>SUMPRODUCT('Base Costs'!$AR$4:$AR$100,'Base Costs'!Z$4:Z$100)</f>
        <v>0</v>
      </c>
      <c r="R13" s="287">
        <f>SUMPRODUCT('Base Costs'!$AR$4:$AR$100,'Base Costs'!AA$4:AA$100)</f>
        <v>0</v>
      </c>
      <c r="S13" s="287">
        <f>SUMPRODUCT('Base Costs'!$AR$4:$AR$100,'Base Costs'!AB$4:AB$100)</f>
        <v>600000</v>
      </c>
      <c r="T13" s="287">
        <f>SUMPRODUCT('Base Costs'!$AR$4:$AR$100,'Base Costs'!AC$4:AC$100)</f>
        <v>0</v>
      </c>
      <c r="U13" s="287">
        <f>SUMPRODUCT('Base Costs'!$AR$4:$AR$100,'Base Costs'!AD$4:AD$100)</f>
        <v>0</v>
      </c>
      <c r="V13" s="287">
        <f>SUMPRODUCT('Base Costs'!$AR$4:$AR$100,'Base Costs'!AE$4:AE$100)</f>
        <v>600000</v>
      </c>
      <c r="W13" s="80">
        <f>SUMPRODUCT('Base Costs'!$AR$4:$AR$100,'Base Costs'!AF$4:AF$100)</f>
        <v>0</v>
      </c>
      <c r="X13" s="81">
        <f>SUMPRODUCT('Base Costs'!$AR$4:$AR$100,'Base Costs'!AG$4:AG$100)</f>
        <v>0</v>
      </c>
      <c r="Y13" s="81">
        <f t="shared" si="1"/>
        <v>1200000</v>
      </c>
      <c r="Z13" s="81">
        <f t="shared" si="2"/>
        <v>1200000</v>
      </c>
    </row>
    <row r="14" spans="2:26" ht="12.75" x14ac:dyDescent="0.2">
      <c r="B14" s="78" t="str">
        <v>Other40</v>
      </c>
      <c r="C14" s="79">
        <f>SUMPRODUCT('Base Costs'!$AS$4:$AS$100,'Base Costs'!P$4:P$100)</f>
        <v>0</v>
      </c>
      <c r="D14" s="80">
        <f>SUMPRODUCT('Base Costs'!$AS$4:$AS$100,'Base Costs'!Q$4:Q$100)</f>
        <v>15721.742431432094</v>
      </c>
      <c r="E14" s="287">
        <f>SUMPRODUCT('Base Costs'!$AS$4:$AS$100,'Base Costs'!R$4:R$100)</f>
        <v>179783.08816551202</v>
      </c>
      <c r="F14" s="287">
        <f>SUMPRODUCT('Base Costs'!$AS$4:$AS$100,'Base Costs'!S$4:S$100)</f>
        <v>727000</v>
      </c>
      <c r="G14" s="287">
        <f>SUMPRODUCT('Base Costs'!$AS$4:$AS$100,'Base Costs'!T$4:T$100)</f>
        <v>308000</v>
      </c>
      <c r="H14" s="287">
        <f>SUMPRODUCT('Base Costs'!$AS$4:$AS$100,'Base Costs'!U$4:U$100)</f>
        <v>0</v>
      </c>
      <c r="I14" s="287">
        <f>SUMPRODUCT('Base Costs'!$AS$4:$AS$100,'Base Costs'!V$4:V$100)</f>
        <v>0</v>
      </c>
      <c r="J14" s="80">
        <f>SUMPRODUCT('Base Costs'!$AS$4:$AS$100,'Base Costs'!W$4:W$100)</f>
        <v>0</v>
      </c>
      <c r="K14" s="81">
        <f>SUMPRODUCT('Base Costs'!$AS$4:$AS$100,'Base Costs'!X$4:X$100)</f>
        <v>0</v>
      </c>
      <c r="L14" s="81">
        <f t="shared" si="0"/>
        <v>1214783.0881655121</v>
      </c>
      <c r="M14" s="81">
        <f t="shared" si="3"/>
        <v>1230504.8305969441</v>
      </c>
      <c r="N14" s="72"/>
      <c r="O14" s="78" t="str">
        <v>Other40</v>
      </c>
      <c r="P14" s="79">
        <f>SUMPRODUCT('Base Costs'!$AS$4:$AS$100,'Base Costs'!Y$4:Y$100)</f>
        <v>0</v>
      </c>
      <c r="Q14" s="80">
        <f>SUMPRODUCT('Base Costs'!$AS$4:$AS$100,'Base Costs'!Z$4:Z$100)</f>
        <v>0</v>
      </c>
      <c r="R14" s="287">
        <f>SUMPRODUCT('Base Costs'!$AS$4:$AS$100,'Base Costs'!AA$4:AA$100)</f>
        <v>90504.830596944113</v>
      </c>
      <c r="S14" s="287">
        <f>SUMPRODUCT('Base Costs'!$AS$4:$AS$100,'Base Costs'!AB$4:AB$100)</f>
        <v>700000</v>
      </c>
      <c r="T14" s="287">
        <f>SUMPRODUCT('Base Costs'!$AS$4:$AS$100,'Base Costs'!AC$4:AC$100)</f>
        <v>440000</v>
      </c>
      <c r="U14" s="287">
        <f>SUMPRODUCT('Base Costs'!$AS$4:$AS$100,'Base Costs'!AD$4:AD$100)</f>
        <v>0</v>
      </c>
      <c r="V14" s="287">
        <f>SUMPRODUCT('Base Costs'!$AS$4:$AS$100,'Base Costs'!AE$4:AE$100)</f>
        <v>0</v>
      </c>
      <c r="W14" s="80">
        <f>SUMPRODUCT('Base Costs'!$AS$4:$AS$100,'Base Costs'!AF$4:AF$100)</f>
        <v>0</v>
      </c>
      <c r="X14" s="81">
        <f>SUMPRODUCT('Base Costs'!$AS$4:$AS$100,'Base Costs'!AG$4:AG$100)</f>
        <v>0</v>
      </c>
      <c r="Y14" s="81">
        <f t="shared" si="1"/>
        <v>1230504.8305969441</v>
      </c>
      <c r="Z14" s="81">
        <f t="shared" si="2"/>
        <v>1230504.8305969441</v>
      </c>
    </row>
    <row r="15" spans="2:26" ht="12.75" x14ac:dyDescent="0.2">
      <c r="B15" s="78" t="str">
        <v>Other9</v>
      </c>
      <c r="C15" s="79">
        <f>SUMPRODUCT('Base Costs'!$AT$4:$AT$100,'Base Costs'!P$4:P$100)</f>
        <v>0</v>
      </c>
      <c r="D15" s="80">
        <f>SUMPRODUCT('Base Costs'!$AT$4:$AT$100,'Base Costs'!Q$4:Q$100)</f>
        <v>78608.71215716048</v>
      </c>
      <c r="E15" s="287">
        <f>SUMPRODUCT('Base Costs'!$AT$4:$AT$100,'Base Costs'!R$4:R$100)</f>
        <v>1412043.4408275599</v>
      </c>
      <c r="F15" s="287">
        <f>SUMPRODUCT('Base Costs'!$AT$4:$AT$100,'Base Costs'!S$4:S$100)</f>
        <v>1083000</v>
      </c>
      <c r="G15" s="287">
        <f>SUMPRODUCT('Base Costs'!$AT$4:$AT$100,'Base Costs'!T$4:T$100)</f>
        <v>731750</v>
      </c>
      <c r="H15" s="287">
        <f>SUMPRODUCT('Base Costs'!$AT$4:$AT$100,'Base Costs'!U$4:U$100)</f>
        <v>336350</v>
      </c>
      <c r="I15" s="287">
        <f>SUMPRODUCT('Base Costs'!$AT$4:$AT$100,'Base Costs'!V$4:V$100)</f>
        <v>872200</v>
      </c>
      <c r="J15" s="80">
        <f>SUMPRODUCT('Base Costs'!$AT$4:$AT$100,'Base Costs'!W$4:W$100)</f>
        <v>0</v>
      </c>
      <c r="K15" s="81">
        <f>SUMPRODUCT('Base Costs'!$AT$4:$AT$100,'Base Costs'!X$4:X$100)</f>
        <v>0</v>
      </c>
      <c r="L15" s="81">
        <f t="shared" si="0"/>
        <v>4435343.4408275597</v>
      </c>
      <c r="M15" s="81">
        <f t="shared" si="3"/>
        <v>4513952.1529847207</v>
      </c>
      <c r="N15" s="72"/>
      <c r="O15" s="78" t="str">
        <v>Other9</v>
      </c>
      <c r="P15" s="79">
        <f>SUMPRODUCT('Base Costs'!$AT$4:$AT$100,'Base Costs'!Y$4:Y$100)</f>
        <v>0</v>
      </c>
      <c r="Q15" s="80">
        <f>SUMPRODUCT('Base Costs'!$AT$4:$AT$100,'Base Costs'!Z$4:Z$100)</f>
        <v>0</v>
      </c>
      <c r="R15" s="287">
        <f>SUMPRODUCT('Base Costs'!$AT$4:$AT$100,'Base Costs'!AA$4:AA$100)</f>
        <v>1330802.1529847204</v>
      </c>
      <c r="S15" s="287">
        <f>SUMPRODUCT('Base Costs'!$AT$4:$AT$100,'Base Costs'!AB$4:AB$100)</f>
        <v>1037000</v>
      </c>
      <c r="T15" s="287">
        <f>SUMPRODUCT('Base Costs'!$AT$4:$AT$100,'Base Costs'!AC$4:AC$100)</f>
        <v>680000</v>
      </c>
      <c r="U15" s="287">
        <f>SUMPRODUCT('Base Costs'!$AT$4:$AT$100,'Base Costs'!AD$4:AD$100)</f>
        <v>280000</v>
      </c>
      <c r="V15" s="287">
        <f>SUMPRODUCT('Base Costs'!$AT$4:$AT$100,'Base Costs'!AE$4:AE$100)</f>
        <v>1186150</v>
      </c>
      <c r="W15" s="80">
        <f>SUMPRODUCT('Base Costs'!$AT$4:$AT$100,'Base Costs'!AF$4:AF$100)</f>
        <v>0</v>
      </c>
      <c r="X15" s="81">
        <f>SUMPRODUCT('Base Costs'!$AT$4:$AT$100,'Base Costs'!AG$4:AG$100)</f>
        <v>0</v>
      </c>
      <c r="Y15" s="81">
        <f t="shared" si="1"/>
        <v>4513952.1529847207</v>
      </c>
      <c r="Z15" s="81">
        <f t="shared" si="2"/>
        <v>4513952.1529847207</v>
      </c>
    </row>
    <row r="16" spans="2:26" ht="12.75" x14ac:dyDescent="0.2">
      <c r="B16" s="78" t="str">
        <v>Other4</v>
      </c>
      <c r="C16" s="79">
        <f>SUMPRODUCT('Base Costs'!$AU$4:$AU$100,'Base Costs'!P$4:P$100)</f>
        <v>0</v>
      </c>
      <c r="D16" s="80">
        <f>SUMPRODUCT('Base Costs'!$AU$4:$AU$100,'Base Costs'!Q$4:Q$100)</f>
        <v>62886.969725728377</v>
      </c>
      <c r="E16" s="287">
        <f>SUMPRODUCT('Base Costs'!$AU$4:$AU$100,'Base Costs'!R$4:R$100)</f>
        <v>5193111.3526620474</v>
      </c>
      <c r="F16" s="287">
        <f>SUMPRODUCT('Base Costs'!$AU$4:$AU$100,'Base Costs'!S$4:S$100)</f>
        <v>5100982</v>
      </c>
      <c r="G16" s="287">
        <f>SUMPRODUCT('Base Costs'!$AU$4:$AU$100,'Base Costs'!T$4:T$100)</f>
        <v>4645406</v>
      </c>
      <c r="H16" s="287">
        <f>SUMPRODUCT('Base Costs'!$AU$4:$AU$100,'Base Costs'!U$4:U$100)</f>
        <v>5191346</v>
      </c>
      <c r="I16" s="287">
        <f>SUMPRODUCT('Base Costs'!$AU$4:$AU$100,'Base Costs'!V$4:V$100)</f>
        <v>2808938</v>
      </c>
      <c r="J16" s="80">
        <f>SUMPRODUCT('Base Costs'!$AU$4:$AU$100,'Base Costs'!W$4:W$100)</f>
        <v>0</v>
      </c>
      <c r="K16" s="81">
        <f>SUMPRODUCT('Base Costs'!$AU$4:$AU$100,'Base Costs'!X$4:X$100)</f>
        <v>0</v>
      </c>
      <c r="L16" s="81">
        <f t="shared" si="0"/>
        <v>22939783.352662049</v>
      </c>
      <c r="M16" s="81">
        <f t="shared" si="3"/>
        <v>23002670.322387777</v>
      </c>
      <c r="N16" s="72"/>
      <c r="O16" s="78" t="str">
        <v>Other4</v>
      </c>
      <c r="P16" s="79">
        <f>SUMPRODUCT('Base Costs'!$AU$4:$AU$100,'Base Costs'!Y$4:Y$100)</f>
        <v>0</v>
      </c>
      <c r="Q16" s="80">
        <f>SUMPRODUCT('Base Costs'!$AU$4:$AU$100,'Base Costs'!Z$4:Z$100)</f>
        <v>0</v>
      </c>
      <c r="R16" s="287">
        <f>SUMPRODUCT('Base Costs'!$AU$4:$AU$100,'Base Costs'!AA$4:AA$100)</f>
        <v>5255998.3223877763</v>
      </c>
      <c r="S16" s="287">
        <f>SUMPRODUCT('Base Costs'!$AU$4:$AU$100,'Base Costs'!AB$4:AB$100)</f>
        <v>5100982</v>
      </c>
      <c r="T16" s="287">
        <f>SUMPRODUCT('Base Costs'!$AU$4:$AU$100,'Base Costs'!AC$4:AC$100)</f>
        <v>4645406</v>
      </c>
      <c r="U16" s="287">
        <f>SUMPRODUCT('Base Costs'!$AU$4:$AU$100,'Base Costs'!AD$4:AD$100)</f>
        <v>5191346</v>
      </c>
      <c r="V16" s="287">
        <f>SUMPRODUCT('Base Costs'!$AU$4:$AU$100,'Base Costs'!AE$4:AE$100)</f>
        <v>2808938</v>
      </c>
      <c r="W16" s="80">
        <f>SUMPRODUCT('Base Costs'!$AU$4:$AU$100,'Base Costs'!AF$4:AF$100)</f>
        <v>0</v>
      </c>
      <c r="X16" s="81">
        <f>SUMPRODUCT('Base Costs'!$AU$4:$AU$100,'Base Costs'!AG$4:AG$100)</f>
        <v>0</v>
      </c>
      <c r="Y16" s="81">
        <f t="shared" si="1"/>
        <v>23002670.322387777</v>
      </c>
      <c r="Z16" s="81">
        <f t="shared" si="2"/>
        <v>23002670.322387777</v>
      </c>
    </row>
    <row r="17" spans="2:26" ht="12.75" x14ac:dyDescent="0.2">
      <c r="B17" s="78" t="str">
        <v>Com45</v>
      </c>
      <c r="C17" s="79">
        <f>SUMPRODUCT('Base Costs'!$AV$4:$AV$100,'Base Costs'!P$4:P$100)</f>
        <v>0</v>
      </c>
      <c r="D17" s="80">
        <f>SUMPRODUCT('Base Costs'!$AV$4:$AV$100,'Base Costs'!Q$4:Q$100)</f>
        <v>0</v>
      </c>
      <c r="E17" s="287">
        <f>SUMPRODUCT('Base Costs'!$AV$4:$AV$100,'Base Costs'!R$4:R$100)</f>
        <v>105437.13682298224</v>
      </c>
      <c r="F17" s="287">
        <f>SUMPRODUCT('Base Costs'!$AV$4:$AV$100,'Base Costs'!S$4:S$100)</f>
        <v>30141.876029614767</v>
      </c>
      <c r="G17" s="287">
        <f>SUMPRODUCT('Base Costs'!$AV$4:$AV$100,'Base Costs'!T$4:T$100)</f>
        <v>159541.17958677307</v>
      </c>
      <c r="H17" s="287">
        <f>SUMPRODUCT('Base Costs'!$AV$4:$AV$100,'Base Costs'!U$4:U$100)</f>
        <v>65758.031113650984</v>
      </c>
      <c r="I17" s="287">
        <f>SUMPRODUCT('Base Costs'!$AV$4:$AV$100,'Base Costs'!V$4:V$100)</f>
        <v>44041.542473432979</v>
      </c>
      <c r="J17" s="80">
        <f>SUMPRODUCT('Base Costs'!$AV$4:$AV$100,'Base Costs'!W$4:W$100)</f>
        <v>0</v>
      </c>
      <c r="K17" s="81">
        <f>SUMPRODUCT('Base Costs'!$AV$4:$AV$100,'Base Costs'!X$4:X$100)</f>
        <v>0</v>
      </c>
      <c r="L17" s="81">
        <f t="shared" si="0"/>
        <v>404919.76602645405</v>
      </c>
      <c r="M17" s="81">
        <f t="shared" si="3"/>
        <v>404919.76602645405</v>
      </c>
      <c r="N17" s="72"/>
      <c r="O17" s="78" t="str">
        <v>Com45</v>
      </c>
      <c r="P17" s="79">
        <f>SUMPRODUCT('Base Costs'!$AV$4:$AV$100,'Base Costs'!Y$4:Y$100)</f>
        <v>0</v>
      </c>
      <c r="Q17" s="80">
        <f>SUMPRODUCT('Base Costs'!$AV$4:$AV$100,'Base Costs'!Z$4:Z$100)</f>
        <v>0</v>
      </c>
      <c r="R17" s="287">
        <f>SUMPRODUCT('Base Costs'!$AV$4:$AV$100,'Base Costs'!AA$4:AA$100)</f>
        <v>105437.13682298224</v>
      </c>
      <c r="S17" s="287">
        <f>SUMPRODUCT('Base Costs'!$AV$4:$AV$100,'Base Costs'!AB$4:AB$100)</f>
        <v>30141.876029614767</v>
      </c>
      <c r="T17" s="287">
        <f>SUMPRODUCT('Base Costs'!$AV$4:$AV$100,'Base Costs'!AC$4:AC$100)</f>
        <v>159541.17958677307</v>
      </c>
      <c r="U17" s="287">
        <f>SUMPRODUCT('Base Costs'!$AV$4:$AV$100,'Base Costs'!AD$4:AD$100)</f>
        <v>65758.031113650984</v>
      </c>
      <c r="V17" s="287">
        <f>SUMPRODUCT('Base Costs'!$AV$4:$AV$100,'Base Costs'!AE$4:AE$100)</f>
        <v>44041.542473432979</v>
      </c>
      <c r="W17" s="80">
        <f>SUMPRODUCT('Base Costs'!$AV$4:$AV$100,'Base Costs'!AF$4:AF$100)</f>
        <v>0</v>
      </c>
      <c r="X17" s="81">
        <f>SUMPRODUCT('Base Costs'!$AV$4:$AV$100,'Base Costs'!AG$4:AG$100)</f>
        <v>0</v>
      </c>
      <c r="Y17" s="81">
        <f t="shared" si="1"/>
        <v>404919.76602645405</v>
      </c>
      <c r="Z17" s="81">
        <f t="shared" si="2"/>
        <v>404919.76602645405</v>
      </c>
    </row>
    <row r="18" spans="2:26" ht="12.75" x14ac:dyDescent="0.2">
      <c r="B18" s="78" t="str">
        <v>Com10</v>
      </c>
      <c r="C18" s="79">
        <f>SUMPRODUCT('Base Costs'!$AW$4:$AW$100,'Base Costs'!P$4:P$100)</f>
        <v>0</v>
      </c>
      <c r="D18" s="80">
        <f>SUMPRODUCT('Base Costs'!$AW$4:$AW$100,'Base Costs'!Q$4:Q$100)</f>
        <v>0</v>
      </c>
      <c r="E18" s="287">
        <f>SUMPRODUCT('Base Costs'!$AW$4:$AW$100,'Base Costs'!R$4:R$100)</f>
        <v>1243053.4264250374</v>
      </c>
      <c r="F18" s="287">
        <f>SUMPRODUCT('Base Costs'!$AW$4:$AW$100,'Base Costs'!S$4:S$100)</f>
        <v>1018401.3558291889</v>
      </c>
      <c r="G18" s="287">
        <f>SUMPRODUCT('Base Costs'!$AW$4:$AW$100,'Base Costs'!T$4:T$100)</f>
        <v>3837953.779460947</v>
      </c>
      <c r="H18" s="287">
        <f>SUMPRODUCT('Base Costs'!$AW$4:$AW$100,'Base Costs'!U$4:U$100)</f>
        <v>4306965.0114920223</v>
      </c>
      <c r="I18" s="287">
        <f>SUMPRODUCT('Base Costs'!$AW$4:$AW$100,'Base Costs'!V$4:V$100)</f>
        <v>1368268.8052961831</v>
      </c>
      <c r="J18" s="80">
        <f>SUMPRODUCT('Base Costs'!$AW$4:$AW$100,'Base Costs'!W$4:W$100)</f>
        <v>0</v>
      </c>
      <c r="K18" s="81">
        <f>SUMPRODUCT('Base Costs'!$AW$4:$AW$100,'Base Costs'!X$4:X$100)</f>
        <v>0</v>
      </c>
      <c r="L18" s="81">
        <f t="shared" si="0"/>
        <v>11774642.378503378</v>
      </c>
      <c r="M18" s="81">
        <f t="shared" si="3"/>
        <v>11774642.378503378</v>
      </c>
      <c r="N18" s="72"/>
      <c r="O18" s="78" t="str">
        <v>Com10</v>
      </c>
      <c r="P18" s="79">
        <f>SUMPRODUCT('Base Costs'!$AW$4:$AW$100,'Base Costs'!Y$4:Y$100)</f>
        <v>0</v>
      </c>
      <c r="Q18" s="80">
        <f>SUMPRODUCT('Base Costs'!$AW$4:$AW$100,'Base Costs'!Z$4:Z$100)</f>
        <v>0</v>
      </c>
      <c r="R18" s="287">
        <f>SUMPRODUCT('Base Costs'!$AW$4:$AW$100,'Base Costs'!AA$4:AA$100)</f>
        <v>1243053.4264250374</v>
      </c>
      <c r="S18" s="287">
        <f>SUMPRODUCT('Base Costs'!$AW$4:$AW$100,'Base Costs'!AB$4:AB$100)</f>
        <v>1018401.3558291889</v>
      </c>
      <c r="T18" s="287">
        <f>SUMPRODUCT('Base Costs'!$AW$4:$AW$100,'Base Costs'!AC$4:AC$100)</f>
        <v>3837953.779460947</v>
      </c>
      <c r="U18" s="287">
        <f>SUMPRODUCT('Base Costs'!$AW$4:$AW$100,'Base Costs'!AD$4:AD$100)</f>
        <v>4306965.0114920223</v>
      </c>
      <c r="V18" s="287">
        <f>SUMPRODUCT('Base Costs'!$AW$4:$AW$100,'Base Costs'!AE$4:AE$100)</f>
        <v>1368268.8052961831</v>
      </c>
      <c r="W18" s="80">
        <f>SUMPRODUCT('Base Costs'!$AW$4:$AW$100,'Base Costs'!AF$4:AF$100)</f>
        <v>0</v>
      </c>
      <c r="X18" s="81">
        <f>SUMPRODUCT('Base Costs'!$AW$4:$AW$100,'Base Costs'!AG$4:AG$100)</f>
        <v>0</v>
      </c>
      <c r="Y18" s="81">
        <f t="shared" si="1"/>
        <v>11774642.378503378</v>
      </c>
      <c r="Z18" s="81">
        <f t="shared" si="2"/>
        <v>11774642.378503378</v>
      </c>
    </row>
    <row r="19" spans="2:26" ht="12.75" x14ac:dyDescent="0.2">
      <c r="B19" s="78" t="str">
        <v>Com5</v>
      </c>
      <c r="C19" s="79">
        <f>SUMPRODUCT('Base Costs'!$AX$4:$AX$100,'Base Costs'!P$4:P$100)</f>
        <v>0</v>
      </c>
      <c r="D19" s="80">
        <f>SUMPRODUCT('Base Costs'!$AX$4:$AX$100,'Base Costs'!Q$4:Q$100)</f>
        <v>0</v>
      </c>
      <c r="E19" s="287">
        <f>SUMPRODUCT('Base Costs'!$AX$4:$AX$100,'Base Costs'!R$4:R$100)</f>
        <v>1754129.8658773236</v>
      </c>
      <c r="F19" s="287">
        <f>SUMPRODUCT('Base Costs'!$AX$4:$AX$100,'Base Costs'!S$4:S$100)</f>
        <v>864935.17283686413</v>
      </c>
      <c r="G19" s="287">
        <f>SUMPRODUCT('Base Costs'!$AX$4:$AX$100,'Base Costs'!T$4:T$100)</f>
        <v>642840.25417567533</v>
      </c>
      <c r="H19" s="287">
        <f>SUMPRODUCT('Base Costs'!$AX$4:$AX$100,'Base Costs'!U$4:U$100)</f>
        <v>920671.24834242393</v>
      </c>
      <c r="I19" s="287">
        <f>SUMPRODUCT('Base Costs'!$AX$4:$AX$100,'Base Costs'!V$4:V$100)</f>
        <v>899636.31424044224</v>
      </c>
      <c r="J19" s="80">
        <f>SUMPRODUCT('Base Costs'!$AX$4:$AX$100,'Base Costs'!W$4:W$100)</f>
        <v>0</v>
      </c>
      <c r="K19" s="81">
        <f>SUMPRODUCT('Base Costs'!$AX$4:$AX$100,'Base Costs'!X$4:X$100)</f>
        <v>0</v>
      </c>
      <c r="L19" s="81">
        <f t="shared" si="0"/>
        <v>5082212.8554727295</v>
      </c>
      <c r="M19" s="81">
        <f t="shared" ref="M19:M27" si="4">SUM(C19:K19)</f>
        <v>5082212.8554727295</v>
      </c>
      <c r="N19" s="72"/>
      <c r="O19" s="78" t="str">
        <v>Com5</v>
      </c>
      <c r="P19" s="79">
        <f>SUMPRODUCT('Base Costs'!$AX$4:$AX$100,'Base Costs'!Y$4:Y$100)</f>
        <v>0</v>
      </c>
      <c r="Q19" s="80">
        <f>SUMPRODUCT('Base Costs'!$AX$4:$AX$100,'Base Costs'!Z$4:Z$100)</f>
        <v>0</v>
      </c>
      <c r="R19" s="287">
        <f>SUMPRODUCT('Base Costs'!$AX$4:$AX$100,'Base Costs'!AA$4:AA$100)</f>
        <v>1754129.8658773236</v>
      </c>
      <c r="S19" s="287">
        <f>SUMPRODUCT('Base Costs'!$AX$4:$AX$100,'Base Costs'!AB$4:AB$100)</f>
        <v>864935.17283686413</v>
      </c>
      <c r="T19" s="287">
        <f>SUMPRODUCT('Base Costs'!$AX$4:$AX$100,'Base Costs'!AC$4:AC$100)</f>
        <v>642840.25417567533</v>
      </c>
      <c r="U19" s="287">
        <f>SUMPRODUCT('Base Costs'!$AX$4:$AX$100,'Base Costs'!AD$4:AD$100)</f>
        <v>920671.24834242393</v>
      </c>
      <c r="V19" s="287">
        <f>SUMPRODUCT('Base Costs'!$AX$4:$AX$100,'Base Costs'!AE$4:AE$100)</f>
        <v>899636.31424044224</v>
      </c>
      <c r="W19" s="80">
        <f>SUMPRODUCT('Base Costs'!$AX$4:$AX$100,'Base Costs'!AF$4:AF$100)</f>
        <v>0</v>
      </c>
      <c r="X19" s="81">
        <f>SUMPRODUCT('Base Costs'!$AX$4:$AX$100,'Base Costs'!AG$4:AG$100)</f>
        <v>0</v>
      </c>
      <c r="Y19" s="81">
        <f t="shared" si="1"/>
        <v>5082212.8554727295</v>
      </c>
      <c r="Z19" s="81">
        <f t="shared" ref="Z19:Z27" si="5">SUM(P19:X19)</f>
        <v>5082212.8554727295</v>
      </c>
    </row>
    <row r="20" spans="2:26" ht="12.75" x14ac:dyDescent="0.2">
      <c r="B20" s="78" t="str">
        <v>LB</v>
      </c>
      <c r="C20" s="79">
        <f>SUMPRODUCT('Base Costs'!$AY$4:$AY$100,'Base Costs'!P$4:P$100)</f>
        <v>0</v>
      </c>
      <c r="D20" s="80">
        <f>SUMPRODUCT('Base Costs'!$AY$4:$AY$100,'Base Costs'!Q$4:Q$100)</f>
        <v>516550.60611725115</v>
      </c>
      <c r="E20" s="287">
        <f>SUMPRODUCT('Base Costs'!$AY$4:$AY$100,'Base Costs'!R$4:R$100)</f>
        <v>1817887.4541551101</v>
      </c>
      <c r="F20" s="287">
        <f>SUMPRODUCT('Base Costs'!$AY$4:$AY$100,'Base Costs'!S$4:S$100)</f>
        <v>406916.31403263641</v>
      </c>
      <c r="G20" s="287">
        <f>SUMPRODUCT('Base Costs'!$AY$4:$AY$100,'Base Costs'!T$4:T$100)</f>
        <v>452487.75693110225</v>
      </c>
      <c r="H20" s="287">
        <f>SUMPRODUCT('Base Costs'!$AY$4:$AY$100,'Base Costs'!U$4:U$100)</f>
        <v>367082</v>
      </c>
      <c r="I20" s="287">
        <f>SUMPRODUCT('Base Costs'!$AY$4:$AY$100,'Base Costs'!V$4:V$100)</f>
        <v>464370.88711880165</v>
      </c>
      <c r="J20" s="80">
        <f>SUMPRODUCT('Base Costs'!$AY$4:$AY$100,'Base Costs'!W$4:W$100)</f>
        <v>221611.15157371401</v>
      </c>
      <c r="K20" s="81">
        <f>SUMPRODUCT('Base Costs'!$AY$4:$AY$100,'Base Costs'!X$4:X$100)</f>
        <v>0</v>
      </c>
      <c r="L20" s="81">
        <f t="shared" si="0"/>
        <v>3508744.4122376502</v>
      </c>
      <c r="M20" s="81">
        <f t="shared" si="4"/>
        <v>4246906.1699286159</v>
      </c>
      <c r="N20" s="72"/>
      <c r="O20" s="78" t="str">
        <v>LB</v>
      </c>
      <c r="P20" s="79">
        <f>SUMPRODUCT('Base Costs'!$AY$4:$AY$100,'Base Costs'!Y$4:Y$100)</f>
        <v>0</v>
      </c>
      <c r="Q20" s="80">
        <f>SUMPRODUCT('Base Costs'!$AY$4:$AY$100,'Base Costs'!Z$4:Z$100)</f>
        <v>516550.60611725115</v>
      </c>
      <c r="R20" s="287">
        <f>SUMPRODUCT('Base Costs'!$AY$4:$AY$100,'Base Costs'!AA$4:AA$100)</f>
        <v>1814377.5251188488</v>
      </c>
      <c r="S20" s="287">
        <f>SUMPRODUCT('Base Costs'!$AY$4:$AY$100,'Base Costs'!AB$4:AB$100)</f>
        <v>367082</v>
      </c>
      <c r="T20" s="287">
        <f>SUMPRODUCT('Base Costs'!$AY$4:$AY$100,'Base Costs'!AC$4:AC$100)</f>
        <v>495832</v>
      </c>
      <c r="U20" s="287">
        <f>SUMPRODUCT('Base Costs'!$AY$4:$AY$100,'Base Costs'!AD$4:AD$100)</f>
        <v>367082</v>
      </c>
      <c r="V20" s="287">
        <f>SUMPRODUCT('Base Costs'!$AY$4:$AY$100,'Base Costs'!AE$4:AE$100)</f>
        <v>367082</v>
      </c>
      <c r="W20" s="80">
        <f>SUMPRODUCT('Base Costs'!$AY$4:$AY$100,'Base Costs'!AF$4:AF$100)</f>
        <v>0</v>
      </c>
      <c r="X20" s="81">
        <f>SUMPRODUCT('Base Costs'!$AY$4:$AY$100,'Base Costs'!AG$4:AG$100)</f>
        <v>318900.03869251569</v>
      </c>
      <c r="Y20" s="81">
        <f t="shared" si="1"/>
        <v>3411455.5251188488</v>
      </c>
      <c r="Z20" s="81">
        <f t="shared" si="5"/>
        <v>4246906.1699286159</v>
      </c>
    </row>
    <row r="21" spans="2:26" ht="12.75" x14ac:dyDescent="0.2">
      <c r="B21" s="78">
        <v>0</v>
      </c>
      <c r="C21" s="79">
        <f>SUMPRODUCT('Base Costs'!$AZ$4:$AZ$100,'Base Costs'!P$4:P$100)</f>
        <v>0</v>
      </c>
      <c r="D21" s="80">
        <f>SUMPRODUCT('Base Costs'!$AZ$4:$AZ$100,'Base Costs'!Q$4:Q$100)</f>
        <v>0</v>
      </c>
      <c r="E21" s="287">
        <f>SUMPRODUCT('Base Costs'!$AZ$4:$AZ$100,'Base Costs'!R$4:R$100)</f>
        <v>0</v>
      </c>
      <c r="F21" s="287">
        <f>SUMPRODUCT('Base Costs'!$AZ$4:$AZ$100,'Base Costs'!S$4:S$100)</f>
        <v>0</v>
      </c>
      <c r="G21" s="287">
        <f>SUMPRODUCT('Base Costs'!$AZ$4:$AZ$100,'Base Costs'!T$4:T$100)</f>
        <v>0</v>
      </c>
      <c r="H21" s="287">
        <f>SUMPRODUCT('Base Costs'!$AZ$4:$AZ$100,'Base Costs'!U$4:U$100)</f>
        <v>0</v>
      </c>
      <c r="I21" s="287">
        <f>SUMPRODUCT('Base Costs'!$AZ$4:$AZ$100,'Base Costs'!V$4:V$100)</f>
        <v>0</v>
      </c>
      <c r="J21" s="80">
        <f>SUMPRODUCT('Base Costs'!$AZ$4:$AZ$100,'Base Costs'!W$4:W$100)</f>
        <v>0</v>
      </c>
      <c r="K21" s="81">
        <f>SUMPRODUCT('Base Costs'!$AZ$4:$AZ$100,'Base Costs'!X$4:X$100)</f>
        <v>0</v>
      </c>
      <c r="L21" s="81">
        <f t="shared" si="0"/>
        <v>0</v>
      </c>
      <c r="M21" s="81">
        <f t="shared" si="4"/>
        <v>0</v>
      </c>
      <c r="N21" s="72"/>
      <c r="O21" s="78">
        <v>0</v>
      </c>
      <c r="P21" s="79">
        <f>SUMPRODUCT('Base Costs'!$AZ$4:$AZ$100,'Base Costs'!Y$4:Y$100)</f>
        <v>0</v>
      </c>
      <c r="Q21" s="80">
        <f>SUMPRODUCT('Base Costs'!$AZ$4:$AZ$100,'Base Costs'!Z$4:Z$100)</f>
        <v>0</v>
      </c>
      <c r="R21" s="287">
        <f>SUMPRODUCT('Base Costs'!$AZ$4:$AZ$100,'Base Costs'!AA$4:AA$100)</f>
        <v>0</v>
      </c>
      <c r="S21" s="287">
        <f>SUMPRODUCT('Base Costs'!$AZ$4:$AZ$100,'Base Costs'!AB$4:AB$100)</f>
        <v>0</v>
      </c>
      <c r="T21" s="287">
        <f>SUMPRODUCT('Base Costs'!$AZ$4:$AZ$100,'Base Costs'!AC$4:AC$100)</f>
        <v>0</v>
      </c>
      <c r="U21" s="287">
        <f>SUMPRODUCT('Base Costs'!$AZ$4:$AZ$100,'Base Costs'!AD$4:AD$100)</f>
        <v>0</v>
      </c>
      <c r="V21" s="287">
        <f>SUMPRODUCT('Base Costs'!$AZ$4:$AZ$100,'Base Costs'!AE$4:AE$100)</f>
        <v>0</v>
      </c>
      <c r="W21" s="80">
        <f>SUMPRODUCT('Base Costs'!$AZ$4:$AZ$100,'Base Costs'!AF$4:AF$100)</f>
        <v>0</v>
      </c>
      <c r="X21" s="81">
        <f>SUMPRODUCT('Base Costs'!$AZ$4:$AZ$100,'Base Costs'!AG$4:AG$100)</f>
        <v>0</v>
      </c>
      <c r="Y21" s="81">
        <f t="shared" si="1"/>
        <v>0</v>
      </c>
      <c r="Z21" s="81">
        <f t="shared" si="5"/>
        <v>0</v>
      </c>
    </row>
    <row r="22" spans="2:26" ht="12.75" x14ac:dyDescent="0.2">
      <c r="B22" s="78">
        <v>0</v>
      </c>
      <c r="C22" s="79">
        <f>SUMPRODUCT('Base Costs'!$BA$4:$BA$100,'Base Costs'!P$4:P$100)</f>
        <v>0</v>
      </c>
      <c r="D22" s="80">
        <f>SUMPRODUCT('Base Costs'!$BA$4:$BA$100,'Base Costs'!Q$4:Q$100)</f>
        <v>0</v>
      </c>
      <c r="E22" s="287">
        <f>SUMPRODUCT('Base Costs'!$BA$4:$BA$100,'Base Costs'!R$4:R$100)</f>
        <v>0</v>
      </c>
      <c r="F22" s="287">
        <f>SUMPRODUCT('Base Costs'!$BA$4:$BA$100,'Base Costs'!S$4:S$100)</f>
        <v>0</v>
      </c>
      <c r="G22" s="287">
        <f>SUMPRODUCT('Base Costs'!$BA$4:$BA$100,'Base Costs'!T$4:T$100)</f>
        <v>0</v>
      </c>
      <c r="H22" s="287">
        <f>SUMPRODUCT('Base Costs'!$BA$4:$BA$100,'Base Costs'!U$4:U$100)</f>
        <v>0</v>
      </c>
      <c r="I22" s="287">
        <f>SUMPRODUCT('Base Costs'!$BA$4:$BA$100,'Base Costs'!V$4:V$100)</f>
        <v>0</v>
      </c>
      <c r="J22" s="80">
        <f>SUMPRODUCT('Base Costs'!$BA$4:$BA$100,'Base Costs'!W$4:W$100)</f>
        <v>0</v>
      </c>
      <c r="K22" s="81">
        <f>SUMPRODUCT('Base Costs'!$BA$4:$BA$100,'Base Costs'!X$4:X$100)</f>
        <v>0</v>
      </c>
      <c r="L22" s="81">
        <f t="shared" si="0"/>
        <v>0</v>
      </c>
      <c r="M22" s="81">
        <f t="shared" si="4"/>
        <v>0</v>
      </c>
      <c r="N22" s="72"/>
      <c r="O22" s="78">
        <v>0</v>
      </c>
      <c r="P22" s="79">
        <f>SUMPRODUCT('Base Costs'!$BA$4:$BA$100,'Base Costs'!Y$4:Y$100)</f>
        <v>0</v>
      </c>
      <c r="Q22" s="80">
        <f>SUMPRODUCT('Base Costs'!$BA$4:$BA$100,'Base Costs'!Z$4:Z$100)</f>
        <v>0</v>
      </c>
      <c r="R22" s="287">
        <f>SUMPRODUCT('Base Costs'!$BA$4:$BA$100,'Base Costs'!AA$4:AA$100)</f>
        <v>0</v>
      </c>
      <c r="S22" s="287">
        <f>SUMPRODUCT('Base Costs'!$BA$4:$BA$100,'Base Costs'!AB$4:AB$100)</f>
        <v>0</v>
      </c>
      <c r="T22" s="287">
        <f>SUMPRODUCT('Base Costs'!$BA$4:$BA$100,'Base Costs'!AC$4:AC$100)</f>
        <v>0</v>
      </c>
      <c r="U22" s="287">
        <f>SUMPRODUCT('Base Costs'!$BA$4:$BA$100,'Base Costs'!AD$4:AD$100)</f>
        <v>0</v>
      </c>
      <c r="V22" s="287">
        <f>SUMPRODUCT('Base Costs'!$BA$4:$BA$100,'Base Costs'!AE$4:AE$100)</f>
        <v>0</v>
      </c>
      <c r="W22" s="80">
        <f>SUMPRODUCT('Base Costs'!$BA$4:$BA$100,'Base Costs'!AF$4:AF$100)</f>
        <v>0</v>
      </c>
      <c r="X22" s="81">
        <f>SUMPRODUCT('Base Costs'!$BA$4:$BA$100,'Base Costs'!AG$4:AG$100)</f>
        <v>0</v>
      </c>
      <c r="Y22" s="81">
        <f t="shared" si="1"/>
        <v>0</v>
      </c>
      <c r="Z22" s="81">
        <f t="shared" si="5"/>
        <v>0</v>
      </c>
    </row>
    <row r="23" spans="2:26" ht="12.75" x14ac:dyDescent="0.2">
      <c r="B23" s="78">
        <v>0</v>
      </c>
      <c r="C23" s="79">
        <f>SUMPRODUCT('Base Costs'!$BB$4:$BB$100,'Base Costs'!P$4:P$100)</f>
        <v>0</v>
      </c>
      <c r="D23" s="80">
        <f>SUMPRODUCT('Base Costs'!$BB$4:$BB$100,'Base Costs'!Q$4:Q$100)</f>
        <v>0</v>
      </c>
      <c r="E23" s="287">
        <f>SUMPRODUCT('Base Costs'!$BB$4:$BB$100,'Base Costs'!R$4:R$100)</f>
        <v>0</v>
      </c>
      <c r="F23" s="287">
        <f>SUMPRODUCT('Base Costs'!$BB$4:$BB$100,'Base Costs'!S$4:S$100)</f>
        <v>0</v>
      </c>
      <c r="G23" s="287">
        <f>SUMPRODUCT('Base Costs'!$BB$4:$BB$100,'Base Costs'!T$4:T$100)</f>
        <v>0</v>
      </c>
      <c r="H23" s="287">
        <f>SUMPRODUCT('Base Costs'!$BB$4:$BB$100,'Base Costs'!U$4:U$100)</f>
        <v>0</v>
      </c>
      <c r="I23" s="287">
        <f>SUMPRODUCT('Base Costs'!$BB$4:$BB$100,'Base Costs'!V$4:V$100)</f>
        <v>0</v>
      </c>
      <c r="J23" s="80">
        <f>SUMPRODUCT('Base Costs'!$BB$4:$BB$100,'Base Costs'!W$4:W$100)</f>
        <v>0</v>
      </c>
      <c r="K23" s="81">
        <f>SUMPRODUCT('Base Costs'!$BB$4:$BB$100,'Base Costs'!X$4:X$100)</f>
        <v>0</v>
      </c>
      <c r="L23" s="81">
        <f t="shared" si="0"/>
        <v>0</v>
      </c>
      <c r="M23" s="81">
        <f t="shared" si="4"/>
        <v>0</v>
      </c>
      <c r="N23" s="72"/>
      <c r="O23" s="78">
        <v>0</v>
      </c>
      <c r="P23" s="79">
        <f>SUMPRODUCT('Base Costs'!$BB$4:$BB$100,'Base Costs'!Y$4:Y$100)</f>
        <v>0</v>
      </c>
      <c r="Q23" s="80">
        <f>SUMPRODUCT('Base Costs'!$BB$4:$BB$100,'Base Costs'!Z$4:Z$100)</f>
        <v>0</v>
      </c>
      <c r="R23" s="287">
        <f>SUMPRODUCT('Base Costs'!$BB$4:$BB$100,'Base Costs'!AA$4:AA$100)</f>
        <v>0</v>
      </c>
      <c r="S23" s="287">
        <f>SUMPRODUCT('Base Costs'!$BB$4:$BB$100,'Base Costs'!AB$4:AB$100)</f>
        <v>0</v>
      </c>
      <c r="T23" s="287">
        <f>SUMPRODUCT('Base Costs'!$BB$4:$BB$100,'Base Costs'!AC$4:AC$100)</f>
        <v>0</v>
      </c>
      <c r="U23" s="287">
        <f>SUMPRODUCT('Base Costs'!$BB$4:$BB$100,'Base Costs'!AD$4:AD$100)</f>
        <v>0</v>
      </c>
      <c r="V23" s="287">
        <f>SUMPRODUCT('Base Costs'!$BB$4:$BB$100,'Base Costs'!AE$4:AE$100)</f>
        <v>0</v>
      </c>
      <c r="W23" s="80">
        <f>SUMPRODUCT('Base Costs'!$BB$4:$BB$100,'Base Costs'!AF$4:AF$100)</f>
        <v>0</v>
      </c>
      <c r="X23" s="81">
        <f>SUMPRODUCT('Base Costs'!$BB$4:$BB$100,'Base Costs'!AG$4:AG$100)</f>
        <v>0</v>
      </c>
      <c r="Y23" s="81">
        <f t="shared" si="1"/>
        <v>0</v>
      </c>
      <c r="Z23" s="81">
        <f t="shared" si="5"/>
        <v>0</v>
      </c>
    </row>
    <row r="24" spans="2:26" ht="12.75" x14ac:dyDescent="0.2">
      <c r="B24" s="78">
        <v>0</v>
      </c>
      <c r="C24" s="79">
        <f>SUMPRODUCT('Base Costs'!$BC$4:$BC$100,'Base Costs'!P$4:P$100)</f>
        <v>0</v>
      </c>
      <c r="D24" s="80">
        <f>SUMPRODUCT('Base Costs'!$BC$4:$BC$100,'Base Costs'!Q$4:Q$100)</f>
        <v>0</v>
      </c>
      <c r="E24" s="287">
        <f>SUMPRODUCT('Base Costs'!$BC$4:$BC$100,'Base Costs'!R$4:R$100)</f>
        <v>0</v>
      </c>
      <c r="F24" s="287">
        <f>SUMPRODUCT('Base Costs'!$BC$4:$BC$100,'Base Costs'!S$4:S$100)</f>
        <v>0</v>
      </c>
      <c r="G24" s="287">
        <f>SUMPRODUCT('Base Costs'!$BC$4:$BC$100,'Base Costs'!T$4:T$100)</f>
        <v>0</v>
      </c>
      <c r="H24" s="287">
        <f>SUMPRODUCT('Base Costs'!$BC$4:$BC$100,'Base Costs'!U$4:U$100)</f>
        <v>0</v>
      </c>
      <c r="I24" s="287">
        <f>SUMPRODUCT('Base Costs'!$BC$4:$BC$100,'Base Costs'!V$4:V$100)</f>
        <v>0</v>
      </c>
      <c r="J24" s="80">
        <f>SUMPRODUCT('Base Costs'!$BC$4:$BC$100,'Base Costs'!W$4:W$100)</f>
        <v>0</v>
      </c>
      <c r="K24" s="81">
        <f>SUMPRODUCT('Base Costs'!$BC$4:$BC$100,'Base Costs'!X$4:X$100)</f>
        <v>0</v>
      </c>
      <c r="L24" s="81">
        <f t="shared" si="0"/>
        <v>0</v>
      </c>
      <c r="M24" s="81">
        <f t="shared" si="4"/>
        <v>0</v>
      </c>
      <c r="N24" s="72"/>
      <c r="O24" s="78">
        <v>0</v>
      </c>
      <c r="P24" s="79">
        <f>SUMPRODUCT('Base Costs'!$BC$4:$BC$100,'Base Costs'!Y$4:Y$100)</f>
        <v>0</v>
      </c>
      <c r="Q24" s="80">
        <f>SUMPRODUCT('Base Costs'!$BC$4:$BC$100,'Base Costs'!Z$4:Z$100)</f>
        <v>0</v>
      </c>
      <c r="R24" s="287">
        <f>SUMPRODUCT('Base Costs'!$BC$4:$BC$100,'Base Costs'!AA$4:AA$100)</f>
        <v>0</v>
      </c>
      <c r="S24" s="287">
        <f>SUMPRODUCT('Base Costs'!$BC$4:$BC$100,'Base Costs'!AB$4:AB$100)</f>
        <v>0</v>
      </c>
      <c r="T24" s="287">
        <f>SUMPRODUCT('Base Costs'!$BC$4:$BC$100,'Base Costs'!AC$4:AC$100)</f>
        <v>0</v>
      </c>
      <c r="U24" s="287">
        <f>SUMPRODUCT('Base Costs'!$BC$4:$BC$100,'Base Costs'!AD$4:AD$100)</f>
        <v>0</v>
      </c>
      <c r="V24" s="287">
        <f>SUMPRODUCT('Base Costs'!$BC$4:$BC$100,'Base Costs'!AE$4:AE$100)</f>
        <v>0</v>
      </c>
      <c r="W24" s="80">
        <f>SUMPRODUCT('Base Costs'!$BC$4:$BC$100,'Base Costs'!AF$4:AF$100)</f>
        <v>0</v>
      </c>
      <c r="X24" s="81">
        <f>SUMPRODUCT('Base Costs'!$BC$4:$BC$100,'Base Costs'!AG$4:AG$100)</f>
        <v>0</v>
      </c>
      <c r="Y24" s="81">
        <f t="shared" si="1"/>
        <v>0</v>
      </c>
      <c r="Z24" s="81">
        <f t="shared" si="5"/>
        <v>0</v>
      </c>
    </row>
    <row r="25" spans="2:26" ht="12.75" x14ac:dyDescent="0.2">
      <c r="B25" s="78">
        <v>0</v>
      </c>
      <c r="C25" s="79">
        <f>SUMPRODUCT('Base Costs'!$BD$4:$BD$100,'Base Costs'!P$4:P$100)</f>
        <v>0</v>
      </c>
      <c r="D25" s="80">
        <f>SUMPRODUCT('Base Costs'!$BD$4:$BD$100,'Base Costs'!Q$4:Q$100)</f>
        <v>0</v>
      </c>
      <c r="E25" s="287">
        <f>SUMPRODUCT('Base Costs'!$BD$4:$BD$100,'Base Costs'!R$4:R$100)</f>
        <v>0</v>
      </c>
      <c r="F25" s="287">
        <f>SUMPRODUCT('Base Costs'!$BD$4:$BD$100,'Base Costs'!S$4:S$100)</f>
        <v>0</v>
      </c>
      <c r="G25" s="287">
        <f>SUMPRODUCT('Base Costs'!$BD$4:$BD$100,'Base Costs'!T$4:T$100)</f>
        <v>0</v>
      </c>
      <c r="H25" s="287">
        <f>SUMPRODUCT('Base Costs'!$BD$4:$BD$100,'Base Costs'!U$4:U$100)</f>
        <v>0</v>
      </c>
      <c r="I25" s="287">
        <f>SUMPRODUCT('Base Costs'!$BD$4:$BD$100,'Base Costs'!V$4:V$100)</f>
        <v>0</v>
      </c>
      <c r="J25" s="80">
        <f>SUMPRODUCT('Base Costs'!$BD$4:$BD$100,'Base Costs'!W$4:W$100)</f>
        <v>0</v>
      </c>
      <c r="K25" s="81">
        <f>SUMPRODUCT('Base Costs'!$BD$4:$BD$100,'Base Costs'!X$4:X$100)</f>
        <v>0</v>
      </c>
      <c r="L25" s="81">
        <f t="shared" si="0"/>
        <v>0</v>
      </c>
      <c r="M25" s="81">
        <f t="shared" si="4"/>
        <v>0</v>
      </c>
      <c r="N25" s="72"/>
      <c r="O25" s="78">
        <v>0</v>
      </c>
      <c r="P25" s="79">
        <f>SUMPRODUCT('Base Costs'!$BD$4:$BD$100,'Base Costs'!Y$4:Y$100)</f>
        <v>0</v>
      </c>
      <c r="Q25" s="80">
        <f>SUMPRODUCT('Base Costs'!$BD$4:$BD$100,'Base Costs'!Z$4:Z$100)</f>
        <v>0</v>
      </c>
      <c r="R25" s="287">
        <f>SUMPRODUCT('Base Costs'!$BD$4:$BD$100,'Base Costs'!AA$4:AA$100)</f>
        <v>0</v>
      </c>
      <c r="S25" s="287">
        <f>SUMPRODUCT('Base Costs'!$BD$4:$BD$100,'Base Costs'!AB$4:AB$100)</f>
        <v>0</v>
      </c>
      <c r="T25" s="287">
        <f>SUMPRODUCT('Base Costs'!$BD$4:$BD$100,'Base Costs'!AC$4:AC$100)</f>
        <v>0</v>
      </c>
      <c r="U25" s="287">
        <f>SUMPRODUCT('Base Costs'!$BD$4:$BD$100,'Base Costs'!AD$4:AD$100)</f>
        <v>0</v>
      </c>
      <c r="V25" s="287">
        <f>SUMPRODUCT('Base Costs'!$BD$4:$BD$100,'Base Costs'!AE$4:AE$100)</f>
        <v>0</v>
      </c>
      <c r="W25" s="80">
        <f>SUMPRODUCT('Base Costs'!$BD$4:$BD$100,'Base Costs'!AF$4:AF$100)</f>
        <v>0</v>
      </c>
      <c r="X25" s="81">
        <f>SUMPRODUCT('Base Costs'!$BD$4:$BD$100,'Base Costs'!AG$4:AG$100)</f>
        <v>0</v>
      </c>
      <c r="Y25" s="81">
        <f t="shared" si="1"/>
        <v>0</v>
      </c>
      <c r="Z25" s="81">
        <f>SUM(P25:X25)</f>
        <v>0</v>
      </c>
    </row>
    <row r="26" spans="2:26" ht="12.75" x14ac:dyDescent="0.2">
      <c r="B26" s="78">
        <v>0</v>
      </c>
      <c r="C26" s="79">
        <f>SUMPRODUCT('Base Costs'!$BE$4:$BE$100,'Base Costs'!P$4:P$100)</f>
        <v>0</v>
      </c>
      <c r="D26" s="80">
        <f>SUMPRODUCT('Base Costs'!$BE$4:$BE$100,'Base Costs'!Q$4:Q$100)</f>
        <v>0</v>
      </c>
      <c r="E26" s="287">
        <f>SUMPRODUCT('Base Costs'!$BE$4:$BE$100,'Base Costs'!R$4:R$100)</f>
        <v>0</v>
      </c>
      <c r="F26" s="287">
        <f>SUMPRODUCT('Base Costs'!$BE$4:$BE$100,'Base Costs'!S$4:S$100)</f>
        <v>0</v>
      </c>
      <c r="G26" s="287">
        <f>SUMPRODUCT('Base Costs'!$BE$4:$BE$100,'Base Costs'!T$4:T$100)</f>
        <v>0</v>
      </c>
      <c r="H26" s="287">
        <f>SUMPRODUCT('Base Costs'!$BE$4:$BE$100,'Base Costs'!U$4:U$100)</f>
        <v>0</v>
      </c>
      <c r="I26" s="287">
        <f>SUMPRODUCT('Base Costs'!$BE$4:$BE$100,'Base Costs'!V$4:V$100)</f>
        <v>0</v>
      </c>
      <c r="J26" s="80">
        <f>SUMPRODUCT('Base Costs'!$BE$4:$BE$100,'Base Costs'!W$4:W$100)</f>
        <v>0</v>
      </c>
      <c r="K26" s="81">
        <f>SUMPRODUCT('Base Costs'!$BE$4:$BE$100,'Base Costs'!X$4:X$100)</f>
        <v>0</v>
      </c>
      <c r="L26" s="81">
        <f t="shared" si="0"/>
        <v>0</v>
      </c>
      <c r="M26" s="81">
        <f t="shared" si="4"/>
        <v>0</v>
      </c>
      <c r="N26" s="72"/>
      <c r="O26" s="78">
        <v>0</v>
      </c>
      <c r="P26" s="79">
        <f>SUMPRODUCT('Base Costs'!$BE$4:$BE$100,'Base Costs'!Y$4:Y$100)</f>
        <v>0</v>
      </c>
      <c r="Q26" s="80">
        <f>SUMPRODUCT('Base Costs'!$BE$4:$BE$100,'Base Costs'!Z$4:Z$100)</f>
        <v>0</v>
      </c>
      <c r="R26" s="287">
        <f>SUMPRODUCT('Base Costs'!$BE$4:$BE$100,'Base Costs'!AA$4:AA$100)</f>
        <v>0</v>
      </c>
      <c r="S26" s="287">
        <f>SUMPRODUCT('Base Costs'!$BE$4:$BE$100,'Base Costs'!AB$4:AB$100)</f>
        <v>0</v>
      </c>
      <c r="T26" s="287">
        <f>SUMPRODUCT('Base Costs'!$BE$4:$BE$100,'Base Costs'!AC$4:AC$100)</f>
        <v>0</v>
      </c>
      <c r="U26" s="287">
        <f>SUMPRODUCT('Base Costs'!$BE$4:$BE$100,'Base Costs'!AD$4:AD$100)</f>
        <v>0</v>
      </c>
      <c r="V26" s="287">
        <f>SUMPRODUCT('Base Costs'!$BE$4:$BE$100,'Base Costs'!AE$4:AE$100)</f>
        <v>0</v>
      </c>
      <c r="W26" s="80">
        <f>SUMPRODUCT('Base Costs'!$BE$4:$BE$100,'Base Costs'!AF$4:AF$100)</f>
        <v>0</v>
      </c>
      <c r="X26" s="81">
        <f>SUMPRODUCT('Base Costs'!$BE$4:$BE$100,'Base Costs'!AG$4:AG$100)</f>
        <v>0</v>
      </c>
      <c r="Y26" s="81">
        <f t="shared" si="1"/>
        <v>0</v>
      </c>
      <c r="Z26" s="81">
        <f t="shared" si="5"/>
        <v>0</v>
      </c>
    </row>
    <row r="27" spans="2:26" ht="13.5" thickBot="1" x14ac:dyDescent="0.25">
      <c r="B27" s="82">
        <v>0</v>
      </c>
      <c r="C27" s="83">
        <f>SUMPRODUCT('Base Costs'!$BF$4:$BF$100,'Base Costs'!P$4:P$100)</f>
        <v>0</v>
      </c>
      <c r="D27" s="84">
        <f>SUMPRODUCT('Base Costs'!$BF$4:$BF$100,'Base Costs'!Q$4:Q$100)</f>
        <v>0</v>
      </c>
      <c r="E27" s="288">
        <f>SUMPRODUCT('Base Costs'!$BF$4:$BF$100,'Base Costs'!R$4:R$100)</f>
        <v>0</v>
      </c>
      <c r="F27" s="288">
        <f>SUMPRODUCT('Base Costs'!$BF$4:$BF$100,'Base Costs'!S$4:S$100)</f>
        <v>0</v>
      </c>
      <c r="G27" s="288">
        <f>SUMPRODUCT('Base Costs'!$BF$4:$BF$100,'Base Costs'!T$4:T$100)</f>
        <v>0</v>
      </c>
      <c r="H27" s="288">
        <f>SUMPRODUCT('Base Costs'!$BF$4:$BF$100,'Base Costs'!U$4:U$100)</f>
        <v>0</v>
      </c>
      <c r="I27" s="288">
        <f>SUMPRODUCT('Base Costs'!$BF$4:$BF$100,'Base Costs'!V$4:V$100)</f>
        <v>0</v>
      </c>
      <c r="J27" s="84">
        <f>SUMPRODUCT('Base Costs'!$BF$4:$BF$100,'Base Costs'!W$4:W$100)</f>
        <v>0</v>
      </c>
      <c r="K27" s="85">
        <f>SUMPRODUCT('Base Costs'!$BF$4:$BF$100,'Base Costs'!X$4:X$100)</f>
        <v>0</v>
      </c>
      <c r="L27" s="85">
        <f t="shared" si="0"/>
        <v>0</v>
      </c>
      <c r="M27" s="85">
        <f t="shared" si="4"/>
        <v>0</v>
      </c>
      <c r="N27" s="72"/>
      <c r="O27" s="82">
        <v>0</v>
      </c>
      <c r="P27" s="83">
        <f>SUMPRODUCT('Base Costs'!$BF$4:$BF$100,'Base Costs'!Y$4:Y$100)</f>
        <v>0</v>
      </c>
      <c r="Q27" s="84">
        <f>SUMPRODUCT('Base Costs'!$BF$4:$BF$100,'Base Costs'!Z$4:Z$100)</f>
        <v>0</v>
      </c>
      <c r="R27" s="288">
        <f>SUMPRODUCT('Base Costs'!$BF$4:$BF$100,'Base Costs'!AA$4:AA$100)</f>
        <v>0</v>
      </c>
      <c r="S27" s="288">
        <f>SUMPRODUCT('Base Costs'!$BF$4:$BF$100,'Base Costs'!AB$4:AB$100)</f>
        <v>0</v>
      </c>
      <c r="T27" s="288">
        <f>SUMPRODUCT('Base Costs'!$BF$4:$BF$100,'Base Costs'!AC$4:AC$100)</f>
        <v>0</v>
      </c>
      <c r="U27" s="288">
        <f>SUMPRODUCT('Base Costs'!$BF$4:$BF$100,'Base Costs'!AD$4:AD$100)</f>
        <v>0</v>
      </c>
      <c r="V27" s="288">
        <f>SUMPRODUCT('Base Costs'!$BF$4:$BF$100,'Base Costs'!AE$4:AE$100)</f>
        <v>0</v>
      </c>
      <c r="W27" s="84">
        <f>SUMPRODUCT('Base Costs'!$BF$4:$BF$100,'Base Costs'!AF$4:AF$100)</f>
        <v>0</v>
      </c>
      <c r="X27" s="85">
        <f>SUMPRODUCT('Base Costs'!$BF$4:$BF$100,'Base Costs'!AG$4:AG$100)</f>
        <v>0</v>
      </c>
      <c r="Y27" s="85">
        <f t="shared" si="1"/>
        <v>0</v>
      </c>
      <c r="Z27" s="85">
        <f t="shared" si="5"/>
        <v>0</v>
      </c>
    </row>
    <row r="28" spans="2:26" ht="12.75" x14ac:dyDescent="0.2">
      <c r="B28" s="72" t="s">
        <v>12</v>
      </c>
      <c r="C28" s="86">
        <f>SUM(C4:C27)</f>
        <v>0</v>
      </c>
      <c r="D28" s="86">
        <f t="shared" ref="D28:K28" si="6">SUM(D4:D27)</f>
        <v>6322088.9551578136</v>
      </c>
      <c r="E28" s="289">
        <f t="shared" si="6"/>
        <v>47825076.537074797</v>
      </c>
      <c r="F28" s="289">
        <f t="shared" si="6"/>
        <v>60192048.02265352</v>
      </c>
      <c r="G28" s="289">
        <f t="shared" si="6"/>
        <v>53924726.237623177</v>
      </c>
      <c r="H28" s="289">
        <f t="shared" si="6"/>
        <v>47748663.593048476</v>
      </c>
      <c r="I28" s="289">
        <f t="shared" si="6"/>
        <v>39837117.359716013</v>
      </c>
      <c r="J28" s="86">
        <f t="shared" si="6"/>
        <v>5789312.6949236486</v>
      </c>
      <c r="K28" s="86">
        <f t="shared" si="6"/>
        <v>0</v>
      </c>
      <c r="L28" s="86">
        <f t="shared" si="0"/>
        <v>249527631.75011599</v>
      </c>
      <c r="M28" s="86">
        <f>SUM(C28:K28)</f>
        <v>261639033.40019745</v>
      </c>
      <c r="N28" s="72"/>
      <c r="O28" s="72" t="s">
        <v>12</v>
      </c>
      <c r="P28" s="86">
        <f>SUM(P4:P27)</f>
        <v>0</v>
      </c>
      <c r="Q28" s="86">
        <f t="shared" ref="Q28:X28" si="7">SUM(Q4:Q27)</f>
        <v>518287.13123609993</v>
      </c>
      <c r="R28" s="289">
        <f t="shared" si="7"/>
        <v>49278734.376352511</v>
      </c>
      <c r="S28" s="289">
        <f t="shared" si="7"/>
        <v>41021424.231249705</v>
      </c>
      <c r="T28" s="289">
        <f t="shared" si="7"/>
        <v>73039847.204213068</v>
      </c>
      <c r="U28" s="289">
        <f t="shared" si="7"/>
        <v>37226570.134958528</v>
      </c>
      <c r="V28" s="289">
        <f t="shared" si="7"/>
        <v>52250446.322187416</v>
      </c>
      <c r="W28" s="86">
        <f t="shared" si="7"/>
        <v>61818</v>
      </c>
      <c r="X28" s="86">
        <f t="shared" si="7"/>
        <v>8241906.0000001211</v>
      </c>
      <c r="Y28" s="86">
        <f t="shared" si="1"/>
        <v>252817022.26896122</v>
      </c>
      <c r="Z28" s="86">
        <f>SUM(P28:X28)</f>
        <v>261639033.40019748</v>
      </c>
    </row>
    <row r="29" spans="2:26" ht="12.75" x14ac:dyDescent="0.2">
      <c r="B29" s="72"/>
      <c r="C29" s="72"/>
      <c r="D29" s="72"/>
      <c r="E29" s="2"/>
      <c r="F29" s="2"/>
      <c r="G29" s="2"/>
      <c r="H29" s="2"/>
      <c r="I29" s="2"/>
      <c r="J29" s="72"/>
      <c r="K29" s="72"/>
      <c r="L29" s="72"/>
      <c r="M29" s="72"/>
      <c r="N29" s="72"/>
      <c r="O29" s="72"/>
      <c r="P29" s="72"/>
      <c r="Q29" s="72"/>
      <c r="R29" s="2"/>
      <c r="S29" s="2"/>
      <c r="T29" s="2"/>
      <c r="U29" s="2"/>
      <c r="V29" s="2"/>
      <c r="W29" s="72"/>
      <c r="X29" s="72"/>
      <c r="Y29" s="72"/>
      <c r="Z29" s="72"/>
    </row>
    <row r="30" spans="2:26" ht="13.5" thickBot="1" x14ac:dyDescent="0.25">
      <c r="B30" s="71" t="s">
        <v>210</v>
      </c>
      <c r="C30" s="72"/>
      <c r="D30" s="72"/>
      <c r="E30" s="2"/>
      <c r="F30" s="2"/>
      <c r="G30" s="2"/>
      <c r="H30" s="2"/>
      <c r="I30" s="2"/>
      <c r="J30" s="72"/>
      <c r="K30" s="72"/>
      <c r="L30" s="72"/>
      <c r="M30" s="72"/>
      <c r="N30" s="72"/>
      <c r="O30" s="71" t="s">
        <v>211</v>
      </c>
      <c r="P30" s="72"/>
      <c r="Q30" s="72"/>
      <c r="R30" s="2"/>
      <c r="S30" s="2"/>
      <c r="T30" s="2"/>
      <c r="U30" s="2"/>
      <c r="V30" s="2"/>
      <c r="W30" s="72"/>
      <c r="X30" s="72"/>
      <c r="Y30" s="72"/>
      <c r="Z30" s="72"/>
    </row>
    <row r="31" spans="2:26" ht="41.25" thickBot="1" x14ac:dyDescent="0.25">
      <c r="B31" s="72"/>
      <c r="C31" s="179" t="str">
        <f t="array" ref="C31:K31">'Base Costs'!P3:X3</f>
        <v>2012/13</v>
      </c>
      <c r="D31" s="180" t="str">
        <v>2013/14</v>
      </c>
      <c r="E31" s="285" t="str">
        <v>2014/15</v>
      </c>
      <c r="F31" s="285" t="str">
        <v>2015/16</v>
      </c>
      <c r="G31" s="285" t="str">
        <v>2016/17</v>
      </c>
      <c r="H31" s="285" t="str">
        <v>2017/18</v>
      </c>
      <c r="I31" s="285" t="str">
        <v>2018/19</v>
      </c>
      <c r="J31" s="180" t="str">
        <v>2019/20</v>
      </c>
      <c r="K31" s="181" t="str">
        <v>2020/21</v>
      </c>
      <c r="L31" s="296" t="str">
        <f>$L$3</f>
        <v>2014-19
Total</v>
      </c>
      <c r="M31" s="73" t="s">
        <v>12</v>
      </c>
      <c r="N31" s="72"/>
      <c r="O31" s="72"/>
      <c r="P31" s="179" t="str">
        <f t="array" ref="P31:X31">'Base Costs'!P3:X3</f>
        <v>2012/13</v>
      </c>
      <c r="Q31" s="180" t="str">
        <v>2013/14</v>
      </c>
      <c r="R31" s="285" t="str">
        <v>2014/15</v>
      </c>
      <c r="S31" s="285" t="str">
        <v>2015/16</v>
      </c>
      <c r="T31" s="285" t="str">
        <v>2016/17</v>
      </c>
      <c r="U31" s="285" t="str">
        <v>2017/18</v>
      </c>
      <c r="V31" s="285" t="str">
        <v>2018/19</v>
      </c>
      <c r="W31" s="180" t="str">
        <v>2019/20</v>
      </c>
      <c r="X31" s="181" t="str">
        <v>2020/21</v>
      </c>
      <c r="Y31" s="296" t="str">
        <f>$L$3</f>
        <v>2014-19
Total</v>
      </c>
      <c r="Z31" s="73" t="s">
        <v>12</v>
      </c>
    </row>
    <row r="32" spans="2:26" ht="12.75" x14ac:dyDescent="0.2">
      <c r="B32" s="74" t="str">
        <f t="array" ref="B32:B55">$B$4:$B$27</f>
        <v>TL60</v>
      </c>
      <c r="C32" s="75">
        <f>SUMPRODUCT('Base Costs'!$AI$4:$AI$100,'Cost+LOA'!P$4:P$100)</f>
        <v>0</v>
      </c>
      <c r="D32" s="76">
        <f>SUMPRODUCT('Base Costs'!$AI$4:$AI$100,'Cost+LOA'!Q$4:Q$100)</f>
        <v>781.4363034819479</v>
      </c>
      <c r="E32" s="286">
        <f>SUMPRODUCT('Base Costs'!$AI$4:$AI$100,'Cost+LOA'!R$4:R$100)</f>
        <v>4102332.8166515091</v>
      </c>
      <c r="F32" s="286">
        <f>SUMPRODUCT('Base Costs'!$AI$4:$AI$100,'Cost+LOA'!S$4:S$100)</f>
        <v>7027639.3310104692</v>
      </c>
      <c r="G32" s="286">
        <f>SUMPRODUCT('Base Costs'!$AI$4:$AI$100,'Cost+LOA'!T$4:T$100)</f>
        <v>6994813.1080766795</v>
      </c>
      <c r="H32" s="286">
        <f>SUMPRODUCT('Base Costs'!$AI$4:$AI$100,'Cost+LOA'!U$4:U$100)</f>
        <v>7871024.0866530007</v>
      </c>
      <c r="I32" s="286">
        <f>SUMPRODUCT('Base Costs'!$AI$4:$AI$100,'Cost+LOA'!V$4:V$100)</f>
        <v>9082201.3727786969</v>
      </c>
      <c r="J32" s="76">
        <f>SUMPRODUCT('Base Costs'!$AI$4:$AI$100,'Cost+LOA'!W$4:W$100)</f>
        <v>2491980.9664063142</v>
      </c>
      <c r="K32" s="77">
        <f>SUMPRODUCT('Base Costs'!$AI$4:$AI$100,'Cost+LOA'!X$4:X$100)</f>
        <v>0</v>
      </c>
      <c r="L32" s="77">
        <f t="shared" ref="L32:L56" si="8">SUM(E32:I32)</f>
        <v>35078010.715170354</v>
      </c>
      <c r="M32" s="77">
        <f>SUM(C32:K32)</f>
        <v>37570773.117880151</v>
      </c>
      <c r="N32" s="72"/>
      <c r="O32" s="74" t="str">
        <f t="array" ref="O32:O55">$B$4:$B$27</f>
        <v>TL60</v>
      </c>
      <c r="P32" s="75">
        <f>SUMPRODUCT('Base Costs'!$AI$4:$AI$100,'Cost+LOA'!Y$4:Y$100)</f>
        <v>0</v>
      </c>
      <c r="Q32" s="76">
        <f>SUMPRODUCT('Base Costs'!$AI$4:$AI$100,'Cost+LOA'!Z$4:Z$100)</f>
        <v>781.4363034819479</v>
      </c>
      <c r="R32" s="286">
        <f>SUMPRODUCT('Base Costs'!$AI$4:$AI$100,'Cost+LOA'!AA$4:AA$100)</f>
        <v>3685195.8151056897</v>
      </c>
      <c r="S32" s="286">
        <f>SUMPRODUCT('Base Costs'!$AI$4:$AI$100,'Cost+LOA'!AB$4:AB$100)</f>
        <v>5665684.5883500008</v>
      </c>
      <c r="T32" s="286">
        <f>SUMPRODUCT('Base Costs'!$AI$4:$AI$100,'Cost+LOA'!AC$4:AC$100)</f>
        <v>8569601.5406146049</v>
      </c>
      <c r="U32" s="286">
        <f>SUMPRODUCT('Base Costs'!$AI$4:$AI$100,'Cost+LOA'!AD$4:AD$100)</f>
        <v>4933989.2935053976</v>
      </c>
      <c r="V32" s="286">
        <f>SUMPRODUCT('Base Costs'!$AI$4:$AI$100,'Cost+LOA'!AE$4:AE$100)</f>
        <v>11129541.936310001</v>
      </c>
      <c r="W32" s="76">
        <f>SUMPRODUCT('Base Costs'!$AI$4:$AI$100,'Cost+LOA'!AF$4:AF$100)</f>
        <v>0</v>
      </c>
      <c r="X32" s="77">
        <f>SUMPRODUCT('Base Costs'!$AI$4:$AI$100,'Cost+LOA'!AG$4:AG$100)</f>
        <v>3585978.5076909778</v>
      </c>
      <c r="Y32" s="77">
        <f t="shared" ref="Y32:Y56" si="9">SUM(R32:V32)</f>
        <v>33984013.173885688</v>
      </c>
      <c r="Z32" s="77">
        <f>SUM(P32:X32)</f>
        <v>37570773.117880151</v>
      </c>
    </row>
    <row r="33" spans="2:26" ht="13.95" x14ac:dyDescent="0.3">
      <c r="B33" s="78" t="str">
        <v>TL45</v>
      </c>
      <c r="C33" s="79">
        <f>SUMPRODUCT('Base Costs'!$AJ$4:$AJ$100,'Cost+LOA'!P$4:P$100)</f>
        <v>0</v>
      </c>
      <c r="D33" s="80">
        <f>SUMPRODUCT('Base Costs'!$AJ$4:$AJ$100,'Cost+LOA'!Q$4:Q$100)</f>
        <v>850.89730823589878</v>
      </c>
      <c r="E33" s="287">
        <f>SUMPRODUCT('Base Costs'!$AJ$4:$AJ$100,'Cost+LOA'!R$4:R$100)</f>
        <v>2623897.4627158875</v>
      </c>
      <c r="F33" s="287">
        <f>SUMPRODUCT('Base Costs'!$AJ$4:$AJ$100,'Cost+LOA'!S$4:S$100)</f>
        <v>4360538.8883435205</v>
      </c>
      <c r="G33" s="287">
        <f>SUMPRODUCT('Base Costs'!$AJ$4:$AJ$100,'Cost+LOA'!T$4:T$100)</f>
        <v>3679038.4677736792</v>
      </c>
      <c r="H33" s="287">
        <f>SUMPRODUCT('Base Costs'!$AJ$4:$AJ$100,'Cost+LOA'!U$4:U$100)</f>
        <v>5097212.8379590474</v>
      </c>
      <c r="I33" s="287">
        <f>SUMPRODUCT('Base Costs'!$AJ$4:$AJ$100,'Cost+LOA'!V$4:V$100)</f>
        <v>6077878.6289339317</v>
      </c>
      <c r="J33" s="80">
        <f>SUMPRODUCT('Base Costs'!$AJ$4:$AJ$100,'Cost+LOA'!W$4:W$100)</f>
        <v>2713490.0058990866</v>
      </c>
      <c r="K33" s="81">
        <f>SUMPRODUCT('Base Costs'!$AJ$4:$AJ$100,'Cost+LOA'!X$4:X$100)</f>
        <v>0</v>
      </c>
      <c r="L33" s="81">
        <f t="shared" si="8"/>
        <v>21838566.285726067</v>
      </c>
      <c r="M33" s="81">
        <f t="shared" ref="M33:M46" si="10">SUM(C33:K33)</f>
        <v>24552907.188933387</v>
      </c>
      <c r="N33" s="72"/>
      <c r="O33" s="78" t="str">
        <v>TL45</v>
      </c>
      <c r="P33" s="79">
        <f>SUMPRODUCT('Base Costs'!$AJ$4:$AJ$100,'Cost+LOA'!Y$4:Y$100)</f>
        <v>0</v>
      </c>
      <c r="Q33" s="80">
        <f>SUMPRODUCT('Base Costs'!$AJ$4:$AJ$100,'Cost+LOA'!Z$4:Z$100)</f>
        <v>850.89730823589878</v>
      </c>
      <c r="R33" s="287">
        <f>SUMPRODUCT('Base Costs'!$AJ$4:$AJ$100,'Cost+LOA'!AA$4:AA$100)</f>
        <v>2589944.449991487</v>
      </c>
      <c r="S33" s="287">
        <f>SUMPRODUCT('Base Costs'!$AJ$4:$AJ$100,'Cost+LOA'!AB$4:AB$100)</f>
        <v>4249682.0959480004</v>
      </c>
      <c r="T33" s="287">
        <f>SUMPRODUCT('Base Costs'!$AJ$4:$AJ$100,'Cost+LOA'!AC$4:AC$100)</f>
        <v>3709471.3793246029</v>
      </c>
      <c r="U33" s="287">
        <f>SUMPRODUCT('Base Costs'!$AJ$4:$AJ$100,'Cost+LOA'!AD$4:AD$100)</f>
        <v>3452947.1958553968</v>
      </c>
      <c r="V33" s="287">
        <f>SUMPRODUCT('Base Costs'!$AJ$4:$AJ$100,'Cost+LOA'!AE$4:AE$100)</f>
        <v>6645279.5641399994</v>
      </c>
      <c r="W33" s="80">
        <f>SUMPRODUCT('Base Costs'!$AJ$4:$AJ$100,'Cost+LOA'!AF$4:AF$100)</f>
        <v>0</v>
      </c>
      <c r="X33" s="81">
        <f>SUMPRODUCT('Base Costs'!$AJ$4:$AJ$100,'Cost+LOA'!AG$4:AG$100)</f>
        <v>3904731.6063656653</v>
      </c>
      <c r="Y33" s="81">
        <f t="shared" si="9"/>
        <v>20647324.685259487</v>
      </c>
      <c r="Z33" s="81">
        <f t="shared" ref="Z33:Z46" si="11">SUM(P33:X33)</f>
        <v>24552907.188933387</v>
      </c>
    </row>
    <row r="34" spans="2:26" ht="13.95" x14ac:dyDescent="0.3">
      <c r="B34" s="78" t="str">
        <v>TL10</v>
      </c>
      <c r="C34" s="79">
        <f>SUMPRODUCT('Base Costs'!$AK$4:$AK$100,'Cost+LOA'!P$4:P$100)</f>
        <v>0</v>
      </c>
      <c r="D34" s="80">
        <f>SUMPRODUCT('Base Costs'!$AK$4:$AK$100,'Cost+LOA'!Q$4:Q$100)</f>
        <v>104.19150713092638</v>
      </c>
      <c r="E34" s="287">
        <f>SUMPRODUCT('Base Costs'!$AK$4:$AK$100,'Cost+LOA'!R$4:R$100)</f>
        <v>507797.06729299284</v>
      </c>
      <c r="F34" s="287">
        <f>SUMPRODUCT('Base Costs'!$AK$4:$AK$100,'Cost+LOA'!S$4:S$100)</f>
        <v>965776.79665752046</v>
      </c>
      <c r="G34" s="287">
        <f>SUMPRODUCT('Base Costs'!$AK$4:$AK$100,'Cost+LOA'!T$4:T$100)</f>
        <v>928110.11579141056</v>
      </c>
      <c r="H34" s="287">
        <f>SUMPRODUCT('Base Costs'!$AK$4:$AK$100,'Cost+LOA'!U$4:U$100)</f>
        <v>1068862.1003727322</v>
      </c>
      <c r="I34" s="287">
        <f>SUMPRODUCT('Base Costs'!$AK$4:$AK$100,'Cost+LOA'!V$4:V$100)</f>
        <v>1212919.1631001625</v>
      </c>
      <c r="J34" s="80">
        <f>SUMPRODUCT('Base Costs'!$AK$4:$AK$100,'Cost+LOA'!W$4:W$100)</f>
        <v>332264.27125792927</v>
      </c>
      <c r="K34" s="81">
        <f>SUMPRODUCT('Base Costs'!$AK$4:$AK$100,'Cost+LOA'!X$4:X$100)</f>
        <v>0</v>
      </c>
      <c r="L34" s="81">
        <f t="shared" si="8"/>
        <v>4683465.2432148186</v>
      </c>
      <c r="M34" s="81">
        <f t="shared" si="10"/>
        <v>5015833.705979879</v>
      </c>
      <c r="N34" s="72"/>
      <c r="O34" s="78" t="str">
        <v>TL10</v>
      </c>
      <c r="P34" s="79">
        <f>SUMPRODUCT('Base Costs'!$AK$4:$AK$100,'Cost+LOA'!Y$4:Y$100)</f>
        <v>0</v>
      </c>
      <c r="Q34" s="80">
        <f>SUMPRODUCT('Base Costs'!$AK$4:$AK$100,'Cost+LOA'!Z$4:Z$100)</f>
        <v>104.19150713092638</v>
      </c>
      <c r="R34" s="287">
        <f>SUMPRODUCT('Base Costs'!$AK$4:$AK$100,'Cost+LOA'!AA$4:AA$100)</f>
        <v>473844.05456859246</v>
      </c>
      <c r="S34" s="287">
        <f>SUMPRODUCT('Base Costs'!$AK$4:$AK$100,'Cost+LOA'!AB$4:AB$100)</f>
        <v>854920.00426199997</v>
      </c>
      <c r="T34" s="287">
        <f>SUMPRODUCT('Base Costs'!$AK$4:$AK$100,'Cost+LOA'!AC$4:AC$100)</f>
        <v>1051251.53993</v>
      </c>
      <c r="U34" s="287">
        <f>SUMPRODUCT('Base Costs'!$AK$4:$AK$100,'Cost+LOA'!AD$4:AD$100)</f>
        <v>757360.59639000008</v>
      </c>
      <c r="V34" s="287">
        <f>SUMPRODUCT('Base Costs'!$AK$4:$AK$100,'Cost+LOA'!AE$4:AE$100)</f>
        <v>1400222.64671</v>
      </c>
      <c r="W34" s="80">
        <f>SUMPRODUCT('Base Costs'!$AK$4:$AK$100,'Cost+LOA'!AF$4:AF$100)</f>
        <v>0</v>
      </c>
      <c r="X34" s="81">
        <f>SUMPRODUCT('Base Costs'!$AK$4:$AK$100,'Cost+LOA'!AG$4:AG$100)</f>
        <v>478130.67261215526</v>
      </c>
      <c r="Y34" s="81">
        <f t="shared" si="9"/>
        <v>4537598.8418605924</v>
      </c>
      <c r="Z34" s="81">
        <f t="shared" si="11"/>
        <v>5015833.7059798781</v>
      </c>
    </row>
    <row r="35" spans="2:26" ht="13.95" x14ac:dyDescent="0.3">
      <c r="B35" s="78" t="str">
        <v>SS60</v>
      </c>
      <c r="C35" s="79">
        <f>SUMPRODUCT('Base Costs'!$AL$4:$AL$100,'Cost+LOA'!P$4:P$100)</f>
        <v>0</v>
      </c>
      <c r="D35" s="80">
        <f>SUMPRODUCT('Base Costs'!$AL$4:$AL$100,'Cost+LOA'!Q$4:Q$100)</f>
        <v>1582139.5653657236</v>
      </c>
      <c r="E35" s="287">
        <f>SUMPRODUCT('Base Costs'!$AL$4:$AL$100,'Cost+LOA'!R$4:R$100)</f>
        <v>7164115.1197191505</v>
      </c>
      <c r="F35" s="287">
        <f>SUMPRODUCT('Base Costs'!$AL$4:$AL$100,'Cost+LOA'!S$4:S$100)</f>
        <v>6568045.3424302302</v>
      </c>
      <c r="G35" s="287">
        <f>SUMPRODUCT('Base Costs'!$AL$4:$AL$100,'Cost+LOA'!T$4:T$100)</f>
        <v>5802216.0396634657</v>
      </c>
      <c r="H35" s="287">
        <f>SUMPRODUCT('Base Costs'!$AL$4:$AL$100,'Cost+LOA'!U$4:U$100)</f>
        <v>3812888.9781626463</v>
      </c>
      <c r="I35" s="287">
        <f>SUMPRODUCT('Base Costs'!$AL$4:$AL$100,'Cost+LOA'!V$4:V$100)</f>
        <v>2109801.3480674913</v>
      </c>
      <c r="J35" s="80">
        <f>SUMPRODUCT('Base Costs'!$AL$4:$AL$100,'Cost+LOA'!W$4:W$100)</f>
        <v>29006.220671348659</v>
      </c>
      <c r="K35" s="81">
        <f>SUMPRODUCT('Base Costs'!$AL$4:$AL$100,'Cost+LOA'!X$4:X$100)</f>
        <v>0</v>
      </c>
      <c r="L35" s="81">
        <f t="shared" si="8"/>
        <v>25457066.828042984</v>
      </c>
      <c r="M35" s="81">
        <f t="shared" si="10"/>
        <v>27068212.614080057</v>
      </c>
      <c r="N35" s="72"/>
      <c r="O35" s="78" t="str">
        <v>SS60</v>
      </c>
      <c r="P35" s="79">
        <f>SUMPRODUCT('Base Costs'!$AL$4:$AL$100,'Cost+LOA'!Y$4:Y$100)</f>
        <v>0</v>
      </c>
      <c r="Q35" s="80">
        <f>SUMPRODUCT('Base Costs'!$AL$4:$AL$100,'Cost+LOA'!Z$4:Z$100)</f>
        <v>0</v>
      </c>
      <c r="R35" s="287">
        <f>SUMPRODUCT('Base Costs'!$AL$4:$AL$100,'Cost+LOA'!AA$4:AA$100)</f>
        <v>7959280.3154437458</v>
      </c>
      <c r="S35" s="287">
        <f>SUMPRODUCT('Base Costs'!$AL$4:$AL$100,'Cost+LOA'!AB$4:AB$100)</f>
        <v>3134488.5006704857</v>
      </c>
      <c r="T35" s="287">
        <f>SUMPRODUCT('Base Costs'!$AL$4:$AL$100,'Cost+LOA'!AC$4:AC$100)</f>
        <v>9416809.2304261867</v>
      </c>
      <c r="U35" s="287">
        <f>SUMPRODUCT('Base Costs'!$AL$4:$AL$100,'Cost+LOA'!AD$4:AD$100)</f>
        <v>2375440.3881073459</v>
      </c>
      <c r="V35" s="287">
        <f>SUMPRODUCT('Base Costs'!$AL$4:$AL$100,'Cost+LOA'!AE$4:AE$100)</f>
        <v>4140454.0195679078</v>
      </c>
      <c r="W35" s="80">
        <f>SUMPRODUCT('Base Costs'!$AL$4:$AL$100,'Cost+LOA'!AF$4:AF$100)</f>
        <v>0</v>
      </c>
      <c r="X35" s="81">
        <f>SUMPRODUCT('Base Costs'!$AL$4:$AL$100,'Cost+LOA'!AG$4:AG$100)</f>
        <v>41740.159864382549</v>
      </c>
      <c r="Y35" s="81">
        <f t="shared" si="9"/>
        <v>27026472.454215668</v>
      </c>
      <c r="Z35" s="81">
        <f t="shared" si="11"/>
        <v>27068212.614080049</v>
      </c>
    </row>
    <row r="36" spans="2:26" ht="13.95" x14ac:dyDescent="0.3">
      <c r="B36" s="78" t="str">
        <v>SS45</v>
      </c>
      <c r="C36" s="79">
        <f>SUMPRODUCT('Base Costs'!$AM$4:$AM$100,'Cost+LOA'!P$4:P$100)</f>
        <v>0</v>
      </c>
      <c r="D36" s="80">
        <f>SUMPRODUCT('Base Costs'!$AM$4:$AM$100,'Cost+LOA'!Q$4:Q$100)</f>
        <v>2542609.6501442478</v>
      </c>
      <c r="E36" s="287">
        <f>SUMPRODUCT('Base Costs'!$AM$4:$AM$100,'Cost+LOA'!R$4:R$100)</f>
        <v>12718773.883852618</v>
      </c>
      <c r="F36" s="287">
        <f>SUMPRODUCT('Base Costs'!$AM$4:$AM$100,'Cost+LOA'!S$4:S$100)</f>
        <v>18899751.773721177</v>
      </c>
      <c r="G36" s="287">
        <f>SUMPRODUCT('Base Costs'!$AM$4:$AM$100,'Cost+LOA'!T$4:T$100)</f>
        <v>11805097.938988155</v>
      </c>
      <c r="H36" s="287">
        <f>SUMPRODUCT('Base Costs'!$AM$4:$AM$100,'Cost+LOA'!U$4:U$100)</f>
        <v>9292858.3885626718</v>
      </c>
      <c r="I36" s="287">
        <f>SUMPRODUCT('Base Costs'!$AM$4:$AM$100,'Cost+LOA'!V$4:V$100)</f>
        <v>4407542.4848398594</v>
      </c>
      <c r="J36" s="80">
        <f>SUMPRODUCT('Base Costs'!$AM$4:$AM$100,'Cost+LOA'!W$4:W$100)</f>
        <v>46616.580921347842</v>
      </c>
      <c r="K36" s="81">
        <f>SUMPRODUCT('Base Costs'!$AM$4:$AM$100,'Cost+LOA'!X$4:X$100)</f>
        <v>0</v>
      </c>
      <c r="L36" s="81">
        <f t="shared" si="8"/>
        <v>57124024.469964482</v>
      </c>
      <c r="M36" s="81">
        <f t="shared" si="10"/>
        <v>59713250.701030068</v>
      </c>
      <c r="N36" s="72"/>
      <c r="O36" s="78" t="str">
        <v>SS45</v>
      </c>
      <c r="P36" s="79">
        <f>SUMPRODUCT('Base Costs'!$AM$4:$AM$100,'Cost+LOA'!Y$4:Y$100)</f>
        <v>0</v>
      </c>
      <c r="Q36" s="80">
        <f>SUMPRODUCT('Base Costs'!$AM$4:$AM$100,'Cost+LOA'!Z$4:Z$100)</f>
        <v>0</v>
      </c>
      <c r="R36" s="287">
        <f>SUMPRODUCT('Base Costs'!$AM$4:$AM$100,'Cost+LOA'!AA$4:AA$100)</f>
        <v>13120877.471882887</v>
      </c>
      <c r="S36" s="287">
        <f>SUMPRODUCT('Base Costs'!$AM$4:$AM$100,'Cost+LOA'!AB$4:AB$100)</f>
        <v>7179972.418402316</v>
      </c>
      <c r="T36" s="287">
        <f>SUMPRODUCT('Base Costs'!$AM$4:$AM$100,'Cost+LOA'!AC$4:AC$100)</f>
        <v>23713854.970137928</v>
      </c>
      <c r="U36" s="287">
        <f>SUMPRODUCT('Base Costs'!$AM$4:$AM$100,'Cost+LOA'!AD$4:AD$100)</f>
        <v>5157628.8873319104</v>
      </c>
      <c r="V36" s="287">
        <f>SUMPRODUCT('Base Costs'!$AM$4:$AM$100,'Cost+LOA'!AE$4:AE$100)</f>
        <v>10473835.358535942</v>
      </c>
      <c r="W36" s="80">
        <f>SUMPRODUCT('Base Costs'!$AM$4:$AM$100,'Cost+LOA'!AF$4:AF$100)</f>
        <v>0</v>
      </c>
      <c r="X36" s="81">
        <f>SUMPRODUCT('Base Costs'!$AM$4:$AM$100,'Cost+LOA'!AG$4:AG$100)</f>
        <v>67081.59473908857</v>
      </c>
      <c r="Y36" s="81">
        <f t="shared" si="9"/>
        <v>59646169.106290981</v>
      </c>
      <c r="Z36" s="81">
        <f t="shared" si="11"/>
        <v>59713250.701030068</v>
      </c>
    </row>
    <row r="37" spans="2:26" ht="13.95" x14ac:dyDescent="0.3">
      <c r="B37" s="78" t="str">
        <v>SS15</v>
      </c>
      <c r="C37" s="79">
        <f>SUMPRODUCT('Base Costs'!$AN$4:$AN$100,'Cost+LOA'!P$4:P$100)</f>
        <v>0</v>
      </c>
      <c r="D37" s="80">
        <f>SUMPRODUCT('Base Costs'!$AN$4:$AN$100,'Cost+LOA'!Q$4:Q$100)</f>
        <v>339029.8750761096</v>
      </c>
      <c r="E37" s="287">
        <f>SUMPRODUCT('Base Costs'!$AN$4:$AN$100,'Cost+LOA'!R$4:R$100)</f>
        <v>2331454.4868445648</v>
      </c>
      <c r="F37" s="287">
        <f>SUMPRODUCT('Base Costs'!$AN$4:$AN$100,'Cost+LOA'!S$4:S$100)</f>
        <v>1853457.1247024008</v>
      </c>
      <c r="G37" s="287">
        <f>SUMPRODUCT('Base Costs'!$AN$4:$AN$100,'Cost+LOA'!T$4:T$100)</f>
        <v>1930765.143736782</v>
      </c>
      <c r="H37" s="287">
        <f>SUMPRODUCT('Base Costs'!$AN$4:$AN$100,'Cost+LOA'!U$4:U$100)</f>
        <v>1533639.9265605405</v>
      </c>
      <c r="I37" s="287">
        <f>SUMPRODUCT('Base Costs'!$AN$4:$AN$100,'Cost+LOA'!V$4:V$100)</f>
        <v>1262040.766189019</v>
      </c>
      <c r="J37" s="80">
        <f>SUMPRODUCT('Base Costs'!$AN$4:$AN$100,'Cost+LOA'!W$4:W$100)</f>
        <v>6215.9238661906284</v>
      </c>
      <c r="K37" s="81">
        <f>SUMPRODUCT('Base Costs'!$AN$4:$AN$100,'Cost+LOA'!X$4:X$100)</f>
        <v>0</v>
      </c>
      <c r="L37" s="81">
        <f t="shared" si="8"/>
        <v>8911357.4480333067</v>
      </c>
      <c r="M37" s="81">
        <f t="shared" si="10"/>
        <v>9256603.2469756063</v>
      </c>
      <c r="N37" s="72"/>
      <c r="O37" s="78" t="str">
        <v>SS15</v>
      </c>
      <c r="P37" s="79">
        <f>SUMPRODUCT('Base Costs'!$AN$4:$AN$100,'Cost+LOA'!Y$4:Y$100)</f>
        <v>0</v>
      </c>
      <c r="Q37" s="80">
        <f>SUMPRODUCT('Base Costs'!$AN$4:$AN$100,'Cost+LOA'!Z$4:Z$100)</f>
        <v>0</v>
      </c>
      <c r="R37" s="287">
        <f>SUMPRODUCT('Base Costs'!$AN$4:$AN$100,'Cost+LOA'!AA$4:AA$100)</f>
        <v>2545049.4834725903</v>
      </c>
      <c r="S37" s="287">
        <f>SUMPRODUCT('Base Costs'!$AN$4:$AN$100,'Cost+LOA'!AB$4:AB$100)</f>
        <v>1432703.7247305815</v>
      </c>
      <c r="T37" s="287">
        <f>SUMPRODUCT('Base Costs'!$AN$4:$AN$100,'Cost+LOA'!AC$4:AC$100)</f>
        <v>2389594.7084991969</v>
      </c>
      <c r="U37" s="287">
        <f>SUMPRODUCT('Base Costs'!$AN$4:$AN$100,'Cost+LOA'!AD$4:AD$100)</f>
        <v>1304920.2860079217</v>
      </c>
      <c r="V37" s="287">
        <f>SUMPRODUCT('Base Costs'!$AN$4:$AN$100,'Cost+LOA'!AE$4:AE$100)</f>
        <v>1575390.2851800388</v>
      </c>
      <c r="W37" s="80">
        <f>SUMPRODUCT('Base Costs'!$AN$4:$AN$100,'Cost+LOA'!AF$4:AF$100)</f>
        <v>0</v>
      </c>
      <c r="X37" s="81">
        <f>SUMPRODUCT('Base Costs'!$AN$4:$AN$100,'Cost+LOA'!AG$4:AG$100)</f>
        <v>8944.7590852781104</v>
      </c>
      <c r="Y37" s="81">
        <f t="shared" si="9"/>
        <v>9247658.4878903292</v>
      </c>
      <c r="Z37" s="81">
        <f t="shared" si="11"/>
        <v>9256603.2469756082</v>
      </c>
    </row>
    <row r="38" spans="2:26" ht="13.95" x14ac:dyDescent="0.3">
      <c r="B38" s="78" t="str">
        <v>PC15</v>
      </c>
      <c r="C38" s="79">
        <f>SUMPRODUCT('Base Costs'!$AO$4:$AO$100,'Cost+LOA'!P$4:P$100)</f>
        <v>0</v>
      </c>
      <c r="D38" s="80">
        <f>SUMPRODUCT('Base Costs'!$AO$4:$AO$100,'Cost+LOA'!Q$4:Q$100)</f>
        <v>1186604.7085357003</v>
      </c>
      <c r="E38" s="287">
        <f>SUMPRODUCT('Base Costs'!$AO$4:$AO$100,'Cost+LOA'!R$4:R$100)</f>
        <v>5661509.4575047391</v>
      </c>
      <c r="F38" s="287">
        <f>SUMPRODUCT('Base Costs'!$AO$4:$AO$100,'Cost+LOA'!S$4:S$100)</f>
        <v>7613776.1603661822</v>
      </c>
      <c r="G38" s="287">
        <f>SUMPRODUCT('Base Costs'!$AO$4:$AO$100,'Cost+LOA'!T$4:T$100)</f>
        <v>9918735.5252101235</v>
      </c>
      <c r="H38" s="287">
        <f>SUMPRODUCT('Base Costs'!$AO$4:$AO$100,'Cost+LOA'!U$4:U$100)</f>
        <v>7087230.9954912625</v>
      </c>
      <c r="I38" s="287">
        <f>SUMPRODUCT('Base Costs'!$AO$4:$AO$100,'Cost+LOA'!V$4:V$100)</f>
        <v>7505826.6953637255</v>
      </c>
      <c r="J38" s="80">
        <f>SUMPRODUCT('Base Costs'!$AO$4:$AO$100,'Cost+LOA'!W$4:W$100)</f>
        <v>85093.032294126257</v>
      </c>
      <c r="K38" s="81">
        <f>SUMPRODUCT('Base Costs'!$AO$4:$AO$100,'Cost+LOA'!X$4:X$100)</f>
        <v>0</v>
      </c>
      <c r="L38" s="81">
        <f t="shared" si="8"/>
        <v>37787078.833936036</v>
      </c>
      <c r="M38" s="81">
        <f t="shared" si="10"/>
        <v>39058776.574765854</v>
      </c>
      <c r="N38" s="72"/>
      <c r="O38" s="78" t="str">
        <v>PC15</v>
      </c>
      <c r="P38" s="79">
        <f>SUMPRODUCT('Base Costs'!$AO$4:$AO$100,'Cost+LOA'!Y$4:Y$100)</f>
        <v>0</v>
      </c>
      <c r="Q38" s="80">
        <f>SUMPRODUCT('Base Costs'!$AO$4:$AO$100,'Cost+LOA'!Z$4:Z$100)</f>
        <v>0</v>
      </c>
      <c r="R38" s="287">
        <f>SUMPRODUCT('Base Costs'!$AO$4:$AO$100,'Cost+LOA'!AA$4:AA$100)</f>
        <v>6368186.8195393262</v>
      </c>
      <c r="S38" s="287">
        <f>SUMPRODUCT('Base Costs'!$AO$4:$AO$100,'Cost+LOA'!AB$4:AB$100)</f>
        <v>5780536.306528884</v>
      </c>
      <c r="T38" s="287">
        <f>SUMPRODUCT('Base Costs'!$AO$4:$AO$100,'Cost+LOA'!AC$4:AC$100)</f>
        <v>11888961.758484462</v>
      </c>
      <c r="U38" s="287">
        <f>SUMPRODUCT('Base Costs'!$AO$4:$AO$100,'Cost+LOA'!AD$4:AD$100)</f>
        <v>6133704.7797361342</v>
      </c>
      <c r="V38" s="287">
        <f>SUMPRODUCT('Base Costs'!$AO$4:$AO$100,'Cost+LOA'!AE$4:AE$100)</f>
        <v>8792743.5800788254</v>
      </c>
      <c r="W38" s="80">
        <f>SUMPRODUCT('Base Costs'!$AO$4:$AO$100,'Cost+LOA'!AF$4:AF$100)</f>
        <v>63338.722799999996</v>
      </c>
      <c r="X38" s="81">
        <f>SUMPRODUCT('Base Costs'!$AO$4:$AO$100,'Cost+LOA'!AG$4:AG$100)</f>
        <v>31304.607598224753</v>
      </c>
      <c r="Y38" s="81">
        <f t="shared" si="9"/>
        <v>38964133.244367629</v>
      </c>
      <c r="Z38" s="81">
        <f t="shared" si="11"/>
        <v>39058776.574765854</v>
      </c>
    </row>
    <row r="39" spans="2:26" ht="13.95" x14ac:dyDescent="0.3">
      <c r="B39" s="78" t="str">
        <v>PC4</v>
      </c>
      <c r="C39" s="79">
        <f>SUMPRODUCT('Base Costs'!$AP$4:$AP$100,'Cost+LOA'!P$4:P$100)</f>
        <v>0</v>
      </c>
      <c r="D39" s="80">
        <f>SUMPRODUCT('Base Costs'!$AP$4:$AP$100,'Cost+LOA'!Q$4:Q$100)</f>
        <v>0</v>
      </c>
      <c r="E39" s="287">
        <f>SUMPRODUCT('Base Costs'!$AP$4:$AP$100,'Cost+LOA'!R$4:R$100)</f>
        <v>0</v>
      </c>
      <c r="F39" s="287">
        <f>SUMPRODUCT('Base Costs'!$AP$4:$AP$100,'Cost+LOA'!S$4:S$100)</f>
        <v>0</v>
      </c>
      <c r="G39" s="287">
        <f>SUMPRODUCT('Base Costs'!$AP$4:$AP$100,'Cost+LOA'!T$4:T$100)</f>
        <v>0</v>
      </c>
      <c r="H39" s="287">
        <f>SUMPRODUCT('Base Costs'!$AP$4:$AP$100,'Cost+LOA'!U$4:U$100)</f>
        <v>0</v>
      </c>
      <c r="I39" s="287">
        <f>SUMPRODUCT('Base Costs'!$AP$4:$AP$100,'Cost+LOA'!V$4:V$100)</f>
        <v>0</v>
      </c>
      <c r="J39" s="80">
        <f>SUMPRODUCT('Base Costs'!$AP$4:$AP$100,'Cost+LOA'!W$4:W$100)</f>
        <v>0</v>
      </c>
      <c r="K39" s="81">
        <f>SUMPRODUCT('Base Costs'!$AP$4:$AP$100,'Cost+LOA'!X$4:X$100)</f>
        <v>0</v>
      </c>
      <c r="L39" s="81">
        <f t="shared" si="8"/>
        <v>0</v>
      </c>
      <c r="M39" s="81">
        <f t="shared" si="10"/>
        <v>0</v>
      </c>
      <c r="N39" s="72"/>
      <c r="O39" s="78" t="str">
        <v>PC4</v>
      </c>
      <c r="P39" s="79">
        <f>SUMPRODUCT('Base Costs'!$AP$4:$AP$100,'Cost+LOA'!Y$4:Y$100)</f>
        <v>0</v>
      </c>
      <c r="Q39" s="80">
        <f>SUMPRODUCT('Base Costs'!$AP$4:$AP$100,'Cost+LOA'!Z$4:Z$100)</f>
        <v>0</v>
      </c>
      <c r="R39" s="287">
        <f>SUMPRODUCT('Base Costs'!$AP$4:$AP$100,'Cost+LOA'!AA$4:AA$100)</f>
        <v>0</v>
      </c>
      <c r="S39" s="287">
        <f>SUMPRODUCT('Base Costs'!$AP$4:$AP$100,'Cost+LOA'!AB$4:AB$100)</f>
        <v>0</v>
      </c>
      <c r="T39" s="287">
        <f>SUMPRODUCT('Base Costs'!$AP$4:$AP$100,'Cost+LOA'!AC$4:AC$100)</f>
        <v>0</v>
      </c>
      <c r="U39" s="287">
        <f>SUMPRODUCT('Base Costs'!$AP$4:$AP$100,'Cost+LOA'!AD$4:AD$100)</f>
        <v>0</v>
      </c>
      <c r="V39" s="287">
        <f>SUMPRODUCT('Base Costs'!$AP$4:$AP$100,'Cost+LOA'!AE$4:AE$100)</f>
        <v>0</v>
      </c>
      <c r="W39" s="80">
        <f>SUMPRODUCT('Base Costs'!$AP$4:$AP$100,'Cost+LOA'!AF$4:AF$100)</f>
        <v>0</v>
      </c>
      <c r="X39" s="81">
        <f>SUMPRODUCT('Base Costs'!$AP$4:$AP$100,'Cost+LOA'!AG$4:AG$100)</f>
        <v>0</v>
      </c>
      <c r="Y39" s="81">
        <f t="shared" si="9"/>
        <v>0</v>
      </c>
      <c r="Z39" s="81">
        <f t="shared" si="11"/>
        <v>0</v>
      </c>
    </row>
    <row r="40" spans="2:26" ht="13.95" x14ac:dyDescent="0.3">
      <c r="B40" s="78" t="str">
        <v>TO10</v>
      </c>
      <c r="C40" s="79">
        <f>SUMPRODUCT('Base Costs'!$AQ$4:$AQ$100,'Cost+LOA'!P$4:P$100)</f>
        <v>0</v>
      </c>
      <c r="D40" s="80">
        <f>SUMPRODUCT('Base Costs'!$AQ$4:$AQ$100,'Cost+LOA'!Q$4:Q$100)</f>
        <v>0</v>
      </c>
      <c r="E40" s="287">
        <f>SUMPRODUCT('Base Costs'!$AQ$4:$AQ$100,'Cost+LOA'!R$4:R$100)</f>
        <v>1358400</v>
      </c>
      <c r="F40" s="287">
        <f>SUMPRODUCT('Base Costs'!$AQ$4:$AQ$100,'Cost+LOA'!S$4:S$100)</f>
        <v>4072850</v>
      </c>
      <c r="G40" s="287">
        <f>SUMPRODUCT('Base Costs'!$AQ$4:$AQ$100,'Cost+LOA'!T$4:T$100)</f>
        <v>2922550</v>
      </c>
      <c r="H40" s="287">
        <f>SUMPRODUCT('Base Costs'!$AQ$4:$AQ$100,'Cost+LOA'!U$4:U$100)</f>
        <v>1577850</v>
      </c>
      <c r="I40" s="287">
        <f>SUMPRODUCT('Base Costs'!$AQ$4:$AQ$100,'Cost+LOA'!V$4:V$100)</f>
        <v>1812700</v>
      </c>
      <c r="J40" s="80">
        <f>SUMPRODUCT('Base Costs'!$AQ$4:$AQ$100,'Cost+LOA'!W$4:W$100)</f>
        <v>0</v>
      </c>
      <c r="K40" s="81">
        <f>SUMPRODUCT('Base Costs'!$AQ$4:$AQ$100,'Cost+LOA'!X$4:X$100)</f>
        <v>0</v>
      </c>
      <c r="L40" s="81">
        <f t="shared" si="8"/>
        <v>11744350</v>
      </c>
      <c r="M40" s="81">
        <f t="shared" si="10"/>
        <v>11744350</v>
      </c>
      <c r="N40" s="72"/>
      <c r="O40" s="78" t="str">
        <v>TO10</v>
      </c>
      <c r="P40" s="79">
        <f>SUMPRODUCT('Base Costs'!$AQ$4:$AQ$100,'Cost+LOA'!Y$4:Y$100)</f>
        <v>0</v>
      </c>
      <c r="Q40" s="80">
        <f>SUMPRODUCT('Base Costs'!$AQ$4:$AQ$100,'Cost+LOA'!Z$4:Z$100)</f>
        <v>0</v>
      </c>
      <c r="R40" s="287">
        <f>SUMPRODUCT('Base Costs'!$AQ$4:$AQ$100,'Cost+LOA'!AA$4:AA$100)</f>
        <v>1203400</v>
      </c>
      <c r="S40" s="287">
        <f>SUMPRODUCT('Base Costs'!$AQ$4:$AQ$100,'Cost+LOA'!AB$4:AB$100)</f>
        <v>3592850</v>
      </c>
      <c r="T40" s="287">
        <f>SUMPRODUCT('Base Costs'!$AQ$4:$AQ$100,'Cost+LOA'!AC$4:AC$100)</f>
        <v>2657550</v>
      </c>
      <c r="U40" s="287">
        <f>SUMPRODUCT('Base Costs'!$AQ$4:$AQ$100,'Cost+LOA'!AD$4:AD$100)</f>
        <v>2477850</v>
      </c>
      <c r="V40" s="287">
        <f>SUMPRODUCT('Base Costs'!$AQ$4:$AQ$100,'Cost+LOA'!AE$4:AE$100)</f>
        <v>1812700</v>
      </c>
      <c r="W40" s="80">
        <f>SUMPRODUCT('Base Costs'!$AQ$4:$AQ$100,'Cost+LOA'!AF$4:AF$100)</f>
        <v>0</v>
      </c>
      <c r="X40" s="81">
        <f>SUMPRODUCT('Base Costs'!$AQ$4:$AQ$100,'Cost+LOA'!AG$4:AG$100)</f>
        <v>0</v>
      </c>
      <c r="Y40" s="81">
        <f t="shared" si="9"/>
        <v>11744350</v>
      </c>
      <c r="Z40" s="81">
        <f t="shared" si="11"/>
        <v>11744350</v>
      </c>
    </row>
    <row r="41" spans="2:26" ht="13.95" x14ac:dyDescent="0.3">
      <c r="B41" s="78" t="str">
        <v>TO4</v>
      </c>
      <c r="C41" s="79">
        <f>SUMPRODUCT('Base Costs'!$AR$4:$AR$100,'Cost+LOA'!P$4:P$100)</f>
        <v>0</v>
      </c>
      <c r="D41" s="80">
        <f>SUMPRODUCT('Base Costs'!$AR$4:$AR$100,'Cost+LOA'!Q$4:Q$100)</f>
        <v>0</v>
      </c>
      <c r="E41" s="287">
        <f>SUMPRODUCT('Base Costs'!$AR$4:$AR$100,'Cost+LOA'!R$4:R$100)</f>
        <v>0</v>
      </c>
      <c r="F41" s="287">
        <f>SUMPRODUCT('Base Costs'!$AR$4:$AR$100,'Cost+LOA'!S$4:S$100)</f>
        <v>600000</v>
      </c>
      <c r="G41" s="287">
        <f>SUMPRODUCT('Base Costs'!$AR$4:$AR$100,'Cost+LOA'!T$4:T$100)</f>
        <v>0</v>
      </c>
      <c r="H41" s="287">
        <f>SUMPRODUCT('Base Costs'!$AR$4:$AR$100,'Cost+LOA'!U$4:U$100)</f>
        <v>0</v>
      </c>
      <c r="I41" s="287">
        <f>SUMPRODUCT('Base Costs'!$AR$4:$AR$100,'Cost+LOA'!V$4:V$100)</f>
        <v>600000</v>
      </c>
      <c r="J41" s="80">
        <f>SUMPRODUCT('Base Costs'!$AR$4:$AR$100,'Cost+LOA'!W$4:W$100)</f>
        <v>0</v>
      </c>
      <c r="K41" s="81">
        <f>SUMPRODUCT('Base Costs'!$AR$4:$AR$100,'Cost+LOA'!X$4:X$100)</f>
        <v>0</v>
      </c>
      <c r="L41" s="81">
        <f t="shared" si="8"/>
        <v>1200000</v>
      </c>
      <c r="M41" s="81">
        <f t="shared" si="10"/>
        <v>1200000</v>
      </c>
      <c r="N41" s="72"/>
      <c r="O41" s="78" t="str">
        <v>TO4</v>
      </c>
      <c r="P41" s="79">
        <f>SUMPRODUCT('Base Costs'!$AR$4:$AR$100,'Cost+LOA'!Y$4:Y$100)</f>
        <v>0</v>
      </c>
      <c r="Q41" s="80">
        <f>SUMPRODUCT('Base Costs'!$AR$4:$AR$100,'Cost+LOA'!Z$4:Z$100)</f>
        <v>0</v>
      </c>
      <c r="R41" s="287">
        <f>SUMPRODUCT('Base Costs'!$AR$4:$AR$100,'Cost+LOA'!AA$4:AA$100)</f>
        <v>0</v>
      </c>
      <c r="S41" s="287">
        <f>SUMPRODUCT('Base Costs'!$AR$4:$AR$100,'Cost+LOA'!AB$4:AB$100)</f>
        <v>600000</v>
      </c>
      <c r="T41" s="287">
        <f>SUMPRODUCT('Base Costs'!$AR$4:$AR$100,'Cost+LOA'!AC$4:AC$100)</f>
        <v>0</v>
      </c>
      <c r="U41" s="287">
        <f>SUMPRODUCT('Base Costs'!$AR$4:$AR$100,'Cost+LOA'!AD$4:AD$100)</f>
        <v>0</v>
      </c>
      <c r="V41" s="287">
        <f>SUMPRODUCT('Base Costs'!$AR$4:$AR$100,'Cost+LOA'!AE$4:AE$100)</f>
        <v>600000</v>
      </c>
      <c r="W41" s="80">
        <f>SUMPRODUCT('Base Costs'!$AR$4:$AR$100,'Cost+LOA'!AF$4:AF$100)</f>
        <v>0</v>
      </c>
      <c r="X41" s="81">
        <f>SUMPRODUCT('Base Costs'!$AR$4:$AR$100,'Cost+LOA'!AG$4:AG$100)</f>
        <v>0</v>
      </c>
      <c r="Y41" s="81">
        <f t="shared" si="9"/>
        <v>1200000</v>
      </c>
      <c r="Z41" s="81">
        <f t="shared" si="11"/>
        <v>1200000</v>
      </c>
    </row>
    <row r="42" spans="2:26" ht="13.95" x14ac:dyDescent="0.3">
      <c r="B42" s="78" t="str">
        <v>Other40</v>
      </c>
      <c r="C42" s="79">
        <f>SUMPRODUCT('Base Costs'!$AS$4:$AS$100,'Cost+LOA'!P$4:P$100)</f>
        <v>0</v>
      </c>
      <c r="D42" s="80">
        <f>SUMPRODUCT('Base Costs'!$AS$4:$AS$100,'Cost+LOA'!Q$4:Q$100)</f>
        <v>15721.742431432094</v>
      </c>
      <c r="E42" s="287">
        <f>SUMPRODUCT('Base Costs'!$AS$4:$AS$100,'Cost+LOA'!R$4:R$100)</f>
        <v>179783.08816551202</v>
      </c>
      <c r="F42" s="287">
        <f>SUMPRODUCT('Base Costs'!$AS$4:$AS$100,'Cost+LOA'!S$4:S$100)</f>
        <v>727000</v>
      </c>
      <c r="G42" s="287">
        <f>SUMPRODUCT('Base Costs'!$AS$4:$AS$100,'Cost+LOA'!T$4:T$100)</f>
        <v>308000</v>
      </c>
      <c r="H42" s="287">
        <f>SUMPRODUCT('Base Costs'!$AS$4:$AS$100,'Cost+LOA'!U$4:U$100)</f>
        <v>0</v>
      </c>
      <c r="I42" s="287">
        <f>SUMPRODUCT('Base Costs'!$AS$4:$AS$100,'Cost+LOA'!V$4:V$100)</f>
        <v>0</v>
      </c>
      <c r="J42" s="80">
        <f>SUMPRODUCT('Base Costs'!$AS$4:$AS$100,'Cost+LOA'!W$4:W$100)</f>
        <v>0</v>
      </c>
      <c r="K42" s="81">
        <f>SUMPRODUCT('Base Costs'!$AS$4:$AS$100,'Cost+LOA'!X$4:X$100)</f>
        <v>0</v>
      </c>
      <c r="L42" s="81">
        <f t="shared" si="8"/>
        <v>1214783.0881655121</v>
      </c>
      <c r="M42" s="81">
        <f t="shared" si="10"/>
        <v>1230504.8305969441</v>
      </c>
      <c r="N42" s="72"/>
      <c r="O42" s="78" t="str">
        <v>Other40</v>
      </c>
      <c r="P42" s="79">
        <f>SUMPRODUCT('Base Costs'!$AS$4:$AS$100,'Cost+LOA'!Y$4:Y$100)</f>
        <v>0</v>
      </c>
      <c r="Q42" s="80">
        <f>SUMPRODUCT('Base Costs'!$AS$4:$AS$100,'Cost+LOA'!Z$4:Z$100)</f>
        <v>0</v>
      </c>
      <c r="R42" s="287">
        <f>SUMPRODUCT('Base Costs'!$AS$4:$AS$100,'Cost+LOA'!AA$4:AA$100)</f>
        <v>90504.830596944113</v>
      </c>
      <c r="S42" s="287">
        <f>SUMPRODUCT('Base Costs'!$AS$4:$AS$100,'Cost+LOA'!AB$4:AB$100)</f>
        <v>700000</v>
      </c>
      <c r="T42" s="287">
        <f>SUMPRODUCT('Base Costs'!$AS$4:$AS$100,'Cost+LOA'!AC$4:AC$100)</f>
        <v>440000</v>
      </c>
      <c r="U42" s="287">
        <f>SUMPRODUCT('Base Costs'!$AS$4:$AS$100,'Cost+LOA'!AD$4:AD$100)</f>
        <v>0</v>
      </c>
      <c r="V42" s="287">
        <f>SUMPRODUCT('Base Costs'!$AS$4:$AS$100,'Cost+LOA'!AE$4:AE$100)</f>
        <v>0</v>
      </c>
      <c r="W42" s="80">
        <f>SUMPRODUCT('Base Costs'!$AS$4:$AS$100,'Cost+LOA'!AF$4:AF$100)</f>
        <v>0</v>
      </c>
      <c r="X42" s="81">
        <f>SUMPRODUCT('Base Costs'!$AS$4:$AS$100,'Cost+LOA'!AG$4:AG$100)</f>
        <v>0</v>
      </c>
      <c r="Y42" s="81">
        <f t="shared" si="9"/>
        <v>1230504.8305969441</v>
      </c>
      <c r="Z42" s="81">
        <f t="shared" si="11"/>
        <v>1230504.8305969441</v>
      </c>
    </row>
    <row r="43" spans="2:26" ht="13.95" x14ac:dyDescent="0.3">
      <c r="B43" s="78" t="str">
        <v>Other9</v>
      </c>
      <c r="C43" s="79">
        <f>SUMPRODUCT('Base Costs'!$AT$4:$AT$100,'Cost+LOA'!P$4:P$100)</f>
        <v>0</v>
      </c>
      <c r="D43" s="80">
        <f>SUMPRODUCT('Base Costs'!$AT$4:$AT$100,'Cost+LOA'!Q$4:Q$100)</f>
        <v>78608.71215716048</v>
      </c>
      <c r="E43" s="287">
        <f>SUMPRODUCT('Base Costs'!$AT$4:$AT$100,'Cost+LOA'!R$4:R$100)</f>
        <v>1412043.4408275599</v>
      </c>
      <c r="F43" s="287">
        <f>SUMPRODUCT('Base Costs'!$AT$4:$AT$100,'Cost+LOA'!S$4:S$100)</f>
        <v>1083000</v>
      </c>
      <c r="G43" s="287">
        <f>SUMPRODUCT('Base Costs'!$AT$4:$AT$100,'Cost+LOA'!T$4:T$100)</f>
        <v>731750</v>
      </c>
      <c r="H43" s="287">
        <f>SUMPRODUCT('Base Costs'!$AT$4:$AT$100,'Cost+LOA'!U$4:U$100)</f>
        <v>336350</v>
      </c>
      <c r="I43" s="287">
        <f>SUMPRODUCT('Base Costs'!$AT$4:$AT$100,'Cost+LOA'!V$4:V$100)</f>
        <v>872200</v>
      </c>
      <c r="J43" s="80">
        <f>SUMPRODUCT('Base Costs'!$AT$4:$AT$100,'Cost+LOA'!W$4:W$100)</f>
        <v>0</v>
      </c>
      <c r="K43" s="81">
        <f>SUMPRODUCT('Base Costs'!$AT$4:$AT$100,'Cost+LOA'!X$4:X$100)</f>
        <v>0</v>
      </c>
      <c r="L43" s="81">
        <f t="shared" si="8"/>
        <v>4435343.4408275597</v>
      </c>
      <c r="M43" s="81">
        <f t="shared" si="10"/>
        <v>4513952.1529847207</v>
      </c>
      <c r="N43" s="72"/>
      <c r="O43" s="78" t="str">
        <v>Other9</v>
      </c>
      <c r="P43" s="79">
        <f>SUMPRODUCT('Base Costs'!$AT$4:$AT$100,'Cost+LOA'!Y$4:Y$100)</f>
        <v>0</v>
      </c>
      <c r="Q43" s="80">
        <f>SUMPRODUCT('Base Costs'!$AT$4:$AT$100,'Cost+LOA'!Z$4:Z$100)</f>
        <v>0</v>
      </c>
      <c r="R43" s="287">
        <f>SUMPRODUCT('Base Costs'!$AT$4:$AT$100,'Cost+LOA'!AA$4:AA$100)</f>
        <v>1330802.1529847204</v>
      </c>
      <c r="S43" s="287">
        <f>SUMPRODUCT('Base Costs'!$AT$4:$AT$100,'Cost+LOA'!AB$4:AB$100)</f>
        <v>1037000</v>
      </c>
      <c r="T43" s="287">
        <f>SUMPRODUCT('Base Costs'!$AT$4:$AT$100,'Cost+LOA'!AC$4:AC$100)</f>
        <v>680000</v>
      </c>
      <c r="U43" s="287">
        <f>SUMPRODUCT('Base Costs'!$AT$4:$AT$100,'Cost+LOA'!AD$4:AD$100)</f>
        <v>280000</v>
      </c>
      <c r="V43" s="287">
        <f>SUMPRODUCT('Base Costs'!$AT$4:$AT$100,'Cost+LOA'!AE$4:AE$100)</f>
        <v>1186150</v>
      </c>
      <c r="W43" s="80">
        <f>SUMPRODUCT('Base Costs'!$AT$4:$AT$100,'Cost+LOA'!AF$4:AF$100)</f>
        <v>0</v>
      </c>
      <c r="X43" s="81">
        <f>SUMPRODUCT('Base Costs'!$AT$4:$AT$100,'Cost+LOA'!AG$4:AG$100)</f>
        <v>0</v>
      </c>
      <c r="Y43" s="81">
        <f t="shared" si="9"/>
        <v>4513952.1529847207</v>
      </c>
      <c r="Z43" s="81">
        <f t="shared" si="11"/>
        <v>4513952.1529847207</v>
      </c>
    </row>
    <row r="44" spans="2:26" ht="13.95" x14ac:dyDescent="0.3">
      <c r="B44" s="78" t="str">
        <v>Other4</v>
      </c>
      <c r="C44" s="79">
        <f>SUMPRODUCT('Base Costs'!$AU$4:$AU$100,'Cost+LOA'!P$4:P$100)</f>
        <v>0</v>
      </c>
      <c r="D44" s="80">
        <f>SUMPRODUCT('Base Costs'!$AU$4:$AU$100,'Cost+LOA'!Q$4:Q$100)</f>
        <v>62886.969725728377</v>
      </c>
      <c r="E44" s="287">
        <f>SUMPRODUCT('Base Costs'!$AU$4:$AU$100,'Cost+LOA'!R$4:R$100)</f>
        <v>5200392.952662047</v>
      </c>
      <c r="F44" s="287">
        <f>SUMPRODUCT('Base Costs'!$AU$4:$AU$100,'Cost+LOA'!S$4:S$100)</f>
        <v>5108263.5999999996</v>
      </c>
      <c r="G44" s="287">
        <f>SUMPRODUCT('Base Costs'!$AU$4:$AU$100,'Cost+LOA'!T$4:T$100)</f>
        <v>4652687.5999999996</v>
      </c>
      <c r="H44" s="287">
        <f>SUMPRODUCT('Base Costs'!$AU$4:$AU$100,'Cost+LOA'!U$4:U$100)</f>
        <v>5198627.5999999996</v>
      </c>
      <c r="I44" s="287">
        <f>SUMPRODUCT('Base Costs'!$AU$4:$AU$100,'Cost+LOA'!V$4:V$100)</f>
        <v>2816219.6</v>
      </c>
      <c r="J44" s="80">
        <f>SUMPRODUCT('Base Costs'!$AU$4:$AU$100,'Cost+LOA'!W$4:W$100)</f>
        <v>0</v>
      </c>
      <c r="K44" s="81">
        <f>SUMPRODUCT('Base Costs'!$AU$4:$AU$100,'Cost+LOA'!X$4:X$100)</f>
        <v>0</v>
      </c>
      <c r="L44" s="81">
        <f t="shared" si="8"/>
        <v>22976191.352662049</v>
      </c>
      <c r="M44" s="81">
        <f t="shared" si="10"/>
        <v>23039078.322387777</v>
      </c>
      <c r="N44" s="72"/>
      <c r="O44" s="78" t="str">
        <v>Other4</v>
      </c>
      <c r="P44" s="79">
        <f>SUMPRODUCT('Base Costs'!$AU$4:$AU$100,'Cost+LOA'!Y$4:Y$100)</f>
        <v>0</v>
      </c>
      <c r="Q44" s="80">
        <f>SUMPRODUCT('Base Costs'!$AU$4:$AU$100,'Cost+LOA'!Z$4:Z$100)</f>
        <v>0</v>
      </c>
      <c r="R44" s="287">
        <f>SUMPRODUCT('Base Costs'!$AU$4:$AU$100,'Cost+LOA'!AA$4:AA$100)</f>
        <v>5263279.922387776</v>
      </c>
      <c r="S44" s="287">
        <f>SUMPRODUCT('Base Costs'!$AU$4:$AU$100,'Cost+LOA'!AB$4:AB$100)</f>
        <v>5108263.5999999996</v>
      </c>
      <c r="T44" s="287">
        <f>SUMPRODUCT('Base Costs'!$AU$4:$AU$100,'Cost+LOA'!AC$4:AC$100)</f>
        <v>4652687.5999999996</v>
      </c>
      <c r="U44" s="287">
        <f>SUMPRODUCT('Base Costs'!$AU$4:$AU$100,'Cost+LOA'!AD$4:AD$100)</f>
        <v>5198627.5999999996</v>
      </c>
      <c r="V44" s="287">
        <f>SUMPRODUCT('Base Costs'!$AU$4:$AU$100,'Cost+LOA'!AE$4:AE$100)</f>
        <v>2816219.6</v>
      </c>
      <c r="W44" s="80">
        <f>SUMPRODUCT('Base Costs'!$AU$4:$AU$100,'Cost+LOA'!AF$4:AF$100)</f>
        <v>0</v>
      </c>
      <c r="X44" s="81">
        <f>SUMPRODUCT('Base Costs'!$AU$4:$AU$100,'Cost+LOA'!AG$4:AG$100)</f>
        <v>0</v>
      </c>
      <c r="Y44" s="81">
        <f t="shared" si="9"/>
        <v>23039078.322387777</v>
      </c>
      <c r="Z44" s="81">
        <f t="shared" si="11"/>
        <v>23039078.322387777</v>
      </c>
    </row>
    <row r="45" spans="2:26" ht="13.95" x14ac:dyDescent="0.3">
      <c r="B45" s="78" t="str">
        <v>Com45</v>
      </c>
      <c r="C45" s="79">
        <f>SUMPRODUCT('Base Costs'!$AV$4:$AV$100,'Cost+LOA'!P$4:P$100)</f>
        <v>0</v>
      </c>
      <c r="D45" s="80">
        <f>SUMPRODUCT('Base Costs'!$AV$4:$AV$100,'Cost+LOA'!Q$4:Q$100)</f>
        <v>0</v>
      </c>
      <c r="E45" s="287">
        <f>SUMPRODUCT('Base Costs'!$AV$4:$AV$100,'Cost+LOA'!R$4:R$100)</f>
        <v>108030.8903888276</v>
      </c>
      <c r="F45" s="287">
        <f>SUMPRODUCT('Base Costs'!$AV$4:$AV$100,'Cost+LOA'!S$4:S$100)</f>
        <v>30883.366179943292</v>
      </c>
      <c r="G45" s="287">
        <f>SUMPRODUCT('Base Costs'!$AV$4:$AV$100,'Cost+LOA'!T$4:T$100)</f>
        <v>163465.89260460771</v>
      </c>
      <c r="H45" s="287">
        <f>SUMPRODUCT('Base Costs'!$AV$4:$AV$100,'Cost+LOA'!U$4:U$100)</f>
        <v>67375.678679046789</v>
      </c>
      <c r="I45" s="287">
        <f>SUMPRODUCT('Base Costs'!$AV$4:$AV$100,'Cost+LOA'!V$4:V$100)</f>
        <v>45124.964418279429</v>
      </c>
      <c r="J45" s="80">
        <f>SUMPRODUCT('Base Costs'!$AV$4:$AV$100,'Cost+LOA'!W$4:W$100)</f>
        <v>0</v>
      </c>
      <c r="K45" s="81">
        <f>SUMPRODUCT('Base Costs'!$AV$4:$AV$100,'Cost+LOA'!X$4:X$100)</f>
        <v>0</v>
      </c>
      <c r="L45" s="81">
        <f t="shared" si="8"/>
        <v>414880.79227070481</v>
      </c>
      <c r="M45" s="81">
        <f t="shared" si="10"/>
        <v>414880.79227070481</v>
      </c>
      <c r="N45" s="72"/>
      <c r="O45" s="78" t="str">
        <v>Com45</v>
      </c>
      <c r="P45" s="79">
        <f>SUMPRODUCT('Base Costs'!$AV$4:$AV$100,'Cost+LOA'!Y$4:Y$100)</f>
        <v>0</v>
      </c>
      <c r="Q45" s="80">
        <f>SUMPRODUCT('Base Costs'!$AV$4:$AV$100,'Cost+LOA'!Z$4:Z$100)</f>
        <v>0</v>
      </c>
      <c r="R45" s="287">
        <f>SUMPRODUCT('Base Costs'!$AV$4:$AV$100,'Cost+LOA'!AA$4:AA$100)</f>
        <v>108030.8903888276</v>
      </c>
      <c r="S45" s="287">
        <f>SUMPRODUCT('Base Costs'!$AV$4:$AV$100,'Cost+LOA'!AB$4:AB$100)</f>
        <v>30883.366179943292</v>
      </c>
      <c r="T45" s="287">
        <f>SUMPRODUCT('Base Costs'!$AV$4:$AV$100,'Cost+LOA'!AC$4:AC$100)</f>
        <v>163465.89260460771</v>
      </c>
      <c r="U45" s="287">
        <f>SUMPRODUCT('Base Costs'!$AV$4:$AV$100,'Cost+LOA'!AD$4:AD$100)</f>
        <v>67375.678679046789</v>
      </c>
      <c r="V45" s="287">
        <f>SUMPRODUCT('Base Costs'!$AV$4:$AV$100,'Cost+LOA'!AE$4:AE$100)</f>
        <v>45124.964418279429</v>
      </c>
      <c r="W45" s="80">
        <f>SUMPRODUCT('Base Costs'!$AV$4:$AV$100,'Cost+LOA'!AF$4:AF$100)</f>
        <v>0</v>
      </c>
      <c r="X45" s="81">
        <f>SUMPRODUCT('Base Costs'!$AV$4:$AV$100,'Cost+LOA'!AG$4:AG$100)</f>
        <v>0</v>
      </c>
      <c r="Y45" s="81">
        <f t="shared" si="9"/>
        <v>414880.79227070481</v>
      </c>
      <c r="Z45" s="81">
        <f t="shared" si="11"/>
        <v>414880.79227070481</v>
      </c>
    </row>
    <row r="46" spans="2:26" ht="13.95" x14ac:dyDescent="0.3">
      <c r="B46" s="78" t="str">
        <v>Com10</v>
      </c>
      <c r="C46" s="79">
        <f>SUMPRODUCT('Base Costs'!$AW$4:$AW$100,'Cost+LOA'!P$4:P$100)</f>
        <v>0</v>
      </c>
      <c r="D46" s="80">
        <f>SUMPRODUCT('Base Costs'!$AW$4:$AW$100,'Cost+LOA'!Q$4:Q$100)</f>
        <v>0</v>
      </c>
      <c r="E46" s="287">
        <f>SUMPRODUCT('Base Costs'!$AW$4:$AW$100,'Cost+LOA'!R$4:R$100)</f>
        <v>1273632.5407150933</v>
      </c>
      <c r="F46" s="287">
        <f>SUMPRODUCT('Base Costs'!$AW$4:$AW$100,'Cost+LOA'!S$4:S$100)</f>
        <v>1043454.0291825871</v>
      </c>
      <c r="G46" s="287">
        <f>SUMPRODUCT('Base Costs'!$AW$4:$AW$100,'Cost+LOA'!T$4:T$100)</f>
        <v>3932367.4424356869</v>
      </c>
      <c r="H46" s="287">
        <f>SUMPRODUCT('Base Costs'!$AW$4:$AW$100,'Cost+LOA'!U$4:U$100)</f>
        <v>4412916.3507747259</v>
      </c>
      <c r="I46" s="287">
        <f>SUMPRODUCT('Base Costs'!$AW$4:$AW$100,'Cost+LOA'!V$4:V$100)</f>
        <v>1401928.217906469</v>
      </c>
      <c r="J46" s="80">
        <f>SUMPRODUCT('Base Costs'!$AW$4:$AW$100,'Cost+LOA'!W$4:W$100)</f>
        <v>0</v>
      </c>
      <c r="K46" s="81">
        <f>SUMPRODUCT('Base Costs'!$AW$4:$AW$100,'Cost+LOA'!X$4:X$100)</f>
        <v>0</v>
      </c>
      <c r="L46" s="81">
        <f t="shared" si="8"/>
        <v>12064298.581014562</v>
      </c>
      <c r="M46" s="81">
        <f t="shared" si="10"/>
        <v>12064298.581014562</v>
      </c>
      <c r="N46" s="72"/>
      <c r="O46" s="78" t="str">
        <v>Com10</v>
      </c>
      <c r="P46" s="79">
        <f>SUMPRODUCT('Base Costs'!$AW$4:$AW$100,'Cost+LOA'!Y$4:Y$100)</f>
        <v>0</v>
      </c>
      <c r="Q46" s="80">
        <f>SUMPRODUCT('Base Costs'!$AW$4:$AW$100,'Cost+LOA'!Z$4:Z$100)</f>
        <v>0</v>
      </c>
      <c r="R46" s="287">
        <f>SUMPRODUCT('Base Costs'!$AW$4:$AW$100,'Cost+LOA'!AA$4:AA$100)</f>
        <v>1273632.5407150933</v>
      </c>
      <c r="S46" s="287">
        <f>SUMPRODUCT('Base Costs'!$AW$4:$AW$100,'Cost+LOA'!AB$4:AB$100)</f>
        <v>1043454.0291825871</v>
      </c>
      <c r="T46" s="287">
        <f>SUMPRODUCT('Base Costs'!$AW$4:$AW$100,'Cost+LOA'!AC$4:AC$100)</f>
        <v>3932367.4424356869</v>
      </c>
      <c r="U46" s="287">
        <f>SUMPRODUCT('Base Costs'!$AW$4:$AW$100,'Cost+LOA'!AD$4:AD$100)</f>
        <v>4412916.3507747259</v>
      </c>
      <c r="V46" s="287">
        <f>SUMPRODUCT('Base Costs'!$AW$4:$AW$100,'Cost+LOA'!AE$4:AE$100)</f>
        <v>1401928.217906469</v>
      </c>
      <c r="W46" s="80">
        <f>SUMPRODUCT('Base Costs'!$AW$4:$AW$100,'Cost+LOA'!AF$4:AF$100)</f>
        <v>0</v>
      </c>
      <c r="X46" s="81">
        <f>SUMPRODUCT('Base Costs'!$AW$4:$AW$100,'Cost+LOA'!AG$4:AG$100)</f>
        <v>0</v>
      </c>
      <c r="Y46" s="81">
        <f t="shared" si="9"/>
        <v>12064298.581014562</v>
      </c>
      <c r="Z46" s="81">
        <f t="shared" si="11"/>
        <v>12064298.581014562</v>
      </c>
    </row>
    <row r="47" spans="2:26" ht="13.95" x14ac:dyDescent="0.3">
      <c r="B47" s="78" t="str">
        <v>Com5</v>
      </c>
      <c r="C47" s="79">
        <f>SUMPRODUCT('Base Costs'!$AX$4:$AX$100,'Cost+LOA'!P$4:P$100)</f>
        <v>0</v>
      </c>
      <c r="D47" s="80">
        <f>SUMPRODUCT('Base Costs'!$AX$4:$AX$100,'Cost+LOA'!Q$4:Q$100)</f>
        <v>0</v>
      </c>
      <c r="E47" s="287">
        <f>SUMPRODUCT('Base Costs'!$AX$4:$AX$100,'Cost+LOA'!R$4:R$100)</f>
        <v>1797281.4605779054</v>
      </c>
      <c r="F47" s="287">
        <f>SUMPRODUCT('Base Costs'!$AX$4:$AX$100,'Cost+LOA'!S$4:S$100)</f>
        <v>886212.57808865095</v>
      </c>
      <c r="G47" s="287">
        <f>SUMPRODUCT('Base Costs'!$AX$4:$AX$100,'Cost+LOA'!T$4:T$100)</f>
        <v>658654.12442839693</v>
      </c>
      <c r="H47" s="287">
        <f>SUMPRODUCT('Base Costs'!$AX$4:$AX$100,'Cost+LOA'!U$4:U$100)</f>
        <v>943319.76105164737</v>
      </c>
      <c r="I47" s="287">
        <f>SUMPRODUCT('Base Costs'!$AX$4:$AX$100,'Cost+LOA'!V$4:V$100)</f>
        <v>921767.36757075705</v>
      </c>
      <c r="J47" s="80">
        <f>SUMPRODUCT('Base Costs'!$AX$4:$AX$100,'Cost+LOA'!W$4:W$100)</f>
        <v>0</v>
      </c>
      <c r="K47" s="81">
        <f>SUMPRODUCT('Base Costs'!$AX$4:$AX$100,'Cost+LOA'!X$4:X$100)</f>
        <v>0</v>
      </c>
      <c r="L47" s="81">
        <f t="shared" si="8"/>
        <v>5207235.2917173579</v>
      </c>
      <c r="M47" s="81">
        <f t="shared" ref="M47:M55" si="12">SUM(C47:K47)</f>
        <v>5207235.2917173579</v>
      </c>
      <c r="N47" s="72"/>
      <c r="O47" s="78" t="str">
        <v>Com5</v>
      </c>
      <c r="P47" s="79">
        <f>SUMPRODUCT('Base Costs'!$AX$4:$AX$100,'Cost+LOA'!Y$4:Y$100)</f>
        <v>0</v>
      </c>
      <c r="Q47" s="80">
        <f>SUMPRODUCT('Base Costs'!$AX$4:$AX$100,'Cost+LOA'!Z$4:Z$100)</f>
        <v>0</v>
      </c>
      <c r="R47" s="287">
        <f>SUMPRODUCT('Base Costs'!$AX$4:$AX$100,'Cost+LOA'!AA$4:AA$100)</f>
        <v>1797281.4605779054</v>
      </c>
      <c r="S47" s="287">
        <f>SUMPRODUCT('Base Costs'!$AX$4:$AX$100,'Cost+LOA'!AB$4:AB$100)</f>
        <v>886212.57808865095</v>
      </c>
      <c r="T47" s="287">
        <f>SUMPRODUCT('Base Costs'!$AX$4:$AX$100,'Cost+LOA'!AC$4:AC$100)</f>
        <v>658654.12442839693</v>
      </c>
      <c r="U47" s="287">
        <f>SUMPRODUCT('Base Costs'!$AX$4:$AX$100,'Cost+LOA'!AD$4:AD$100)</f>
        <v>943319.76105164737</v>
      </c>
      <c r="V47" s="287">
        <f>SUMPRODUCT('Base Costs'!$AX$4:$AX$100,'Cost+LOA'!AE$4:AE$100)</f>
        <v>921767.36757075705</v>
      </c>
      <c r="W47" s="80">
        <f>SUMPRODUCT('Base Costs'!$AX$4:$AX$100,'Cost+LOA'!AF$4:AF$100)</f>
        <v>0</v>
      </c>
      <c r="X47" s="81">
        <f>SUMPRODUCT('Base Costs'!$AX$4:$AX$100,'Cost+LOA'!AG$4:AG$100)</f>
        <v>0</v>
      </c>
      <c r="Y47" s="81">
        <f t="shared" si="9"/>
        <v>5207235.2917173579</v>
      </c>
      <c r="Z47" s="81">
        <f t="shared" ref="Z47:Z55" si="13">SUM(P47:X47)</f>
        <v>5207235.2917173579</v>
      </c>
    </row>
    <row r="48" spans="2:26" ht="13.95" x14ac:dyDescent="0.3">
      <c r="B48" s="78" t="str">
        <v>LB</v>
      </c>
      <c r="C48" s="79">
        <f>SUMPRODUCT('Base Costs'!$AY$4:$AY$100,'Cost+LOA'!P$4:P$100)</f>
        <v>0</v>
      </c>
      <c r="D48" s="80">
        <f>SUMPRODUCT('Base Costs'!$AY$4:$AY$100,'Cost+LOA'!Q$4:Q$100)</f>
        <v>516550.60611725115</v>
      </c>
      <c r="E48" s="287">
        <f>SUMPRODUCT('Base Costs'!$AY$4:$AY$100,'Cost+LOA'!R$4:R$100)</f>
        <v>1817960.1096861607</v>
      </c>
      <c r="F48" s="287">
        <f>SUMPRODUCT('Base Costs'!$AY$4:$AY$100,'Cost+LOA'!S$4:S$100)</f>
        <v>407740.88433311193</v>
      </c>
      <c r="G48" s="287">
        <f>SUMPRODUCT('Base Costs'!$AY$4:$AY$100,'Cost+LOA'!T$4:T$100)</f>
        <v>454255.6560995761</v>
      </c>
      <c r="H48" s="287">
        <f>SUMPRODUCT('Base Costs'!$AY$4:$AY$100,'Cost+LOA'!U$4:U$100)</f>
        <v>367082</v>
      </c>
      <c r="I48" s="287">
        <f>SUMPRODUCT('Base Costs'!$AY$4:$AY$100,'Cost+LOA'!V$4:V$100)</f>
        <v>466764.19374192419</v>
      </c>
      <c r="J48" s="80">
        <f>SUMPRODUCT('Base Costs'!$AY$4:$AY$100,'Cost+LOA'!W$4:W$100)</f>
        <v>227062.78590242739</v>
      </c>
      <c r="K48" s="81">
        <f>SUMPRODUCT('Base Costs'!$AY$4:$AY$100,'Cost+LOA'!X$4:X$100)</f>
        <v>0</v>
      </c>
      <c r="L48" s="81">
        <f t="shared" si="8"/>
        <v>3513802.8438607729</v>
      </c>
      <c r="M48" s="81">
        <f t="shared" si="12"/>
        <v>4257416.2358804513</v>
      </c>
      <c r="N48" s="72"/>
      <c r="O48" s="78" t="str">
        <v>LB</v>
      </c>
      <c r="P48" s="79">
        <f>SUMPRODUCT('Base Costs'!$AY$4:$AY$100,'Cost+LOA'!Y$4:Y$100)</f>
        <v>0</v>
      </c>
      <c r="Q48" s="80">
        <f>SUMPRODUCT('Base Costs'!$AY$4:$AY$100,'Cost+LOA'!Z$4:Z$100)</f>
        <v>516550.60611725115</v>
      </c>
      <c r="R48" s="287">
        <f>SUMPRODUCT('Base Costs'!$AY$4:$AY$100,'Cost+LOA'!AA$4:AA$100)</f>
        <v>1814377.5251188488</v>
      </c>
      <c r="S48" s="287">
        <f>SUMPRODUCT('Base Costs'!$AY$4:$AY$100,'Cost+LOA'!AB$4:AB$100)</f>
        <v>367082</v>
      </c>
      <c r="T48" s="287">
        <f>SUMPRODUCT('Base Costs'!$AY$4:$AY$100,'Cost+LOA'!AC$4:AC$100)</f>
        <v>498497.125</v>
      </c>
      <c r="U48" s="287">
        <f>SUMPRODUCT('Base Costs'!$AY$4:$AY$100,'Cost+LOA'!AD$4:AD$100)</f>
        <v>367082</v>
      </c>
      <c r="V48" s="287">
        <f>SUMPRODUCT('Base Costs'!$AY$4:$AY$100,'Cost+LOA'!AE$4:AE$100)</f>
        <v>367082</v>
      </c>
      <c r="W48" s="80">
        <f>SUMPRODUCT('Base Costs'!$AY$4:$AY$100,'Cost+LOA'!AF$4:AF$100)</f>
        <v>0</v>
      </c>
      <c r="X48" s="81">
        <f>SUMPRODUCT('Base Costs'!$AY$4:$AY$100,'Cost+LOA'!AG$4:AG$100)</f>
        <v>326744.97964435158</v>
      </c>
      <c r="Y48" s="81">
        <f t="shared" si="9"/>
        <v>3414120.6501188488</v>
      </c>
      <c r="Z48" s="81">
        <f t="shared" si="13"/>
        <v>4257416.2358804513</v>
      </c>
    </row>
    <row r="49" spans="2:26" ht="13.95" x14ac:dyDescent="0.3">
      <c r="B49" s="78">
        <v>0</v>
      </c>
      <c r="C49" s="79">
        <f>SUMPRODUCT('Base Costs'!$AZ$4:$AZ$100,'Cost+LOA'!P$4:P$100)</f>
        <v>0</v>
      </c>
      <c r="D49" s="80">
        <f>SUMPRODUCT('Base Costs'!$AZ$4:$AZ$100,'Cost+LOA'!Q$4:Q$100)</f>
        <v>0</v>
      </c>
      <c r="E49" s="287">
        <f>SUMPRODUCT('Base Costs'!$AZ$4:$AZ$100,'Cost+LOA'!R$4:R$100)</f>
        <v>0</v>
      </c>
      <c r="F49" s="287">
        <f>SUMPRODUCT('Base Costs'!$AZ$4:$AZ$100,'Cost+LOA'!S$4:S$100)</f>
        <v>0</v>
      </c>
      <c r="G49" s="287">
        <f>SUMPRODUCT('Base Costs'!$AZ$4:$AZ$100,'Cost+LOA'!T$4:T$100)</f>
        <v>0</v>
      </c>
      <c r="H49" s="287">
        <f>SUMPRODUCT('Base Costs'!$AZ$4:$AZ$100,'Cost+LOA'!U$4:U$100)</f>
        <v>0</v>
      </c>
      <c r="I49" s="287">
        <f>SUMPRODUCT('Base Costs'!$AZ$4:$AZ$100,'Cost+LOA'!V$4:V$100)</f>
        <v>0</v>
      </c>
      <c r="J49" s="80">
        <f>SUMPRODUCT('Base Costs'!$AZ$4:$AZ$100,'Cost+LOA'!W$4:W$100)</f>
        <v>0</v>
      </c>
      <c r="K49" s="81">
        <f>SUMPRODUCT('Base Costs'!$AZ$4:$AZ$100,'Cost+LOA'!X$4:X$100)</f>
        <v>0</v>
      </c>
      <c r="L49" s="81">
        <f t="shared" si="8"/>
        <v>0</v>
      </c>
      <c r="M49" s="81">
        <f t="shared" si="12"/>
        <v>0</v>
      </c>
      <c r="N49" s="72"/>
      <c r="O49" s="78">
        <v>0</v>
      </c>
      <c r="P49" s="79">
        <f>SUMPRODUCT('Base Costs'!$AZ$4:$AZ$100,'Cost+LOA'!Y$4:Y$100)</f>
        <v>0</v>
      </c>
      <c r="Q49" s="80">
        <f>SUMPRODUCT('Base Costs'!$AZ$4:$AZ$100,'Cost+LOA'!Z$4:Z$100)</f>
        <v>0</v>
      </c>
      <c r="R49" s="287">
        <f>SUMPRODUCT('Base Costs'!$AZ$4:$AZ$100,'Cost+LOA'!AA$4:AA$100)</f>
        <v>0</v>
      </c>
      <c r="S49" s="287">
        <f>SUMPRODUCT('Base Costs'!$AZ$4:$AZ$100,'Cost+LOA'!AB$4:AB$100)</f>
        <v>0</v>
      </c>
      <c r="T49" s="287">
        <f>SUMPRODUCT('Base Costs'!$AZ$4:$AZ$100,'Cost+LOA'!AC$4:AC$100)</f>
        <v>0</v>
      </c>
      <c r="U49" s="287">
        <f>SUMPRODUCT('Base Costs'!$AZ$4:$AZ$100,'Cost+LOA'!AD$4:AD$100)</f>
        <v>0</v>
      </c>
      <c r="V49" s="287">
        <f>SUMPRODUCT('Base Costs'!$AZ$4:$AZ$100,'Cost+LOA'!AE$4:AE$100)</f>
        <v>0</v>
      </c>
      <c r="W49" s="80">
        <f>SUMPRODUCT('Base Costs'!$AZ$4:$AZ$100,'Cost+LOA'!AF$4:AF$100)</f>
        <v>0</v>
      </c>
      <c r="X49" s="81">
        <f>SUMPRODUCT('Base Costs'!$AZ$4:$AZ$100,'Cost+LOA'!AG$4:AG$100)</f>
        <v>0</v>
      </c>
      <c r="Y49" s="81">
        <f t="shared" si="9"/>
        <v>0</v>
      </c>
      <c r="Z49" s="81">
        <f t="shared" si="13"/>
        <v>0</v>
      </c>
    </row>
    <row r="50" spans="2:26" ht="13.95" x14ac:dyDescent="0.3">
      <c r="B50" s="78">
        <v>0</v>
      </c>
      <c r="C50" s="79">
        <f>SUMPRODUCT('Base Costs'!$BA$4:$BA$100,'Cost+LOA'!P$4:P$100)</f>
        <v>0</v>
      </c>
      <c r="D50" s="80">
        <f>SUMPRODUCT('Base Costs'!$BA$4:$BA$100,'Cost+LOA'!Q$4:Q$100)</f>
        <v>0</v>
      </c>
      <c r="E50" s="287">
        <f>SUMPRODUCT('Base Costs'!$BA$4:$BA$100,'Cost+LOA'!R$4:R$100)</f>
        <v>0</v>
      </c>
      <c r="F50" s="287">
        <f>SUMPRODUCT('Base Costs'!$BA$4:$BA$100,'Cost+LOA'!S$4:S$100)</f>
        <v>0</v>
      </c>
      <c r="G50" s="287">
        <f>SUMPRODUCT('Base Costs'!$BA$4:$BA$100,'Cost+LOA'!T$4:T$100)</f>
        <v>0</v>
      </c>
      <c r="H50" s="287">
        <f>SUMPRODUCT('Base Costs'!$BA$4:$BA$100,'Cost+LOA'!U$4:U$100)</f>
        <v>0</v>
      </c>
      <c r="I50" s="287">
        <f>SUMPRODUCT('Base Costs'!$BA$4:$BA$100,'Cost+LOA'!V$4:V$100)</f>
        <v>0</v>
      </c>
      <c r="J50" s="80">
        <f>SUMPRODUCT('Base Costs'!$BA$4:$BA$100,'Cost+LOA'!W$4:W$100)</f>
        <v>0</v>
      </c>
      <c r="K50" s="81">
        <f>SUMPRODUCT('Base Costs'!$BA$4:$BA$100,'Cost+LOA'!X$4:X$100)</f>
        <v>0</v>
      </c>
      <c r="L50" s="81">
        <f t="shared" si="8"/>
        <v>0</v>
      </c>
      <c r="M50" s="81">
        <f t="shared" si="12"/>
        <v>0</v>
      </c>
      <c r="N50" s="72"/>
      <c r="O50" s="78">
        <v>0</v>
      </c>
      <c r="P50" s="79">
        <f>SUMPRODUCT('Base Costs'!$BA$4:$BA$100,'Cost+LOA'!Y$4:Y$100)</f>
        <v>0</v>
      </c>
      <c r="Q50" s="80">
        <f>SUMPRODUCT('Base Costs'!$BA$4:$BA$100,'Cost+LOA'!Z$4:Z$100)</f>
        <v>0</v>
      </c>
      <c r="R50" s="287">
        <f>SUMPRODUCT('Base Costs'!$BA$4:$BA$100,'Cost+LOA'!AA$4:AA$100)</f>
        <v>0</v>
      </c>
      <c r="S50" s="287">
        <f>SUMPRODUCT('Base Costs'!$BA$4:$BA$100,'Cost+LOA'!AB$4:AB$100)</f>
        <v>0</v>
      </c>
      <c r="T50" s="287">
        <f>SUMPRODUCT('Base Costs'!$BA$4:$BA$100,'Cost+LOA'!AC$4:AC$100)</f>
        <v>0</v>
      </c>
      <c r="U50" s="287">
        <f>SUMPRODUCT('Base Costs'!$BA$4:$BA$100,'Cost+LOA'!AD$4:AD$100)</f>
        <v>0</v>
      </c>
      <c r="V50" s="287">
        <f>SUMPRODUCT('Base Costs'!$BA$4:$BA$100,'Cost+LOA'!AE$4:AE$100)</f>
        <v>0</v>
      </c>
      <c r="W50" s="80">
        <f>SUMPRODUCT('Base Costs'!$BA$4:$BA$100,'Cost+LOA'!AF$4:AF$100)</f>
        <v>0</v>
      </c>
      <c r="X50" s="81">
        <f>SUMPRODUCT('Base Costs'!$BA$4:$BA$100,'Cost+LOA'!AG$4:AG$100)</f>
        <v>0</v>
      </c>
      <c r="Y50" s="81">
        <f t="shared" si="9"/>
        <v>0</v>
      </c>
      <c r="Z50" s="81">
        <f t="shared" si="13"/>
        <v>0</v>
      </c>
    </row>
    <row r="51" spans="2:26" ht="13.95" x14ac:dyDescent="0.3">
      <c r="B51" s="78">
        <v>0</v>
      </c>
      <c r="C51" s="79">
        <f>SUMPRODUCT('Base Costs'!$BB$4:$BB$100,'Cost+LOA'!P$4:P$100)</f>
        <v>0</v>
      </c>
      <c r="D51" s="80">
        <f>SUMPRODUCT('Base Costs'!$BB$4:$BB$100,'Cost+LOA'!Q$4:Q$100)</f>
        <v>0</v>
      </c>
      <c r="E51" s="287">
        <f>SUMPRODUCT('Base Costs'!$BB$4:$BB$100,'Cost+LOA'!R$4:R$100)</f>
        <v>0</v>
      </c>
      <c r="F51" s="287">
        <f>SUMPRODUCT('Base Costs'!$BB$4:$BB$100,'Cost+LOA'!S$4:S$100)</f>
        <v>0</v>
      </c>
      <c r="G51" s="287">
        <f>SUMPRODUCT('Base Costs'!$BB$4:$BB$100,'Cost+LOA'!T$4:T$100)</f>
        <v>0</v>
      </c>
      <c r="H51" s="287">
        <f>SUMPRODUCT('Base Costs'!$BB$4:$BB$100,'Cost+LOA'!U$4:U$100)</f>
        <v>0</v>
      </c>
      <c r="I51" s="287">
        <f>SUMPRODUCT('Base Costs'!$BB$4:$BB$100,'Cost+LOA'!V$4:V$100)</f>
        <v>0</v>
      </c>
      <c r="J51" s="80">
        <f>SUMPRODUCT('Base Costs'!$BB$4:$BB$100,'Cost+LOA'!W$4:W$100)</f>
        <v>0</v>
      </c>
      <c r="K51" s="81">
        <f>SUMPRODUCT('Base Costs'!$BB$4:$BB$100,'Cost+LOA'!X$4:X$100)</f>
        <v>0</v>
      </c>
      <c r="L51" s="81">
        <f t="shared" si="8"/>
        <v>0</v>
      </c>
      <c r="M51" s="81">
        <f t="shared" si="12"/>
        <v>0</v>
      </c>
      <c r="N51" s="72"/>
      <c r="O51" s="78">
        <v>0</v>
      </c>
      <c r="P51" s="79">
        <f>SUMPRODUCT('Base Costs'!$BB$4:$BB$100,'Cost+LOA'!Y$4:Y$100)</f>
        <v>0</v>
      </c>
      <c r="Q51" s="80">
        <f>SUMPRODUCT('Base Costs'!$BB$4:$BB$100,'Cost+LOA'!Z$4:Z$100)</f>
        <v>0</v>
      </c>
      <c r="R51" s="287">
        <f>SUMPRODUCT('Base Costs'!$BB$4:$BB$100,'Cost+LOA'!AA$4:AA$100)</f>
        <v>0</v>
      </c>
      <c r="S51" s="287">
        <f>SUMPRODUCT('Base Costs'!$BB$4:$BB$100,'Cost+LOA'!AB$4:AB$100)</f>
        <v>0</v>
      </c>
      <c r="T51" s="287">
        <f>SUMPRODUCT('Base Costs'!$BB$4:$BB$100,'Cost+LOA'!AC$4:AC$100)</f>
        <v>0</v>
      </c>
      <c r="U51" s="287">
        <f>SUMPRODUCT('Base Costs'!$BB$4:$BB$100,'Cost+LOA'!AD$4:AD$100)</f>
        <v>0</v>
      </c>
      <c r="V51" s="287">
        <f>SUMPRODUCT('Base Costs'!$BB$4:$BB$100,'Cost+LOA'!AE$4:AE$100)</f>
        <v>0</v>
      </c>
      <c r="W51" s="80">
        <f>SUMPRODUCT('Base Costs'!$BB$4:$BB$100,'Cost+LOA'!AF$4:AF$100)</f>
        <v>0</v>
      </c>
      <c r="X51" s="81">
        <f>SUMPRODUCT('Base Costs'!$BB$4:$BB$100,'Cost+LOA'!AG$4:AG$100)</f>
        <v>0</v>
      </c>
      <c r="Y51" s="81">
        <f t="shared" si="9"/>
        <v>0</v>
      </c>
      <c r="Z51" s="81">
        <f t="shared" si="13"/>
        <v>0</v>
      </c>
    </row>
    <row r="52" spans="2:26" ht="13.95" x14ac:dyDescent="0.3">
      <c r="B52" s="78">
        <v>0</v>
      </c>
      <c r="C52" s="79">
        <f>SUMPRODUCT('Base Costs'!$BC$4:$BC$100,'Cost+LOA'!P$4:P$100)</f>
        <v>0</v>
      </c>
      <c r="D52" s="80">
        <f>SUMPRODUCT('Base Costs'!$BC$4:$BC$100,'Cost+LOA'!Q$4:Q$100)</f>
        <v>0</v>
      </c>
      <c r="E52" s="287">
        <f>SUMPRODUCT('Base Costs'!$BC$4:$BC$100,'Cost+LOA'!R$4:R$100)</f>
        <v>0</v>
      </c>
      <c r="F52" s="287">
        <f>SUMPRODUCT('Base Costs'!$BC$4:$BC$100,'Cost+LOA'!S$4:S$100)</f>
        <v>0</v>
      </c>
      <c r="G52" s="287">
        <f>SUMPRODUCT('Base Costs'!$BC$4:$BC$100,'Cost+LOA'!T$4:T$100)</f>
        <v>0</v>
      </c>
      <c r="H52" s="287">
        <f>SUMPRODUCT('Base Costs'!$BC$4:$BC$100,'Cost+LOA'!U$4:U$100)</f>
        <v>0</v>
      </c>
      <c r="I52" s="287">
        <f>SUMPRODUCT('Base Costs'!$BC$4:$BC$100,'Cost+LOA'!V$4:V$100)</f>
        <v>0</v>
      </c>
      <c r="J52" s="80">
        <f>SUMPRODUCT('Base Costs'!$BC$4:$BC$100,'Cost+LOA'!W$4:W$100)</f>
        <v>0</v>
      </c>
      <c r="K52" s="81">
        <f>SUMPRODUCT('Base Costs'!$BC$4:$BC$100,'Cost+LOA'!X$4:X$100)</f>
        <v>0</v>
      </c>
      <c r="L52" s="81">
        <f t="shared" si="8"/>
        <v>0</v>
      </c>
      <c r="M52" s="81">
        <f t="shared" si="12"/>
        <v>0</v>
      </c>
      <c r="N52" s="72"/>
      <c r="O52" s="78">
        <v>0</v>
      </c>
      <c r="P52" s="79">
        <f>SUMPRODUCT('Base Costs'!$BC$4:$BC$100,'Cost+LOA'!Y$4:Y$100)</f>
        <v>0</v>
      </c>
      <c r="Q52" s="80">
        <f>SUMPRODUCT('Base Costs'!$BC$4:$BC$100,'Cost+LOA'!Z$4:Z$100)</f>
        <v>0</v>
      </c>
      <c r="R52" s="287">
        <f>SUMPRODUCT('Base Costs'!$BC$4:$BC$100,'Cost+LOA'!AA$4:AA$100)</f>
        <v>0</v>
      </c>
      <c r="S52" s="287">
        <f>SUMPRODUCT('Base Costs'!$BC$4:$BC$100,'Cost+LOA'!AB$4:AB$100)</f>
        <v>0</v>
      </c>
      <c r="T52" s="287">
        <f>SUMPRODUCT('Base Costs'!$BC$4:$BC$100,'Cost+LOA'!AC$4:AC$100)</f>
        <v>0</v>
      </c>
      <c r="U52" s="287">
        <f>SUMPRODUCT('Base Costs'!$BC$4:$BC$100,'Cost+LOA'!AD$4:AD$100)</f>
        <v>0</v>
      </c>
      <c r="V52" s="287">
        <f>SUMPRODUCT('Base Costs'!$BC$4:$BC$100,'Cost+LOA'!AE$4:AE$100)</f>
        <v>0</v>
      </c>
      <c r="W52" s="80">
        <f>SUMPRODUCT('Base Costs'!$BC$4:$BC$100,'Cost+LOA'!AF$4:AF$100)</f>
        <v>0</v>
      </c>
      <c r="X52" s="81">
        <f>SUMPRODUCT('Base Costs'!$BC$4:$BC$100,'Cost+LOA'!AG$4:AG$100)</f>
        <v>0</v>
      </c>
      <c r="Y52" s="81">
        <f t="shared" si="9"/>
        <v>0</v>
      </c>
      <c r="Z52" s="81">
        <f t="shared" si="13"/>
        <v>0</v>
      </c>
    </row>
    <row r="53" spans="2:26" ht="13.95" x14ac:dyDescent="0.3">
      <c r="B53" s="78">
        <v>0</v>
      </c>
      <c r="C53" s="79">
        <f>SUMPRODUCT('Base Costs'!$BD$4:$BD$100,'Cost+LOA'!P$4:P$100)</f>
        <v>0</v>
      </c>
      <c r="D53" s="80">
        <f>SUMPRODUCT('Base Costs'!$BD$4:$BD$100,'Cost+LOA'!Q$4:Q$100)</f>
        <v>0</v>
      </c>
      <c r="E53" s="287">
        <f>SUMPRODUCT('Base Costs'!$BD$4:$BD$100,'Cost+LOA'!R$4:R$100)</f>
        <v>0</v>
      </c>
      <c r="F53" s="287">
        <f>SUMPRODUCT('Base Costs'!$BD$4:$BD$100,'Cost+LOA'!S$4:S$100)</f>
        <v>0</v>
      </c>
      <c r="G53" s="287">
        <f>SUMPRODUCT('Base Costs'!$BD$4:$BD$100,'Cost+LOA'!T$4:T$100)</f>
        <v>0</v>
      </c>
      <c r="H53" s="287">
        <f>SUMPRODUCT('Base Costs'!$BD$4:$BD$100,'Cost+LOA'!U$4:U$100)</f>
        <v>0</v>
      </c>
      <c r="I53" s="287">
        <f>SUMPRODUCT('Base Costs'!$BD$4:$BD$100,'Cost+LOA'!V$4:V$100)</f>
        <v>0</v>
      </c>
      <c r="J53" s="80">
        <f>SUMPRODUCT('Base Costs'!$BD$4:$BD$100,'Cost+LOA'!W$4:W$100)</f>
        <v>0</v>
      </c>
      <c r="K53" s="81">
        <f>SUMPRODUCT('Base Costs'!$BD$4:$BD$100,'Cost+LOA'!X$4:X$100)</f>
        <v>0</v>
      </c>
      <c r="L53" s="81">
        <f t="shared" si="8"/>
        <v>0</v>
      </c>
      <c r="M53" s="81">
        <f t="shared" si="12"/>
        <v>0</v>
      </c>
      <c r="N53" s="72"/>
      <c r="O53" s="78">
        <v>0</v>
      </c>
      <c r="P53" s="79">
        <f>SUMPRODUCT('Base Costs'!$BD$4:$BD$100,'Cost+LOA'!Y$4:Y$100)</f>
        <v>0</v>
      </c>
      <c r="Q53" s="80">
        <f>SUMPRODUCT('Base Costs'!$BD$4:$BD$100,'Cost+LOA'!Z$4:Z$100)</f>
        <v>0</v>
      </c>
      <c r="R53" s="287">
        <f>SUMPRODUCT('Base Costs'!$BD$4:$BD$100,'Cost+LOA'!AA$4:AA$100)</f>
        <v>0</v>
      </c>
      <c r="S53" s="287">
        <f>SUMPRODUCT('Base Costs'!$BD$4:$BD$100,'Cost+LOA'!AB$4:AB$100)</f>
        <v>0</v>
      </c>
      <c r="T53" s="287">
        <f>SUMPRODUCT('Base Costs'!$BD$4:$BD$100,'Cost+LOA'!AC$4:AC$100)</f>
        <v>0</v>
      </c>
      <c r="U53" s="287">
        <f>SUMPRODUCT('Base Costs'!$BD$4:$BD$100,'Cost+LOA'!AD$4:AD$100)</f>
        <v>0</v>
      </c>
      <c r="V53" s="287">
        <f>SUMPRODUCT('Base Costs'!$BD$4:$BD$100,'Cost+LOA'!AE$4:AE$100)</f>
        <v>0</v>
      </c>
      <c r="W53" s="80">
        <f>SUMPRODUCT('Base Costs'!$BD$4:$BD$100,'Cost+LOA'!AF$4:AF$100)</f>
        <v>0</v>
      </c>
      <c r="X53" s="81">
        <f>SUMPRODUCT('Base Costs'!$BD$4:$BD$100,'Cost+LOA'!AG$4:AG$100)</f>
        <v>0</v>
      </c>
      <c r="Y53" s="81">
        <f t="shared" si="9"/>
        <v>0</v>
      </c>
      <c r="Z53" s="81">
        <f t="shared" si="13"/>
        <v>0</v>
      </c>
    </row>
    <row r="54" spans="2:26" ht="13.95" x14ac:dyDescent="0.3">
      <c r="B54" s="78">
        <v>0</v>
      </c>
      <c r="C54" s="79">
        <f>SUMPRODUCT('Base Costs'!$BE$4:$BE$100,'Cost+LOA'!P$4:P$100)</f>
        <v>0</v>
      </c>
      <c r="D54" s="80">
        <f>SUMPRODUCT('Base Costs'!$BE$4:$BE$100,'Cost+LOA'!Q$4:Q$100)</f>
        <v>0</v>
      </c>
      <c r="E54" s="287">
        <f>SUMPRODUCT('Base Costs'!$BE$4:$BE$100,'Cost+LOA'!R$4:R$100)</f>
        <v>0</v>
      </c>
      <c r="F54" s="287">
        <f>SUMPRODUCT('Base Costs'!$BE$4:$BE$100,'Cost+LOA'!S$4:S$100)</f>
        <v>0</v>
      </c>
      <c r="G54" s="287">
        <f>SUMPRODUCT('Base Costs'!$BE$4:$BE$100,'Cost+LOA'!T$4:T$100)</f>
        <v>0</v>
      </c>
      <c r="H54" s="287">
        <f>SUMPRODUCT('Base Costs'!$BE$4:$BE$100,'Cost+LOA'!U$4:U$100)</f>
        <v>0</v>
      </c>
      <c r="I54" s="287">
        <f>SUMPRODUCT('Base Costs'!$BE$4:$BE$100,'Cost+LOA'!V$4:V$100)</f>
        <v>0</v>
      </c>
      <c r="J54" s="80">
        <f>SUMPRODUCT('Base Costs'!$BE$4:$BE$100,'Cost+LOA'!W$4:W$100)</f>
        <v>0</v>
      </c>
      <c r="K54" s="81">
        <f>SUMPRODUCT('Base Costs'!$BE$4:$BE$100,'Cost+LOA'!X$4:X$100)</f>
        <v>0</v>
      </c>
      <c r="L54" s="81">
        <f t="shared" si="8"/>
        <v>0</v>
      </c>
      <c r="M54" s="81">
        <f t="shared" si="12"/>
        <v>0</v>
      </c>
      <c r="N54" s="72"/>
      <c r="O54" s="78">
        <v>0</v>
      </c>
      <c r="P54" s="79">
        <f>SUMPRODUCT('Base Costs'!$BE$4:$BE$100,'Cost+LOA'!Y$4:Y$100)</f>
        <v>0</v>
      </c>
      <c r="Q54" s="80">
        <f>SUMPRODUCT('Base Costs'!$BE$4:$BE$100,'Cost+LOA'!Z$4:Z$100)</f>
        <v>0</v>
      </c>
      <c r="R54" s="287">
        <f>SUMPRODUCT('Base Costs'!$BE$4:$BE$100,'Cost+LOA'!AA$4:AA$100)</f>
        <v>0</v>
      </c>
      <c r="S54" s="287">
        <f>SUMPRODUCT('Base Costs'!$BE$4:$BE$100,'Cost+LOA'!AB$4:AB$100)</f>
        <v>0</v>
      </c>
      <c r="T54" s="287">
        <f>SUMPRODUCT('Base Costs'!$BE$4:$BE$100,'Cost+LOA'!AC$4:AC$100)</f>
        <v>0</v>
      </c>
      <c r="U54" s="287">
        <f>SUMPRODUCT('Base Costs'!$BE$4:$BE$100,'Cost+LOA'!AD$4:AD$100)</f>
        <v>0</v>
      </c>
      <c r="V54" s="287">
        <f>SUMPRODUCT('Base Costs'!$BE$4:$BE$100,'Cost+LOA'!AE$4:AE$100)</f>
        <v>0</v>
      </c>
      <c r="W54" s="80">
        <f>SUMPRODUCT('Base Costs'!$BE$4:$BE$100,'Cost+LOA'!AF$4:AF$100)</f>
        <v>0</v>
      </c>
      <c r="X54" s="81">
        <f>SUMPRODUCT('Base Costs'!$BE$4:$BE$100,'Cost+LOA'!AG$4:AG$100)</f>
        <v>0</v>
      </c>
      <c r="Y54" s="81">
        <f t="shared" si="9"/>
        <v>0</v>
      </c>
      <c r="Z54" s="81">
        <f t="shared" si="13"/>
        <v>0</v>
      </c>
    </row>
    <row r="55" spans="2:26" ht="14.4" thickBot="1" x14ac:dyDescent="0.35">
      <c r="B55" s="82">
        <v>0</v>
      </c>
      <c r="C55" s="83">
        <f>SUMPRODUCT('Base Costs'!$BF$4:$BF$100,'Cost+LOA'!P$4:P$100)</f>
        <v>0</v>
      </c>
      <c r="D55" s="84">
        <f>SUMPRODUCT('Base Costs'!$BF$4:$BF$100,'Cost+LOA'!Q$4:Q$100)</f>
        <v>0</v>
      </c>
      <c r="E55" s="288">
        <f>SUMPRODUCT('Base Costs'!$BF$4:$BF$100,'Cost+LOA'!R$4:R$100)</f>
        <v>0</v>
      </c>
      <c r="F55" s="288">
        <f>SUMPRODUCT('Base Costs'!$BF$4:$BF$100,'Cost+LOA'!S$4:S$100)</f>
        <v>0</v>
      </c>
      <c r="G55" s="288">
        <f>SUMPRODUCT('Base Costs'!$BF$4:$BF$100,'Cost+LOA'!T$4:T$100)</f>
        <v>0</v>
      </c>
      <c r="H55" s="288">
        <f>SUMPRODUCT('Base Costs'!$BF$4:$BF$100,'Cost+LOA'!U$4:U$100)</f>
        <v>0</v>
      </c>
      <c r="I55" s="288">
        <f>SUMPRODUCT('Base Costs'!$BF$4:$BF$100,'Cost+LOA'!V$4:V$100)</f>
        <v>0</v>
      </c>
      <c r="J55" s="84">
        <f>SUMPRODUCT('Base Costs'!$BF$4:$BF$100,'Cost+LOA'!W$4:W$100)</f>
        <v>0</v>
      </c>
      <c r="K55" s="85">
        <f>SUMPRODUCT('Base Costs'!$BF$4:$BF$100,'Cost+LOA'!X$4:X$100)</f>
        <v>0</v>
      </c>
      <c r="L55" s="85">
        <f t="shared" si="8"/>
        <v>0</v>
      </c>
      <c r="M55" s="85">
        <f t="shared" si="12"/>
        <v>0</v>
      </c>
      <c r="N55" s="72"/>
      <c r="O55" s="82">
        <v>0</v>
      </c>
      <c r="P55" s="83">
        <f>SUMPRODUCT('Base Costs'!$BF$4:$BF$100,'Cost+LOA'!Y$4:Y$100)</f>
        <v>0</v>
      </c>
      <c r="Q55" s="84">
        <f>SUMPRODUCT('Base Costs'!$BF$4:$BF$100,'Cost+LOA'!Z$4:Z$100)</f>
        <v>0</v>
      </c>
      <c r="R55" s="288">
        <f>SUMPRODUCT('Base Costs'!$BF$4:$BF$100,'Cost+LOA'!AA$4:AA$100)</f>
        <v>0</v>
      </c>
      <c r="S55" s="288">
        <f>SUMPRODUCT('Base Costs'!$BF$4:$BF$100,'Cost+LOA'!AB$4:AB$100)</f>
        <v>0</v>
      </c>
      <c r="T55" s="288">
        <f>SUMPRODUCT('Base Costs'!$BF$4:$BF$100,'Cost+LOA'!AC$4:AC$100)</f>
        <v>0</v>
      </c>
      <c r="U55" s="288">
        <f>SUMPRODUCT('Base Costs'!$BF$4:$BF$100,'Cost+LOA'!AD$4:AD$100)</f>
        <v>0</v>
      </c>
      <c r="V55" s="288">
        <f>SUMPRODUCT('Base Costs'!$BF$4:$BF$100,'Cost+LOA'!AE$4:AE$100)</f>
        <v>0</v>
      </c>
      <c r="W55" s="84">
        <f>SUMPRODUCT('Base Costs'!$BF$4:$BF$100,'Cost+LOA'!AF$4:AF$100)</f>
        <v>0</v>
      </c>
      <c r="X55" s="85">
        <f>SUMPRODUCT('Base Costs'!$BF$4:$BF$100,'Cost+LOA'!AG$4:AG$100)</f>
        <v>0</v>
      </c>
      <c r="Y55" s="85">
        <f t="shared" si="9"/>
        <v>0</v>
      </c>
      <c r="Z55" s="85">
        <f t="shared" si="13"/>
        <v>0</v>
      </c>
    </row>
    <row r="56" spans="2:26" ht="13.95" x14ac:dyDescent="0.3">
      <c r="B56" s="72" t="s">
        <v>12</v>
      </c>
      <c r="C56" s="86">
        <f>SUM(C32:C55)</f>
        <v>0</v>
      </c>
      <c r="D56" s="86">
        <f t="shared" ref="D56:K56" si="14">SUM(D32:D55)</f>
        <v>6325888.354672201</v>
      </c>
      <c r="E56" s="289">
        <f t="shared" si="14"/>
        <v>48257404.777604572</v>
      </c>
      <c r="F56" s="289">
        <f t="shared" si="14"/>
        <v>61248389.875015795</v>
      </c>
      <c r="G56" s="289">
        <f t="shared" si="14"/>
        <v>54882507.054808564</v>
      </c>
      <c r="H56" s="289">
        <f t="shared" si="14"/>
        <v>48667238.70426733</v>
      </c>
      <c r="I56" s="289">
        <f t="shared" si="14"/>
        <v>40594914.80291032</v>
      </c>
      <c r="J56" s="86">
        <f t="shared" si="14"/>
        <v>5931729.7872187709</v>
      </c>
      <c r="K56" s="86">
        <f t="shared" si="14"/>
        <v>0</v>
      </c>
      <c r="L56" s="86">
        <f t="shared" si="8"/>
        <v>253650455.21460658</v>
      </c>
      <c r="M56" s="86">
        <f>SUM(C56:K56)</f>
        <v>265908073.35649756</v>
      </c>
      <c r="N56" s="72"/>
      <c r="O56" s="72" t="s">
        <v>12</v>
      </c>
      <c r="P56" s="86">
        <f>SUM(P32:P55)</f>
        <v>0</v>
      </c>
      <c r="Q56" s="86">
        <f t="shared" ref="Q56:X56" si="15">SUM(Q32:Q55)</f>
        <v>518287.13123609993</v>
      </c>
      <c r="R56" s="289">
        <f t="shared" si="15"/>
        <v>49623687.732774436</v>
      </c>
      <c r="S56" s="289">
        <f t="shared" si="15"/>
        <v>41663733.212343447</v>
      </c>
      <c r="T56" s="289">
        <f t="shared" si="15"/>
        <v>74422767.311885655</v>
      </c>
      <c r="U56" s="289">
        <f t="shared" si="15"/>
        <v>37863162.817439526</v>
      </c>
      <c r="V56" s="289">
        <f t="shared" si="15"/>
        <v>53308439.540418215</v>
      </c>
      <c r="W56" s="86">
        <f t="shared" si="15"/>
        <v>63338.722799999996</v>
      </c>
      <c r="X56" s="86">
        <f t="shared" si="15"/>
        <v>8444656.8876001239</v>
      </c>
      <c r="Y56" s="86">
        <f t="shared" si="9"/>
        <v>256881790.61486128</v>
      </c>
      <c r="Z56" s="86">
        <f>SUM(P56:X56)</f>
        <v>265908073.35649747</v>
      </c>
    </row>
    <row r="57" spans="2:26" ht="13.95" x14ac:dyDescent="0.3">
      <c r="B57" s="72"/>
      <c r="C57" s="72"/>
      <c r="D57" s="72"/>
      <c r="E57" s="2"/>
      <c r="F57" s="2"/>
      <c r="G57" s="2"/>
      <c r="H57" s="2"/>
      <c r="I57" s="2"/>
      <c r="J57" s="72"/>
      <c r="K57" s="72"/>
      <c r="L57" s="72"/>
      <c r="M57" s="72"/>
      <c r="N57" s="72"/>
      <c r="O57" s="72"/>
      <c r="P57" s="72"/>
      <c r="Q57" s="72"/>
      <c r="R57" s="2"/>
      <c r="S57" s="2"/>
      <c r="T57" s="2"/>
      <c r="U57" s="2"/>
      <c r="V57" s="2"/>
      <c r="W57" s="72"/>
      <c r="X57" s="72"/>
      <c r="Y57" s="72"/>
      <c r="Z57" s="72"/>
    </row>
    <row r="58" spans="2:26" ht="14.4" thickBot="1" x14ac:dyDescent="0.35">
      <c r="B58" s="71" t="s">
        <v>84</v>
      </c>
      <c r="C58" s="72"/>
      <c r="D58" s="72"/>
      <c r="E58" s="2"/>
      <c r="F58" s="2"/>
      <c r="G58" s="2"/>
      <c r="H58" s="2"/>
      <c r="I58" s="2"/>
      <c r="J58" s="72"/>
      <c r="K58" s="72"/>
      <c r="L58" s="72"/>
      <c r="M58" s="72"/>
      <c r="N58" s="72"/>
      <c r="O58" s="71" t="s">
        <v>85</v>
      </c>
      <c r="P58" s="72"/>
      <c r="Q58" s="72"/>
      <c r="R58" s="2"/>
      <c r="S58" s="2"/>
      <c r="T58" s="2"/>
      <c r="U58" s="2"/>
      <c r="V58" s="2"/>
      <c r="W58" s="72"/>
      <c r="X58" s="72"/>
      <c r="Y58" s="72"/>
      <c r="Z58" s="72"/>
    </row>
    <row r="59" spans="2:26" ht="42.6" thickBot="1" x14ac:dyDescent="0.35">
      <c r="B59" s="72"/>
      <c r="C59" s="179" t="str">
        <f t="array" ref="C59:K59">'Base Costs'!P3:X3</f>
        <v>2012/13</v>
      </c>
      <c r="D59" s="180" t="str">
        <v>2013/14</v>
      </c>
      <c r="E59" s="285" t="str">
        <v>2014/15</v>
      </c>
      <c r="F59" s="285" t="str">
        <v>2015/16</v>
      </c>
      <c r="G59" s="285" t="str">
        <v>2016/17</v>
      </c>
      <c r="H59" s="285" t="str">
        <v>2017/18</v>
      </c>
      <c r="I59" s="285" t="str">
        <v>2018/19</v>
      </c>
      <c r="J59" s="180" t="str">
        <v>2019/20</v>
      </c>
      <c r="K59" s="181" t="str">
        <v>2020/21</v>
      </c>
      <c r="L59" s="296" t="str">
        <f>$L$3</f>
        <v>2014-19
Total</v>
      </c>
      <c r="M59" s="73" t="s">
        <v>12</v>
      </c>
      <c r="N59" s="72"/>
      <c r="O59" s="72"/>
      <c r="P59" s="179" t="str">
        <f t="array" ref="P59:X59">'Base Costs'!P3:X3</f>
        <v>2012/13</v>
      </c>
      <c r="Q59" s="180" t="str">
        <v>2013/14</v>
      </c>
      <c r="R59" s="285" t="str">
        <v>2014/15</v>
      </c>
      <c r="S59" s="285" t="str">
        <v>2015/16</v>
      </c>
      <c r="T59" s="285" t="str">
        <v>2016/17</v>
      </c>
      <c r="U59" s="285" t="str">
        <v>2017/18</v>
      </c>
      <c r="V59" s="285" t="str">
        <v>2018/19</v>
      </c>
      <c r="W59" s="180" t="str">
        <v>2019/20</v>
      </c>
      <c r="X59" s="181" t="str">
        <v>2020/21</v>
      </c>
      <c r="Y59" s="296" t="str">
        <f>$L$3</f>
        <v>2014-19
Total</v>
      </c>
      <c r="Z59" s="73" t="s">
        <v>12</v>
      </c>
    </row>
    <row r="60" spans="2:26" ht="13.95" x14ac:dyDescent="0.3">
      <c r="B60" s="74" t="str">
        <f t="array" ref="B60:B83">$B$4:$B$27</f>
        <v>TL60</v>
      </c>
      <c r="C60" s="75">
        <f>SUMPRODUCT('Base Costs'!$AI$4:$AI$100,'Cost+Escalation'!P$4:P$100)</f>
        <v>0</v>
      </c>
      <c r="D60" s="76">
        <f>SUMPRODUCT('Base Costs'!$AI$4:$AI$100,'Cost+Escalation'!Q$4:Q$100)</f>
        <v>703.39862714688297</v>
      </c>
      <c r="E60" s="286">
        <f>SUMPRODUCT('Base Costs'!$AI$4:$AI$100,'Cost+Escalation'!R$4:R$100)</f>
        <v>4209779.7588759782</v>
      </c>
      <c r="F60" s="286">
        <f>SUMPRODUCT('Base Costs'!$AI$4:$AI$100,'Cost+Escalation'!S$4:S$100)</f>
        <v>7318578.3074785192</v>
      </c>
      <c r="G60" s="286">
        <f>SUMPRODUCT('Base Costs'!$AI$4:$AI$100,'Cost+Escalation'!T$4:T$100)</f>
        <v>7396575.6768198302</v>
      </c>
      <c r="H60" s="286">
        <f>SUMPRODUCT('Base Costs'!$AI$4:$AI$100,'Cost+Escalation'!U$4:U$100)</f>
        <v>8447468.7299221531</v>
      </c>
      <c r="I60" s="286">
        <f>SUMPRODUCT('Base Costs'!$AI$4:$AI$100,'Cost+Escalation'!V$4:V$100)</f>
        <v>9828403.4172416572</v>
      </c>
      <c r="J60" s="76">
        <f>SUMPRODUCT('Base Costs'!$AI$4:$AI$100,'Cost+Escalation'!W$4:W$100)</f>
        <v>2618483.9885905851</v>
      </c>
      <c r="K60" s="77">
        <f>SUMPRODUCT('Base Costs'!$AI$4:$AI$100,'Cost+Escalation'!X$4:X$100)</f>
        <v>0</v>
      </c>
      <c r="L60" s="77">
        <f t="shared" ref="L60:L84" si="16">SUM(E60:I60)</f>
        <v>37200805.890338138</v>
      </c>
      <c r="M60" s="77">
        <f>SUM(C60:K60)</f>
        <v>39819993.277555868</v>
      </c>
      <c r="N60" s="72"/>
      <c r="O60" s="74" t="str">
        <f t="array" ref="O60:O83">$B$4:$B$27</f>
        <v>TL60</v>
      </c>
      <c r="P60" s="75">
        <f>SUMPRODUCT('Base Costs'!$AI$4:$AI$100,'Cost+Escalation'!Y$4:Y$100)</f>
        <v>0</v>
      </c>
      <c r="Q60" s="76">
        <f>SUMPRODUCT('Base Costs'!$AI$4:$AI$100,'Cost+Escalation'!Z$4:Z$100)</f>
        <v>703.39862714688297</v>
      </c>
      <c r="R60" s="286">
        <f>SUMPRODUCT('Base Costs'!$AI$4:$AI$100,'Cost+Escalation'!AA$4:AA$100)</f>
        <v>3781229.3736531204</v>
      </c>
      <c r="S60" s="286">
        <f>SUMPRODUCT('Base Costs'!$AI$4:$AI$100,'Cost+Escalation'!AB$4:AB$100)</f>
        <v>5898840.130648897</v>
      </c>
      <c r="T60" s="286">
        <f>SUMPRODUCT('Base Costs'!$AI$4:$AI$100,'Cost+Escalation'!AC$4:AC$100)</f>
        <v>9028600.7128713224</v>
      </c>
      <c r="U60" s="286">
        <f>SUMPRODUCT('Base Costs'!$AI$4:$AI$100,'Cost+Escalation'!AD$4:AD$100)</f>
        <v>5301368.9207263021</v>
      </c>
      <c r="V60" s="286">
        <f>SUMPRODUCT('Base Costs'!$AI$4:$AI$100,'Cost+Escalation'!AE$4:AE$100)</f>
        <v>12041233.475889273</v>
      </c>
      <c r="W60" s="76">
        <f>SUMPRODUCT('Base Costs'!$AI$4:$AI$100,'Cost+Escalation'!AF$4:AF$100)</f>
        <v>0</v>
      </c>
      <c r="X60" s="77">
        <f>SUMPRODUCT('Base Costs'!$AI$4:$AI$100,'Cost+Escalation'!AG$4:AG$100)</f>
        <v>3768017.2651398131</v>
      </c>
      <c r="Y60" s="77">
        <f t="shared" ref="Y60:Y84" si="17">SUM(R60:V60)</f>
        <v>36051272.613788918</v>
      </c>
      <c r="Z60" s="77">
        <f>SUM(P60:X60)</f>
        <v>39819993.277555875</v>
      </c>
    </row>
    <row r="61" spans="2:26" ht="13.95" x14ac:dyDescent="0.3">
      <c r="B61" s="78" t="str">
        <v>TL45</v>
      </c>
      <c r="C61" s="79">
        <f>SUMPRODUCT('Base Costs'!$AJ$4:$AJ$100,'Cost+Escalation'!P$4:P$100)</f>
        <v>0</v>
      </c>
      <c r="D61" s="80">
        <f>SUMPRODUCT('Base Costs'!$AJ$4:$AJ$100,'Cost+Escalation'!Q$4:Q$100)</f>
        <v>765.92294955993918</v>
      </c>
      <c r="E61" s="287">
        <f>SUMPRODUCT('Base Costs'!$AJ$4:$AJ$100,'Cost+Escalation'!R$4:R$100)</f>
        <v>2687315.4237317867</v>
      </c>
      <c r="F61" s="287">
        <f>SUMPRODUCT('Base Costs'!$AJ$4:$AJ$100,'Cost+Escalation'!S$4:S$100)</f>
        <v>4532419.8026870843</v>
      </c>
      <c r="G61" s="287">
        <f>SUMPRODUCT('Base Costs'!$AJ$4:$AJ$100,'Cost+Escalation'!T$4:T$100)</f>
        <v>3887516.6488453676</v>
      </c>
      <c r="H61" s="287">
        <f>SUMPRODUCT('Base Costs'!$AJ$4:$AJ$100,'Cost+Escalation'!U$4:U$100)</f>
        <v>5473799.5251821009</v>
      </c>
      <c r="I61" s="287">
        <f>SUMPRODUCT('Base Costs'!$AJ$4:$AJ$100,'Cost+Escalation'!V$4:V$100)</f>
        <v>6572929.6513360925</v>
      </c>
      <c r="J61" s="80">
        <f>SUMPRODUCT('Base Costs'!$AJ$4:$AJ$100,'Cost+Escalation'!W$4:W$100)</f>
        <v>2851237.7218890977</v>
      </c>
      <c r="K61" s="81">
        <f>SUMPRODUCT('Base Costs'!$AJ$4:$AJ$100,'Cost+Escalation'!X$4:X$100)</f>
        <v>0</v>
      </c>
      <c r="L61" s="81">
        <f t="shared" si="16"/>
        <v>23153981.051782433</v>
      </c>
      <c r="M61" s="81">
        <f t="shared" ref="M61:M83" si="18">SUM(C61:K61)</f>
        <v>26005984.69662109</v>
      </c>
      <c r="N61" s="72"/>
      <c r="O61" s="78" t="str">
        <v>TL45</v>
      </c>
      <c r="P61" s="79">
        <f>SUMPRODUCT('Base Costs'!$AJ$4:$AJ$100,'Cost+Escalation'!Y$4:Y$100)</f>
        <v>0</v>
      </c>
      <c r="Q61" s="80">
        <f>SUMPRODUCT('Base Costs'!$AJ$4:$AJ$100,'Cost+Escalation'!Z$4:Z$100)</f>
        <v>765.92294955993918</v>
      </c>
      <c r="R61" s="287">
        <f>SUMPRODUCT('Base Costs'!$AJ$4:$AJ$100,'Cost+Escalation'!AA$4:AA$100)</f>
        <v>2652433.4146355754</v>
      </c>
      <c r="S61" s="287">
        <f>SUMPRODUCT('Base Costs'!$AJ$4:$AJ$100,'Cost+Escalation'!AB$4:AB$100)</f>
        <v>4416859.7070440156</v>
      </c>
      <c r="T61" s="287">
        <f>SUMPRODUCT('Base Costs'!$AJ$4:$AJ$100,'Cost+Escalation'!AC$4:AC$100)</f>
        <v>3916886.0695724403</v>
      </c>
      <c r="U61" s="287">
        <f>SUMPRODUCT('Base Costs'!$AJ$4:$AJ$100,'Cost+Escalation'!AD$4:AD$100)</f>
        <v>3712491.2032790813</v>
      </c>
      <c r="V61" s="287">
        <f>SUMPRODUCT('Base Costs'!$AJ$4:$AJ$100,'Cost+Escalation'!AE$4:AE$100)</f>
        <v>7203596.8201817591</v>
      </c>
      <c r="W61" s="80">
        <f>SUMPRODUCT('Base Costs'!$AJ$4:$AJ$100,'Cost+Escalation'!AF$4:AF$100)</f>
        <v>0</v>
      </c>
      <c r="X61" s="81">
        <f>SUMPRODUCT('Base Costs'!$AJ$4:$AJ$100,'Cost+Escalation'!AG$4:AG$100)</f>
        <v>4102951.5589586589</v>
      </c>
      <c r="Y61" s="81">
        <f t="shared" si="17"/>
        <v>21902267.214712873</v>
      </c>
      <c r="Z61" s="81">
        <f t="shared" ref="Z61:Z83" si="19">SUM(P61:X61)</f>
        <v>26005984.69662109</v>
      </c>
    </row>
    <row r="62" spans="2:26" ht="13.95" x14ac:dyDescent="0.3">
      <c r="B62" s="78" t="str">
        <v>TL10</v>
      </c>
      <c r="C62" s="79">
        <f>SUMPRODUCT('Base Costs'!$AK$4:$AK$100,'Cost+Escalation'!P$4:P$100)</f>
        <v>0</v>
      </c>
      <c r="D62" s="80">
        <f>SUMPRODUCT('Base Costs'!$AK$4:$AK$100,'Cost+Escalation'!Q$4:Q$100)</f>
        <v>93.786483619584402</v>
      </c>
      <c r="E62" s="287">
        <f>SUMPRODUCT('Base Costs'!$AK$4:$AK$100,'Cost+Escalation'!R$4:R$100)</f>
        <v>521155.10983547149</v>
      </c>
      <c r="F62" s="287">
        <f>SUMPRODUCT('Base Costs'!$AK$4:$AK$100,'Cost+Escalation'!S$4:S$100)</f>
        <v>1006061.3805619775</v>
      </c>
      <c r="G62" s="287">
        <f>SUMPRODUCT('Base Costs'!$AK$4:$AK$100,'Cost+Escalation'!T$4:T$100)</f>
        <v>981685.88512690249</v>
      </c>
      <c r="H62" s="287">
        <f>SUMPRODUCT('Base Costs'!$AK$4:$AK$100,'Cost+Escalation'!U$4:U$100)</f>
        <v>1147301.2479137243</v>
      </c>
      <c r="I62" s="287">
        <f>SUMPRODUCT('Base Costs'!$AK$4:$AK$100,'Cost+Escalation'!V$4:V$100)</f>
        <v>1312934.2762779407</v>
      </c>
      <c r="J62" s="80">
        <f>SUMPRODUCT('Base Costs'!$AK$4:$AK$100,'Cost+Escalation'!W$4:W$100)</f>
        <v>349131.34811148868</v>
      </c>
      <c r="K62" s="81">
        <f>SUMPRODUCT('Base Costs'!$AK$4:$AK$100,'Cost+Escalation'!X$4:X$100)</f>
        <v>0</v>
      </c>
      <c r="L62" s="81">
        <f t="shared" si="16"/>
        <v>4969137.8997160159</v>
      </c>
      <c r="M62" s="81">
        <f t="shared" si="18"/>
        <v>5318363.0343111241</v>
      </c>
      <c r="N62" s="72"/>
      <c r="O62" s="78" t="str">
        <v>TL10</v>
      </c>
      <c r="P62" s="79">
        <f>SUMPRODUCT('Base Costs'!$AK$4:$AK$100,'Cost+Escalation'!Y$4:Y$100)</f>
        <v>0</v>
      </c>
      <c r="Q62" s="80">
        <f>SUMPRODUCT('Base Costs'!$AK$4:$AK$100,'Cost+Escalation'!Z$4:Z$100)</f>
        <v>93.786483619584402</v>
      </c>
      <c r="R62" s="287">
        <f>SUMPRODUCT('Base Costs'!$AK$4:$AK$100,'Cost+Escalation'!AA$4:AA$100)</f>
        <v>486273.10073926044</v>
      </c>
      <c r="S62" s="287">
        <f>SUMPRODUCT('Base Costs'!$AK$4:$AK$100,'Cost+Escalation'!AB$4:AB$100)</f>
        <v>890501.28491890861</v>
      </c>
      <c r="T62" s="287">
        <f>SUMPRODUCT('Base Costs'!$AK$4:$AK$100,'Cost+Escalation'!AC$4:AC$100)</f>
        <v>1109191.1102067758</v>
      </c>
      <c r="U62" s="287">
        <f>SUMPRODUCT('Base Costs'!$AK$4:$AK$100,'Cost+Escalation'!AD$4:AD$100)</f>
        <v>813626.33724165219</v>
      </c>
      <c r="V62" s="287">
        <f>SUMPRODUCT('Base Costs'!$AK$4:$AK$100,'Cost+Escalation'!AE$4:AE$100)</f>
        <v>1516274.8973796731</v>
      </c>
      <c r="W62" s="80">
        <f>SUMPRODUCT('Base Costs'!$AK$4:$AK$100,'Cost+Escalation'!AF$4:AF$100)</f>
        <v>0</v>
      </c>
      <c r="X62" s="81">
        <f>SUMPRODUCT('Base Costs'!$AK$4:$AK$100,'Cost+Escalation'!AG$4:AG$100)</f>
        <v>502402.51734123501</v>
      </c>
      <c r="Y62" s="81">
        <f t="shared" si="17"/>
        <v>4815866.73048627</v>
      </c>
      <c r="Z62" s="81">
        <f t="shared" si="19"/>
        <v>5318363.0343111241</v>
      </c>
    </row>
    <row r="63" spans="2:26" ht="13.95" x14ac:dyDescent="0.3">
      <c r="B63" s="78" t="str">
        <v>SS60</v>
      </c>
      <c r="C63" s="79">
        <f>SUMPRODUCT('Base Costs'!$AL$4:$AL$100,'Cost+Escalation'!P$4:P$100)</f>
        <v>0</v>
      </c>
      <c r="D63" s="80">
        <f>SUMPRODUCT('Base Costs'!$AL$4:$AL$100,'Cost+Escalation'!Q$4:Q$100)</f>
        <v>1583124.0867327724</v>
      </c>
      <c r="E63" s="287">
        <f>SUMPRODUCT('Base Costs'!$AL$4:$AL$100,'Cost+Escalation'!R$4:R$100)</f>
        <v>7215647.270066021</v>
      </c>
      <c r="F63" s="287">
        <f>SUMPRODUCT('Base Costs'!$AL$4:$AL$100,'Cost+Escalation'!S$4:S$100)</f>
        <v>6805270.8216190385</v>
      </c>
      <c r="G63" s="287">
        <f>SUMPRODUCT('Base Costs'!$AL$4:$AL$100,'Cost+Escalation'!T$4:T$100)</f>
        <v>6089929.659907015</v>
      </c>
      <c r="H63" s="287">
        <f>SUMPRODUCT('Base Costs'!$AL$4:$AL$100,'Cost+Escalation'!U$4:U$100)</f>
        <v>4039003.65428486</v>
      </c>
      <c r="I63" s="287">
        <f>SUMPRODUCT('Base Costs'!$AL$4:$AL$100,'Cost+Escalation'!V$4:V$100)</f>
        <v>2266231.9205266349</v>
      </c>
      <c r="J63" s="80">
        <f>SUMPRODUCT('Base Costs'!$AL$4:$AL$100,'Cost+Escalation'!W$4:W$100)</f>
        <v>30478.693626212793</v>
      </c>
      <c r="K63" s="81">
        <f>SUMPRODUCT('Base Costs'!$AL$4:$AL$100,'Cost+Escalation'!X$4:X$100)</f>
        <v>0</v>
      </c>
      <c r="L63" s="81">
        <f t="shared" si="16"/>
        <v>26416083.326403573</v>
      </c>
      <c r="M63" s="81">
        <f t="shared" si="18"/>
        <v>28029686.106762554</v>
      </c>
      <c r="N63" s="72"/>
      <c r="O63" s="78" t="str">
        <v>SS60</v>
      </c>
      <c r="P63" s="79">
        <f>SUMPRODUCT('Base Costs'!$AL$4:$AL$100,'Cost+Escalation'!Y$4:Y$100)</f>
        <v>0</v>
      </c>
      <c r="Q63" s="80">
        <f>SUMPRODUCT('Base Costs'!$AL$4:$AL$100,'Cost+Escalation'!Z$4:Z$100)</f>
        <v>0</v>
      </c>
      <c r="R63" s="287">
        <f>SUMPRODUCT('Base Costs'!$AL$4:$AL$100,'Cost+Escalation'!AA$4:AA$100)</f>
        <v>7992173.5936358403</v>
      </c>
      <c r="S63" s="287">
        <f>SUMPRODUCT('Base Costs'!$AL$4:$AL$100,'Cost+Escalation'!AB$4:AB$100)</f>
        <v>3238623.4186494485</v>
      </c>
      <c r="T63" s="287">
        <f>SUMPRODUCT('Base Costs'!$AL$4:$AL$100,'Cost+Escalation'!AC$4:AC$100)</f>
        <v>9829856.6767725684</v>
      </c>
      <c r="U63" s="287">
        <f>SUMPRODUCT('Base Costs'!$AL$4:$AL$100,'Cost+Escalation'!AD$4:AD$100)</f>
        <v>2504964.959877728</v>
      </c>
      <c r="V63" s="287">
        <f>SUMPRODUCT('Base Costs'!$AL$4:$AL$100,'Cost+Escalation'!AE$4:AE$100)</f>
        <v>4420208.3988054562</v>
      </c>
      <c r="W63" s="80">
        <f>SUMPRODUCT('Base Costs'!$AL$4:$AL$100,'Cost+Escalation'!AF$4:AF$100)</f>
        <v>0</v>
      </c>
      <c r="X63" s="81">
        <f>SUMPRODUCT('Base Costs'!$AL$4:$AL$100,'Cost+Escalation'!AG$4:AG$100)</f>
        <v>43859.059021511217</v>
      </c>
      <c r="Y63" s="81">
        <f t="shared" si="17"/>
        <v>27985827.047741041</v>
      </c>
      <c r="Z63" s="81">
        <f t="shared" si="19"/>
        <v>28029686.106762551</v>
      </c>
    </row>
    <row r="64" spans="2:26" ht="13.95" x14ac:dyDescent="0.3">
      <c r="B64" s="78" t="str">
        <v>SS45</v>
      </c>
      <c r="C64" s="79">
        <f>SUMPRODUCT('Base Costs'!$AM$4:$AM$100,'Cost+Escalation'!P$4:P$100)</f>
        <v>0</v>
      </c>
      <c r="D64" s="80">
        <f>SUMPRODUCT('Base Costs'!$AM$4:$AM$100,'Cost+Escalation'!Q$4:Q$100)</f>
        <v>2544189.3709840011</v>
      </c>
      <c r="E64" s="287">
        <f>SUMPRODUCT('Base Costs'!$AM$4:$AM$100,'Cost+Escalation'!R$4:R$100)</f>
        <v>12833469.261643725</v>
      </c>
      <c r="F64" s="287">
        <f>SUMPRODUCT('Base Costs'!$AM$4:$AM$100,'Cost+Escalation'!S$4:S$100)</f>
        <v>19585404.2817293</v>
      </c>
      <c r="G64" s="287">
        <f>SUMPRODUCT('Base Costs'!$AM$4:$AM$100,'Cost+Escalation'!T$4:T$100)</f>
        <v>12380970.052096765</v>
      </c>
      <c r="H64" s="287">
        <f>SUMPRODUCT('Base Costs'!$AM$4:$AM$100,'Cost+Escalation'!U$4:U$100)</f>
        <v>9811675.7168551926</v>
      </c>
      <c r="I64" s="287">
        <f>SUMPRODUCT('Base Costs'!$AM$4:$AM$100,'Cost+Escalation'!V$4:V$100)</f>
        <v>4712437.2261313945</v>
      </c>
      <c r="J64" s="80">
        <f>SUMPRODUCT('Base Costs'!$AM$4:$AM$100,'Cost+Escalation'!W$4:W$100)</f>
        <v>48983.026913490547</v>
      </c>
      <c r="K64" s="81">
        <f>SUMPRODUCT('Base Costs'!$AM$4:$AM$100,'Cost+Escalation'!X$4:X$100)</f>
        <v>0</v>
      </c>
      <c r="L64" s="81">
        <f t="shared" si="16"/>
        <v>59323956.538456373</v>
      </c>
      <c r="M64" s="81">
        <f t="shared" si="18"/>
        <v>61917128.93635387</v>
      </c>
      <c r="N64" s="72"/>
      <c r="O64" s="78" t="str">
        <v>SS45</v>
      </c>
      <c r="P64" s="79">
        <f>SUMPRODUCT('Base Costs'!$AM$4:$AM$100,'Cost+Escalation'!Y$4:Y$100)</f>
        <v>0</v>
      </c>
      <c r="Q64" s="80">
        <f>SUMPRODUCT('Base Costs'!$AM$4:$AM$100,'Cost+Escalation'!Z$4:Z$100)</f>
        <v>0</v>
      </c>
      <c r="R64" s="287">
        <f>SUMPRODUCT('Base Costs'!$AM$4:$AM$100,'Cost+Escalation'!AA$4:AA$100)</f>
        <v>13181429.254547106</v>
      </c>
      <c r="S64" s="287">
        <f>SUMPRODUCT('Base Costs'!$AM$4:$AM$100,'Cost+Escalation'!AB$4:AB$100)</f>
        <v>7419843.8088257583</v>
      </c>
      <c r="T64" s="287">
        <f>SUMPRODUCT('Base Costs'!$AM$4:$AM$100,'Cost+Escalation'!AC$4:AC$100)</f>
        <v>24704877.281482793</v>
      </c>
      <c r="U64" s="287">
        <f>SUMPRODUCT('Base Costs'!$AM$4:$AM$100,'Cost+Escalation'!AD$4:AD$100)</f>
        <v>5426104.7426648438</v>
      </c>
      <c r="V64" s="287">
        <f>SUMPRODUCT('Base Costs'!$AM$4:$AM$100,'Cost+Escalation'!AE$4:AE$100)</f>
        <v>11114386.921316123</v>
      </c>
      <c r="W64" s="80">
        <f>SUMPRODUCT('Base Costs'!$AM$4:$AM$100,'Cost+Escalation'!AF$4:AF$100)</f>
        <v>0</v>
      </c>
      <c r="X64" s="81">
        <f>SUMPRODUCT('Base Costs'!$AM$4:$AM$100,'Cost+Escalation'!AG$4:AG$100)</f>
        <v>70486.927517240925</v>
      </c>
      <c r="Y64" s="81">
        <f t="shared" si="17"/>
        <v>61846642.008836627</v>
      </c>
      <c r="Z64" s="81">
        <f t="shared" si="19"/>
        <v>61917128.93635387</v>
      </c>
    </row>
    <row r="65" spans="2:26" ht="13.95" x14ac:dyDescent="0.3">
      <c r="B65" s="78" t="str">
        <v>SS15</v>
      </c>
      <c r="C65" s="79">
        <f>SUMPRODUCT('Base Costs'!$AN$4:$AN$100,'Cost+Escalation'!P$4:P$100)</f>
        <v>0</v>
      </c>
      <c r="D65" s="80">
        <f>SUMPRODUCT('Base Costs'!$AN$4:$AN$100,'Cost+Escalation'!Q$4:Q$100)</f>
        <v>339240.84323467792</v>
      </c>
      <c r="E65" s="287">
        <f>SUMPRODUCT('Base Costs'!$AN$4:$AN$100,'Cost+Escalation'!R$4:R$100)</f>
        <v>2359744.3500787588</v>
      </c>
      <c r="F65" s="287">
        <f>SUMPRODUCT('Base Costs'!$AN$4:$AN$100,'Cost+Escalation'!S$4:S$100)</f>
        <v>1916808.4435005598</v>
      </c>
      <c r="G65" s="287">
        <f>SUMPRODUCT('Base Costs'!$AN$4:$AN$100,'Cost+Escalation'!T$4:T$100)</f>
        <v>2023474.591836497</v>
      </c>
      <c r="H65" s="287">
        <f>SUMPRODUCT('Base Costs'!$AN$4:$AN$100,'Cost+Escalation'!U$4:U$100)</f>
        <v>1625018.549151852</v>
      </c>
      <c r="I65" s="287">
        <f>SUMPRODUCT('Base Costs'!$AN$4:$AN$100,'Cost+Escalation'!V$4:V$100)</f>
        <v>1352843.7828785465</v>
      </c>
      <c r="J65" s="80">
        <f>SUMPRODUCT('Base Costs'!$AN$4:$AN$100,'Cost+Escalation'!W$4:W$100)</f>
        <v>6531.4692757827506</v>
      </c>
      <c r="K65" s="81">
        <f>SUMPRODUCT('Base Costs'!$AN$4:$AN$100,'Cost+Escalation'!X$4:X$100)</f>
        <v>0</v>
      </c>
      <c r="L65" s="81">
        <f t="shared" si="16"/>
        <v>9277889.7174462136</v>
      </c>
      <c r="M65" s="81">
        <f t="shared" si="18"/>
        <v>9623662.0299566742</v>
      </c>
      <c r="N65" s="72"/>
      <c r="O65" s="78" t="str">
        <v>SS15</v>
      </c>
      <c r="P65" s="79">
        <f>SUMPRODUCT('Base Costs'!$AN$4:$AN$100,'Cost+Escalation'!Y$4:Y$100)</f>
        <v>0</v>
      </c>
      <c r="Q65" s="80">
        <f>SUMPRODUCT('Base Costs'!$AN$4:$AN$100,'Cost+Escalation'!Z$4:Z$100)</f>
        <v>0</v>
      </c>
      <c r="R65" s="287">
        <f>SUMPRODUCT('Base Costs'!$AN$4:$AN$100,'Cost+Escalation'!AA$4:AA$100)</f>
        <v>2570541.7244744543</v>
      </c>
      <c r="S65" s="287">
        <f>SUMPRODUCT('Base Costs'!$AN$4:$AN$100,'Cost+Escalation'!AB$4:AB$100)</f>
        <v>1479354.7308148863</v>
      </c>
      <c r="T65" s="287">
        <f>SUMPRODUCT('Base Costs'!$AN$4:$AN$100,'Cost+Escalation'!AC$4:AC$100)</f>
        <v>2497986.1944154822</v>
      </c>
      <c r="U65" s="287">
        <f>SUMPRODUCT('Base Costs'!$AN$4:$AN$100,'Cost+Escalation'!AD$4:AD$100)</f>
        <v>1379733.802682919</v>
      </c>
      <c r="V65" s="287">
        <f>SUMPRODUCT('Base Costs'!$AN$4:$AN$100,'Cost+Escalation'!AE$4:AE$100)</f>
        <v>1686646.746373052</v>
      </c>
      <c r="W65" s="80">
        <f>SUMPRODUCT('Base Costs'!$AN$4:$AN$100,'Cost+Escalation'!AF$4:AF$100)</f>
        <v>0</v>
      </c>
      <c r="X65" s="81">
        <f>SUMPRODUCT('Base Costs'!$AN$4:$AN$100,'Cost+Escalation'!AG$4:AG$100)</f>
        <v>9398.8311958808226</v>
      </c>
      <c r="Y65" s="81">
        <f t="shared" si="17"/>
        <v>9614263.1987607945</v>
      </c>
      <c r="Z65" s="81">
        <f t="shared" si="19"/>
        <v>9623662.0299566761</v>
      </c>
    </row>
    <row r="66" spans="2:26" ht="13.95" x14ac:dyDescent="0.3">
      <c r="B66" s="78" t="str">
        <v>PC15</v>
      </c>
      <c r="C66" s="79">
        <f>SUMPRODUCT('Base Costs'!$AO$4:$AO$100,'Cost+Escalation'!P$4:P$100)</f>
        <v>0</v>
      </c>
      <c r="D66" s="80">
        <f>SUMPRODUCT('Base Costs'!$AO$4:$AO$100,'Cost+Escalation'!Q$4:Q$100)</f>
        <v>1187343.1003272554</v>
      </c>
      <c r="E66" s="287">
        <f>SUMPRODUCT('Base Costs'!$AO$4:$AO$100,'Cost+Escalation'!R$4:R$100)</f>
        <v>5699757.8269361518</v>
      </c>
      <c r="F66" s="287">
        <f>SUMPRODUCT('Base Costs'!$AO$4:$AO$100,'Cost+Escalation'!S$4:S$100)</f>
        <v>7814786.30722671</v>
      </c>
      <c r="G66" s="287">
        <f>SUMPRODUCT('Base Costs'!$AO$4:$AO$100,'Cost+Escalation'!T$4:T$100)</f>
        <v>10290651.714910017</v>
      </c>
      <c r="H66" s="287">
        <f>SUMPRODUCT('Base Costs'!$AO$4:$AO$100,'Cost+Escalation'!U$4:U$100)</f>
        <v>7431354.8536833171</v>
      </c>
      <c r="I66" s="287">
        <f>SUMPRODUCT('Base Costs'!$AO$4:$AO$100,'Cost+Escalation'!V$4:V$100)</f>
        <v>7936727.0235851547</v>
      </c>
      <c r="J66" s="80">
        <f>SUMPRODUCT('Base Costs'!$AO$4:$AO$100,'Cost+Escalation'!W$4:W$100)</f>
        <v>89414.563615325926</v>
      </c>
      <c r="K66" s="81">
        <f>SUMPRODUCT('Base Costs'!$AO$4:$AO$100,'Cost+Escalation'!X$4:X$100)</f>
        <v>0</v>
      </c>
      <c r="L66" s="81">
        <f t="shared" si="16"/>
        <v>39173277.726341352</v>
      </c>
      <c r="M66" s="81">
        <f t="shared" si="18"/>
        <v>40450035.390283935</v>
      </c>
      <c r="N66" s="72"/>
      <c r="O66" s="78" t="str">
        <v>PC15</v>
      </c>
      <c r="P66" s="79">
        <f>SUMPRODUCT('Base Costs'!$AO$4:$AO$100,'Cost+Escalation'!Y$4:Y$100)</f>
        <v>0</v>
      </c>
      <c r="Q66" s="80">
        <f>SUMPRODUCT('Base Costs'!$AO$4:$AO$100,'Cost+Escalation'!Z$4:Z$100)</f>
        <v>0</v>
      </c>
      <c r="R66" s="287">
        <f>SUMPRODUCT('Base Costs'!$AO$4:$AO$100,'Cost+Escalation'!AA$4:AA$100)</f>
        <v>6395502.9315520739</v>
      </c>
      <c r="S66" s="287">
        <f>SUMPRODUCT('Base Costs'!$AO$4:$AO$100,'Cost+Escalation'!AB$4:AB$100)</f>
        <v>5909281.6289733648</v>
      </c>
      <c r="T66" s="287">
        <f>SUMPRODUCT('Base Costs'!$AO$4:$AO$100,'Cost+Escalation'!AC$4:AC$100)</f>
        <v>12329006.905160094</v>
      </c>
      <c r="U66" s="287">
        <f>SUMPRODUCT('Base Costs'!$AO$4:$AO$100,'Cost+Escalation'!AD$4:AD$100)</f>
        <v>6410045.1018520966</v>
      </c>
      <c r="V66" s="287">
        <f>SUMPRODUCT('Base Costs'!$AO$4:$AO$100,'Cost+Escalation'!AE$4:AE$100)</f>
        <v>9306749.1493091248</v>
      </c>
      <c r="W66" s="80">
        <f>SUMPRODUCT('Base Costs'!$AO$4:$AO$100,'Cost+Escalation'!AF$4:AF$100)</f>
        <v>66555.917477526338</v>
      </c>
      <c r="X66" s="81">
        <f>SUMPRODUCT('Base Costs'!$AO$4:$AO$100,'Cost+Escalation'!AG$4:AG$100)</f>
        <v>32893.755959650254</v>
      </c>
      <c r="Y66" s="81">
        <f t="shared" si="17"/>
        <v>40350585.716846749</v>
      </c>
      <c r="Z66" s="81">
        <f t="shared" si="19"/>
        <v>40450035.390283927</v>
      </c>
    </row>
    <row r="67" spans="2:26" ht="13.95" x14ac:dyDescent="0.3">
      <c r="B67" s="78" t="str">
        <v>PC4</v>
      </c>
      <c r="C67" s="79">
        <f>SUMPRODUCT('Base Costs'!$AP$4:$AP$100,'Cost+Escalation'!P$4:P$100)</f>
        <v>0</v>
      </c>
      <c r="D67" s="80">
        <f>SUMPRODUCT('Base Costs'!$AP$4:$AP$100,'Cost+Escalation'!Q$4:Q$100)</f>
        <v>0</v>
      </c>
      <c r="E67" s="287">
        <f>SUMPRODUCT('Base Costs'!$AP$4:$AP$100,'Cost+Escalation'!R$4:R$100)</f>
        <v>0</v>
      </c>
      <c r="F67" s="287">
        <f>SUMPRODUCT('Base Costs'!$AP$4:$AP$100,'Cost+Escalation'!S$4:S$100)</f>
        <v>0</v>
      </c>
      <c r="G67" s="287">
        <f>SUMPRODUCT('Base Costs'!$AP$4:$AP$100,'Cost+Escalation'!T$4:T$100)</f>
        <v>0</v>
      </c>
      <c r="H67" s="287">
        <f>SUMPRODUCT('Base Costs'!$AP$4:$AP$100,'Cost+Escalation'!U$4:U$100)</f>
        <v>0</v>
      </c>
      <c r="I67" s="287">
        <f>SUMPRODUCT('Base Costs'!$AP$4:$AP$100,'Cost+Escalation'!V$4:V$100)</f>
        <v>0</v>
      </c>
      <c r="J67" s="80">
        <f>SUMPRODUCT('Base Costs'!$AP$4:$AP$100,'Cost+Escalation'!W$4:W$100)</f>
        <v>0</v>
      </c>
      <c r="K67" s="81">
        <f>SUMPRODUCT('Base Costs'!$AP$4:$AP$100,'Cost+Escalation'!X$4:X$100)</f>
        <v>0</v>
      </c>
      <c r="L67" s="81">
        <f t="shared" si="16"/>
        <v>0</v>
      </c>
      <c r="M67" s="81">
        <f t="shared" si="18"/>
        <v>0</v>
      </c>
      <c r="N67" s="72"/>
      <c r="O67" s="78" t="str">
        <v>PC4</v>
      </c>
      <c r="P67" s="79">
        <f>SUMPRODUCT('Base Costs'!$AP$4:$AP$100,'Cost+Escalation'!Y$4:Y$100)</f>
        <v>0</v>
      </c>
      <c r="Q67" s="80">
        <f>SUMPRODUCT('Base Costs'!$AP$4:$AP$100,'Cost+Escalation'!Z$4:Z$100)</f>
        <v>0</v>
      </c>
      <c r="R67" s="287">
        <f>SUMPRODUCT('Base Costs'!$AP$4:$AP$100,'Cost+Escalation'!AA$4:AA$100)</f>
        <v>0</v>
      </c>
      <c r="S67" s="287">
        <f>SUMPRODUCT('Base Costs'!$AP$4:$AP$100,'Cost+Escalation'!AB$4:AB$100)</f>
        <v>0</v>
      </c>
      <c r="T67" s="287">
        <f>SUMPRODUCT('Base Costs'!$AP$4:$AP$100,'Cost+Escalation'!AC$4:AC$100)</f>
        <v>0</v>
      </c>
      <c r="U67" s="287">
        <f>SUMPRODUCT('Base Costs'!$AP$4:$AP$100,'Cost+Escalation'!AD$4:AD$100)</f>
        <v>0</v>
      </c>
      <c r="V67" s="287">
        <f>SUMPRODUCT('Base Costs'!$AP$4:$AP$100,'Cost+Escalation'!AE$4:AE$100)</f>
        <v>0</v>
      </c>
      <c r="W67" s="80">
        <f>SUMPRODUCT('Base Costs'!$AP$4:$AP$100,'Cost+Escalation'!AF$4:AF$100)</f>
        <v>0</v>
      </c>
      <c r="X67" s="81">
        <f>SUMPRODUCT('Base Costs'!$AP$4:$AP$100,'Cost+Escalation'!AG$4:AG$100)</f>
        <v>0</v>
      </c>
      <c r="Y67" s="81">
        <f t="shared" si="17"/>
        <v>0</v>
      </c>
      <c r="Z67" s="81">
        <f t="shared" si="19"/>
        <v>0</v>
      </c>
    </row>
    <row r="68" spans="2:26" ht="13.95" x14ac:dyDescent="0.3">
      <c r="B68" s="78" t="str">
        <v>TO10</v>
      </c>
      <c r="C68" s="79">
        <f>SUMPRODUCT('Base Costs'!$AQ$4:$AQ$100,'Cost+Escalation'!P$4:P$100)</f>
        <v>0</v>
      </c>
      <c r="D68" s="80">
        <f>SUMPRODUCT('Base Costs'!$AQ$4:$AQ$100,'Cost+Escalation'!Q$4:Q$100)</f>
        <v>0</v>
      </c>
      <c r="E68" s="287">
        <f>SUMPRODUCT('Base Costs'!$AQ$4:$AQ$100,'Cost+Escalation'!R$4:R$100)</f>
        <v>1358400</v>
      </c>
      <c r="F68" s="287">
        <f>SUMPRODUCT('Base Costs'!$AQ$4:$AQ$100,'Cost+Escalation'!S$4:S$100)</f>
        <v>4072850</v>
      </c>
      <c r="G68" s="287">
        <f>SUMPRODUCT('Base Costs'!$AQ$4:$AQ$100,'Cost+Escalation'!T$4:T$100)</f>
        <v>2922550</v>
      </c>
      <c r="H68" s="287">
        <f>SUMPRODUCT('Base Costs'!$AQ$4:$AQ$100,'Cost+Escalation'!U$4:U$100)</f>
        <v>1577850</v>
      </c>
      <c r="I68" s="287">
        <f>SUMPRODUCT('Base Costs'!$AQ$4:$AQ$100,'Cost+Escalation'!V$4:V$100)</f>
        <v>1812700</v>
      </c>
      <c r="J68" s="80">
        <f>SUMPRODUCT('Base Costs'!$AQ$4:$AQ$100,'Cost+Escalation'!W$4:W$100)</f>
        <v>0</v>
      </c>
      <c r="K68" s="81">
        <f>SUMPRODUCT('Base Costs'!$AQ$4:$AQ$100,'Cost+Escalation'!X$4:X$100)</f>
        <v>0</v>
      </c>
      <c r="L68" s="81">
        <f t="shared" si="16"/>
        <v>11744350</v>
      </c>
      <c r="M68" s="81">
        <f t="shared" si="18"/>
        <v>11744350</v>
      </c>
      <c r="N68" s="72"/>
      <c r="O68" s="78" t="str">
        <v>TO10</v>
      </c>
      <c r="P68" s="79">
        <f>SUMPRODUCT('Base Costs'!$AQ$4:$AQ$100,'Cost+Escalation'!Y$4:Y$100)</f>
        <v>0</v>
      </c>
      <c r="Q68" s="80">
        <f>SUMPRODUCT('Base Costs'!$AQ$4:$AQ$100,'Cost+Escalation'!Z$4:Z$100)</f>
        <v>0</v>
      </c>
      <c r="R68" s="287">
        <f>SUMPRODUCT('Base Costs'!$AQ$4:$AQ$100,'Cost+Escalation'!AA$4:AA$100)</f>
        <v>1203400</v>
      </c>
      <c r="S68" s="287">
        <f>SUMPRODUCT('Base Costs'!$AQ$4:$AQ$100,'Cost+Escalation'!AB$4:AB$100)</f>
        <v>3592850</v>
      </c>
      <c r="T68" s="287">
        <f>SUMPRODUCT('Base Costs'!$AQ$4:$AQ$100,'Cost+Escalation'!AC$4:AC$100)</f>
        <v>2657550</v>
      </c>
      <c r="U68" s="287">
        <f>SUMPRODUCT('Base Costs'!$AQ$4:$AQ$100,'Cost+Escalation'!AD$4:AD$100)</f>
        <v>2477850</v>
      </c>
      <c r="V68" s="287">
        <f>SUMPRODUCT('Base Costs'!$AQ$4:$AQ$100,'Cost+Escalation'!AE$4:AE$100)</f>
        <v>1812700</v>
      </c>
      <c r="W68" s="80">
        <f>SUMPRODUCT('Base Costs'!$AQ$4:$AQ$100,'Cost+Escalation'!AF$4:AF$100)</f>
        <v>0</v>
      </c>
      <c r="X68" s="81">
        <f>SUMPRODUCT('Base Costs'!$AQ$4:$AQ$100,'Cost+Escalation'!AG$4:AG$100)</f>
        <v>0</v>
      </c>
      <c r="Y68" s="81">
        <f t="shared" si="17"/>
        <v>11744350</v>
      </c>
      <c r="Z68" s="81">
        <f t="shared" si="19"/>
        <v>11744350</v>
      </c>
    </row>
    <row r="69" spans="2:26" ht="13.95" x14ac:dyDescent="0.3">
      <c r="B69" s="78" t="str">
        <v>TO4</v>
      </c>
      <c r="C69" s="79">
        <f>SUMPRODUCT('Base Costs'!$AR$4:$AR$100,'Cost+Escalation'!P$4:P$100)</f>
        <v>0</v>
      </c>
      <c r="D69" s="80">
        <f>SUMPRODUCT('Base Costs'!$AR$4:$AR$100,'Cost+Escalation'!Q$4:Q$100)</f>
        <v>0</v>
      </c>
      <c r="E69" s="287">
        <f>SUMPRODUCT('Base Costs'!$AR$4:$AR$100,'Cost+Escalation'!R$4:R$100)</f>
        <v>0</v>
      </c>
      <c r="F69" s="287">
        <f>SUMPRODUCT('Base Costs'!$AR$4:$AR$100,'Cost+Escalation'!S$4:S$100)</f>
        <v>600000</v>
      </c>
      <c r="G69" s="287">
        <f>SUMPRODUCT('Base Costs'!$AR$4:$AR$100,'Cost+Escalation'!T$4:T$100)</f>
        <v>0</v>
      </c>
      <c r="H69" s="287">
        <f>SUMPRODUCT('Base Costs'!$AR$4:$AR$100,'Cost+Escalation'!U$4:U$100)</f>
        <v>0</v>
      </c>
      <c r="I69" s="287">
        <f>SUMPRODUCT('Base Costs'!$AR$4:$AR$100,'Cost+Escalation'!V$4:V$100)</f>
        <v>600000</v>
      </c>
      <c r="J69" s="80">
        <f>SUMPRODUCT('Base Costs'!$AR$4:$AR$100,'Cost+Escalation'!W$4:W$100)</f>
        <v>0</v>
      </c>
      <c r="K69" s="81">
        <f>SUMPRODUCT('Base Costs'!$AR$4:$AR$100,'Cost+Escalation'!X$4:X$100)</f>
        <v>0</v>
      </c>
      <c r="L69" s="81">
        <f t="shared" si="16"/>
        <v>1200000</v>
      </c>
      <c r="M69" s="81">
        <f t="shared" si="18"/>
        <v>1200000</v>
      </c>
      <c r="N69" s="72"/>
      <c r="O69" s="78" t="str">
        <v>TO4</v>
      </c>
      <c r="P69" s="79">
        <f>SUMPRODUCT('Base Costs'!$AR$4:$AR$100,'Cost+Escalation'!Y$4:Y$100)</f>
        <v>0</v>
      </c>
      <c r="Q69" s="80">
        <f>SUMPRODUCT('Base Costs'!$AR$4:$AR$100,'Cost+Escalation'!Z$4:Z$100)</f>
        <v>0</v>
      </c>
      <c r="R69" s="287">
        <f>SUMPRODUCT('Base Costs'!$AR$4:$AR$100,'Cost+Escalation'!AA$4:AA$100)</f>
        <v>0</v>
      </c>
      <c r="S69" s="287">
        <f>SUMPRODUCT('Base Costs'!$AR$4:$AR$100,'Cost+Escalation'!AB$4:AB$100)</f>
        <v>600000</v>
      </c>
      <c r="T69" s="287">
        <f>SUMPRODUCT('Base Costs'!$AR$4:$AR$100,'Cost+Escalation'!AC$4:AC$100)</f>
        <v>0</v>
      </c>
      <c r="U69" s="287">
        <f>SUMPRODUCT('Base Costs'!$AR$4:$AR$100,'Cost+Escalation'!AD$4:AD$100)</f>
        <v>0</v>
      </c>
      <c r="V69" s="287">
        <f>SUMPRODUCT('Base Costs'!$AR$4:$AR$100,'Cost+Escalation'!AE$4:AE$100)</f>
        <v>600000</v>
      </c>
      <c r="W69" s="80">
        <f>SUMPRODUCT('Base Costs'!$AR$4:$AR$100,'Cost+Escalation'!AF$4:AF$100)</f>
        <v>0</v>
      </c>
      <c r="X69" s="81">
        <f>SUMPRODUCT('Base Costs'!$AR$4:$AR$100,'Cost+Escalation'!AG$4:AG$100)</f>
        <v>0</v>
      </c>
      <c r="Y69" s="81">
        <f t="shared" si="17"/>
        <v>1200000</v>
      </c>
      <c r="Z69" s="81">
        <f t="shared" si="19"/>
        <v>1200000</v>
      </c>
    </row>
    <row r="70" spans="2:26" ht="13.95" x14ac:dyDescent="0.3">
      <c r="B70" s="78" t="str">
        <v>Other40</v>
      </c>
      <c r="C70" s="79">
        <f>SUMPRODUCT('Base Costs'!$AS$4:$AS$100,'Cost+Escalation'!P$4:P$100)</f>
        <v>0</v>
      </c>
      <c r="D70" s="80">
        <f>SUMPRODUCT('Base Costs'!$AS$4:$AS$100,'Cost+Escalation'!Q$4:Q$100)</f>
        <v>15721.742431432094</v>
      </c>
      <c r="E70" s="287">
        <f>SUMPRODUCT('Base Costs'!$AS$4:$AS$100,'Cost+Escalation'!R$4:R$100)</f>
        <v>179783.08816551202</v>
      </c>
      <c r="F70" s="287">
        <f>SUMPRODUCT('Base Costs'!$AS$4:$AS$100,'Cost+Escalation'!S$4:S$100)</f>
        <v>727000</v>
      </c>
      <c r="G70" s="287">
        <f>SUMPRODUCT('Base Costs'!$AS$4:$AS$100,'Cost+Escalation'!T$4:T$100)</f>
        <v>308000</v>
      </c>
      <c r="H70" s="287">
        <f>SUMPRODUCT('Base Costs'!$AS$4:$AS$100,'Cost+Escalation'!U$4:U$100)</f>
        <v>0</v>
      </c>
      <c r="I70" s="287">
        <f>SUMPRODUCT('Base Costs'!$AS$4:$AS$100,'Cost+Escalation'!V$4:V$100)</f>
        <v>0</v>
      </c>
      <c r="J70" s="80">
        <f>SUMPRODUCT('Base Costs'!$AS$4:$AS$100,'Cost+Escalation'!W$4:W$100)</f>
        <v>0</v>
      </c>
      <c r="K70" s="81">
        <f>SUMPRODUCT('Base Costs'!$AS$4:$AS$100,'Cost+Escalation'!X$4:X$100)</f>
        <v>0</v>
      </c>
      <c r="L70" s="81">
        <f t="shared" si="16"/>
        <v>1214783.0881655121</v>
      </c>
      <c r="M70" s="81">
        <f t="shared" si="18"/>
        <v>1230504.8305969441</v>
      </c>
      <c r="N70" s="72"/>
      <c r="O70" s="78" t="str">
        <v>Other40</v>
      </c>
      <c r="P70" s="79">
        <f>SUMPRODUCT('Base Costs'!$AS$4:$AS$100,'Cost+Escalation'!Y$4:Y$100)</f>
        <v>0</v>
      </c>
      <c r="Q70" s="80">
        <f>SUMPRODUCT('Base Costs'!$AS$4:$AS$100,'Cost+Escalation'!Z$4:Z$100)</f>
        <v>0</v>
      </c>
      <c r="R70" s="287">
        <f>SUMPRODUCT('Base Costs'!$AS$4:$AS$100,'Cost+Escalation'!AA$4:AA$100)</f>
        <v>90504.830596944113</v>
      </c>
      <c r="S70" s="287">
        <f>SUMPRODUCT('Base Costs'!$AS$4:$AS$100,'Cost+Escalation'!AB$4:AB$100)</f>
        <v>700000</v>
      </c>
      <c r="T70" s="287">
        <f>SUMPRODUCT('Base Costs'!$AS$4:$AS$100,'Cost+Escalation'!AC$4:AC$100)</f>
        <v>440000</v>
      </c>
      <c r="U70" s="287">
        <f>SUMPRODUCT('Base Costs'!$AS$4:$AS$100,'Cost+Escalation'!AD$4:AD$100)</f>
        <v>0</v>
      </c>
      <c r="V70" s="287">
        <f>SUMPRODUCT('Base Costs'!$AS$4:$AS$100,'Cost+Escalation'!AE$4:AE$100)</f>
        <v>0</v>
      </c>
      <c r="W70" s="80">
        <f>SUMPRODUCT('Base Costs'!$AS$4:$AS$100,'Cost+Escalation'!AF$4:AF$100)</f>
        <v>0</v>
      </c>
      <c r="X70" s="81">
        <f>SUMPRODUCT('Base Costs'!$AS$4:$AS$100,'Cost+Escalation'!AG$4:AG$100)</f>
        <v>0</v>
      </c>
      <c r="Y70" s="81">
        <f t="shared" si="17"/>
        <v>1230504.8305969441</v>
      </c>
      <c r="Z70" s="81">
        <f t="shared" si="19"/>
        <v>1230504.8305969441</v>
      </c>
    </row>
    <row r="71" spans="2:26" ht="13.95" x14ac:dyDescent="0.3">
      <c r="B71" s="78" t="str">
        <v>Other9</v>
      </c>
      <c r="C71" s="79">
        <f>SUMPRODUCT('Base Costs'!$AT$4:$AT$100,'Cost+Escalation'!P$4:P$100)</f>
        <v>0</v>
      </c>
      <c r="D71" s="80">
        <f>SUMPRODUCT('Base Costs'!$AT$4:$AT$100,'Cost+Escalation'!Q$4:Q$100)</f>
        <v>78608.71215716048</v>
      </c>
      <c r="E71" s="287">
        <f>SUMPRODUCT('Base Costs'!$AT$4:$AT$100,'Cost+Escalation'!R$4:R$100)</f>
        <v>1412043.4408275599</v>
      </c>
      <c r="F71" s="287">
        <f>SUMPRODUCT('Base Costs'!$AT$4:$AT$100,'Cost+Escalation'!S$4:S$100)</f>
        <v>1083000</v>
      </c>
      <c r="G71" s="287">
        <f>SUMPRODUCT('Base Costs'!$AT$4:$AT$100,'Cost+Escalation'!T$4:T$100)</f>
        <v>731750</v>
      </c>
      <c r="H71" s="287">
        <f>SUMPRODUCT('Base Costs'!$AT$4:$AT$100,'Cost+Escalation'!U$4:U$100)</f>
        <v>336350</v>
      </c>
      <c r="I71" s="287">
        <f>SUMPRODUCT('Base Costs'!$AT$4:$AT$100,'Cost+Escalation'!V$4:V$100)</f>
        <v>872200</v>
      </c>
      <c r="J71" s="80">
        <f>SUMPRODUCT('Base Costs'!$AT$4:$AT$100,'Cost+Escalation'!W$4:W$100)</f>
        <v>0</v>
      </c>
      <c r="K71" s="81">
        <f>SUMPRODUCT('Base Costs'!$AT$4:$AT$100,'Cost+Escalation'!X$4:X$100)</f>
        <v>0</v>
      </c>
      <c r="L71" s="81">
        <f t="shared" si="16"/>
        <v>4435343.4408275597</v>
      </c>
      <c r="M71" s="81">
        <f t="shared" si="18"/>
        <v>4513952.1529847207</v>
      </c>
      <c r="N71" s="72"/>
      <c r="O71" s="78" t="str">
        <v>Other9</v>
      </c>
      <c r="P71" s="79">
        <f>SUMPRODUCT('Base Costs'!$AT$4:$AT$100,'Cost+Escalation'!Y$4:Y$100)</f>
        <v>0</v>
      </c>
      <c r="Q71" s="80">
        <f>SUMPRODUCT('Base Costs'!$AT$4:$AT$100,'Cost+Escalation'!Z$4:Z$100)</f>
        <v>0</v>
      </c>
      <c r="R71" s="287">
        <f>SUMPRODUCT('Base Costs'!$AT$4:$AT$100,'Cost+Escalation'!AA$4:AA$100)</f>
        <v>1330802.1529847204</v>
      </c>
      <c r="S71" s="287">
        <f>SUMPRODUCT('Base Costs'!$AT$4:$AT$100,'Cost+Escalation'!AB$4:AB$100)</f>
        <v>1037000</v>
      </c>
      <c r="T71" s="287">
        <f>SUMPRODUCT('Base Costs'!$AT$4:$AT$100,'Cost+Escalation'!AC$4:AC$100)</f>
        <v>680000</v>
      </c>
      <c r="U71" s="287">
        <f>SUMPRODUCT('Base Costs'!$AT$4:$AT$100,'Cost+Escalation'!AD$4:AD$100)</f>
        <v>280000</v>
      </c>
      <c r="V71" s="287">
        <f>SUMPRODUCT('Base Costs'!$AT$4:$AT$100,'Cost+Escalation'!AE$4:AE$100)</f>
        <v>1186150</v>
      </c>
      <c r="W71" s="80">
        <f>SUMPRODUCT('Base Costs'!$AT$4:$AT$100,'Cost+Escalation'!AF$4:AF$100)</f>
        <v>0</v>
      </c>
      <c r="X71" s="81">
        <f>SUMPRODUCT('Base Costs'!$AT$4:$AT$100,'Cost+Escalation'!AG$4:AG$100)</f>
        <v>0</v>
      </c>
      <c r="Y71" s="81">
        <f t="shared" si="17"/>
        <v>4513952.1529847207</v>
      </c>
      <c r="Z71" s="81">
        <f t="shared" si="19"/>
        <v>4513952.1529847207</v>
      </c>
    </row>
    <row r="72" spans="2:26" ht="13.95" x14ac:dyDescent="0.3">
      <c r="B72" s="78" t="str">
        <v>Other4</v>
      </c>
      <c r="C72" s="79">
        <f>SUMPRODUCT('Base Costs'!$AU$4:$AU$100,'Cost+Escalation'!P$4:P$100)</f>
        <v>0</v>
      </c>
      <c r="D72" s="80">
        <f>SUMPRODUCT('Base Costs'!$AU$4:$AU$100,'Cost+Escalation'!Q$4:Q$100)</f>
        <v>62886.969725728377</v>
      </c>
      <c r="E72" s="287">
        <f>SUMPRODUCT('Base Costs'!$AU$4:$AU$100,'Cost+Escalation'!R$4:R$100)</f>
        <v>5203143.8902506307</v>
      </c>
      <c r="F72" s="287">
        <f>SUMPRODUCT('Base Costs'!$AU$4:$AU$100,'Cost+Escalation'!S$4:S$100)</f>
        <v>5118797.5362412473</v>
      </c>
      <c r="G72" s="287">
        <f>SUMPRODUCT('Base Costs'!$AU$4:$AU$100,'Cost+Escalation'!T$4:T$100)</f>
        <v>4671725.8907266296</v>
      </c>
      <c r="H72" s="287">
        <f>SUMPRODUCT('Base Costs'!$AU$4:$AU$100,'Cost+Escalation'!U$4:U$100)</f>
        <v>5226343.9451428344</v>
      </c>
      <c r="I72" s="287">
        <f>SUMPRODUCT('Base Costs'!$AU$4:$AU$100,'Cost+Escalation'!V$4:V$100)</f>
        <v>2852532.2824997259</v>
      </c>
      <c r="J72" s="80">
        <f>SUMPRODUCT('Base Costs'!$AU$4:$AU$100,'Cost+Escalation'!W$4:W$100)</f>
        <v>0</v>
      </c>
      <c r="K72" s="81">
        <f>SUMPRODUCT('Base Costs'!$AU$4:$AU$100,'Cost+Escalation'!X$4:X$100)</f>
        <v>0</v>
      </c>
      <c r="L72" s="81">
        <f t="shared" si="16"/>
        <v>23072543.544861071</v>
      </c>
      <c r="M72" s="81">
        <f t="shared" si="18"/>
        <v>23135430.514586799</v>
      </c>
      <c r="N72" s="72"/>
      <c r="O72" s="78" t="str">
        <v>Other4</v>
      </c>
      <c r="P72" s="79">
        <f>SUMPRODUCT('Base Costs'!$AU$4:$AU$100,'Cost+Escalation'!Y$4:Y$100)</f>
        <v>0</v>
      </c>
      <c r="Q72" s="80">
        <f>SUMPRODUCT('Base Costs'!$AU$4:$AU$100,'Cost+Escalation'!Z$4:Z$100)</f>
        <v>0</v>
      </c>
      <c r="R72" s="287">
        <f>SUMPRODUCT('Base Costs'!$AU$4:$AU$100,'Cost+Escalation'!AA$4:AA$100)</f>
        <v>5266030.8599763596</v>
      </c>
      <c r="S72" s="287">
        <f>SUMPRODUCT('Base Costs'!$AU$4:$AU$100,'Cost+Escalation'!AB$4:AB$100)</f>
        <v>5118797.5362412473</v>
      </c>
      <c r="T72" s="287">
        <f>SUMPRODUCT('Base Costs'!$AU$4:$AU$100,'Cost+Escalation'!AC$4:AC$100)</f>
        <v>4671725.8907266296</v>
      </c>
      <c r="U72" s="287">
        <f>SUMPRODUCT('Base Costs'!$AU$4:$AU$100,'Cost+Escalation'!AD$4:AD$100)</f>
        <v>5226343.9451428344</v>
      </c>
      <c r="V72" s="287">
        <f>SUMPRODUCT('Base Costs'!$AU$4:$AU$100,'Cost+Escalation'!AE$4:AE$100)</f>
        <v>2852532.2824997259</v>
      </c>
      <c r="W72" s="80">
        <f>SUMPRODUCT('Base Costs'!$AU$4:$AU$100,'Cost+Escalation'!AF$4:AF$100)</f>
        <v>0</v>
      </c>
      <c r="X72" s="81">
        <f>SUMPRODUCT('Base Costs'!$AU$4:$AU$100,'Cost+Escalation'!AG$4:AG$100)</f>
        <v>0</v>
      </c>
      <c r="Y72" s="81">
        <f t="shared" si="17"/>
        <v>23135430.514586799</v>
      </c>
      <c r="Z72" s="81">
        <f t="shared" si="19"/>
        <v>23135430.514586799</v>
      </c>
    </row>
    <row r="73" spans="2:26" ht="13.95" x14ac:dyDescent="0.3">
      <c r="B73" s="78" t="str">
        <v>Com45</v>
      </c>
      <c r="C73" s="79">
        <f>SUMPRODUCT('Base Costs'!$AV$4:$AV$100,'Cost+Escalation'!P$4:P$100)</f>
        <v>0</v>
      </c>
      <c r="D73" s="80">
        <f>SUMPRODUCT('Base Costs'!$AV$4:$AV$100,'Cost+Escalation'!Q$4:Q$100)</f>
        <v>0</v>
      </c>
      <c r="E73" s="287">
        <f>SUMPRODUCT('Base Costs'!$AV$4:$AV$100,'Cost+Escalation'!R$4:R$100)</f>
        <v>108914.85746279485</v>
      </c>
      <c r="F73" s="287">
        <f>SUMPRODUCT('Base Costs'!$AV$4:$AV$100,'Cost+Escalation'!S$4:S$100)</f>
        <v>31380.777768840657</v>
      </c>
      <c r="G73" s="287">
        <f>SUMPRODUCT('Base Costs'!$AV$4:$AV$100,'Cost+Escalation'!T$4:T$100)</f>
        <v>168055.51099294791</v>
      </c>
      <c r="H73" s="287">
        <f>SUMPRODUCT('Base Costs'!$AV$4:$AV$100,'Cost+Escalation'!U$4:U$100)</f>
        <v>70051.748937792523</v>
      </c>
      <c r="I73" s="287">
        <f>SUMPRODUCT('Base Costs'!$AV$4:$AV$100,'Cost+Escalation'!V$4:V$100)</f>
        <v>47417.018771956013</v>
      </c>
      <c r="J73" s="80">
        <f>SUMPRODUCT('Base Costs'!$AV$4:$AV$100,'Cost+Escalation'!W$4:W$100)</f>
        <v>0</v>
      </c>
      <c r="K73" s="81">
        <f>SUMPRODUCT('Base Costs'!$AV$4:$AV$100,'Cost+Escalation'!X$4:X$100)</f>
        <v>0</v>
      </c>
      <c r="L73" s="81">
        <f t="shared" si="16"/>
        <v>425819.91393433191</v>
      </c>
      <c r="M73" s="81">
        <f t="shared" si="18"/>
        <v>425819.91393433191</v>
      </c>
      <c r="N73" s="72"/>
      <c r="O73" s="78" t="str">
        <v>Com45</v>
      </c>
      <c r="P73" s="79">
        <f>SUMPRODUCT('Base Costs'!$AV$4:$AV$100,'Cost+Escalation'!Y$4:Y$100)</f>
        <v>0</v>
      </c>
      <c r="Q73" s="80">
        <f>SUMPRODUCT('Base Costs'!$AV$4:$AV$100,'Cost+Escalation'!Z$4:Z$100)</f>
        <v>0</v>
      </c>
      <c r="R73" s="287">
        <f>SUMPRODUCT('Base Costs'!$AV$4:$AV$100,'Cost+Escalation'!AA$4:AA$100)</f>
        <v>108914.85746279485</v>
      </c>
      <c r="S73" s="287">
        <f>SUMPRODUCT('Base Costs'!$AV$4:$AV$100,'Cost+Escalation'!AB$4:AB$100)</f>
        <v>31380.777768840657</v>
      </c>
      <c r="T73" s="287">
        <f>SUMPRODUCT('Base Costs'!$AV$4:$AV$100,'Cost+Escalation'!AC$4:AC$100)</f>
        <v>168055.51099294791</v>
      </c>
      <c r="U73" s="287">
        <f>SUMPRODUCT('Base Costs'!$AV$4:$AV$100,'Cost+Escalation'!AD$4:AD$100)</f>
        <v>70051.748937792523</v>
      </c>
      <c r="V73" s="287">
        <f>SUMPRODUCT('Base Costs'!$AV$4:$AV$100,'Cost+Escalation'!AE$4:AE$100)</f>
        <v>47417.018771956013</v>
      </c>
      <c r="W73" s="80">
        <f>SUMPRODUCT('Base Costs'!$AV$4:$AV$100,'Cost+Escalation'!AF$4:AF$100)</f>
        <v>0</v>
      </c>
      <c r="X73" s="81">
        <f>SUMPRODUCT('Base Costs'!$AV$4:$AV$100,'Cost+Escalation'!AG$4:AG$100)</f>
        <v>0</v>
      </c>
      <c r="Y73" s="81">
        <f t="shared" si="17"/>
        <v>425819.91393433191</v>
      </c>
      <c r="Z73" s="81">
        <f t="shared" si="19"/>
        <v>425819.91393433191</v>
      </c>
    </row>
    <row r="74" spans="2:26" ht="13.95" x14ac:dyDescent="0.3">
      <c r="B74" s="78" t="str">
        <v>Com10</v>
      </c>
      <c r="C74" s="79">
        <f>SUMPRODUCT('Base Costs'!$AW$4:$AW$100,'Cost+Escalation'!P$4:P$100)</f>
        <v>0</v>
      </c>
      <c r="D74" s="80">
        <f>SUMPRODUCT('Base Costs'!$AW$4:$AW$100,'Cost+Escalation'!Q$4:Q$100)</f>
        <v>0</v>
      </c>
      <c r="E74" s="287">
        <f>SUMPRODUCT('Base Costs'!$AW$4:$AW$100,'Cost+Escalation'!R$4:R$100)</f>
        <v>1284054.0898319546</v>
      </c>
      <c r="F74" s="287">
        <f>SUMPRODUCT('Base Costs'!$AW$4:$AW$100,'Cost+Escalation'!S$4:S$100)</f>
        <v>1060260.0380733581</v>
      </c>
      <c r="G74" s="287">
        <f>SUMPRODUCT('Base Costs'!$AW$4:$AW$100,'Cost+Escalation'!T$4:T$100)</f>
        <v>4042776.1988798706</v>
      </c>
      <c r="H74" s="287">
        <f>SUMPRODUCT('Base Costs'!$AW$4:$AW$100,'Cost+Escalation'!U$4:U$100)</f>
        <v>4588191.3822426256</v>
      </c>
      <c r="I74" s="287">
        <f>SUMPRODUCT('Base Costs'!$AW$4:$AW$100,'Cost+Escalation'!V$4:V$100)</f>
        <v>1473137.0424854623</v>
      </c>
      <c r="J74" s="80">
        <f>SUMPRODUCT('Base Costs'!$AW$4:$AW$100,'Cost+Escalation'!W$4:W$100)</f>
        <v>0</v>
      </c>
      <c r="K74" s="81">
        <f>SUMPRODUCT('Base Costs'!$AW$4:$AW$100,'Cost+Escalation'!X$4:X$100)</f>
        <v>0</v>
      </c>
      <c r="L74" s="81">
        <f t="shared" si="16"/>
        <v>12448418.751513271</v>
      </c>
      <c r="M74" s="81">
        <f t="shared" si="18"/>
        <v>12448418.751513271</v>
      </c>
      <c r="N74" s="72"/>
      <c r="O74" s="78" t="str">
        <v>Com10</v>
      </c>
      <c r="P74" s="79">
        <f>SUMPRODUCT('Base Costs'!$AW$4:$AW$100,'Cost+Escalation'!Y$4:Y$100)</f>
        <v>0</v>
      </c>
      <c r="Q74" s="80">
        <f>SUMPRODUCT('Base Costs'!$AW$4:$AW$100,'Cost+Escalation'!Z$4:Z$100)</f>
        <v>0</v>
      </c>
      <c r="R74" s="287">
        <f>SUMPRODUCT('Base Costs'!$AW$4:$AW$100,'Cost+Escalation'!AA$4:AA$100)</f>
        <v>1284054.0898319546</v>
      </c>
      <c r="S74" s="287">
        <f>SUMPRODUCT('Base Costs'!$AW$4:$AW$100,'Cost+Escalation'!AB$4:AB$100)</f>
        <v>1060260.0380733581</v>
      </c>
      <c r="T74" s="287">
        <f>SUMPRODUCT('Base Costs'!$AW$4:$AW$100,'Cost+Escalation'!AC$4:AC$100)</f>
        <v>4042776.1988798706</v>
      </c>
      <c r="U74" s="287">
        <f>SUMPRODUCT('Base Costs'!$AW$4:$AW$100,'Cost+Escalation'!AD$4:AD$100)</f>
        <v>4588191.3822426256</v>
      </c>
      <c r="V74" s="287">
        <f>SUMPRODUCT('Base Costs'!$AW$4:$AW$100,'Cost+Escalation'!AE$4:AE$100)</f>
        <v>1473137.0424854623</v>
      </c>
      <c r="W74" s="80">
        <f>SUMPRODUCT('Base Costs'!$AW$4:$AW$100,'Cost+Escalation'!AF$4:AF$100)</f>
        <v>0</v>
      </c>
      <c r="X74" s="81">
        <f>SUMPRODUCT('Base Costs'!$AW$4:$AW$100,'Cost+Escalation'!AG$4:AG$100)</f>
        <v>0</v>
      </c>
      <c r="Y74" s="81">
        <f t="shared" si="17"/>
        <v>12448418.751513271</v>
      </c>
      <c r="Z74" s="81">
        <f t="shared" si="19"/>
        <v>12448418.751513271</v>
      </c>
    </row>
    <row r="75" spans="2:26" ht="13.95" x14ac:dyDescent="0.3">
      <c r="B75" s="78" t="str">
        <v>Com5</v>
      </c>
      <c r="C75" s="79">
        <f>SUMPRODUCT('Base Costs'!$AX$4:$AX$100,'Cost+Escalation'!P$4:P$100)</f>
        <v>0</v>
      </c>
      <c r="D75" s="80">
        <f>SUMPRODUCT('Base Costs'!$AX$4:$AX$100,'Cost+Escalation'!Q$4:Q$100)</f>
        <v>0</v>
      </c>
      <c r="E75" s="287">
        <f>SUMPRODUCT('Base Costs'!$AX$4:$AX$100,'Cost+Escalation'!R$4:R$100)</f>
        <v>1814283.2834991005</v>
      </c>
      <c r="F75" s="287">
        <f>SUMPRODUCT('Base Costs'!$AX$4:$AX$100,'Cost+Escalation'!S$4:S$100)</f>
        <v>903157.99585298507</v>
      </c>
      <c r="G75" s="287">
        <f>SUMPRODUCT('Base Costs'!$AX$4:$AX$100,'Cost+Escalation'!T$4:T$100)</f>
        <v>680024.57443862245</v>
      </c>
      <c r="H75" s="287">
        <f>SUMPRODUCT('Base Costs'!$AX$4:$AX$100,'Cost+Escalation'!U$4:U$100)</f>
        <v>983852.90742825274</v>
      </c>
      <c r="I75" s="287">
        <f>SUMPRODUCT('Base Costs'!$AX$4:$AX$100,'Cost+Escalation'!V$4:V$100)</f>
        <v>971744.01453220763</v>
      </c>
      <c r="J75" s="80">
        <f>SUMPRODUCT('Base Costs'!$AX$4:$AX$100,'Cost+Escalation'!W$4:W$100)</f>
        <v>0</v>
      </c>
      <c r="K75" s="81">
        <f>SUMPRODUCT('Base Costs'!$AX$4:$AX$100,'Cost+Escalation'!X$4:X$100)</f>
        <v>0</v>
      </c>
      <c r="L75" s="81">
        <f t="shared" si="16"/>
        <v>5353062.7757511679</v>
      </c>
      <c r="M75" s="81">
        <f t="shared" ref="M75:M82" si="20">SUM(C75:K75)</f>
        <v>5353062.7757511679</v>
      </c>
      <c r="N75" s="72"/>
      <c r="O75" s="78" t="str">
        <v>Com5</v>
      </c>
      <c r="P75" s="79">
        <f>SUMPRODUCT('Base Costs'!$AX$4:$AX$100,'Cost+Escalation'!Y$4:Y$100)</f>
        <v>0</v>
      </c>
      <c r="Q75" s="80">
        <f>SUMPRODUCT('Base Costs'!$AX$4:$AX$100,'Cost+Escalation'!Z$4:Z$100)</f>
        <v>0</v>
      </c>
      <c r="R75" s="287">
        <f>SUMPRODUCT('Base Costs'!$AX$4:$AX$100,'Cost+Escalation'!AA$4:AA$100)</f>
        <v>1814283.2834991005</v>
      </c>
      <c r="S75" s="287">
        <f>SUMPRODUCT('Base Costs'!$AX$4:$AX$100,'Cost+Escalation'!AB$4:AB$100)</f>
        <v>903157.99585298507</v>
      </c>
      <c r="T75" s="287">
        <f>SUMPRODUCT('Base Costs'!$AX$4:$AX$100,'Cost+Escalation'!AC$4:AC$100)</f>
        <v>680024.57443862245</v>
      </c>
      <c r="U75" s="287">
        <f>SUMPRODUCT('Base Costs'!$AX$4:$AX$100,'Cost+Escalation'!AD$4:AD$100)</f>
        <v>983852.90742825274</v>
      </c>
      <c r="V75" s="287">
        <f>SUMPRODUCT('Base Costs'!$AX$4:$AX$100,'Cost+Escalation'!AE$4:AE$100)</f>
        <v>971744.01453220763</v>
      </c>
      <c r="W75" s="80">
        <f>SUMPRODUCT('Base Costs'!$AX$4:$AX$100,'Cost+Escalation'!AF$4:AF$100)</f>
        <v>0</v>
      </c>
      <c r="X75" s="81">
        <f>SUMPRODUCT('Base Costs'!$AX$4:$AX$100,'Cost+Escalation'!AG$4:AG$100)</f>
        <v>0</v>
      </c>
      <c r="Y75" s="81">
        <f t="shared" si="17"/>
        <v>5353062.7757511679</v>
      </c>
      <c r="Z75" s="81">
        <f t="shared" ref="Z75:Z82" si="21">SUM(P75:X75)</f>
        <v>5353062.7757511679</v>
      </c>
    </row>
    <row r="76" spans="2:26" ht="13.95" x14ac:dyDescent="0.3">
      <c r="B76" s="78" t="str">
        <v>LB</v>
      </c>
      <c r="C76" s="79">
        <f>SUMPRODUCT('Base Costs'!$AY$4:$AY$100,'Cost+Escalation'!P$4:P$100)</f>
        <v>0</v>
      </c>
      <c r="D76" s="80">
        <f>SUMPRODUCT('Base Costs'!$AY$4:$AY$100,'Cost+Escalation'!Q$4:Q$100)</f>
        <v>513124.809931828</v>
      </c>
      <c r="E76" s="287">
        <f>SUMPRODUCT('Base Costs'!$AY$4:$AY$100,'Cost+Escalation'!R$4:R$100)</f>
        <v>1714440.4770941173</v>
      </c>
      <c r="F76" s="287">
        <f>SUMPRODUCT('Base Costs'!$AY$4:$AY$100,'Cost+Escalation'!S$4:S$100)</f>
        <v>405112.40847467235</v>
      </c>
      <c r="G76" s="287">
        <f>SUMPRODUCT('Base Costs'!$AY$4:$AY$100,'Cost+Escalation'!T$4:T$100)</f>
        <v>472622.29884427926</v>
      </c>
      <c r="H76" s="287">
        <f>SUMPRODUCT('Base Costs'!$AY$4:$AY$100,'Cost+Escalation'!U$4:U$100)</f>
        <v>399721.57067301887</v>
      </c>
      <c r="I76" s="287">
        <f>SUMPRODUCT('Base Costs'!$AY$4:$AY$100,'Cost+Escalation'!V$4:V$100)</f>
        <v>525049.64868604136</v>
      </c>
      <c r="J76" s="80">
        <f>SUMPRODUCT('Base Costs'!$AY$4:$AY$100,'Cost+Escalation'!W$4:W$100)</f>
        <v>238589.41031467571</v>
      </c>
      <c r="K76" s="81">
        <f>SUMPRODUCT('Base Costs'!$AY$4:$AY$100,'Cost+Escalation'!X$4:X$100)</f>
        <v>0</v>
      </c>
      <c r="L76" s="81">
        <f t="shared" si="16"/>
        <v>3516946.4037721287</v>
      </c>
      <c r="M76" s="81">
        <f t="shared" si="20"/>
        <v>4268660.6240186328</v>
      </c>
      <c r="N76" s="72"/>
      <c r="O76" s="78" t="str">
        <v>LB</v>
      </c>
      <c r="P76" s="79">
        <f>SUMPRODUCT('Base Costs'!$AY$4:$AY$100,'Cost+Escalation'!Y$4:Y$100)</f>
        <v>0</v>
      </c>
      <c r="Q76" s="80">
        <f>SUMPRODUCT('Base Costs'!$AY$4:$AY$100,'Cost+Escalation'!Z$4:Z$100)</f>
        <v>513124.809931828</v>
      </c>
      <c r="R76" s="287">
        <f>SUMPRODUCT('Base Costs'!$AY$4:$AY$100,'Cost+Escalation'!AA$4:AA$100)</f>
        <v>1710761.9116326405</v>
      </c>
      <c r="S76" s="287">
        <f>SUMPRODUCT('Base Costs'!$AY$4:$AY$100,'Cost+Escalation'!AB$4:AB$100)</f>
        <v>362732.34777697508</v>
      </c>
      <c r="T76" s="287">
        <f>SUMPRODUCT('Base Costs'!$AY$4:$AY$100,'Cost+Escalation'!AC$4:AC$100)</f>
        <v>518680.92500345339</v>
      </c>
      <c r="U76" s="287">
        <f>SUMPRODUCT('Base Costs'!$AY$4:$AY$100,'Cost+Escalation'!AD$4:AD$100)</f>
        <v>399721.57067301887</v>
      </c>
      <c r="V76" s="287">
        <f>SUMPRODUCT('Base Costs'!$AY$4:$AY$100,'Cost+Escalation'!AE$4:AE$100)</f>
        <v>420307.18404465821</v>
      </c>
      <c r="W76" s="80">
        <f>SUMPRODUCT('Base Costs'!$AY$4:$AY$100,'Cost+Escalation'!AF$4:AF$100)</f>
        <v>0</v>
      </c>
      <c r="X76" s="81">
        <f>SUMPRODUCT('Base Costs'!$AY$4:$AY$100,'Cost+Escalation'!AG$4:AG$100)</f>
        <v>343331.87495605886</v>
      </c>
      <c r="Y76" s="81">
        <f t="shared" si="17"/>
        <v>3412203.9391307458</v>
      </c>
      <c r="Z76" s="81">
        <f t="shared" si="21"/>
        <v>4268660.6240186328</v>
      </c>
    </row>
    <row r="77" spans="2:26" ht="13.95" x14ac:dyDescent="0.3">
      <c r="B77" s="78">
        <v>0</v>
      </c>
      <c r="C77" s="79">
        <f>SUMPRODUCT('Base Costs'!$AZ$4:$AZ$100,'Cost+Escalation'!P$4:P$100)</f>
        <v>0</v>
      </c>
      <c r="D77" s="80">
        <f>SUMPRODUCT('Base Costs'!$AZ$4:$AZ$100,'Cost+Escalation'!Q$4:Q$100)</f>
        <v>0</v>
      </c>
      <c r="E77" s="287">
        <f>SUMPRODUCT('Base Costs'!$AZ$4:$AZ$100,'Cost+Escalation'!R$4:R$100)</f>
        <v>0</v>
      </c>
      <c r="F77" s="287">
        <f>SUMPRODUCT('Base Costs'!$AZ$4:$AZ$100,'Cost+Escalation'!S$4:S$100)</f>
        <v>0</v>
      </c>
      <c r="G77" s="287">
        <f>SUMPRODUCT('Base Costs'!$AZ$4:$AZ$100,'Cost+Escalation'!T$4:T$100)</f>
        <v>0</v>
      </c>
      <c r="H77" s="287">
        <f>SUMPRODUCT('Base Costs'!$AZ$4:$AZ$100,'Cost+Escalation'!U$4:U$100)</f>
        <v>0</v>
      </c>
      <c r="I77" s="287">
        <f>SUMPRODUCT('Base Costs'!$AZ$4:$AZ$100,'Cost+Escalation'!V$4:V$100)</f>
        <v>0</v>
      </c>
      <c r="J77" s="80">
        <f>SUMPRODUCT('Base Costs'!$AZ$4:$AZ$100,'Cost+Escalation'!W$4:W$100)</f>
        <v>0</v>
      </c>
      <c r="K77" s="81">
        <f>SUMPRODUCT('Base Costs'!$AZ$4:$AZ$100,'Cost+Escalation'!X$4:X$100)</f>
        <v>0</v>
      </c>
      <c r="L77" s="81">
        <f t="shared" si="16"/>
        <v>0</v>
      </c>
      <c r="M77" s="81">
        <f t="shared" si="20"/>
        <v>0</v>
      </c>
      <c r="N77" s="72"/>
      <c r="O77" s="78">
        <v>0</v>
      </c>
      <c r="P77" s="79">
        <f>SUMPRODUCT('Base Costs'!$AZ$4:$AZ$100,'Cost+Escalation'!Y$4:Y$100)</f>
        <v>0</v>
      </c>
      <c r="Q77" s="80">
        <f>SUMPRODUCT('Base Costs'!$AZ$4:$AZ$100,'Cost+Escalation'!Z$4:Z$100)</f>
        <v>0</v>
      </c>
      <c r="R77" s="287">
        <f>SUMPRODUCT('Base Costs'!$AZ$4:$AZ$100,'Cost+Escalation'!AA$4:AA$100)</f>
        <v>0</v>
      </c>
      <c r="S77" s="287">
        <f>SUMPRODUCT('Base Costs'!$AZ$4:$AZ$100,'Cost+Escalation'!AB$4:AB$100)</f>
        <v>0</v>
      </c>
      <c r="T77" s="287">
        <f>SUMPRODUCT('Base Costs'!$AZ$4:$AZ$100,'Cost+Escalation'!AC$4:AC$100)</f>
        <v>0</v>
      </c>
      <c r="U77" s="287">
        <f>SUMPRODUCT('Base Costs'!$AZ$4:$AZ$100,'Cost+Escalation'!AD$4:AD$100)</f>
        <v>0</v>
      </c>
      <c r="V77" s="287">
        <f>SUMPRODUCT('Base Costs'!$AZ$4:$AZ$100,'Cost+Escalation'!AE$4:AE$100)</f>
        <v>0</v>
      </c>
      <c r="W77" s="80">
        <f>SUMPRODUCT('Base Costs'!$AZ$4:$AZ$100,'Cost+Escalation'!AF$4:AF$100)</f>
        <v>0</v>
      </c>
      <c r="X77" s="81">
        <f>SUMPRODUCT('Base Costs'!$AZ$4:$AZ$100,'Cost+Escalation'!AG$4:AG$100)</f>
        <v>0</v>
      </c>
      <c r="Y77" s="81">
        <f t="shared" si="17"/>
        <v>0</v>
      </c>
      <c r="Z77" s="81">
        <f t="shared" si="21"/>
        <v>0</v>
      </c>
    </row>
    <row r="78" spans="2:26" ht="13.95" x14ac:dyDescent="0.3">
      <c r="B78" s="78">
        <v>0</v>
      </c>
      <c r="C78" s="79">
        <f>SUMPRODUCT('Base Costs'!$BA$4:$BA$100,'Cost+Escalation'!P$4:P$100)</f>
        <v>0</v>
      </c>
      <c r="D78" s="80">
        <f>SUMPRODUCT('Base Costs'!$BA$4:$BA$100,'Cost+Escalation'!Q$4:Q$100)</f>
        <v>0</v>
      </c>
      <c r="E78" s="287">
        <f>SUMPRODUCT('Base Costs'!$BA$4:$BA$100,'Cost+Escalation'!R$4:R$100)</f>
        <v>0</v>
      </c>
      <c r="F78" s="287">
        <f>SUMPRODUCT('Base Costs'!$BA$4:$BA$100,'Cost+Escalation'!S$4:S$100)</f>
        <v>0</v>
      </c>
      <c r="G78" s="287">
        <f>SUMPRODUCT('Base Costs'!$BA$4:$BA$100,'Cost+Escalation'!T$4:T$100)</f>
        <v>0</v>
      </c>
      <c r="H78" s="287">
        <f>SUMPRODUCT('Base Costs'!$BA$4:$BA$100,'Cost+Escalation'!U$4:U$100)</f>
        <v>0</v>
      </c>
      <c r="I78" s="287">
        <f>SUMPRODUCT('Base Costs'!$BA$4:$BA$100,'Cost+Escalation'!V$4:V$100)</f>
        <v>0</v>
      </c>
      <c r="J78" s="80">
        <f>SUMPRODUCT('Base Costs'!$BA$4:$BA$100,'Cost+Escalation'!W$4:W$100)</f>
        <v>0</v>
      </c>
      <c r="K78" s="81">
        <f>SUMPRODUCT('Base Costs'!$BA$4:$BA$100,'Cost+Escalation'!X$4:X$100)</f>
        <v>0</v>
      </c>
      <c r="L78" s="81">
        <f t="shared" si="16"/>
        <v>0</v>
      </c>
      <c r="M78" s="81">
        <f t="shared" si="20"/>
        <v>0</v>
      </c>
      <c r="N78" s="72"/>
      <c r="O78" s="78">
        <v>0</v>
      </c>
      <c r="P78" s="79">
        <f>SUMPRODUCT('Base Costs'!$BA$4:$BA$100,'Cost+Escalation'!Y$4:Y$100)</f>
        <v>0</v>
      </c>
      <c r="Q78" s="80">
        <f>SUMPRODUCT('Base Costs'!$BA$4:$BA$100,'Cost+Escalation'!Z$4:Z$100)</f>
        <v>0</v>
      </c>
      <c r="R78" s="287">
        <f>SUMPRODUCT('Base Costs'!$BA$4:$BA$100,'Cost+Escalation'!AA$4:AA$100)</f>
        <v>0</v>
      </c>
      <c r="S78" s="287">
        <f>SUMPRODUCT('Base Costs'!$BA$4:$BA$100,'Cost+Escalation'!AB$4:AB$100)</f>
        <v>0</v>
      </c>
      <c r="T78" s="287">
        <f>SUMPRODUCT('Base Costs'!$BA$4:$BA$100,'Cost+Escalation'!AC$4:AC$100)</f>
        <v>0</v>
      </c>
      <c r="U78" s="287">
        <f>SUMPRODUCT('Base Costs'!$BA$4:$BA$100,'Cost+Escalation'!AD$4:AD$100)</f>
        <v>0</v>
      </c>
      <c r="V78" s="287">
        <f>SUMPRODUCT('Base Costs'!$BA$4:$BA$100,'Cost+Escalation'!AE$4:AE$100)</f>
        <v>0</v>
      </c>
      <c r="W78" s="80">
        <f>SUMPRODUCT('Base Costs'!$BA$4:$BA$100,'Cost+Escalation'!AF$4:AF$100)</f>
        <v>0</v>
      </c>
      <c r="X78" s="81">
        <f>SUMPRODUCT('Base Costs'!$BA$4:$BA$100,'Cost+Escalation'!AG$4:AG$100)</f>
        <v>0</v>
      </c>
      <c r="Y78" s="81">
        <f t="shared" si="17"/>
        <v>0</v>
      </c>
      <c r="Z78" s="81">
        <f t="shared" si="21"/>
        <v>0</v>
      </c>
    </row>
    <row r="79" spans="2:26" ht="13.95" x14ac:dyDescent="0.3">
      <c r="B79" s="78">
        <v>0</v>
      </c>
      <c r="C79" s="79">
        <f>SUMPRODUCT('Base Costs'!$BB$4:$BB$100,'Cost+Escalation'!P$4:P$100)</f>
        <v>0</v>
      </c>
      <c r="D79" s="80">
        <f>SUMPRODUCT('Base Costs'!$BB$4:$BB$100,'Cost+Escalation'!Q$4:Q$100)</f>
        <v>0</v>
      </c>
      <c r="E79" s="287">
        <f>SUMPRODUCT('Base Costs'!$BB$4:$BB$100,'Cost+Escalation'!R$4:R$100)</f>
        <v>0</v>
      </c>
      <c r="F79" s="287">
        <f>SUMPRODUCT('Base Costs'!$BB$4:$BB$100,'Cost+Escalation'!S$4:S$100)</f>
        <v>0</v>
      </c>
      <c r="G79" s="287">
        <f>SUMPRODUCT('Base Costs'!$BB$4:$BB$100,'Cost+Escalation'!T$4:T$100)</f>
        <v>0</v>
      </c>
      <c r="H79" s="287">
        <f>SUMPRODUCT('Base Costs'!$BB$4:$BB$100,'Cost+Escalation'!U$4:U$100)</f>
        <v>0</v>
      </c>
      <c r="I79" s="287">
        <f>SUMPRODUCT('Base Costs'!$BB$4:$BB$100,'Cost+Escalation'!V$4:V$100)</f>
        <v>0</v>
      </c>
      <c r="J79" s="80">
        <f>SUMPRODUCT('Base Costs'!$BB$4:$BB$100,'Cost+Escalation'!W$4:W$100)</f>
        <v>0</v>
      </c>
      <c r="K79" s="81">
        <f>SUMPRODUCT('Base Costs'!$BB$4:$BB$100,'Cost+Escalation'!X$4:X$100)</f>
        <v>0</v>
      </c>
      <c r="L79" s="81">
        <f t="shared" si="16"/>
        <v>0</v>
      </c>
      <c r="M79" s="81">
        <f t="shared" si="20"/>
        <v>0</v>
      </c>
      <c r="N79" s="72"/>
      <c r="O79" s="78">
        <v>0</v>
      </c>
      <c r="P79" s="79">
        <f>SUMPRODUCT('Base Costs'!$BB$4:$BB$100,'Cost+Escalation'!Y$4:Y$100)</f>
        <v>0</v>
      </c>
      <c r="Q79" s="80">
        <f>SUMPRODUCT('Base Costs'!$BB$4:$BB$100,'Cost+Escalation'!Z$4:Z$100)</f>
        <v>0</v>
      </c>
      <c r="R79" s="287">
        <f>SUMPRODUCT('Base Costs'!$BB$4:$BB$100,'Cost+Escalation'!AA$4:AA$100)</f>
        <v>0</v>
      </c>
      <c r="S79" s="287">
        <f>SUMPRODUCT('Base Costs'!$BB$4:$BB$100,'Cost+Escalation'!AB$4:AB$100)</f>
        <v>0</v>
      </c>
      <c r="T79" s="287">
        <f>SUMPRODUCT('Base Costs'!$BB$4:$BB$100,'Cost+Escalation'!AC$4:AC$100)</f>
        <v>0</v>
      </c>
      <c r="U79" s="287">
        <f>SUMPRODUCT('Base Costs'!$BB$4:$BB$100,'Cost+Escalation'!AD$4:AD$100)</f>
        <v>0</v>
      </c>
      <c r="V79" s="287">
        <f>SUMPRODUCT('Base Costs'!$BB$4:$BB$100,'Cost+Escalation'!AE$4:AE$100)</f>
        <v>0</v>
      </c>
      <c r="W79" s="80">
        <f>SUMPRODUCT('Base Costs'!$BB$4:$BB$100,'Cost+Escalation'!AF$4:AF$100)</f>
        <v>0</v>
      </c>
      <c r="X79" s="81">
        <f>SUMPRODUCT('Base Costs'!$BB$4:$BB$100,'Cost+Escalation'!AG$4:AG$100)</f>
        <v>0</v>
      </c>
      <c r="Y79" s="81">
        <f t="shared" si="17"/>
        <v>0</v>
      </c>
      <c r="Z79" s="81">
        <f t="shared" si="21"/>
        <v>0</v>
      </c>
    </row>
    <row r="80" spans="2:26" ht="13.95" x14ac:dyDescent="0.3">
      <c r="B80" s="78">
        <v>0</v>
      </c>
      <c r="C80" s="79">
        <f>SUMPRODUCT('Base Costs'!$BC$4:$BC$100,'Cost+Escalation'!P$4:P$100)</f>
        <v>0</v>
      </c>
      <c r="D80" s="80">
        <f>SUMPRODUCT('Base Costs'!$BC$4:$BC$100,'Cost+Escalation'!Q$4:Q$100)</f>
        <v>0</v>
      </c>
      <c r="E80" s="287">
        <f>SUMPRODUCT('Base Costs'!$BC$4:$BC$100,'Cost+Escalation'!R$4:R$100)</f>
        <v>0</v>
      </c>
      <c r="F80" s="287">
        <f>SUMPRODUCT('Base Costs'!$BC$4:$BC$100,'Cost+Escalation'!S$4:S$100)</f>
        <v>0</v>
      </c>
      <c r="G80" s="287">
        <f>SUMPRODUCT('Base Costs'!$BC$4:$BC$100,'Cost+Escalation'!T$4:T$100)</f>
        <v>0</v>
      </c>
      <c r="H80" s="287">
        <f>SUMPRODUCT('Base Costs'!$BC$4:$BC$100,'Cost+Escalation'!U$4:U$100)</f>
        <v>0</v>
      </c>
      <c r="I80" s="287">
        <f>SUMPRODUCT('Base Costs'!$BC$4:$BC$100,'Cost+Escalation'!V$4:V$100)</f>
        <v>0</v>
      </c>
      <c r="J80" s="80">
        <f>SUMPRODUCT('Base Costs'!$BC$4:$BC$100,'Cost+Escalation'!W$4:W$100)</f>
        <v>0</v>
      </c>
      <c r="K80" s="81">
        <f>SUMPRODUCT('Base Costs'!$BC$4:$BC$100,'Cost+Escalation'!X$4:X$100)</f>
        <v>0</v>
      </c>
      <c r="L80" s="81">
        <f t="shared" si="16"/>
        <v>0</v>
      </c>
      <c r="M80" s="81">
        <f t="shared" si="20"/>
        <v>0</v>
      </c>
      <c r="N80" s="72"/>
      <c r="O80" s="78">
        <v>0</v>
      </c>
      <c r="P80" s="79">
        <f>SUMPRODUCT('Base Costs'!$BC$4:$BC$100,'Cost+Escalation'!Y$4:Y$100)</f>
        <v>0</v>
      </c>
      <c r="Q80" s="80">
        <f>SUMPRODUCT('Base Costs'!$BC$4:$BC$100,'Cost+Escalation'!Z$4:Z$100)</f>
        <v>0</v>
      </c>
      <c r="R80" s="287">
        <f>SUMPRODUCT('Base Costs'!$BC$4:$BC$100,'Cost+Escalation'!AA$4:AA$100)</f>
        <v>0</v>
      </c>
      <c r="S80" s="287">
        <f>SUMPRODUCT('Base Costs'!$BC$4:$BC$100,'Cost+Escalation'!AB$4:AB$100)</f>
        <v>0</v>
      </c>
      <c r="T80" s="287">
        <f>SUMPRODUCT('Base Costs'!$BC$4:$BC$100,'Cost+Escalation'!AC$4:AC$100)</f>
        <v>0</v>
      </c>
      <c r="U80" s="287">
        <f>SUMPRODUCT('Base Costs'!$BC$4:$BC$100,'Cost+Escalation'!AD$4:AD$100)</f>
        <v>0</v>
      </c>
      <c r="V80" s="287">
        <f>SUMPRODUCT('Base Costs'!$BC$4:$BC$100,'Cost+Escalation'!AE$4:AE$100)</f>
        <v>0</v>
      </c>
      <c r="W80" s="80">
        <f>SUMPRODUCT('Base Costs'!$BC$4:$BC$100,'Cost+Escalation'!AF$4:AF$100)</f>
        <v>0</v>
      </c>
      <c r="X80" s="81">
        <f>SUMPRODUCT('Base Costs'!$BC$4:$BC$100,'Cost+Escalation'!AG$4:AG$100)</f>
        <v>0</v>
      </c>
      <c r="Y80" s="81">
        <f t="shared" si="17"/>
        <v>0</v>
      </c>
      <c r="Z80" s="81">
        <f t="shared" si="21"/>
        <v>0</v>
      </c>
    </row>
    <row r="81" spans="2:26" ht="13.95" x14ac:dyDescent="0.3">
      <c r="B81" s="78">
        <v>0</v>
      </c>
      <c r="C81" s="79">
        <f>SUMPRODUCT('Base Costs'!$BD$4:$BD$100,'Cost+Escalation'!P$4:P$100)</f>
        <v>0</v>
      </c>
      <c r="D81" s="80">
        <f>SUMPRODUCT('Base Costs'!$BD$4:$BD$100,'Cost+Escalation'!Q$4:Q$100)</f>
        <v>0</v>
      </c>
      <c r="E81" s="287">
        <f>SUMPRODUCT('Base Costs'!$BD$4:$BD$100,'Cost+Escalation'!R$4:R$100)</f>
        <v>0</v>
      </c>
      <c r="F81" s="287">
        <f>SUMPRODUCT('Base Costs'!$BD$4:$BD$100,'Cost+Escalation'!S$4:S$100)</f>
        <v>0</v>
      </c>
      <c r="G81" s="287">
        <f>SUMPRODUCT('Base Costs'!$BD$4:$BD$100,'Cost+Escalation'!T$4:T$100)</f>
        <v>0</v>
      </c>
      <c r="H81" s="287">
        <f>SUMPRODUCT('Base Costs'!$BD$4:$BD$100,'Cost+Escalation'!U$4:U$100)</f>
        <v>0</v>
      </c>
      <c r="I81" s="287">
        <f>SUMPRODUCT('Base Costs'!$BD$4:$BD$100,'Cost+Escalation'!V$4:V$100)</f>
        <v>0</v>
      </c>
      <c r="J81" s="80">
        <f>SUMPRODUCT('Base Costs'!$BD$4:$BD$100,'Cost+Escalation'!W$4:W$100)</f>
        <v>0</v>
      </c>
      <c r="K81" s="81">
        <f>SUMPRODUCT('Base Costs'!$BD$4:$BD$100,'Cost+Escalation'!X$4:X$100)</f>
        <v>0</v>
      </c>
      <c r="L81" s="81">
        <f t="shared" si="16"/>
        <v>0</v>
      </c>
      <c r="M81" s="81">
        <f t="shared" si="20"/>
        <v>0</v>
      </c>
      <c r="N81" s="72"/>
      <c r="O81" s="78">
        <v>0</v>
      </c>
      <c r="P81" s="79">
        <f>SUMPRODUCT('Base Costs'!$BD$4:$BD$100,'Cost+Escalation'!Y$4:Y$100)</f>
        <v>0</v>
      </c>
      <c r="Q81" s="80">
        <f>SUMPRODUCT('Base Costs'!$BD$4:$BD$100,'Cost+Escalation'!Z$4:Z$100)</f>
        <v>0</v>
      </c>
      <c r="R81" s="287">
        <f>SUMPRODUCT('Base Costs'!$BD$4:$BD$100,'Cost+Escalation'!AA$4:AA$100)</f>
        <v>0</v>
      </c>
      <c r="S81" s="287">
        <f>SUMPRODUCT('Base Costs'!$BD$4:$BD$100,'Cost+Escalation'!AB$4:AB$100)</f>
        <v>0</v>
      </c>
      <c r="T81" s="287">
        <f>SUMPRODUCT('Base Costs'!$BD$4:$BD$100,'Cost+Escalation'!AC$4:AC$100)</f>
        <v>0</v>
      </c>
      <c r="U81" s="287">
        <f>SUMPRODUCT('Base Costs'!$BD$4:$BD$100,'Cost+Escalation'!AD$4:AD$100)</f>
        <v>0</v>
      </c>
      <c r="V81" s="287">
        <f>SUMPRODUCT('Base Costs'!$BD$4:$BD$100,'Cost+Escalation'!AE$4:AE$100)</f>
        <v>0</v>
      </c>
      <c r="W81" s="80">
        <f>SUMPRODUCT('Base Costs'!$BD$4:$BD$100,'Cost+Escalation'!AF$4:AF$100)</f>
        <v>0</v>
      </c>
      <c r="X81" s="81">
        <f>SUMPRODUCT('Base Costs'!$BD$4:$BD$100,'Cost+Escalation'!AG$4:AG$100)</f>
        <v>0</v>
      </c>
      <c r="Y81" s="81">
        <f t="shared" si="17"/>
        <v>0</v>
      </c>
      <c r="Z81" s="81">
        <f t="shared" si="21"/>
        <v>0</v>
      </c>
    </row>
    <row r="82" spans="2:26" ht="13.95" x14ac:dyDescent="0.3">
      <c r="B82" s="78">
        <v>0</v>
      </c>
      <c r="C82" s="79">
        <f>SUMPRODUCT('Base Costs'!$BE$4:$BE$100,'Cost+Escalation'!P$4:P$100)</f>
        <v>0</v>
      </c>
      <c r="D82" s="80">
        <f>SUMPRODUCT('Base Costs'!$BE$4:$BE$100,'Cost+Escalation'!Q$4:Q$100)</f>
        <v>0</v>
      </c>
      <c r="E82" s="287">
        <f>SUMPRODUCT('Base Costs'!$BE$4:$BE$100,'Cost+Escalation'!R$4:R$100)</f>
        <v>0</v>
      </c>
      <c r="F82" s="287">
        <f>SUMPRODUCT('Base Costs'!$BE$4:$BE$100,'Cost+Escalation'!S$4:S$100)</f>
        <v>0</v>
      </c>
      <c r="G82" s="287">
        <f>SUMPRODUCT('Base Costs'!$BE$4:$BE$100,'Cost+Escalation'!T$4:T$100)</f>
        <v>0</v>
      </c>
      <c r="H82" s="287">
        <f>SUMPRODUCT('Base Costs'!$BE$4:$BE$100,'Cost+Escalation'!U$4:U$100)</f>
        <v>0</v>
      </c>
      <c r="I82" s="287">
        <f>SUMPRODUCT('Base Costs'!$BE$4:$BE$100,'Cost+Escalation'!V$4:V$100)</f>
        <v>0</v>
      </c>
      <c r="J82" s="80">
        <f>SUMPRODUCT('Base Costs'!$BE$4:$BE$100,'Cost+Escalation'!W$4:W$100)</f>
        <v>0</v>
      </c>
      <c r="K82" s="81">
        <f>SUMPRODUCT('Base Costs'!$BE$4:$BE$100,'Cost+Escalation'!X$4:X$100)</f>
        <v>0</v>
      </c>
      <c r="L82" s="81">
        <f t="shared" si="16"/>
        <v>0</v>
      </c>
      <c r="M82" s="81">
        <f t="shared" si="20"/>
        <v>0</v>
      </c>
      <c r="N82" s="72"/>
      <c r="O82" s="78">
        <v>0</v>
      </c>
      <c r="P82" s="79">
        <f>SUMPRODUCT('Base Costs'!$BE$4:$BE$100,'Cost+Escalation'!Y$4:Y$100)</f>
        <v>0</v>
      </c>
      <c r="Q82" s="80">
        <f>SUMPRODUCT('Base Costs'!$BE$4:$BE$100,'Cost+Escalation'!Z$4:Z$100)</f>
        <v>0</v>
      </c>
      <c r="R82" s="287">
        <f>SUMPRODUCT('Base Costs'!$BE$4:$BE$100,'Cost+Escalation'!AA$4:AA$100)</f>
        <v>0</v>
      </c>
      <c r="S82" s="287">
        <f>SUMPRODUCT('Base Costs'!$BE$4:$BE$100,'Cost+Escalation'!AB$4:AB$100)</f>
        <v>0</v>
      </c>
      <c r="T82" s="287">
        <f>SUMPRODUCT('Base Costs'!$BE$4:$BE$100,'Cost+Escalation'!AC$4:AC$100)</f>
        <v>0</v>
      </c>
      <c r="U82" s="287">
        <f>SUMPRODUCT('Base Costs'!$BE$4:$BE$100,'Cost+Escalation'!AD$4:AD$100)</f>
        <v>0</v>
      </c>
      <c r="V82" s="287">
        <f>SUMPRODUCT('Base Costs'!$BE$4:$BE$100,'Cost+Escalation'!AE$4:AE$100)</f>
        <v>0</v>
      </c>
      <c r="W82" s="80">
        <f>SUMPRODUCT('Base Costs'!$BE$4:$BE$100,'Cost+Escalation'!AF$4:AF$100)</f>
        <v>0</v>
      </c>
      <c r="X82" s="81">
        <f>SUMPRODUCT('Base Costs'!$BE$4:$BE$100,'Cost+Escalation'!AG$4:AG$100)</f>
        <v>0</v>
      </c>
      <c r="Y82" s="81">
        <f t="shared" si="17"/>
        <v>0</v>
      </c>
      <c r="Z82" s="81">
        <f t="shared" si="21"/>
        <v>0</v>
      </c>
    </row>
    <row r="83" spans="2:26" ht="14.4" thickBot="1" x14ac:dyDescent="0.35">
      <c r="B83" s="82">
        <v>0</v>
      </c>
      <c r="C83" s="83">
        <f>SUMPRODUCT('Base Costs'!$BF$4:$BF$100,'Cost+Escalation'!P$4:P$100)</f>
        <v>0</v>
      </c>
      <c r="D83" s="84">
        <f>SUMPRODUCT('Base Costs'!$BF$4:$BF$100,'Cost+Escalation'!Q$4:Q$100)</f>
        <v>0</v>
      </c>
      <c r="E83" s="288">
        <f>SUMPRODUCT('Base Costs'!$BF$4:$BF$100,'Cost+Escalation'!R$4:R$100)</f>
        <v>0</v>
      </c>
      <c r="F83" s="288">
        <f>SUMPRODUCT('Base Costs'!$BF$4:$BF$100,'Cost+Escalation'!S$4:S$100)</f>
        <v>0</v>
      </c>
      <c r="G83" s="288">
        <f>SUMPRODUCT('Base Costs'!$BF$4:$BF$100,'Cost+Escalation'!T$4:T$100)</f>
        <v>0</v>
      </c>
      <c r="H83" s="288">
        <f>SUMPRODUCT('Base Costs'!$BF$4:$BF$100,'Cost+Escalation'!U$4:U$100)</f>
        <v>0</v>
      </c>
      <c r="I83" s="288">
        <f>SUMPRODUCT('Base Costs'!$BF$4:$BF$100,'Cost+Escalation'!V$4:V$100)</f>
        <v>0</v>
      </c>
      <c r="J83" s="84">
        <f>SUMPRODUCT('Base Costs'!$BF$4:$BF$100,'Cost+Escalation'!W$4:W$100)</f>
        <v>0</v>
      </c>
      <c r="K83" s="85">
        <f>SUMPRODUCT('Base Costs'!$BF$4:$BF$100,'Cost+Escalation'!X$4:X$100)</f>
        <v>0</v>
      </c>
      <c r="L83" s="85">
        <f t="shared" si="16"/>
        <v>0</v>
      </c>
      <c r="M83" s="85">
        <f t="shared" si="18"/>
        <v>0</v>
      </c>
      <c r="N83" s="72"/>
      <c r="O83" s="82">
        <v>0</v>
      </c>
      <c r="P83" s="83">
        <f>SUMPRODUCT('Base Costs'!$BF$4:$BF$100,'Cost+Escalation'!Y$4:Y$100)</f>
        <v>0</v>
      </c>
      <c r="Q83" s="84">
        <f>SUMPRODUCT('Base Costs'!$BF$4:$BF$100,'Cost+Escalation'!Z$4:Z$100)</f>
        <v>0</v>
      </c>
      <c r="R83" s="288">
        <f>SUMPRODUCT('Base Costs'!$BF$4:$BF$100,'Cost+Escalation'!AA$4:AA$100)</f>
        <v>0</v>
      </c>
      <c r="S83" s="288">
        <f>SUMPRODUCT('Base Costs'!$BF$4:$BF$100,'Cost+Escalation'!AB$4:AB$100)</f>
        <v>0</v>
      </c>
      <c r="T83" s="288">
        <f>SUMPRODUCT('Base Costs'!$BF$4:$BF$100,'Cost+Escalation'!AC$4:AC$100)</f>
        <v>0</v>
      </c>
      <c r="U83" s="288">
        <f>SUMPRODUCT('Base Costs'!$BF$4:$BF$100,'Cost+Escalation'!AD$4:AD$100)</f>
        <v>0</v>
      </c>
      <c r="V83" s="288">
        <f>SUMPRODUCT('Base Costs'!$BF$4:$BF$100,'Cost+Escalation'!AE$4:AE$100)</f>
        <v>0</v>
      </c>
      <c r="W83" s="84">
        <f>SUMPRODUCT('Base Costs'!$BF$4:$BF$100,'Cost+Escalation'!AF$4:AF$100)</f>
        <v>0</v>
      </c>
      <c r="X83" s="85">
        <f>SUMPRODUCT('Base Costs'!$BF$4:$BF$100,'Cost+Escalation'!AG$4:AG$100)</f>
        <v>0</v>
      </c>
      <c r="Y83" s="85">
        <f t="shared" si="17"/>
        <v>0</v>
      </c>
      <c r="Z83" s="85">
        <f t="shared" si="19"/>
        <v>0</v>
      </c>
    </row>
    <row r="84" spans="2:26" ht="13.95" x14ac:dyDescent="0.3">
      <c r="B84" s="72" t="s">
        <v>12</v>
      </c>
      <c r="C84" s="86">
        <f>SUM(C60:C83)</f>
        <v>0</v>
      </c>
      <c r="D84" s="86">
        <f t="shared" ref="D84:K84" si="22">SUM(D60:D83)</f>
        <v>6325802.7435851805</v>
      </c>
      <c r="E84" s="289">
        <f t="shared" si="22"/>
        <v>48601932.128299564</v>
      </c>
      <c r="F84" s="289">
        <f t="shared" si="22"/>
        <v>62980888.101214297</v>
      </c>
      <c r="G84" s="289">
        <f t="shared" si="22"/>
        <v>57048308.703424744</v>
      </c>
      <c r="H84" s="289">
        <f t="shared" si="22"/>
        <v>51157983.831417724</v>
      </c>
      <c r="I84" s="289">
        <f t="shared" si="22"/>
        <v>43137287.304952808</v>
      </c>
      <c r="J84" s="86">
        <f t="shared" si="22"/>
        <v>6232850.2223366583</v>
      </c>
      <c r="K84" s="86">
        <f t="shared" si="22"/>
        <v>0</v>
      </c>
      <c r="L84" s="86">
        <f t="shared" si="16"/>
        <v>262926400.06930912</v>
      </c>
      <c r="M84" s="86">
        <f>SUM(C84:K84)</f>
        <v>275485053.03523099</v>
      </c>
      <c r="N84" s="72"/>
      <c r="O84" s="72" t="s">
        <v>12</v>
      </c>
      <c r="P84" s="86">
        <f>SUM(P60:P83)</f>
        <v>0</v>
      </c>
      <c r="Q84" s="86">
        <f t="shared" ref="Q84:X84" si="23">SUM(Q60:Q83)</f>
        <v>514687.91799215443</v>
      </c>
      <c r="R84" s="289">
        <f t="shared" si="23"/>
        <v>49868335.379221946</v>
      </c>
      <c r="S84" s="289">
        <f t="shared" si="23"/>
        <v>42659483.405588686</v>
      </c>
      <c r="T84" s="289">
        <f t="shared" si="23"/>
        <v>77275218.050522983</v>
      </c>
      <c r="U84" s="289">
        <f t="shared" si="23"/>
        <v>39574346.622749142</v>
      </c>
      <c r="V84" s="289">
        <f t="shared" si="23"/>
        <v>56653083.951588467</v>
      </c>
      <c r="W84" s="86">
        <f t="shared" si="23"/>
        <v>66555.917477526338</v>
      </c>
      <c r="X84" s="86">
        <f t="shared" si="23"/>
        <v>8873341.7900900487</v>
      </c>
      <c r="Y84" s="86">
        <f t="shared" si="17"/>
        <v>266030467.40967125</v>
      </c>
      <c r="Z84" s="86">
        <f>SUM(P84:X84)</f>
        <v>275485053.03523093</v>
      </c>
    </row>
    <row r="85" spans="2:26" ht="13.95" x14ac:dyDescent="0.3">
      <c r="B85" s="72"/>
      <c r="C85" s="72"/>
      <c r="D85" s="72"/>
      <c r="E85" s="2"/>
      <c r="F85" s="2"/>
      <c r="G85" s="2"/>
      <c r="H85" s="2"/>
      <c r="I85" s="2"/>
      <c r="J85" s="72"/>
      <c r="K85" s="72"/>
      <c r="L85" s="72"/>
      <c r="M85" s="72"/>
      <c r="N85" s="72"/>
      <c r="O85" s="72"/>
      <c r="P85" s="72"/>
      <c r="Q85" s="72"/>
      <c r="R85" s="2"/>
      <c r="S85" s="2"/>
      <c r="T85" s="2"/>
      <c r="U85" s="2"/>
      <c r="V85" s="2"/>
      <c r="W85" s="72"/>
      <c r="X85" s="72"/>
      <c r="Y85" s="72"/>
      <c r="Z85" s="72"/>
    </row>
    <row r="86" spans="2:26" ht="14.4" thickBot="1" x14ac:dyDescent="0.35">
      <c r="B86" s="71" t="str">
        <f>"Spend - Escalated Costs - ($m June "&amp; Parameters!AA39&amp;")"</f>
        <v>Spend - Escalated Costs - ($m June 2014)</v>
      </c>
      <c r="C86" s="72"/>
      <c r="D86" s="72"/>
      <c r="E86" s="2"/>
      <c r="F86" s="2"/>
      <c r="G86" s="2"/>
      <c r="H86" s="2"/>
      <c r="I86" s="2"/>
      <c r="J86" s="72"/>
      <c r="K86" s="72"/>
      <c r="L86" s="72"/>
      <c r="M86" s="72"/>
      <c r="N86" s="72"/>
      <c r="O86" s="71" t="str">
        <f>"Commission - Escalated Costs - ($m June "&amp; Parameters!AA39&amp;")"</f>
        <v>Commission - Escalated Costs - ($m June 2014)</v>
      </c>
      <c r="P86" s="72"/>
      <c r="Q86" s="72"/>
      <c r="R86" s="2"/>
      <c r="S86" s="2"/>
      <c r="T86" s="2"/>
      <c r="U86" s="2"/>
      <c r="V86" s="2"/>
      <c r="W86" s="72"/>
      <c r="X86" s="72"/>
      <c r="Y86" s="72"/>
      <c r="Z86" s="72"/>
    </row>
    <row r="87" spans="2:26" ht="42.6" thickBot="1" x14ac:dyDescent="0.35">
      <c r="B87" s="72"/>
      <c r="C87" s="179" t="str">
        <f t="array" ref="C87:K87">'Base Costs'!P3:X3</f>
        <v>2012/13</v>
      </c>
      <c r="D87" s="180" t="str">
        <v>2013/14</v>
      </c>
      <c r="E87" s="285" t="str">
        <v>2014/15</v>
      </c>
      <c r="F87" s="285" t="str">
        <v>2015/16</v>
      </c>
      <c r="G87" s="285" t="str">
        <v>2016/17</v>
      </c>
      <c r="H87" s="285" t="str">
        <v>2017/18</v>
      </c>
      <c r="I87" s="285" t="str">
        <v>2018/19</v>
      </c>
      <c r="J87" s="180" t="str">
        <v>2019/20</v>
      </c>
      <c r="K87" s="181" t="str">
        <v>2020/21</v>
      </c>
      <c r="L87" s="296" t="str">
        <f>$L$3</f>
        <v>2014-19
Total</v>
      </c>
      <c r="M87" s="73" t="s">
        <v>12</v>
      </c>
      <c r="N87" s="72"/>
      <c r="O87" s="72"/>
      <c r="P87" s="179" t="str">
        <f t="array" ref="P87:X87">'Base Costs'!P3:X3</f>
        <v>2012/13</v>
      </c>
      <c r="Q87" s="180" t="str">
        <v>2013/14</v>
      </c>
      <c r="R87" s="285" t="str">
        <v>2014/15</v>
      </c>
      <c r="S87" s="285" t="str">
        <v>2015/16</v>
      </c>
      <c r="T87" s="285" t="str">
        <v>2016/17</v>
      </c>
      <c r="U87" s="285" t="str">
        <v>2017/18</v>
      </c>
      <c r="V87" s="285" t="str">
        <v>2018/19</v>
      </c>
      <c r="W87" s="180" t="str">
        <v>2019/20</v>
      </c>
      <c r="X87" s="181" t="str">
        <v>2020/21</v>
      </c>
      <c r="Y87" s="296" t="str">
        <f>$L$3</f>
        <v>2014-19
Total</v>
      </c>
      <c r="Z87" s="73" t="s">
        <v>12</v>
      </c>
    </row>
    <row r="88" spans="2:26" x14ac:dyDescent="0.3">
      <c r="B88" s="74" t="str">
        <f t="array" ref="B88:B111">$B$4:$B$27</f>
        <v>TL60</v>
      </c>
      <c r="C88" s="75">
        <f>SUMPRODUCT('Base Costs'!$AI$4:$AI$100,'Cost+CPI'!P$4:P$100)</f>
        <v>0</v>
      </c>
      <c r="D88" s="76">
        <f>SUMPRODUCT('Base Costs'!$AI$4:$AI$100,'Cost+CPI'!Q$4:Q$100)</f>
        <v>738.21826038313793</v>
      </c>
      <c r="E88" s="286">
        <f>SUMPRODUCT('Base Costs'!$AI$4:$AI$100,'Cost+CPI'!R$4:R$100)</f>
        <v>4418172.2429557955</v>
      </c>
      <c r="F88" s="286">
        <f>SUMPRODUCT('Base Costs'!$AI$4:$AI$100,'Cost+CPI'!S$4:S$100)</f>
        <v>7680862.5125399577</v>
      </c>
      <c r="G88" s="286">
        <f>SUMPRODUCT('Base Costs'!$AI$4:$AI$100,'Cost+CPI'!T$4:T$100)</f>
        <v>7762720.907036907</v>
      </c>
      <c r="H88" s="286">
        <f>SUMPRODUCT('Base Costs'!$AI$4:$AI$100,'Cost+CPI'!U$4:U$100)</f>
        <v>8865635.2596802507</v>
      </c>
      <c r="I88" s="286">
        <f>SUMPRODUCT('Base Costs'!$AI$4:$AI$100,'Cost+CPI'!V$4:V$100)</f>
        <v>10314928.964887982</v>
      </c>
      <c r="J88" s="76">
        <f>SUMPRODUCT('Base Costs'!$AI$4:$AI$100,'Cost+CPI'!W$4:W$100)</f>
        <v>2748104.1621293817</v>
      </c>
      <c r="K88" s="77">
        <f>SUMPRODUCT('Base Costs'!$AI$4:$AI$100,'Cost+CPI'!X$4:X$100)</f>
        <v>0</v>
      </c>
      <c r="L88" s="77">
        <f t="shared" ref="L88:L112" si="24">SUM(E88:I88)</f>
        <v>39042319.887100898</v>
      </c>
      <c r="M88" s="77">
        <f>SUM(C88:K88)</f>
        <v>41791162.267490655</v>
      </c>
      <c r="N88" s="72"/>
      <c r="O88" s="74" t="str">
        <f t="array" ref="O88:O111">$B$4:$B$27</f>
        <v>TL60</v>
      </c>
      <c r="P88" s="75">
        <f>SUMPRODUCT('Base Costs'!$AI$4:$AI$100,'Cost+CPI'!Y$4:Y$100)</f>
        <v>0</v>
      </c>
      <c r="Q88" s="76">
        <f>SUMPRODUCT('Base Costs'!$AI$4:$AI$100,'Cost+CPI'!Z$4:Z$100)</f>
        <v>738.21826038313793</v>
      </c>
      <c r="R88" s="286">
        <f>SUMPRODUCT('Base Costs'!$AI$4:$AI$100,'Cost+CPI'!AA$4:AA$100)</f>
        <v>3968407.7599783787</v>
      </c>
      <c r="S88" s="286">
        <f>SUMPRODUCT('Base Costs'!$AI$4:$AI$100,'Cost+CPI'!AB$4:AB$100)</f>
        <v>6190844.467793569</v>
      </c>
      <c r="T88" s="286">
        <f>SUMPRODUCT('Base Costs'!$AI$4:$AI$100,'Cost+CPI'!AC$4:AC$100)</f>
        <v>9475534.4334188346</v>
      </c>
      <c r="U88" s="286">
        <f>SUMPRODUCT('Base Costs'!$AI$4:$AI$100,'Cost+CPI'!AD$4:AD$100)</f>
        <v>5563797.2427981123</v>
      </c>
      <c r="V88" s="286">
        <f>SUMPRODUCT('Base Costs'!$AI$4:$AI$100,'Cost+CPI'!AE$4:AE$100)</f>
        <v>12637298.519466657</v>
      </c>
      <c r="W88" s="76">
        <f>SUMPRODUCT('Base Costs'!$AI$4:$AI$100,'Cost+CPI'!AF$4:AF$100)</f>
        <v>0</v>
      </c>
      <c r="X88" s="77">
        <f>SUMPRODUCT('Base Costs'!$AI$4:$AI$100,'Cost+CPI'!AG$4:AG$100)</f>
        <v>3954541.6257747211</v>
      </c>
      <c r="Y88" s="77">
        <f t="shared" ref="Y88:Y112" si="25">SUM(R88:V88)</f>
        <v>37835882.423455551</v>
      </c>
      <c r="Z88" s="77">
        <f>SUM(P88:X88)</f>
        <v>41791162.267490648</v>
      </c>
    </row>
    <row r="89" spans="2:26" x14ac:dyDescent="0.3">
      <c r="B89" s="78" t="str">
        <v>TL45</v>
      </c>
      <c r="C89" s="79">
        <f>SUMPRODUCT('Base Costs'!$AJ$4:$AJ$100,'Cost+CPI'!P$4:P$100)</f>
        <v>0</v>
      </c>
      <c r="D89" s="80">
        <f>SUMPRODUCT('Base Costs'!$AJ$4:$AJ$100,'Cost+CPI'!Q$4:Q$100)</f>
        <v>803.83766130608353</v>
      </c>
      <c r="E89" s="287">
        <f>SUMPRODUCT('Base Costs'!$AJ$4:$AJ$100,'Cost+CPI'!R$4:R$100)</f>
        <v>2820342.8904244858</v>
      </c>
      <c r="F89" s="287">
        <f>SUMPRODUCT('Base Costs'!$AJ$4:$AJ$100,'Cost+CPI'!S$4:S$100)</f>
        <v>4756783.6116447998</v>
      </c>
      <c r="G89" s="287">
        <f>SUMPRODUCT('Base Costs'!$AJ$4:$AJ$100,'Cost+CPI'!T$4:T$100)</f>
        <v>4079956.4670202825</v>
      </c>
      <c r="H89" s="287">
        <f>SUMPRODUCT('Base Costs'!$AJ$4:$AJ$100,'Cost+CPI'!U$4:U$100)</f>
        <v>5744763.5056617316</v>
      </c>
      <c r="I89" s="287">
        <f>SUMPRODUCT('Base Costs'!$AJ$4:$AJ$100,'Cost+CPI'!V$4:V$100)</f>
        <v>6898302.7625625888</v>
      </c>
      <c r="J89" s="80">
        <f>SUMPRODUCT('Base Costs'!$AJ$4:$AJ$100,'Cost+CPI'!W$4:W$100)</f>
        <v>2992379.6688790256</v>
      </c>
      <c r="K89" s="81">
        <f>SUMPRODUCT('Base Costs'!$AJ$4:$AJ$100,'Cost+CPI'!X$4:X$100)</f>
        <v>0</v>
      </c>
      <c r="L89" s="81">
        <f t="shared" si="24"/>
        <v>24300149.237313889</v>
      </c>
      <c r="M89" s="81">
        <f t="shared" ref="M89:M102" si="26">SUM(C89:K89)</f>
        <v>27293332.743854217</v>
      </c>
      <c r="N89" s="72"/>
      <c r="O89" s="78" t="str">
        <v>TL45</v>
      </c>
      <c r="P89" s="79">
        <f>SUMPRODUCT('Base Costs'!$AJ$4:$AJ$100,'Cost+CPI'!Y$4:Y$100)</f>
        <v>0</v>
      </c>
      <c r="Q89" s="80">
        <f>SUMPRODUCT('Base Costs'!$AJ$4:$AJ$100,'Cost+CPI'!Z$4:Z$100)</f>
        <v>803.83766130608353</v>
      </c>
      <c r="R89" s="287">
        <f>SUMPRODUCT('Base Costs'!$AJ$4:$AJ$100,'Cost+CPI'!AA$4:AA$100)</f>
        <v>2783734.1523919385</v>
      </c>
      <c r="S89" s="287">
        <f>SUMPRODUCT('Base Costs'!$AJ$4:$AJ$100,'Cost+CPI'!AB$4:AB$100)</f>
        <v>4635503.0610680059</v>
      </c>
      <c r="T89" s="287">
        <f>SUMPRODUCT('Base Costs'!$AJ$4:$AJ$100,'Cost+CPI'!AC$4:AC$100)</f>
        <v>4110779.7325781682</v>
      </c>
      <c r="U89" s="287">
        <f>SUMPRODUCT('Base Costs'!$AJ$4:$AJ$100,'Cost+CPI'!AD$4:AD$100)</f>
        <v>3896266.9132421985</v>
      </c>
      <c r="V89" s="287">
        <f>SUMPRODUCT('Base Costs'!$AJ$4:$AJ$100,'Cost+CPI'!AE$4:AE$100)</f>
        <v>7560189.2125752177</v>
      </c>
      <c r="W89" s="80">
        <f>SUMPRODUCT('Base Costs'!$AJ$4:$AJ$100,'Cost+CPI'!AF$4:AF$100)</f>
        <v>0</v>
      </c>
      <c r="X89" s="81">
        <f>SUMPRODUCT('Base Costs'!$AJ$4:$AJ$100,'Cost+CPI'!AG$4:AG$100)</f>
        <v>4306055.8343373882</v>
      </c>
      <c r="Y89" s="81">
        <f t="shared" si="25"/>
        <v>22986473.07185553</v>
      </c>
      <c r="Z89" s="81">
        <f t="shared" ref="Z89:Z102" si="27">SUM(P89:X89)</f>
        <v>27293332.743854221</v>
      </c>
    </row>
    <row r="90" spans="2:26" x14ac:dyDescent="0.3">
      <c r="B90" s="78" t="str">
        <v>TL10</v>
      </c>
      <c r="C90" s="79">
        <f>SUMPRODUCT('Base Costs'!$AK$4:$AK$100,'Cost+CPI'!P$4:P$100)</f>
        <v>0</v>
      </c>
      <c r="D90" s="80">
        <f>SUMPRODUCT('Base Costs'!$AK$4:$AK$100,'Cost+CPI'!Q$4:Q$100)</f>
        <v>98.429101384418388</v>
      </c>
      <c r="E90" s="287">
        <f>SUMPRODUCT('Base Costs'!$AK$4:$AK$100,'Cost+CPI'!R$4:R$100)</f>
        <v>546953.32592991658</v>
      </c>
      <c r="F90" s="287">
        <f>SUMPRODUCT('Base Costs'!$AK$4:$AK$100,'Cost+CPI'!S$4:S$100)</f>
        <v>1055863.4230061313</v>
      </c>
      <c r="G90" s="287">
        <f>SUMPRODUCT('Base Costs'!$AK$4:$AK$100,'Cost+CPI'!T$4:T$100)</f>
        <v>1030281.2919902562</v>
      </c>
      <c r="H90" s="287">
        <f>SUMPRODUCT('Base Costs'!$AK$4:$AK$100,'Cost+CPI'!U$4:U$100)</f>
        <v>1204094.9451461069</v>
      </c>
      <c r="I90" s="287">
        <f>SUMPRODUCT('Base Costs'!$AK$4:$AK$100,'Cost+CPI'!V$4:V$100)</f>
        <v>1377927.1383606235</v>
      </c>
      <c r="J90" s="80">
        <f>SUMPRODUCT('Base Costs'!$AK$4:$AK$100,'Cost+CPI'!W$4:W$100)</f>
        <v>366414.0453237805</v>
      </c>
      <c r="K90" s="81">
        <f>SUMPRODUCT('Base Costs'!$AK$4:$AK$100,'Cost+CPI'!X$4:X$100)</f>
        <v>0</v>
      </c>
      <c r="L90" s="81">
        <f t="shared" si="24"/>
        <v>5215120.1244330341</v>
      </c>
      <c r="M90" s="81">
        <f t="shared" si="26"/>
        <v>5581632.5988581991</v>
      </c>
      <c r="N90" s="72"/>
      <c r="O90" s="78" t="str">
        <v>TL10</v>
      </c>
      <c r="P90" s="79">
        <f>SUMPRODUCT('Base Costs'!$AK$4:$AK$100,'Cost+CPI'!Y$4:Y$100)</f>
        <v>0</v>
      </c>
      <c r="Q90" s="80">
        <f>SUMPRODUCT('Base Costs'!$AK$4:$AK$100,'Cost+CPI'!Z$4:Z$100)</f>
        <v>98.429101384418388</v>
      </c>
      <c r="R90" s="287">
        <f>SUMPRODUCT('Base Costs'!$AK$4:$AK$100,'Cost+CPI'!AA$4:AA$100)</f>
        <v>510344.58789736917</v>
      </c>
      <c r="S90" s="287">
        <f>SUMPRODUCT('Base Costs'!$AK$4:$AK$100,'Cost+CPI'!AB$4:AB$100)</f>
        <v>934582.87242933665</v>
      </c>
      <c r="T90" s="287">
        <f>SUMPRODUCT('Base Costs'!$AK$4:$AK$100,'Cost+CPI'!AC$4:AC$100)</f>
        <v>1164098.2797060551</v>
      </c>
      <c r="U90" s="287">
        <f>SUMPRODUCT('Base Costs'!$AK$4:$AK$100,'Cost+CPI'!AD$4:AD$100)</f>
        <v>853902.46170471027</v>
      </c>
      <c r="V90" s="287">
        <f>SUMPRODUCT('Base Costs'!$AK$4:$AK$100,'Cost+CPI'!AE$4:AE$100)</f>
        <v>1591333.5252678902</v>
      </c>
      <c r="W90" s="80">
        <f>SUMPRODUCT('Base Costs'!$AK$4:$AK$100,'Cost+CPI'!AF$4:AF$100)</f>
        <v>0</v>
      </c>
      <c r="X90" s="81">
        <f>SUMPRODUCT('Base Costs'!$AK$4:$AK$100,'Cost+CPI'!AG$4:AG$100)</f>
        <v>527272.44275145337</v>
      </c>
      <c r="Y90" s="81">
        <f t="shared" si="25"/>
        <v>5054261.7270053606</v>
      </c>
      <c r="Z90" s="81">
        <f t="shared" si="27"/>
        <v>5581632.5988581991</v>
      </c>
    </row>
    <row r="91" spans="2:26" x14ac:dyDescent="0.3">
      <c r="B91" s="78" t="str">
        <v>SS60</v>
      </c>
      <c r="C91" s="79">
        <f>SUMPRODUCT('Base Costs'!$AL$4:$AL$100,'Cost+CPI'!P$4:P$100)</f>
        <v>0</v>
      </c>
      <c r="D91" s="80">
        <f>SUMPRODUCT('Base Costs'!$AL$4:$AL$100,'Cost+CPI'!Q$4:Q$100)</f>
        <v>1661491.8826596832</v>
      </c>
      <c r="E91" s="287">
        <f>SUMPRODUCT('Base Costs'!$AL$4:$AL$100,'Cost+CPI'!R$4:R$100)</f>
        <v>7572836.18373363</v>
      </c>
      <c r="F91" s="287">
        <f>SUMPRODUCT('Base Costs'!$AL$4:$AL$100,'Cost+CPI'!S$4:S$100)</f>
        <v>7142145.2836055569</v>
      </c>
      <c r="G91" s="287">
        <f>SUMPRODUCT('Base Costs'!$AL$4:$AL$100,'Cost+CPI'!T$4:T$100)</f>
        <v>6391393.3094063969</v>
      </c>
      <c r="H91" s="287">
        <f>SUMPRODUCT('Base Costs'!$AL$4:$AL$100,'Cost+CPI'!U$4:U$100)</f>
        <v>4238942.3809959739</v>
      </c>
      <c r="I91" s="287">
        <f>SUMPRODUCT('Base Costs'!$AL$4:$AL$100,'Cost+CPI'!V$4:V$100)</f>
        <v>2378414.9149989188</v>
      </c>
      <c r="J91" s="80">
        <f>SUMPRODUCT('Base Costs'!$AL$4:$AL$100,'Cost+CPI'!W$4:W$100)</f>
        <v>31987.449675239459</v>
      </c>
      <c r="K91" s="81">
        <f>SUMPRODUCT('Base Costs'!$AL$4:$AL$100,'Cost+CPI'!X$4:X$100)</f>
        <v>0</v>
      </c>
      <c r="L91" s="81">
        <f t="shared" si="24"/>
        <v>27723732.072740477</v>
      </c>
      <c r="M91" s="81">
        <f t="shared" si="26"/>
        <v>29417211.405075401</v>
      </c>
      <c r="N91" s="72"/>
      <c r="O91" s="78" t="str">
        <v>SS60</v>
      </c>
      <c r="P91" s="79">
        <f>SUMPRODUCT('Base Costs'!$AL$4:$AL$100,'Cost+CPI'!Y$4:Y$100)</f>
        <v>0</v>
      </c>
      <c r="Q91" s="80">
        <f>SUMPRODUCT('Base Costs'!$AL$4:$AL$100,'Cost+CPI'!Z$4:Z$100)</f>
        <v>0</v>
      </c>
      <c r="R91" s="287">
        <f>SUMPRODUCT('Base Costs'!$AL$4:$AL$100,'Cost+CPI'!AA$4:AA$100)</f>
        <v>8387802.1071853442</v>
      </c>
      <c r="S91" s="287">
        <f>SUMPRODUCT('Base Costs'!$AL$4:$AL$100,'Cost+CPI'!AB$4:AB$100)</f>
        <v>3398941.7293136688</v>
      </c>
      <c r="T91" s="287">
        <f>SUMPRODUCT('Base Costs'!$AL$4:$AL$100,'Cost+CPI'!AC$4:AC$100)</f>
        <v>10316454.163660612</v>
      </c>
      <c r="U91" s="287">
        <f>SUMPRODUCT('Base Costs'!$AL$4:$AL$100,'Cost+CPI'!AD$4:AD$100)</f>
        <v>2628965.7153617153</v>
      </c>
      <c r="V91" s="287">
        <f>SUMPRODUCT('Base Costs'!$AL$4:$AL$100,'Cost+CPI'!AE$4:AE$100)</f>
        <v>4639017.5197423398</v>
      </c>
      <c r="W91" s="80">
        <f>SUMPRODUCT('Base Costs'!$AL$4:$AL$100,'Cost+CPI'!AF$4:AF$100)</f>
        <v>0</v>
      </c>
      <c r="X91" s="81">
        <f>SUMPRODUCT('Base Costs'!$AL$4:$AL$100,'Cost+CPI'!AG$4:AG$100)</f>
        <v>46030.169811719483</v>
      </c>
      <c r="Y91" s="81">
        <f t="shared" si="25"/>
        <v>29371181.235263679</v>
      </c>
      <c r="Z91" s="81">
        <f t="shared" si="27"/>
        <v>29417211.405075397</v>
      </c>
    </row>
    <row r="92" spans="2:26" x14ac:dyDescent="0.3">
      <c r="B92" s="78" t="str">
        <v>SS45</v>
      </c>
      <c r="C92" s="79">
        <f>SUMPRODUCT('Base Costs'!$AM$4:$AM$100,'Cost+CPI'!P$4:P$100)</f>
        <v>0</v>
      </c>
      <c r="D92" s="80">
        <f>SUMPRODUCT('Base Costs'!$AM$4:$AM$100,'Cost+CPI'!Q$4:Q$100)</f>
        <v>2670131.8129540253</v>
      </c>
      <c r="E92" s="287">
        <f>SUMPRODUCT('Base Costs'!$AM$4:$AM$100,'Cost+CPI'!R$4:R$100)</f>
        <v>13468751.55477489</v>
      </c>
      <c r="F92" s="287">
        <f>SUMPRODUCT('Base Costs'!$AM$4:$AM$100,'Cost+CPI'!S$4:S$100)</f>
        <v>20554920.808424462</v>
      </c>
      <c r="G92" s="287">
        <f>SUMPRODUCT('Base Costs'!$AM$4:$AM$100,'Cost+CPI'!T$4:T$100)</f>
        <v>12993852.73296251</v>
      </c>
      <c r="H92" s="287">
        <f>SUMPRODUCT('Base Costs'!$AM$4:$AM$100,'Cost+CPI'!U$4:U$100)</f>
        <v>10297373.210010277</v>
      </c>
      <c r="I92" s="287">
        <f>SUMPRODUCT('Base Costs'!$AM$4:$AM$100,'Cost+CPI'!V$4:V$100)</f>
        <v>4945712.2561500492</v>
      </c>
      <c r="J92" s="80">
        <f>SUMPRODUCT('Base Costs'!$AM$4:$AM$100,'Cost+CPI'!W$4:W$100)</f>
        <v>51407.784321459148</v>
      </c>
      <c r="K92" s="81">
        <f>SUMPRODUCT('Base Costs'!$AM$4:$AM$100,'Cost+CPI'!X$4:X$100)</f>
        <v>0</v>
      </c>
      <c r="L92" s="81">
        <f t="shared" si="24"/>
        <v>62260610.562322192</v>
      </c>
      <c r="M92" s="81">
        <f t="shared" si="26"/>
        <v>64982150.159597673</v>
      </c>
      <c r="N92" s="72"/>
      <c r="O92" s="78" t="str">
        <v>SS45</v>
      </c>
      <c r="P92" s="79">
        <f>SUMPRODUCT('Base Costs'!$AM$4:$AM$100,'Cost+CPI'!Y$4:Y$100)</f>
        <v>0</v>
      </c>
      <c r="Q92" s="80">
        <f>SUMPRODUCT('Base Costs'!$AM$4:$AM$100,'Cost+CPI'!Z$4:Z$100)</f>
        <v>0</v>
      </c>
      <c r="R92" s="287">
        <f>SUMPRODUCT('Base Costs'!$AM$4:$AM$100,'Cost+CPI'!AA$4:AA$100)</f>
        <v>13833936.260474388</v>
      </c>
      <c r="S92" s="287">
        <f>SUMPRODUCT('Base Costs'!$AM$4:$AM$100,'Cost+CPI'!AB$4:AB$100)</f>
        <v>7787140.8579279892</v>
      </c>
      <c r="T92" s="287">
        <f>SUMPRODUCT('Base Costs'!$AM$4:$AM$100,'Cost+CPI'!AC$4:AC$100)</f>
        <v>25927817.919819139</v>
      </c>
      <c r="U92" s="287">
        <f>SUMPRODUCT('Base Costs'!$AM$4:$AM$100,'Cost+CPI'!AD$4:AD$100)</f>
        <v>5694707.7364003444</v>
      </c>
      <c r="V92" s="287">
        <f>SUMPRODUCT('Base Costs'!$AM$4:$AM$100,'Cost+CPI'!AE$4:AE$100)</f>
        <v>11664571.214134261</v>
      </c>
      <c r="W92" s="80">
        <f>SUMPRODUCT('Base Costs'!$AM$4:$AM$100,'Cost+CPI'!AF$4:AF$100)</f>
        <v>0</v>
      </c>
      <c r="X92" s="81">
        <f>SUMPRODUCT('Base Costs'!$AM$4:$AM$100,'Cost+CPI'!AG$4:AG$100)</f>
        <v>73976.170841550556</v>
      </c>
      <c r="Y92" s="81">
        <f t="shared" si="25"/>
        <v>64908173.98875612</v>
      </c>
      <c r="Z92" s="81">
        <f t="shared" si="27"/>
        <v>64982150.159597673</v>
      </c>
    </row>
    <row r="93" spans="2:26" x14ac:dyDescent="0.3">
      <c r="B93" s="78" t="str">
        <v>SS15</v>
      </c>
      <c r="C93" s="79">
        <f>SUMPRODUCT('Base Costs'!$AN$4:$AN$100,'Cost+CPI'!P$4:P$100)</f>
        <v>0</v>
      </c>
      <c r="D93" s="80">
        <f>SUMPRODUCT('Base Costs'!$AN$4:$AN$100,'Cost+CPI'!Q$4:Q$100)</f>
        <v>356033.94075336657</v>
      </c>
      <c r="E93" s="287">
        <f>SUMPRODUCT('Base Costs'!$AN$4:$AN$100,'Cost+CPI'!R$4:R$100)</f>
        <v>2476556.3960936135</v>
      </c>
      <c r="F93" s="287">
        <f>SUMPRODUCT('Base Costs'!$AN$4:$AN$100,'Cost+CPI'!S$4:S$100)</f>
        <v>2011694.2797973508</v>
      </c>
      <c r="G93" s="287">
        <f>SUMPRODUCT('Base Costs'!$AN$4:$AN$100,'Cost+CPI'!T$4:T$100)</f>
        <v>2123640.614958283</v>
      </c>
      <c r="H93" s="287">
        <f>SUMPRODUCT('Base Costs'!$AN$4:$AN$100,'Cost+CPI'!U$4:U$100)</f>
        <v>1705460.2044236118</v>
      </c>
      <c r="I93" s="287">
        <f>SUMPRODUCT('Base Costs'!$AN$4:$AN$100,'Cost+CPI'!V$4:V$100)</f>
        <v>1419812.2450389685</v>
      </c>
      <c r="J93" s="80">
        <f>SUMPRODUCT('Base Costs'!$AN$4:$AN$100,'Cost+CPI'!W$4:W$100)</f>
        <v>6854.7900158289676</v>
      </c>
      <c r="K93" s="81">
        <f>SUMPRODUCT('Base Costs'!$AN$4:$AN$100,'Cost+CPI'!X$4:X$100)</f>
        <v>0</v>
      </c>
      <c r="L93" s="81">
        <f t="shared" si="24"/>
        <v>9737163.7403118275</v>
      </c>
      <c r="M93" s="81">
        <f t="shared" si="26"/>
        <v>10100052.471081024</v>
      </c>
      <c r="N93" s="72"/>
      <c r="O93" s="78" t="str">
        <v>SS15</v>
      </c>
      <c r="P93" s="79">
        <f>SUMPRODUCT('Base Costs'!$AN$4:$AN$100,'Cost+CPI'!Y$4:Y$100)</f>
        <v>0</v>
      </c>
      <c r="Q93" s="80">
        <f>SUMPRODUCT('Base Costs'!$AN$4:$AN$100,'Cost+CPI'!Z$4:Z$100)</f>
        <v>0</v>
      </c>
      <c r="R93" s="287">
        <f>SUMPRODUCT('Base Costs'!$AN$4:$AN$100,'Cost+CPI'!AA$4:AA$100)</f>
        <v>2697788.6604369842</v>
      </c>
      <c r="S93" s="287">
        <f>SUMPRODUCT('Base Costs'!$AN$4:$AN$100,'Cost+CPI'!AB$4:AB$100)</f>
        <v>1552585.7369119979</v>
      </c>
      <c r="T93" s="287">
        <f>SUMPRODUCT('Base Costs'!$AN$4:$AN$100,'Cost+CPI'!AC$4:AC$100)</f>
        <v>2621641.4871071647</v>
      </c>
      <c r="U93" s="287">
        <f>SUMPRODUCT('Base Costs'!$AN$4:$AN$100,'Cost+CPI'!AD$4:AD$100)</f>
        <v>1448033.374389434</v>
      </c>
      <c r="V93" s="287">
        <f>SUMPRODUCT('Base Costs'!$AN$4:$AN$100,'Cost+CPI'!AE$4:AE$100)</f>
        <v>1770139.1201725942</v>
      </c>
      <c r="W93" s="80">
        <f>SUMPRODUCT('Base Costs'!$AN$4:$AN$100,'Cost+CPI'!AF$4:AF$100)</f>
        <v>0</v>
      </c>
      <c r="X93" s="81">
        <f>SUMPRODUCT('Base Costs'!$AN$4:$AN$100,'Cost+CPI'!AG$4:AG$100)</f>
        <v>9864.0920628482272</v>
      </c>
      <c r="Y93" s="81">
        <f t="shared" si="25"/>
        <v>10090188.379018174</v>
      </c>
      <c r="Z93" s="81">
        <f t="shared" si="27"/>
        <v>10100052.471081022</v>
      </c>
    </row>
    <row r="94" spans="2:26" x14ac:dyDescent="0.3">
      <c r="B94" s="78" t="str">
        <v>PC15</v>
      </c>
      <c r="C94" s="79">
        <f>SUMPRODUCT('Base Costs'!$AO$4:$AO$100,'Cost+CPI'!P$4:P$100)</f>
        <v>0</v>
      </c>
      <c r="D94" s="80">
        <f>SUMPRODUCT('Base Costs'!$AO$4:$AO$100,'Cost+CPI'!Q$4:Q$100)</f>
        <v>1246118.9490187541</v>
      </c>
      <c r="E94" s="287">
        <f>SUMPRODUCT('Base Costs'!$AO$4:$AO$100,'Cost+CPI'!R$4:R$100)</f>
        <v>5981907.1934687458</v>
      </c>
      <c r="F94" s="287">
        <f>SUMPRODUCT('Base Costs'!$AO$4:$AO$100,'Cost+CPI'!S$4:S$100)</f>
        <v>8201633.7967378329</v>
      </c>
      <c r="G94" s="287">
        <f>SUMPRODUCT('Base Costs'!$AO$4:$AO$100,'Cost+CPI'!T$4:T$100)</f>
        <v>10800059.474104267</v>
      </c>
      <c r="H94" s="287">
        <f>SUMPRODUCT('Base Costs'!$AO$4:$AO$100,'Cost+CPI'!U$4:U$100)</f>
        <v>7799221.7224363638</v>
      </c>
      <c r="I94" s="287">
        <f>SUMPRODUCT('Base Costs'!$AO$4:$AO$100,'Cost+CPI'!V$4:V$100)</f>
        <v>8329610.8214658126</v>
      </c>
      <c r="J94" s="80">
        <f>SUMPRODUCT('Base Costs'!$AO$4:$AO$100,'Cost+CPI'!W$4:W$100)</f>
        <v>93840.76263094513</v>
      </c>
      <c r="K94" s="81">
        <f>SUMPRODUCT('Base Costs'!$AO$4:$AO$100,'Cost+CPI'!X$4:X$100)</f>
        <v>0</v>
      </c>
      <c r="L94" s="81">
        <f t="shared" si="24"/>
        <v>41112433.008213028</v>
      </c>
      <c r="M94" s="81">
        <f t="shared" si="26"/>
        <v>42452392.719862722</v>
      </c>
      <c r="N94" s="72"/>
      <c r="O94" s="78" t="str">
        <v>PC15</v>
      </c>
      <c r="P94" s="79">
        <f>SUMPRODUCT('Base Costs'!$AO$4:$AO$100,'Cost+CPI'!Y$4:Y$100)</f>
        <v>0</v>
      </c>
      <c r="Q94" s="80">
        <f>SUMPRODUCT('Base Costs'!$AO$4:$AO$100,'Cost+CPI'!Z$4:Z$100)</f>
        <v>0</v>
      </c>
      <c r="R94" s="287">
        <f>SUMPRODUCT('Base Costs'!$AO$4:$AO$100,'Cost+CPI'!AA$4:AA$100)</f>
        <v>6712093.0667095818</v>
      </c>
      <c r="S94" s="287">
        <f>SUMPRODUCT('Base Costs'!$AO$4:$AO$100,'Cost+CPI'!AB$4:AB$100)</f>
        <v>6201802.8410848938</v>
      </c>
      <c r="T94" s="287">
        <f>SUMPRODUCT('Base Costs'!$AO$4:$AO$100,'Cost+CPI'!AC$4:AC$100)</f>
        <v>12939317.306740228</v>
      </c>
      <c r="U94" s="287">
        <f>SUMPRODUCT('Base Costs'!$AO$4:$AO$100,'Cost+CPI'!AD$4:AD$100)</f>
        <v>6727355.1034079231</v>
      </c>
      <c r="V94" s="287">
        <f>SUMPRODUCT('Base Costs'!$AO$4:$AO$100,'Cost+CPI'!AE$4:AE$100)</f>
        <v>9767451.7715408597</v>
      </c>
      <c r="W94" s="80">
        <f>SUMPRODUCT('Base Costs'!$AO$4:$AO$100,'Cost+CPI'!AF$4:AF$100)</f>
        <v>69850.567974172794</v>
      </c>
      <c r="X94" s="81">
        <f>SUMPRODUCT('Base Costs'!$AO$4:$AO$100,'Cost+CPI'!AG$4:AG$100)</f>
        <v>34522.062405063218</v>
      </c>
      <c r="Y94" s="81">
        <f t="shared" si="25"/>
        <v>42348020.089483485</v>
      </c>
      <c r="Z94" s="81">
        <f t="shared" si="27"/>
        <v>42452392.719862722</v>
      </c>
    </row>
    <row r="95" spans="2:26" x14ac:dyDescent="0.3">
      <c r="B95" s="78" t="str">
        <v>PC4</v>
      </c>
      <c r="C95" s="79">
        <f>SUMPRODUCT('Base Costs'!$AP$4:$AP$100,'Cost+CPI'!P$4:P$100)</f>
        <v>0</v>
      </c>
      <c r="D95" s="80">
        <f>SUMPRODUCT('Base Costs'!$AP$4:$AP$100,'Cost+CPI'!Q$4:Q$100)</f>
        <v>0</v>
      </c>
      <c r="E95" s="287">
        <f>SUMPRODUCT('Base Costs'!$AP$4:$AP$100,'Cost+CPI'!R$4:R$100)</f>
        <v>0</v>
      </c>
      <c r="F95" s="287">
        <f>SUMPRODUCT('Base Costs'!$AP$4:$AP$100,'Cost+CPI'!S$4:S$100)</f>
        <v>0</v>
      </c>
      <c r="G95" s="287">
        <f>SUMPRODUCT('Base Costs'!$AP$4:$AP$100,'Cost+CPI'!T$4:T$100)</f>
        <v>0</v>
      </c>
      <c r="H95" s="287">
        <f>SUMPRODUCT('Base Costs'!$AP$4:$AP$100,'Cost+CPI'!U$4:U$100)</f>
        <v>0</v>
      </c>
      <c r="I95" s="287">
        <f>SUMPRODUCT('Base Costs'!$AP$4:$AP$100,'Cost+CPI'!V$4:V$100)</f>
        <v>0</v>
      </c>
      <c r="J95" s="80">
        <f>SUMPRODUCT('Base Costs'!$AP$4:$AP$100,'Cost+CPI'!W$4:W$100)</f>
        <v>0</v>
      </c>
      <c r="K95" s="81">
        <f>SUMPRODUCT('Base Costs'!$AP$4:$AP$100,'Cost+CPI'!X$4:X$100)</f>
        <v>0</v>
      </c>
      <c r="L95" s="81">
        <f t="shared" si="24"/>
        <v>0</v>
      </c>
      <c r="M95" s="81">
        <f t="shared" si="26"/>
        <v>0</v>
      </c>
      <c r="N95" s="72"/>
      <c r="O95" s="78" t="str">
        <v>PC4</v>
      </c>
      <c r="P95" s="79">
        <f>SUMPRODUCT('Base Costs'!$AP$4:$AP$100,'Cost+CPI'!Y$4:Y$100)</f>
        <v>0</v>
      </c>
      <c r="Q95" s="80">
        <f>SUMPRODUCT('Base Costs'!$AP$4:$AP$100,'Cost+CPI'!Z$4:Z$100)</f>
        <v>0</v>
      </c>
      <c r="R95" s="287">
        <f>SUMPRODUCT('Base Costs'!$AP$4:$AP$100,'Cost+CPI'!AA$4:AA$100)</f>
        <v>0</v>
      </c>
      <c r="S95" s="287">
        <f>SUMPRODUCT('Base Costs'!$AP$4:$AP$100,'Cost+CPI'!AB$4:AB$100)</f>
        <v>0</v>
      </c>
      <c r="T95" s="287">
        <f>SUMPRODUCT('Base Costs'!$AP$4:$AP$100,'Cost+CPI'!AC$4:AC$100)</f>
        <v>0</v>
      </c>
      <c r="U95" s="287">
        <f>SUMPRODUCT('Base Costs'!$AP$4:$AP$100,'Cost+CPI'!AD$4:AD$100)</f>
        <v>0</v>
      </c>
      <c r="V95" s="287">
        <f>SUMPRODUCT('Base Costs'!$AP$4:$AP$100,'Cost+CPI'!AE$4:AE$100)</f>
        <v>0</v>
      </c>
      <c r="W95" s="80">
        <f>SUMPRODUCT('Base Costs'!$AP$4:$AP$100,'Cost+CPI'!AF$4:AF$100)</f>
        <v>0</v>
      </c>
      <c r="X95" s="81">
        <f>SUMPRODUCT('Base Costs'!$AP$4:$AP$100,'Cost+CPI'!AG$4:AG$100)</f>
        <v>0</v>
      </c>
      <c r="Y95" s="81">
        <f t="shared" si="25"/>
        <v>0</v>
      </c>
      <c r="Z95" s="81">
        <f t="shared" si="27"/>
        <v>0</v>
      </c>
    </row>
    <row r="96" spans="2:26" x14ac:dyDescent="0.3">
      <c r="B96" s="78" t="str">
        <v>TO10</v>
      </c>
      <c r="C96" s="79">
        <f>SUMPRODUCT('Base Costs'!$AQ$4:$AQ$100,'Cost+CPI'!P$4:P$100)</f>
        <v>0</v>
      </c>
      <c r="D96" s="80">
        <f>SUMPRODUCT('Base Costs'!$AQ$4:$AQ$100,'Cost+CPI'!Q$4:Q$100)</f>
        <v>0</v>
      </c>
      <c r="E96" s="287">
        <f>SUMPRODUCT('Base Costs'!$AQ$4:$AQ$100,'Cost+CPI'!R$4:R$100)</f>
        <v>1425643.5059760956</v>
      </c>
      <c r="F96" s="287">
        <f>SUMPRODUCT('Base Costs'!$AQ$4:$AQ$100,'Cost+CPI'!S$4:S$100)</f>
        <v>4274464.188247011</v>
      </c>
      <c r="G96" s="287">
        <f>SUMPRODUCT('Base Costs'!$AQ$4:$AQ$100,'Cost+CPI'!T$4:T$100)</f>
        <v>3067222.0468127485</v>
      </c>
      <c r="H96" s="287">
        <f>SUMPRODUCT('Base Costs'!$AQ$4:$AQ$100,'Cost+CPI'!U$4:U$100)</f>
        <v>1655956.71812749</v>
      </c>
      <c r="I96" s="287">
        <f>SUMPRODUCT('Base Costs'!$AQ$4:$AQ$100,'Cost+CPI'!V$4:V$100)</f>
        <v>1902432.2609561752</v>
      </c>
      <c r="J96" s="80">
        <f>SUMPRODUCT('Base Costs'!$AQ$4:$AQ$100,'Cost+CPI'!W$4:W$100)</f>
        <v>0</v>
      </c>
      <c r="K96" s="81">
        <f>SUMPRODUCT('Base Costs'!$AQ$4:$AQ$100,'Cost+CPI'!X$4:X$100)</f>
        <v>0</v>
      </c>
      <c r="L96" s="81">
        <f t="shared" si="24"/>
        <v>12325718.720119521</v>
      </c>
      <c r="M96" s="81">
        <f t="shared" si="26"/>
        <v>12325718.720119521</v>
      </c>
      <c r="N96" s="72"/>
      <c r="O96" s="78" t="str">
        <v>TO10</v>
      </c>
      <c r="P96" s="79">
        <f>SUMPRODUCT('Base Costs'!$AQ$4:$AQ$100,'Cost+CPI'!Y$4:Y$100)</f>
        <v>0</v>
      </c>
      <c r="Q96" s="80">
        <f>SUMPRODUCT('Base Costs'!$AQ$4:$AQ$100,'Cost+CPI'!Z$4:Z$100)</f>
        <v>0</v>
      </c>
      <c r="R96" s="287">
        <f>SUMPRODUCT('Base Costs'!$AQ$4:$AQ$100,'Cost+CPI'!AA$4:AA$100)</f>
        <v>1262970.6972111552</v>
      </c>
      <c r="S96" s="287">
        <f>SUMPRODUCT('Base Costs'!$AQ$4:$AQ$100,'Cost+CPI'!AB$4:AB$100)</f>
        <v>3770703.2320717126</v>
      </c>
      <c r="T96" s="287">
        <f>SUMPRODUCT('Base Costs'!$AQ$4:$AQ$100,'Cost+CPI'!AC$4:AC$100)</f>
        <v>2789104.0189243024</v>
      </c>
      <c r="U96" s="287">
        <f>SUMPRODUCT('Base Costs'!$AQ$4:$AQ$100,'Cost+CPI'!AD$4:AD$100)</f>
        <v>2600508.5109561752</v>
      </c>
      <c r="V96" s="287">
        <f>SUMPRODUCT('Base Costs'!$AQ$4:$AQ$100,'Cost+CPI'!AE$4:AE$100)</f>
        <v>1902432.2609561752</v>
      </c>
      <c r="W96" s="80">
        <f>SUMPRODUCT('Base Costs'!$AQ$4:$AQ$100,'Cost+CPI'!AF$4:AF$100)</f>
        <v>0</v>
      </c>
      <c r="X96" s="81">
        <f>SUMPRODUCT('Base Costs'!$AQ$4:$AQ$100,'Cost+CPI'!AG$4:AG$100)</f>
        <v>0</v>
      </c>
      <c r="Y96" s="81">
        <f t="shared" si="25"/>
        <v>12325718.720119521</v>
      </c>
      <c r="Z96" s="81">
        <f t="shared" si="27"/>
        <v>12325718.720119521</v>
      </c>
    </row>
    <row r="97" spans="2:26" x14ac:dyDescent="0.3">
      <c r="B97" s="78" t="str">
        <v>TO4</v>
      </c>
      <c r="C97" s="79">
        <f>SUMPRODUCT('Base Costs'!$AR$4:$AR$100,'Cost+CPI'!P$4:P$100)</f>
        <v>0</v>
      </c>
      <c r="D97" s="80">
        <f>SUMPRODUCT('Base Costs'!$AR$4:$AR$100,'Cost+CPI'!Q$4:Q$100)</f>
        <v>0</v>
      </c>
      <c r="E97" s="287">
        <f>SUMPRODUCT('Base Costs'!$AR$4:$AR$100,'Cost+CPI'!R$4:R$100)</f>
        <v>0</v>
      </c>
      <c r="F97" s="287">
        <f>SUMPRODUCT('Base Costs'!$AR$4:$AR$100,'Cost+CPI'!S$4:S$100)</f>
        <v>629701.1952191235</v>
      </c>
      <c r="G97" s="287">
        <f>SUMPRODUCT('Base Costs'!$AR$4:$AR$100,'Cost+CPI'!T$4:T$100)</f>
        <v>0</v>
      </c>
      <c r="H97" s="287">
        <f>SUMPRODUCT('Base Costs'!$AR$4:$AR$100,'Cost+CPI'!U$4:U$100)</f>
        <v>0</v>
      </c>
      <c r="I97" s="287">
        <f>SUMPRODUCT('Base Costs'!$AR$4:$AR$100,'Cost+CPI'!V$4:V$100)</f>
        <v>629701.1952191235</v>
      </c>
      <c r="J97" s="80">
        <f>SUMPRODUCT('Base Costs'!$AR$4:$AR$100,'Cost+CPI'!W$4:W$100)</f>
        <v>0</v>
      </c>
      <c r="K97" s="81">
        <f>SUMPRODUCT('Base Costs'!$AR$4:$AR$100,'Cost+CPI'!X$4:X$100)</f>
        <v>0</v>
      </c>
      <c r="L97" s="81">
        <f t="shared" si="24"/>
        <v>1259402.390438247</v>
      </c>
      <c r="M97" s="81">
        <f t="shared" si="26"/>
        <v>1259402.390438247</v>
      </c>
      <c r="N97" s="72"/>
      <c r="O97" s="78" t="str">
        <v>TO4</v>
      </c>
      <c r="P97" s="79">
        <f>SUMPRODUCT('Base Costs'!$AR$4:$AR$100,'Cost+CPI'!Y$4:Y$100)</f>
        <v>0</v>
      </c>
      <c r="Q97" s="80">
        <f>SUMPRODUCT('Base Costs'!$AR$4:$AR$100,'Cost+CPI'!Z$4:Z$100)</f>
        <v>0</v>
      </c>
      <c r="R97" s="287">
        <f>SUMPRODUCT('Base Costs'!$AR$4:$AR$100,'Cost+CPI'!AA$4:AA$100)</f>
        <v>0</v>
      </c>
      <c r="S97" s="287">
        <f>SUMPRODUCT('Base Costs'!$AR$4:$AR$100,'Cost+CPI'!AB$4:AB$100)</f>
        <v>629701.1952191235</v>
      </c>
      <c r="T97" s="287">
        <f>SUMPRODUCT('Base Costs'!$AR$4:$AR$100,'Cost+CPI'!AC$4:AC$100)</f>
        <v>0</v>
      </c>
      <c r="U97" s="287">
        <f>SUMPRODUCT('Base Costs'!$AR$4:$AR$100,'Cost+CPI'!AD$4:AD$100)</f>
        <v>0</v>
      </c>
      <c r="V97" s="287">
        <f>SUMPRODUCT('Base Costs'!$AR$4:$AR$100,'Cost+CPI'!AE$4:AE$100)</f>
        <v>629701.1952191235</v>
      </c>
      <c r="W97" s="80">
        <f>SUMPRODUCT('Base Costs'!$AR$4:$AR$100,'Cost+CPI'!AF$4:AF$100)</f>
        <v>0</v>
      </c>
      <c r="X97" s="81">
        <f>SUMPRODUCT('Base Costs'!$AR$4:$AR$100,'Cost+CPI'!AG$4:AG$100)</f>
        <v>0</v>
      </c>
      <c r="Y97" s="81">
        <f t="shared" si="25"/>
        <v>1259402.390438247</v>
      </c>
      <c r="Z97" s="81">
        <f t="shared" si="27"/>
        <v>1259402.390438247</v>
      </c>
    </row>
    <row r="98" spans="2:26" x14ac:dyDescent="0.3">
      <c r="B98" s="78" t="str">
        <v>Other40</v>
      </c>
      <c r="C98" s="79">
        <f>SUMPRODUCT('Base Costs'!$AS$4:$AS$100,'Cost+CPI'!P$4:P$100)</f>
        <v>0</v>
      </c>
      <c r="D98" s="80">
        <f>SUMPRODUCT('Base Costs'!$AS$4:$AS$100,'Cost+CPI'!Q$4:Q$100)</f>
        <v>16500</v>
      </c>
      <c r="E98" s="287">
        <f>SUMPRODUCT('Base Costs'!$AS$4:$AS$100,'Cost+CPI'!R$4:R$100)</f>
        <v>188682.70916334662</v>
      </c>
      <c r="F98" s="287">
        <f>SUMPRODUCT('Base Costs'!$AS$4:$AS$100,'Cost+CPI'!S$4:S$100)</f>
        <v>762987.94820717117</v>
      </c>
      <c r="G98" s="287">
        <f>SUMPRODUCT('Base Costs'!$AS$4:$AS$100,'Cost+CPI'!T$4:T$100)</f>
        <v>323246.61354581674</v>
      </c>
      <c r="H98" s="287">
        <f>SUMPRODUCT('Base Costs'!$AS$4:$AS$100,'Cost+CPI'!U$4:U$100)</f>
        <v>0</v>
      </c>
      <c r="I98" s="287">
        <f>SUMPRODUCT('Base Costs'!$AS$4:$AS$100,'Cost+CPI'!V$4:V$100)</f>
        <v>0</v>
      </c>
      <c r="J98" s="80">
        <f>SUMPRODUCT('Base Costs'!$AS$4:$AS$100,'Cost+CPI'!W$4:W$100)</f>
        <v>0</v>
      </c>
      <c r="K98" s="81">
        <f>SUMPRODUCT('Base Costs'!$AS$4:$AS$100,'Cost+CPI'!X$4:X$100)</f>
        <v>0</v>
      </c>
      <c r="L98" s="81">
        <f t="shared" si="24"/>
        <v>1274917.2709163344</v>
      </c>
      <c r="M98" s="81">
        <f t="shared" si="26"/>
        <v>1291417.2709163344</v>
      </c>
      <c r="N98" s="72"/>
      <c r="O98" s="78" t="str">
        <v>Other40</v>
      </c>
      <c r="P98" s="79">
        <f>SUMPRODUCT('Base Costs'!$AS$4:$AS$100,'Cost+CPI'!Y$4:Y$100)</f>
        <v>0</v>
      </c>
      <c r="Q98" s="80">
        <f>SUMPRODUCT('Base Costs'!$AS$4:$AS$100,'Cost+CPI'!Z$4:Z$100)</f>
        <v>0</v>
      </c>
      <c r="R98" s="287">
        <f>SUMPRODUCT('Base Costs'!$AS$4:$AS$100,'Cost+CPI'!AA$4:AA$100)</f>
        <v>94985</v>
      </c>
      <c r="S98" s="287">
        <f>SUMPRODUCT('Base Costs'!$AS$4:$AS$100,'Cost+CPI'!AB$4:AB$100)</f>
        <v>734651.39442231064</v>
      </c>
      <c r="T98" s="287">
        <f>SUMPRODUCT('Base Costs'!$AS$4:$AS$100,'Cost+CPI'!AC$4:AC$100)</f>
        <v>461780.87649402389</v>
      </c>
      <c r="U98" s="287">
        <f>SUMPRODUCT('Base Costs'!$AS$4:$AS$100,'Cost+CPI'!AD$4:AD$100)</f>
        <v>0</v>
      </c>
      <c r="V98" s="287">
        <f>SUMPRODUCT('Base Costs'!$AS$4:$AS$100,'Cost+CPI'!AE$4:AE$100)</f>
        <v>0</v>
      </c>
      <c r="W98" s="80">
        <f>SUMPRODUCT('Base Costs'!$AS$4:$AS$100,'Cost+CPI'!AF$4:AF$100)</f>
        <v>0</v>
      </c>
      <c r="X98" s="81">
        <f>SUMPRODUCT('Base Costs'!$AS$4:$AS$100,'Cost+CPI'!AG$4:AG$100)</f>
        <v>0</v>
      </c>
      <c r="Y98" s="81">
        <f t="shared" si="25"/>
        <v>1291417.2709163346</v>
      </c>
      <c r="Z98" s="81">
        <f t="shared" si="27"/>
        <v>1291417.2709163346</v>
      </c>
    </row>
    <row r="99" spans="2:26" x14ac:dyDescent="0.3">
      <c r="B99" s="78" t="str">
        <v>Other9</v>
      </c>
      <c r="C99" s="79">
        <f>SUMPRODUCT('Base Costs'!$AT$4:$AT$100,'Cost+CPI'!P$4:P$100)</f>
        <v>0</v>
      </c>
      <c r="D99" s="80">
        <f>SUMPRODUCT('Base Costs'!$AT$4:$AT$100,'Cost+CPI'!Q$4:Q$100)</f>
        <v>82500</v>
      </c>
      <c r="E99" s="287">
        <f>SUMPRODUCT('Base Costs'!$AT$4:$AT$100,'Cost+CPI'!R$4:R$100)</f>
        <v>1481942.4039840638</v>
      </c>
      <c r="F99" s="287">
        <f>SUMPRODUCT('Base Costs'!$AT$4:$AT$100,'Cost+CPI'!S$4:S$100)</f>
        <v>1136610.6573705177</v>
      </c>
      <c r="G99" s="287">
        <f>SUMPRODUCT('Base Costs'!$AT$4:$AT$100,'Cost+CPI'!T$4:T$100)</f>
        <v>767973.08266932273</v>
      </c>
      <c r="H99" s="287">
        <f>SUMPRODUCT('Base Costs'!$AT$4:$AT$100,'Cost+CPI'!U$4:U$100)</f>
        <v>352999.99501992029</v>
      </c>
      <c r="I99" s="287">
        <f>SUMPRODUCT('Base Costs'!$AT$4:$AT$100,'Cost+CPI'!V$4:V$100)</f>
        <v>915375.63745019911</v>
      </c>
      <c r="J99" s="80">
        <f>SUMPRODUCT('Base Costs'!$AT$4:$AT$100,'Cost+CPI'!W$4:W$100)</f>
        <v>0</v>
      </c>
      <c r="K99" s="81">
        <f>SUMPRODUCT('Base Costs'!$AT$4:$AT$100,'Cost+CPI'!X$4:X$100)</f>
        <v>0</v>
      </c>
      <c r="L99" s="81">
        <f t="shared" si="24"/>
        <v>4654901.7764940234</v>
      </c>
      <c r="M99" s="81">
        <f t="shared" si="26"/>
        <v>4737401.7764940234</v>
      </c>
      <c r="N99" s="72"/>
      <c r="O99" s="78" t="str">
        <v>Other9</v>
      </c>
      <c r="P99" s="79">
        <f>SUMPRODUCT('Base Costs'!$AT$4:$AT$100,'Cost+CPI'!Y$4:Y$100)</f>
        <v>0</v>
      </c>
      <c r="Q99" s="80">
        <f>SUMPRODUCT('Base Costs'!$AT$4:$AT$100,'Cost+CPI'!Z$4:Z$100)</f>
        <v>0</v>
      </c>
      <c r="R99" s="287">
        <f>SUMPRODUCT('Base Costs'!$AT$4:$AT$100,'Cost+CPI'!AA$4:AA$100)</f>
        <v>1396679.5105577689</v>
      </c>
      <c r="S99" s="287">
        <f>SUMPRODUCT('Base Costs'!$AT$4:$AT$100,'Cost+CPI'!AB$4:AB$100)</f>
        <v>1088333.5657370517</v>
      </c>
      <c r="T99" s="287">
        <f>SUMPRODUCT('Base Costs'!$AT$4:$AT$100,'Cost+CPI'!AC$4:AC$100)</f>
        <v>713661.35458167328</v>
      </c>
      <c r="U99" s="287">
        <f>SUMPRODUCT('Base Costs'!$AT$4:$AT$100,'Cost+CPI'!AD$4:AD$100)</f>
        <v>293860.55776892428</v>
      </c>
      <c r="V99" s="287">
        <f>SUMPRODUCT('Base Costs'!$AT$4:$AT$100,'Cost+CPI'!AE$4:AE$100)</f>
        <v>1244866.7878486055</v>
      </c>
      <c r="W99" s="80">
        <f>SUMPRODUCT('Base Costs'!$AT$4:$AT$100,'Cost+CPI'!AF$4:AF$100)</f>
        <v>0</v>
      </c>
      <c r="X99" s="81">
        <f>SUMPRODUCT('Base Costs'!$AT$4:$AT$100,'Cost+CPI'!AG$4:AG$100)</f>
        <v>0</v>
      </c>
      <c r="Y99" s="81">
        <f t="shared" si="25"/>
        <v>4737401.7764940234</v>
      </c>
      <c r="Z99" s="81">
        <f t="shared" si="27"/>
        <v>4737401.7764940234</v>
      </c>
    </row>
    <row r="100" spans="2:26" x14ac:dyDescent="0.3">
      <c r="B100" s="78" t="str">
        <v>Other4</v>
      </c>
      <c r="C100" s="79">
        <f>SUMPRODUCT('Base Costs'!$AU$4:$AU$100,'Cost+CPI'!P$4:P$100)</f>
        <v>0</v>
      </c>
      <c r="D100" s="80">
        <f>SUMPRODUCT('Base Costs'!$AU$4:$AU$100,'Cost+CPI'!Q$4:Q$100)</f>
        <v>66000</v>
      </c>
      <c r="E100" s="287">
        <f>SUMPRODUCT('Base Costs'!$AU$4:$AU$100,'Cost+CPI'!R$4:R$100)</f>
        <v>5460709.877646504</v>
      </c>
      <c r="F100" s="287">
        <f>SUMPRODUCT('Base Costs'!$AU$4:$AU$100,'Cost+CPI'!S$4:S$100)</f>
        <v>5372188.2110930299</v>
      </c>
      <c r="G100" s="287">
        <f>SUMPRODUCT('Base Costs'!$AU$4:$AU$100,'Cost+CPI'!T$4:T$100)</f>
        <v>4902985.6285444712</v>
      </c>
      <c r="H100" s="287">
        <f>SUMPRODUCT('Base Costs'!$AU$4:$AU$100,'Cost+CPI'!U$4:U$100)</f>
        <v>5485058.3814711198</v>
      </c>
      <c r="I100" s="287">
        <f>SUMPRODUCT('Base Costs'!$AU$4:$AU$100,'Cost+CPI'!V$4:V$100)</f>
        <v>2993738.3128186865</v>
      </c>
      <c r="J100" s="80">
        <f>SUMPRODUCT('Base Costs'!$AU$4:$AU$100,'Cost+CPI'!W$4:W$100)</f>
        <v>0</v>
      </c>
      <c r="K100" s="81">
        <f>SUMPRODUCT('Base Costs'!$AU$4:$AU$100,'Cost+CPI'!X$4:X$100)</f>
        <v>0</v>
      </c>
      <c r="L100" s="81">
        <f t="shared" si="24"/>
        <v>24214680.411573812</v>
      </c>
      <c r="M100" s="81">
        <f t="shared" si="26"/>
        <v>24280680.411573812</v>
      </c>
      <c r="N100" s="72"/>
      <c r="O100" s="78" t="str">
        <v>Other4</v>
      </c>
      <c r="P100" s="79">
        <f>SUMPRODUCT('Base Costs'!$AU$4:$AU$100,'Cost+CPI'!Y$4:Y$100)</f>
        <v>0</v>
      </c>
      <c r="Q100" s="80">
        <f>SUMPRODUCT('Base Costs'!$AU$4:$AU$100,'Cost+CPI'!Z$4:Z$100)</f>
        <v>0</v>
      </c>
      <c r="R100" s="287">
        <f>SUMPRODUCT('Base Costs'!$AU$4:$AU$100,'Cost+CPI'!AA$4:AA$100)</f>
        <v>5526709.877646504</v>
      </c>
      <c r="S100" s="287">
        <f>SUMPRODUCT('Base Costs'!$AU$4:$AU$100,'Cost+CPI'!AB$4:AB$100)</f>
        <v>5372188.2110930299</v>
      </c>
      <c r="T100" s="287">
        <f>SUMPRODUCT('Base Costs'!$AU$4:$AU$100,'Cost+CPI'!AC$4:AC$100)</f>
        <v>4902985.6285444712</v>
      </c>
      <c r="U100" s="287">
        <f>SUMPRODUCT('Base Costs'!$AU$4:$AU$100,'Cost+CPI'!AD$4:AD$100)</f>
        <v>5485058.3814711198</v>
      </c>
      <c r="V100" s="287">
        <f>SUMPRODUCT('Base Costs'!$AU$4:$AU$100,'Cost+CPI'!AE$4:AE$100)</f>
        <v>2993738.3128186865</v>
      </c>
      <c r="W100" s="80">
        <f>SUMPRODUCT('Base Costs'!$AU$4:$AU$100,'Cost+CPI'!AF$4:AF$100)</f>
        <v>0</v>
      </c>
      <c r="X100" s="81">
        <f>SUMPRODUCT('Base Costs'!$AU$4:$AU$100,'Cost+CPI'!AG$4:AG$100)</f>
        <v>0</v>
      </c>
      <c r="Y100" s="81">
        <f t="shared" si="25"/>
        <v>24280680.411573812</v>
      </c>
      <c r="Z100" s="81">
        <f t="shared" si="27"/>
        <v>24280680.411573812</v>
      </c>
    </row>
    <row r="101" spans="2:26" x14ac:dyDescent="0.3">
      <c r="B101" s="78" t="str">
        <v>Com45</v>
      </c>
      <c r="C101" s="79">
        <f>SUMPRODUCT('Base Costs'!$AV$4:$AV$100,'Cost+CPI'!P$4:P$100)</f>
        <v>0</v>
      </c>
      <c r="D101" s="80">
        <f>SUMPRODUCT('Base Costs'!$AV$4:$AV$100,'Cost+CPI'!Q$4:Q$100)</f>
        <v>0</v>
      </c>
      <c r="E101" s="287">
        <f>SUMPRODUCT('Base Costs'!$AV$4:$AV$100,'Cost+CPI'!R$4:R$100)</f>
        <v>114306.35986907064</v>
      </c>
      <c r="F101" s="287">
        <f>SUMPRODUCT('Base Costs'!$AV$4:$AV$100,'Cost+CPI'!S$4:S$100)</f>
        <v>32934.188779907767</v>
      </c>
      <c r="G101" s="287">
        <f>SUMPRODUCT('Base Costs'!$AV$4:$AV$100,'Cost+CPI'!T$4:T$100)</f>
        <v>176374.59355903309</v>
      </c>
      <c r="H101" s="287">
        <f>SUMPRODUCT('Base Costs'!$AV$4:$AV$100,'Cost+CPI'!U$4:U$100)</f>
        <v>73519.450055529858</v>
      </c>
      <c r="I101" s="287">
        <f>SUMPRODUCT('Base Costs'!$AV$4:$AV$100,'Cost+CPI'!V$4:V$100)</f>
        <v>49764.25565738052</v>
      </c>
      <c r="J101" s="80">
        <f>SUMPRODUCT('Base Costs'!$AV$4:$AV$100,'Cost+CPI'!W$4:W$100)</f>
        <v>0</v>
      </c>
      <c r="K101" s="81">
        <f>SUMPRODUCT('Base Costs'!$AV$4:$AV$100,'Cost+CPI'!X$4:X$100)</f>
        <v>0</v>
      </c>
      <c r="L101" s="81">
        <f t="shared" si="24"/>
        <v>446898.84792092181</v>
      </c>
      <c r="M101" s="81">
        <f t="shared" si="26"/>
        <v>446898.84792092181</v>
      </c>
      <c r="N101" s="72"/>
      <c r="O101" s="78" t="str">
        <v>Com45</v>
      </c>
      <c r="P101" s="79">
        <f>SUMPRODUCT('Base Costs'!$AV$4:$AV$100,'Cost+CPI'!Y$4:Y$100)</f>
        <v>0</v>
      </c>
      <c r="Q101" s="80">
        <f>SUMPRODUCT('Base Costs'!$AV$4:$AV$100,'Cost+CPI'!Z$4:Z$100)</f>
        <v>0</v>
      </c>
      <c r="R101" s="287">
        <f>SUMPRODUCT('Base Costs'!$AV$4:$AV$100,'Cost+CPI'!AA$4:AA$100)</f>
        <v>114306.35986907064</v>
      </c>
      <c r="S101" s="287">
        <f>SUMPRODUCT('Base Costs'!$AV$4:$AV$100,'Cost+CPI'!AB$4:AB$100)</f>
        <v>32934.188779907767</v>
      </c>
      <c r="T101" s="287">
        <f>SUMPRODUCT('Base Costs'!$AV$4:$AV$100,'Cost+CPI'!AC$4:AC$100)</f>
        <v>176374.59355903309</v>
      </c>
      <c r="U101" s="287">
        <f>SUMPRODUCT('Base Costs'!$AV$4:$AV$100,'Cost+CPI'!AD$4:AD$100)</f>
        <v>73519.450055529858</v>
      </c>
      <c r="V101" s="287">
        <f>SUMPRODUCT('Base Costs'!$AV$4:$AV$100,'Cost+CPI'!AE$4:AE$100)</f>
        <v>49764.25565738052</v>
      </c>
      <c r="W101" s="80">
        <f>SUMPRODUCT('Base Costs'!$AV$4:$AV$100,'Cost+CPI'!AF$4:AF$100)</f>
        <v>0</v>
      </c>
      <c r="X101" s="81">
        <f>SUMPRODUCT('Base Costs'!$AV$4:$AV$100,'Cost+CPI'!AG$4:AG$100)</f>
        <v>0</v>
      </c>
      <c r="Y101" s="81">
        <f t="shared" si="25"/>
        <v>446898.84792092181</v>
      </c>
      <c r="Z101" s="81">
        <f t="shared" si="27"/>
        <v>446898.84792092181</v>
      </c>
    </row>
    <row r="102" spans="2:26" x14ac:dyDescent="0.3">
      <c r="B102" s="78" t="str">
        <v>Com10</v>
      </c>
      <c r="C102" s="79">
        <f>SUMPRODUCT('Base Costs'!$AW$4:$AW$100,'Cost+CPI'!P$4:P$100)</f>
        <v>0</v>
      </c>
      <c r="D102" s="80">
        <f>SUMPRODUCT('Base Costs'!$AW$4:$AW$100,'Cost+CPI'!Q$4:Q$100)</f>
        <v>0</v>
      </c>
      <c r="E102" s="287">
        <f>SUMPRODUCT('Base Costs'!$AW$4:$AW$100,'Cost+CPI'!R$4:R$100)</f>
        <v>1347617.3251553089</v>
      </c>
      <c r="F102" s="287">
        <f>SUMPRODUCT('Base Costs'!$AW$4:$AW$100,'Cost+CPI'!S$4:S$100)</f>
        <v>1112745.0220297785</v>
      </c>
      <c r="G102" s="287">
        <f>SUMPRODUCT('Base Costs'!$AW$4:$AW$100,'Cost+CPI'!T$4:T$100)</f>
        <v>4242901.6740634656</v>
      </c>
      <c r="H102" s="287">
        <f>SUMPRODUCT('Base Costs'!$AW$4:$AW$100,'Cost+CPI'!U$4:U$100)</f>
        <v>4815315.9954871051</v>
      </c>
      <c r="I102" s="287">
        <f>SUMPRODUCT('Base Costs'!$AW$4:$AW$100,'Cost+CPI'!V$4:V$100)</f>
        <v>1546060.2606244339</v>
      </c>
      <c r="J102" s="80">
        <f>SUMPRODUCT('Base Costs'!$AW$4:$AW$100,'Cost+CPI'!W$4:W$100)</f>
        <v>0</v>
      </c>
      <c r="K102" s="81">
        <f>SUMPRODUCT('Base Costs'!$AW$4:$AW$100,'Cost+CPI'!X$4:X$100)</f>
        <v>0</v>
      </c>
      <c r="L102" s="81">
        <f t="shared" si="24"/>
        <v>13064640.277360093</v>
      </c>
      <c r="M102" s="81">
        <f t="shared" si="26"/>
        <v>13064640.277360093</v>
      </c>
      <c r="N102" s="72"/>
      <c r="O102" s="78" t="str">
        <v>Com10</v>
      </c>
      <c r="P102" s="79">
        <f>SUMPRODUCT('Base Costs'!$AW$4:$AW$100,'Cost+CPI'!Y$4:Y$100)</f>
        <v>0</v>
      </c>
      <c r="Q102" s="80">
        <f>SUMPRODUCT('Base Costs'!$AW$4:$AW$100,'Cost+CPI'!Z$4:Z$100)</f>
        <v>0</v>
      </c>
      <c r="R102" s="287">
        <f>SUMPRODUCT('Base Costs'!$AW$4:$AW$100,'Cost+CPI'!AA$4:AA$100)</f>
        <v>1347617.3251553089</v>
      </c>
      <c r="S102" s="287">
        <f>SUMPRODUCT('Base Costs'!$AW$4:$AW$100,'Cost+CPI'!AB$4:AB$100)</f>
        <v>1112745.0220297785</v>
      </c>
      <c r="T102" s="287">
        <f>SUMPRODUCT('Base Costs'!$AW$4:$AW$100,'Cost+CPI'!AC$4:AC$100)</f>
        <v>4242901.6740634656</v>
      </c>
      <c r="U102" s="287">
        <f>SUMPRODUCT('Base Costs'!$AW$4:$AW$100,'Cost+CPI'!AD$4:AD$100)</f>
        <v>4815315.9954871051</v>
      </c>
      <c r="V102" s="287">
        <f>SUMPRODUCT('Base Costs'!$AW$4:$AW$100,'Cost+CPI'!AE$4:AE$100)</f>
        <v>1546060.2606244339</v>
      </c>
      <c r="W102" s="80">
        <f>SUMPRODUCT('Base Costs'!$AW$4:$AW$100,'Cost+CPI'!AF$4:AF$100)</f>
        <v>0</v>
      </c>
      <c r="X102" s="81">
        <f>SUMPRODUCT('Base Costs'!$AW$4:$AW$100,'Cost+CPI'!AG$4:AG$100)</f>
        <v>0</v>
      </c>
      <c r="Y102" s="81">
        <f t="shared" si="25"/>
        <v>13064640.277360093</v>
      </c>
      <c r="Z102" s="81">
        <f t="shared" si="27"/>
        <v>13064640.277360093</v>
      </c>
    </row>
    <row r="103" spans="2:26" x14ac:dyDescent="0.3">
      <c r="B103" s="78" t="str">
        <v>Com5</v>
      </c>
      <c r="C103" s="79">
        <f>SUMPRODUCT('Base Costs'!$AX$4:$AX$100,'Cost+CPI'!P$4:P$100)</f>
        <v>0</v>
      </c>
      <c r="D103" s="80">
        <f>SUMPRODUCT('Base Costs'!$AX$4:$AX$100,'Cost+CPI'!Q$4:Q$100)</f>
        <v>0</v>
      </c>
      <c r="E103" s="287">
        <f>SUMPRODUCT('Base Costs'!$AX$4:$AX$100,'Cost+CPI'!R$4:R$100)</f>
        <v>1904093.9201424324</v>
      </c>
      <c r="F103" s="287">
        <f>SUMPRODUCT('Base Costs'!$AX$4:$AX$100,'Cost+CPI'!S$4:S$100)</f>
        <v>947866.11576722143</v>
      </c>
      <c r="G103" s="287">
        <f>SUMPRODUCT('Base Costs'!$AX$4:$AX$100,'Cost+CPI'!T$4:T$100)</f>
        <v>713687.14550396078</v>
      </c>
      <c r="H103" s="287">
        <f>SUMPRODUCT('Base Costs'!$AX$4:$AX$100,'Cost+CPI'!U$4:U$100)</f>
        <v>1032555.5862123007</v>
      </c>
      <c r="I103" s="287">
        <f>SUMPRODUCT('Base Costs'!$AX$4:$AX$100,'Cost+CPI'!V$4:V$100)</f>
        <v>1019847.2789966008</v>
      </c>
      <c r="J103" s="80">
        <f>SUMPRODUCT('Base Costs'!$AX$4:$AX$100,'Cost+CPI'!W$4:W$100)</f>
        <v>0</v>
      </c>
      <c r="K103" s="81">
        <f>SUMPRODUCT('Base Costs'!$AX$4:$AX$100,'Cost+CPI'!X$4:X$100)</f>
        <v>0</v>
      </c>
      <c r="L103" s="81">
        <f t="shared" si="24"/>
        <v>5618050.0466225157</v>
      </c>
      <c r="M103" s="81">
        <f t="shared" ref="M103:M111" si="28">SUM(C103:K103)</f>
        <v>5618050.0466225157</v>
      </c>
      <c r="N103" s="72"/>
      <c r="O103" s="78" t="str">
        <v>Com5</v>
      </c>
      <c r="P103" s="79">
        <f>SUMPRODUCT('Base Costs'!$AX$4:$AX$100,'Cost+CPI'!Y$4:Y$100)</f>
        <v>0</v>
      </c>
      <c r="Q103" s="80">
        <f>SUMPRODUCT('Base Costs'!$AX$4:$AX$100,'Cost+CPI'!Z$4:Z$100)</f>
        <v>0</v>
      </c>
      <c r="R103" s="287">
        <f>SUMPRODUCT('Base Costs'!$AX$4:$AX$100,'Cost+CPI'!AA$4:AA$100)</f>
        <v>1904093.9201424324</v>
      </c>
      <c r="S103" s="287">
        <f>SUMPRODUCT('Base Costs'!$AX$4:$AX$100,'Cost+CPI'!AB$4:AB$100)</f>
        <v>947866.11576722143</v>
      </c>
      <c r="T103" s="287">
        <f>SUMPRODUCT('Base Costs'!$AX$4:$AX$100,'Cost+CPI'!AC$4:AC$100)</f>
        <v>713687.14550396078</v>
      </c>
      <c r="U103" s="287">
        <f>SUMPRODUCT('Base Costs'!$AX$4:$AX$100,'Cost+CPI'!AD$4:AD$100)</f>
        <v>1032555.5862123007</v>
      </c>
      <c r="V103" s="287">
        <f>SUMPRODUCT('Base Costs'!$AX$4:$AX$100,'Cost+CPI'!AE$4:AE$100)</f>
        <v>1019847.2789966008</v>
      </c>
      <c r="W103" s="80">
        <f>SUMPRODUCT('Base Costs'!$AX$4:$AX$100,'Cost+CPI'!AF$4:AF$100)</f>
        <v>0</v>
      </c>
      <c r="X103" s="81">
        <f>SUMPRODUCT('Base Costs'!$AX$4:$AX$100,'Cost+CPI'!AG$4:AG$100)</f>
        <v>0</v>
      </c>
      <c r="Y103" s="81">
        <f t="shared" si="25"/>
        <v>5618050.0466225157</v>
      </c>
      <c r="Z103" s="81">
        <f t="shared" ref="Z103:Z111" si="29">SUM(P103:X103)</f>
        <v>5618050.0466225157</v>
      </c>
    </row>
    <row r="104" spans="2:26" x14ac:dyDescent="0.3">
      <c r="B104" s="78" t="str">
        <v>LB</v>
      </c>
      <c r="C104" s="79">
        <f>SUMPRODUCT('Base Costs'!$AY$4:$AY$100,'Cost+CPI'!P$4:P$100)</f>
        <v>0</v>
      </c>
      <c r="D104" s="80">
        <f>SUMPRODUCT('Base Costs'!$AY$4:$AY$100,'Cost+CPI'!Q$4:Q$100)</f>
        <v>538525.51018442935</v>
      </c>
      <c r="E104" s="287">
        <f>SUMPRODUCT('Base Costs'!$AY$4:$AY$100,'Cost+CPI'!R$4:R$100)</f>
        <v>1799308.6959303499</v>
      </c>
      <c r="F104" s="287">
        <f>SUMPRODUCT('Base Costs'!$AY$4:$AY$100,'Cost+CPI'!S$4:S$100)</f>
        <v>425166.27969099826</v>
      </c>
      <c r="G104" s="287">
        <f>SUMPRODUCT('Base Costs'!$AY$4:$AY$100,'Cost+CPI'!T$4:T$100)</f>
        <v>496018.04411575402</v>
      </c>
      <c r="H104" s="287">
        <f>SUMPRODUCT('Base Costs'!$AY$4:$AY$100,'Cost+CPI'!U$4:U$100)</f>
        <v>419508.58467944217</v>
      </c>
      <c r="I104" s="287">
        <f>SUMPRODUCT('Base Costs'!$AY$4:$AY$100,'Cost+CPI'!V$4:V$100)</f>
        <v>551040.65221163514</v>
      </c>
      <c r="J104" s="80">
        <f>SUMPRODUCT('Base Costs'!$AY$4:$AY$100,'Cost+CPI'!W$4:W$100)</f>
        <v>250400.06140296193</v>
      </c>
      <c r="K104" s="81">
        <f>SUMPRODUCT('Base Costs'!$AY$4:$AY$100,'Cost+CPI'!X$4:X$100)</f>
        <v>0</v>
      </c>
      <c r="L104" s="81">
        <f t="shared" si="24"/>
        <v>3691042.256628179</v>
      </c>
      <c r="M104" s="81">
        <f t="shared" si="28"/>
        <v>4479967.8282155702</v>
      </c>
      <c r="N104" s="72"/>
      <c r="O104" s="78" t="str">
        <v>LB</v>
      </c>
      <c r="P104" s="79">
        <f>SUMPRODUCT('Base Costs'!$AY$4:$AY$100,'Cost+CPI'!Y$4:Y$100)</f>
        <v>0</v>
      </c>
      <c r="Q104" s="80">
        <f>SUMPRODUCT('Base Costs'!$AY$4:$AY$100,'Cost+CPI'!Z$4:Z$100)</f>
        <v>538525.51018442935</v>
      </c>
      <c r="R104" s="287">
        <f>SUMPRODUCT('Base Costs'!$AY$4:$AY$100,'Cost+CPI'!AA$4:AA$100)</f>
        <v>1795448.0341507103</v>
      </c>
      <c r="S104" s="287">
        <f>SUMPRODUCT('Base Costs'!$AY$4:$AY$100,'Cost+CPI'!AB$4:AB$100)</f>
        <v>380688.3215663333</v>
      </c>
      <c r="T104" s="287">
        <f>SUMPRODUCT('Base Costs'!$AY$4:$AY$100,'Cost+CPI'!AC$4:AC$100)</f>
        <v>544356.66402005858</v>
      </c>
      <c r="U104" s="287">
        <f>SUMPRODUCT('Base Costs'!$AY$4:$AY$100,'Cost+CPI'!AD$4:AD$100)</f>
        <v>419508.58467944217</v>
      </c>
      <c r="V104" s="287">
        <f>SUMPRODUCT('Base Costs'!$AY$4:$AY$100,'Cost+CPI'!AE$4:AE$100)</f>
        <v>441113.2269201756</v>
      </c>
      <c r="W104" s="80">
        <f>SUMPRODUCT('Base Costs'!$AY$4:$AY$100,'Cost+CPI'!AF$4:AF$100)</f>
        <v>0</v>
      </c>
      <c r="X104" s="81">
        <f>SUMPRODUCT('Base Costs'!$AY$4:$AY$100,'Cost+CPI'!AG$4:AG$100)</f>
        <v>360327.4866944215</v>
      </c>
      <c r="Y104" s="81">
        <f t="shared" si="25"/>
        <v>3581114.8313367199</v>
      </c>
      <c r="Z104" s="81">
        <f t="shared" si="29"/>
        <v>4479967.8282155711</v>
      </c>
    </row>
    <row r="105" spans="2:26" x14ac:dyDescent="0.3">
      <c r="B105" s="78">
        <v>0</v>
      </c>
      <c r="C105" s="79">
        <f>SUMPRODUCT('Base Costs'!$AZ$4:$AZ$100,'Cost+CPI'!P$4:P$100)</f>
        <v>0</v>
      </c>
      <c r="D105" s="80">
        <f>SUMPRODUCT('Base Costs'!$AZ$4:$AZ$100,'Cost+CPI'!Q$4:Q$100)</f>
        <v>0</v>
      </c>
      <c r="E105" s="287">
        <f>SUMPRODUCT('Base Costs'!$AZ$4:$AZ$100,'Cost+CPI'!R$4:R$100)</f>
        <v>0</v>
      </c>
      <c r="F105" s="287">
        <f>SUMPRODUCT('Base Costs'!$AZ$4:$AZ$100,'Cost+CPI'!S$4:S$100)</f>
        <v>0</v>
      </c>
      <c r="G105" s="287">
        <f>SUMPRODUCT('Base Costs'!$AZ$4:$AZ$100,'Cost+CPI'!T$4:T$100)</f>
        <v>0</v>
      </c>
      <c r="H105" s="287">
        <f>SUMPRODUCT('Base Costs'!$AZ$4:$AZ$100,'Cost+CPI'!U$4:U$100)</f>
        <v>0</v>
      </c>
      <c r="I105" s="287">
        <f>SUMPRODUCT('Base Costs'!$AZ$4:$AZ$100,'Cost+CPI'!V$4:V$100)</f>
        <v>0</v>
      </c>
      <c r="J105" s="80">
        <f>SUMPRODUCT('Base Costs'!$AZ$4:$AZ$100,'Cost+CPI'!W$4:W$100)</f>
        <v>0</v>
      </c>
      <c r="K105" s="81">
        <f>SUMPRODUCT('Base Costs'!$AZ$4:$AZ$100,'Cost+CPI'!X$4:X$100)</f>
        <v>0</v>
      </c>
      <c r="L105" s="81">
        <f t="shared" si="24"/>
        <v>0</v>
      </c>
      <c r="M105" s="81">
        <f t="shared" si="28"/>
        <v>0</v>
      </c>
      <c r="N105" s="72"/>
      <c r="O105" s="78">
        <v>0</v>
      </c>
      <c r="P105" s="79">
        <f>SUMPRODUCT('Base Costs'!$AZ$4:$AZ$100,'Cost+CPI'!Y$4:Y$100)</f>
        <v>0</v>
      </c>
      <c r="Q105" s="80">
        <f>SUMPRODUCT('Base Costs'!$AZ$4:$AZ$100,'Cost+CPI'!Z$4:Z$100)</f>
        <v>0</v>
      </c>
      <c r="R105" s="287">
        <f>SUMPRODUCT('Base Costs'!$AZ$4:$AZ$100,'Cost+CPI'!AA$4:AA$100)</f>
        <v>0</v>
      </c>
      <c r="S105" s="287">
        <f>SUMPRODUCT('Base Costs'!$AZ$4:$AZ$100,'Cost+CPI'!AB$4:AB$100)</f>
        <v>0</v>
      </c>
      <c r="T105" s="287">
        <f>SUMPRODUCT('Base Costs'!$AZ$4:$AZ$100,'Cost+CPI'!AC$4:AC$100)</f>
        <v>0</v>
      </c>
      <c r="U105" s="287">
        <f>SUMPRODUCT('Base Costs'!$AZ$4:$AZ$100,'Cost+CPI'!AD$4:AD$100)</f>
        <v>0</v>
      </c>
      <c r="V105" s="287">
        <f>SUMPRODUCT('Base Costs'!$AZ$4:$AZ$100,'Cost+CPI'!AE$4:AE$100)</f>
        <v>0</v>
      </c>
      <c r="W105" s="80">
        <f>SUMPRODUCT('Base Costs'!$AZ$4:$AZ$100,'Cost+CPI'!AF$4:AF$100)</f>
        <v>0</v>
      </c>
      <c r="X105" s="81">
        <f>SUMPRODUCT('Base Costs'!$AZ$4:$AZ$100,'Cost+CPI'!AG$4:AG$100)</f>
        <v>0</v>
      </c>
      <c r="Y105" s="81">
        <f t="shared" si="25"/>
        <v>0</v>
      </c>
      <c r="Z105" s="81">
        <f t="shared" si="29"/>
        <v>0</v>
      </c>
    </row>
    <row r="106" spans="2:26" x14ac:dyDescent="0.3">
      <c r="B106" s="78">
        <v>0</v>
      </c>
      <c r="C106" s="79">
        <f>SUMPRODUCT('Base Costs'!$BA$4:$BA$100,'Cost+CPI'!P$4:P$100)</f>
        <v>0</v>
      </c>
      <c r="D106" s="80">
        <f>SUMPRODUCT('Base Costs'!$BA$4:$BA$100,'Cost+CPI'!Q$4:Q$100)</f>
        <v>0</v>
      </c>
      <c r="E106" s="287">
        <f>SUMPRODUCT('Base Costs'!$BA$4:$BA$100,'Cost+CPI'!R$4:R$100)</f>
        <v>0</v>
      </c>
      <c r="F106" s="287">
        <f>SUMPRODUCT('Base Costs'!$BA$4:$BA$100,'Cost+CPI'!S$4:S$100)</f>
        <v>0</v>
      </c>
      <c r="G106" s="287">
        <f>SUMPRODUCT('Base Costs'!$BA$4:$BA$100,'Cost+CPI'!T$4:T$100)</f>
        <v>0</v>
      </c>
      <c r="H106" s="287">
        <f>SUMPRODUCT('Base Costs'!$BA$4:$BA$100,'Cost+CPI'!U$4:U$100)</f>
        <v>0</v>
      </c>
      <c r="I106" s="287">
        <f>SUMPRODUCT('Base Costs'!$BA$4:$BA$100,'Cost+CPI'!V$4:V$100)</f>
        <v>0</v>
      </c>
      <c r="J106" s="80">
        <f>SUMPRODUCT('Base Costs'!$BA$4:$BA$100,'Cost+CPI'!W$4:W$100)</f>
        <v>0</v>
      </c>
      <c r="K106" s="81">
        <f>SUMPRODUCT('Base Costs'!$BA$4:$BA$100,'Cost+CPI'!X$4:X$100)</f>
        <v>0</v>
      </c>
      <c r="L106" s="81">
        <f t="shared" si="24"/>
        <v>0</v>
      </c>
      <c r="M106" s="81">
        <f t="shared" si="28"/>
        <v>0</v>
      </c>
      <c r="N106" s="72"/>
      <c r="O106" s="78">
        <v>0</v>
      </c>
      <c r="P106" s="79">
        <f>SUMPRODUCT('Base Costs'!$BA$4:$BA$100,'Cost+CPI'!Y$4:Y$100)</f>
        <v>0</v>
      </c>
      <c r="Q106" s="80">
        <f>SUMPRODUCT('Base Costs'!$BA$4:$BA$100,'Cost+CPI'!Z$4:Z$100)</f>
        <v>0</v>
      </c>
      <c r="R106" s="287">
        <f>SUMPRODUCT('Base Costs'!$BA$4:$BA$100,'Cost+CPI'!AA$4:AA$100)</f>
        <v>0</v>
      </c>
      <c r="S106" s="287">
        <f>SUMPRODUCT('Base Costs'!$BA$4:$BA$100,'Cost+CPI'!AB$4:AB$100)</f>
        <v>0</v>
      </c>
      <c r="T106" s="287">
        <f>SUMPRODUCT('Base Costs'!$BA$4:$BA$100,'Cost+CPI'!AC$4:AC$100)</f>
        <v>0</v>
      </c>
      <c r="U106" s="287">
        <f>SUMPRODUCT('Base Costs'!$BA$4:$BA$100,'Cost+CPI'!AD$4:AD$100)</f>
        <v>0</v>
      </c>
      <c r="V106" s="287">
        <f>SUMPRODUCT('Base Costs'!$BA$4:$BA$100,'Cost+CPI'!AE$4:AE$100)</f>
        <v>0</v>
      </c>
      <c r="W106" s="80">
        <f>SUMPRODUCT('Base Costs'!$BA$4:$BA$100,'Cost+CPI'!AF$4:AF$100)</f>
        <v>0</v>
      </c>
      <c r="X106" s="81">
        <f>SUMPRODUCT('Base Costs'!$BA$4:$BA$100,'Cost+CPI'!AG$4:AG$100)</f>
        <v>0</v>
      </c>
      <c r="Y106" s="81">
        <f t="shared" si="25"/>
        <v>0</v>
      </c>
      <c r="Z106" s="81">
        <f t="shared" si="29"/>
        <v>0</v>
      </c>
    </row>
    <row r="107" spans="2:26" x14ac:dyDescent="0.3">
      <c r="B107" s="78">
        <v>0</v>
      </c>
      <c r="C107" s="79">
        <f>SUMPRODUCT('Base Costs'!$BB$4:$BB$100,'Cost+CPI'!P$4:P$100)</f>
        <v>0</v>
      </c>
      <c r="D107" s="80">
        <f>SUMPRODUCT('Base Costs'!$BB$4:$BB$100,'Cost+CPI'!Q$4:Q$100)</f>
        <v>0</v>
      </c>
      <c r="E107" s="287">
        <f>SUMPRODUCT('Base Costs'!$BB$4:$BB$100,'Cost+CPI'!R$4:R$100)</f>
        <v>0</v>
      </c>
      <c r="F107" s="287">
        <f>SUMPRODUCT('Base Costs'!$BB$4:$BB$100,'Cost+CPI'!S$4:S$100)</f>
        <v>0</v>
      </c>
      <c r="G107" s="287">
        <f>SUMPRODUCT('Base Costs'!$BB$4:$BB$100,'Cost+CPI'!T$4:T$100)</f>
        <v>0</v>
      </c>
      <c r="H107" s="287">
        <f>SUMPRODUCT('Base Costs'!$BB$4:$BB$100,'Cost+CPI'!U$4:U$100)</f>
        <v>0</v>
      </c>
      <c r="I107" s="287">
        <f>SUMPRODUCT('Base Costs'!$BB$4:$BB$100,'Cost+CPI'!V$4:V$100)</f>
        <v>0</v>
      </c>
      <c r="J107" s="80">
        <f>SUMPRODUCT('Base Costs'!$BB$4:$BB$100,'Cost+CPI'!W$4:W$100)</f>
        <v>0</v>
      </c>
      <c r="K107" s="81">
        <f>SUMPRODUCT('Base Costs'!$BB$4:$BB$100,'Cost+CPI'!X$4:X$100)</f>
        <v>0</v>
      </c>
      <c r="L107" s="81">
        <f t="shared" si="24"/>
        <v>0</v>
      </c>
      <c r="M107" s="81">
        <f t="shared" si="28"/>
        <v>0</v>
      </c>
      <c r="N107" s="72"/>
      <c r="O107" s="78">
        <v>0</v>
      </c>
      <c r="P107" s="79">
        <f>SUMPRODUCT('Base Costs'!$BB$4:$BB$100,'Cost+CPI'!Y$4:Y$100)</f>
        <v>0</v>
      </c>
      <c r="Q107" s="80">
        <f>SUMPRODUCT('Base Costs'!$BB$4:$BB$100,'Cost+CPI'!Z$4:Z$100)</f>
        <v>0</v>
      </c>
      <c r="R107" s="287">
        <f>SUMPRODUCT('Base Costs'!$BB$4:$BB$100,'Cost+CPI'!AA$4:AA$100)</f>
        <v>0</v>
      </c>
      <c r="S107" s="287">
        <f>SUMPRODUCT('Base Costs'!$BB$4:$BB$100,'Cost+CPI'!AB$4:AB$100)</f>
        <v>0</v>
      </c>
      <c r="T107" s="287">
        <f>SUMPRODUCT('Base Costs'!$BB$4:$BB$100,'Cost+CPI'!AC$4:AC$100)</f>
        <v>0</v>
      </c>
      <c r="U107" s="287">
        <f>SUMPRODUCT('Base Costs'!$BB$4:$BB$100,'Cost+CPI'!AD$4:AD$100)</f>
        <v>0</v>
      </c>
      <c r="V107" s="287">
        <f>SUMPRODUCT('Base Costs'!$BB$4:$BB$100,'Cost+CPI'!AE$4:AE$100)</f>
        <v>0</v>
      </c>
      <c r="W107" s="80">
        <f>SUMPRODUCT('Base Costs'!$BB$4:$BB$100,'Cost+CPI'!AF$4:AF$100)</f>
        <v>0</v>
      </c>
      <c r="X107" s="81">
        <f>SUMPRODUCT('Base Costs'!$BB$4:$BB$100,'Cost+CPI'!AG$4:AG$100)</f>
        <v>0</v>
      </c>
      <c r="Y107" s="81">
        <f t="shared" si="25"/>
        <v>0</v>
      </c>
      <c r="Z107" s="81">
        <f t="shared" si="29"/>
        <v>0</v>
      </c>
    </row>
    <row r="108" spans="2:26" x14ac:dyDescent="0.3">
      <c r="B108" s="78">
        <v>0</v>
      </c>
      <c r="C108" s="79">
        <f>SUMPRODUCT('Base Costs'!$BC$4:$BC$100,'Cost+CPI'!P$4:P$100)</f>
        <v>0</v>
      </c>
      <c r="D108" s="80">
        <f>SUMPRODUCT('Base Costs'!$BC$4:$BC$100,'Cost+CPI'!Q$4:Q$100)</f>
        <v>0</v>
      </c>
      <c r="E108" s="287">
        <f>SUMPRODUCT('Base Costs'!$BC$4:$BC$100,'Cost+CPI'!R$4:R$100)</f>
        <v>0</v>
      </c>
      <c r="F108" s="287">
        <f>SUMPRODUCT('Base Costs'!$BC$4:$BC$100,'Cost+CPI'!S$4:S$100)</f>
        <v>0</v>
      </c>
      <c r="G108" s="287">
        <f>SUMPRODUCT('Base Costs'!$BC$4:$BC$100,'Cost+CPI'!T$4:T$100)</f>
        <v>0</v>
      </c>
      <c r="H108" s="287">
        <f>SUMPRODUCT('Base Costs'!$BC$4:$BC$100,'Cost+CPI'!U$4:U$100)</f>
        <v>0</v>
      </c>
      <c r="I108" s="287">
        <f>SUMPRODUCT('Base Costs'!$BC$4:$BC$100,'Cost+CPI'!V$4:V$100)</f>
        <v>0</v>
      </c>
      <c r="J108" s="80">
        <f>SUMPRODUCT('Base Costs'!$BC$4:$BC$100,'Cost+CPI'!W$4:W$100)</f>
        <v>0</v>
      </c>
      <c r="K108" s="81">
        <f>SUMPRODUCT('Base Costs'!$BC$4:$BC$100,'Cost+CPI'!X$4:X$100)</f>
        <v>0</v>
      </c>
      <c r="L108" s="81">
        <f t="shared" si="24"/>
        <v>0</v>
      </c>
      <c r="M108" s="81">
        <f t="shared" si="28"/>
        <v>0</v>
      </c>
      <c r="N108" s="72"/>
      <c r="O108" s="78">
        <v>0</v>
      </c>
      <c r="P108" s="79">
        <f>SUMPRODUCT('Base Costs'!$BC$4:$BC$100,'Cost+CPI'!Y$4:Y$100)</f>
        <v>0</v>
      </c>
      <c r="Q108" s="80">
        <f>SUMPRODUCT('Base Costs'!$BC$4:$BC$100,'Cost+CPI'!Z$4:Z$100)</f>
        <v>0</v>
      </c>
      <c r="R108" s="287">
        <f>SUMPRODUCT('Base Costs'!$BC$4:$BC$100,'Cost+CPI'!AA$4:AA$100)</f>
        <v>0</v>
      </c>
      <c r="S108" s="287">
        <f>SUMPRODUCT('Base Costs'!$BC$4:$BC$100,'Cost+CPI'!AB$4:AB$100)</f>
        <v>0</v>
      </c>
      <c r="T108" s="287">
        <f>SUMPRODUCT('Base Costs'!$BC$4:$BC$100,'Cost+CPI'!AC$4:AC$100)</f>
        <v>0</v>
      </c>
      <c r="U108" s="287">
        <f>SUMPRODUCT('Base Costs'!$BC$4:$BC$100,'Cost+CPI'!AD$4:AD$100)</f>
        <v>0</v>
      </c>
      <c r="V108" s="287">
        <f>SUMPRODUCT('Base Costs'!$BC$4:$BC$100,'Cost+CPI'!AE$4:AE$100)</f>
        <v>0</v>
      </c>
      <c r="W108" s="80">
        <f>SUMPRODUCT('Base Costs'!$BC$4:$BC$100,'Cost+CPI'!AF$4:AF$100)</f>
        <v>0</v>
      </c>
      <c r="X108" s="81">
        <f>SUMPRODUCT('Base Costs'!$BC$4:$BC$100,'Cost+CPI'!AG$4:AG$100)</f>
        <v>0</v>
      </c>
      <c r="Y108" s="81">
        <f t="shared" si="25"/>
        <v>0</v>
      </c>
      <c r="Z108" s="81">
        <f t="shared" si="29"/>
        <v>0</v>
      </c>
    </row>
    <row r="109" spans="2:26" x14ac:dyDescent="0.3">
      <c r="B109" s="78">
        <v>0</v>
      </c>
      <c r="C109" s="79">
        <f>SUMPRODUCT('Base Costs'!$BD$4:$BD$100,'Cost+CPI'!P$4:P$100)</f>
        <v>0</v>
      </c>
      <c r="D109" s="80">
        <f>SUMPRODUCT('Base Costs'!$BD$4:$BD$100,'Cost+CPI'!Q$4:Q$100)</f>
        <v>0</v>
      </c>
      <c r="E109" s="287">
        <f>SUMPRODUCT('Base Costs'!$BD$4:$BD$100,'Cost+CPI'!R$4:R$100)</f>
        <v>0</v>
      </c>
      <c r="F109" s="287">
        <f>SUMPRODUCT('Base Costs'!$BD$4:$BD$100,'Cost+CPI'!S$4:S$100)</f>
        <v>0</v>
      </c>
      <c r="G109" s="287">
        <f>SUMPRODUCT('Base Costs'!$BD$4:$BD$100,'Cost+CPI'!T$4:T$100)</f>
        <v>0</v>
      </c>
      <c r="H109" s="287">
        <f>SUMPRODUCT('Base Costs'!$BD$4:$BD$100,'Cost+CPI'!U$4:U$100)</f>
        <v>0</v>
      </c>
      <c r="I109" s="287">
        <f>SUMPRODUCT('Base Costs'!$BD$4:$BD$100,'Cost+CPI'!V$4:V$100)</f>
        <v>0</v>
      </c>
      <c r="J109" s="80">
        <f>SUMPRODUCT('Base Costs'!$BD$4:$BD$100,'Cost+CPI'!W$4:W$100)</f>
        <v>0</v>
      </c>
      <c r="K109" s="81">
        <f>SUMPRODUCT('Base Costs'!$BD$4:$BD$100,'Cost+CPI'!X$4:X$100)</f>
        <v>0</v>
      </c>
      <c r="L109" s="81">
        <f t="shared" si="24"/>
        <v>0</v>
      </c>
      <c r="M109" s="81">
        <f t="shared" si="28"/>
        <v>0</v>
      </c>
      <c r="N109" s="72"/>
      <c r="O109" s="78">
        <v>0</v>
      </c>
      <c r="P109" s="79">
        <f>SUMPRODUCT('Base Costs'!$BD$4:$BD$100,'Cost+CPI'!Y$4:Y$100)</f>
        <v>0</v>
      </c>
      <c r="Q109" s="80">
        <f>SUMPRODUCT('Base Costs'!$BD$4:$BD$100,'Cost+CPI'!Z$4:Z$100)</f>
        <v>0</v>
      </c>
      <c r="R109" s="287">
        <f>SUMPRODUCT('Base Costs'!$BD$4:$BD$100,'Cost+CPI'!AA$4:AA$100)</f>
        <v>0</v>
      </c>
      <c r="S109" s="287">
        <f>SUMPRODUCT('Base Costs'!$BD$4:$BD$100,'Cost+CPI'!AB$4:AB$100)</f>
        <v>0</v>
      </c>
      <c r="T109" s="287">
        <f>SUMPRODUCT('Base Costs'!$BD$4:$BD$100,'Cost+CPI'!AC$4:AC$100)</f>
        <v>0</v>
      </c>
      <c r="U109" s="287">
        <f>SUMPRODUCT('Base Costs'!$BD$4:$BD$100,'Cost+CPI'!AD$4:AD$100)</f>
        <v>0</v>
      </c>
      <c r="V109" s="287">
        <f>SUMPRODUCT('Base Costs'!$BD$4:$BD$100,'Cost+CPI'!AE$4:AE$100)</f>
        <v>0</v>
      </c>
      <c r="W109" s="80">
        <f>SUMPRODUCT('Base Costs'!$BD$4:$BD$100,'Cost+CPI'!AF$4:AF$100)</f>
        <v>0</v>
      </c>
      <c r="X109" s="81">
        <f>SUMPRODUCT('Base Costs'!$BD$4:$BD$100,'Cost+CPI'!AG$4:AG$100)</f>
        <v>0</v>
      </c>
      <c r="Y109" s="81">
        <f t="shared" si="25"/>
        <v>0</v>
      </c>
      <c r="Z109" s="81">
        <f t="shared" si="29"/>
        <v>0</v>
      </c>
    </row>
    <row r="110" spans="2:26" x14ac:dyDescent="0.3">
      <c r="B110" s="78">
        <v>0</v>
      </c>
      <c r="C110" s="79">
        <f>SUMPRODUCT('Base Costs'!$BE$4:$BE$100,'Cost+CPI'!P$4:P$100)</f>
        <v>0</v>
      </c>
      <c r="D110" s="80">
        <f>SUMPRODUCT('Base Costs'!$BE$4:$BE$100,'Cost+CPI'!Q$4:Q$100)</f>
        <v>0</v>
      </c>
      <c r="E110" s="287">
        <f>SUMPRODUCT('Base Costs'!$BE$4:$BE$100,'Cost+CPI'!R$4:R$100)</f>
        <v>0</v>
      </c>
      <c r="F110" s="287">
        <f>SUMPRODUCT('Base Costs'!$BE$4:$BE$100,'Cost+CPI'!S$4:S$100)</f>
        <v>0</v>
      </c>
      <c r="G110" s="287">
        <f>SUMPRODUCT('Base Costs'!$BE$4:$BE$100,'Cost+CPI'!T$4:T$100)</f>
        <v>0</v>
      </c>
      <c r="H110" s="287">
        <f>SUMPRODUCT('Base Costs'!$BE$4:$BE$100,'Cost+CPI'!U$4:U$100)</f>
        <v>0</v>
      </c>
      <c r="I110" s="287">
        <f>SUMPRODUCT('Base Costs'!$BE$4:$BE$100,'Cost+CPI'!V$4:V$100)</f>
        <v>0</v>
      </c>
      <c r="J110" s="80">
        <f>SUMPRODUCT('Base Costs'!$BE$4:$BE$100,'Cost+CPI'!W$4:W$100)</f>
        <v>0</v>
      </c>
      <c r="K110" s="81">
        <f>SUMPRODUCT('Base Costs'!$BE$4:$BE$100,'Cost+CPI'!X$4:X$100)</f>
        <v>0</v>
      </c>
      <c r="L110" s="81">
        <f t="shared" si="24"/>
        <v>0</v>
      </c>
      <c r="M110" s="81">
        <f t="shared" si="28"/>
        <v>0</v>
      </c>
      <c r="N110" s="72"/>
      <c r="O110" s="78">
        <v>0</v>
      </c>
      <c r="P110" s="79">
        <f>SUMPRODUCT('Base Costs'!$BE$4:$BE$100,'Cost+CPI'!Y$4:Y$100)</f>
        <v>0</v>
      </c>
      <c r="Q110" s="80">
        <f>SUMPRODUCT('Base Costs'!$BE$4:$BE$100,'Cost+CPI'!Z$4:Z$100)</f>
        <v>0</v>
      </c>
      <c r="R110" s="287">
        <f>SUMPRODUCT('Base Costs'!$BE$4:$BE$100,'Cost+CPI'!AA$4:AA$100)</f>
        <v>0</v>
      </c>
      <c r="S110" s="287">
        <f>SUMPRODUCT('Base Costs'!$BE$4:$BE$100,'Cost+CPI'!AB$4:AB$100)</f>
        <v>0</v>
      </c>
      <c r="T110" s="287">
        <f>SUMPRODUCT('Base Costs'!$BE$4:$BE$100,'Cost+CPI'!AC$4:AC$100)</f>
        <v>0</v>
      </c>
      <c r="U110" s="287">
        <f>SUMPRODUCT('Base Costs'!$BE$4:$BE$100,'Cost+CPI'!AD$4:AD$100)</f>
        <v>0</v>
      </c>
      <c r="V110" s="287">
        <f>SUMPRODUCT('Base Costs'!$BE$4:$BE$100,'Cost+CPI'!AE$4:AE$100)</f>
        <v>0</v>
      </c>
      <c r="W110" s="80">
        <f>SUMPRODUCT('Base Costs'!$BE$4:$BE$100,'Cost+CPI'!AF$4:AF$100)</f>
        <v>0</v>
      </c>
      <c r="X110" s="81">
        <f>SUMPRODUCT('Base Costs'!$BE$4:$BE$100,'Cost+CPI'!AG$4:AG$100)</f>
        <v>0</v>
      </c>
      <c r="Y110" s="81">
        <f t="shared" si="25"/>
        <v>0</v>
      </c>
      <c r="Z110" s="81">
        <f t="shared" si="29"/>
        <v>0</v>
      </c>
    </row>
    <row r="111" spans="2:26" ht="14.4" thickBot="1" x14ac:dyDescent="0.35">
      <c r="B111" s="82">
        <v>0</v>
      </c>
      <c r="C111" s="83">
        <f>SUMPRODUCT('Base Costs'!$BF$4:$BF$100,'Cost+CPI'!P$4:P$100)</f>
        <v>0</v>
      </c>
      <c r="D111" s="84">
        <f>SUMPRODUCT('Base Costs'!$BF$4:$BF$100,'Cost+CPI'!Q$4:Q$100)</f>
        <v>0</v>
      </c>
      <c r="E111" s="288">
        <f>SUMPRODUCT('Base Costs'!$BF$4:$BF$100,'Cost+CPI'!R$4:R$100)</f>
        <v>0</v>
      </c>
      <c r="F111" s="288">
        <f>SUMPRODUCT('Base Costs'!$BF$4:$BF$100,'Cost+CPI'!S$4:S$100)</f>
        <v>0</v>
      </c>
      <c r="G111" s="288">
        <f>SUMPRODUCT('Base Costs'!$BF$4:$BF$100,'Cost+CPI'!T$4:T$100)</f>
        <v>0</v>
      </c>
      <c r="H111" s="288">
        <f>SUMPRODUCT('Base Costs'!$BF$4:$BF$100,'Cost+CPI'!U$4:U$100)</f>
        <v>0</v>
      </c>
      <c r="I111" s="288">
        <f>SUMPRODUCT('Base Costs'!$BF$4:$BF$100,'Cost+CPI'!V$4:V$100)</f>
        <v>0</v>
      </c>
      <c r="J111" s="84">
        <f>SUMPRODUCT('Base Costs'!$BF$4:$BF$100,'Cost+CPI'!W$4:W$100)</f>
        <v>0</v>
      </c>
      <c r="K111" s="85">
        <f>SUMPRODUCT('Base Costs'!$BF$4:$BF$100,'Cost+CPI'!X$4:X$100)</f>
        <v>0</v>
      </c>
      <c r="L111" s="85">
        <f t="shared" si="24"/>
        <v>0</v>
      </c>
      <c r="M111" s="85">
        <f t="shared" si="28"/>
        <v>0</v>
      </c>
      <c r="N111" s="72"/>
      <c r="O111" s="82">
        <v>0</v>
      </c>
      <c r="P111" s="83">
        <f>SUMPRODUCT('Base Costs'!$BF$4:$BF$100,'Cost+CPI'!Y$4:Y$100)</f>
        <v>0</v>
      </c>
      <c r="Q111" s="84">
        <f>SUMPRODUCT('Base Costs'!$BF$4:$BF$100,'Cost+CPI'!Z$4:Z$100)</f>
        <v>0</v>
      </c>
      <c r="R111" s="288">
        <f>SUMPRODUCT('Base Costs'!$BF$4:$BF$100,'Cost+CPI'!AA$4:AA$100)</f>
        <v>0</v>
      </c>
      <c r="S111" s="288">
        <f>SUMPRODUCT('Base Costs'!$BF$4:$BF$100,'Cost+CPI'!AB$4:AB$100)</f>
        <v>0</v>
      </c>
      <c r="T111" s="288">
        <f>SUMPRODUCT('Base Costs'!$BF$4:$BF$100,'Cost+CPI'!AC$4:AC$100)</f>
        <v>0</v>
      </c>
      <c r="U111" s="288">
        <f>SUMPRODUCT('Base Costs'!$BF$4:$BF$100,'Cost+CPI'!AD$4:AD$100)</f>
        <v>0</v>
      </c>
      <c r="V111" s="288">
        <f>SUMPRODUCT('Base Costs'!$BF$4:$BF$100,'Cost+CPI'!AE$4:AE$100)</f>
        <v>0</v>
      </c>
      <c r="W111" s="84">
        <f>SUMPRODUCT('Base Costs'!$BF$4:$BF$100,'Cost+CPI'!AF$4:AF$100)</f>
        <v>0</v>
      </c>
      <c r="X111" s="85">
        <f>SUMPRODUCT('Base Costs'!$BF$4:$BF$100,'Cost+CPI'!AG$4:AG$100)</f>
        <v>0</v>
      </c>
      <c r="Y111" s="85">
        <f t="shared" si="25"/>
        <v>0</v>
      </c>
      <c r="Z111" s="85">
        <f t="shared" si="29"/>
        <v>0</v>
      </c>
    </row>
    <row r="112" spans="2:26" x14ac:dyDescent="0.3">
      <c r="B112" s="72" t="s">
        <v>12</v>
      </c>
      <c r="C112" s="86">
        <f>SUM(C88:C111)</f>
        <v>0</v>
      </c>
      <c r="D112" s="86">
        <f t="shared" ref="D112:K112" si="30">SUM(D88:D111)</f>
        <v>6638942.5805933326</v>
      </c>
      <c r="E112" s="289">
        <f t="shared" si="30"/>
        <v>51007824.585248254</v>
      </c>
      <c r="F112" s="289">
        <f t="shared" si="30"/>
        <v>66098567.522160843</v>
      </c>
      <c r="G112" s="289">
        <f t="shared" si="30"/>
        <v>59872313.62629348</v>
      </c>
      <c r="H112" s="289">
        <f t="shared" si="30"/>
        <v>53690405.939407222</v>
      </c>
      <c r="I112" s="289">
        <f t="shared" si="30"/>
        <v>45272668.957399175</v>
      </c>
      <c r="J112" s="86">
        <f t="shared" si="30"/>
        <v>6541388.7243786221</v>
      </c>
      <c r="K112" s="86">
        <f t="shared" si="30"/>
        <v>0</v>
      </c>
      <c r="L112" s="86">
        <f t="shared" si="24"/>
        <v>275941780.63050896</v>
      </c>
      <c r="M112" s="86">
        <f>SUM(C112:K112)</f>
        <v>289122111.93548095</v>
      </c>
      <c r="N112" s="72"/>
      <c r="O112" s="72" t="s">
        <v>12</v>
      </c>
      <c r="P112" s="86">
        <f>SUM(P88:P111)</f>
        <v>0</v>
      </c>
      <c r="Q112" s="86">
        <f t="shared" ref="Q112:X112" si="31">SUM(Q88:Q111)</f>
        <v>540165.99520750297</v>
      </c>
      <c r="R112" s="289">
        <f t="shared" si="31"/>
        <v>52336917.319806941</v>
      </c>
      <c r="S112" s="289">
        <f t="shared" si="31"/>
        <v>44771212.813215926</v>
      </c>
      <c r="T112" s="289">
        <f t="shared" si="31"/>
        <v>81100495.278721169</v>
      </c>
      <c r="U112" s="289">
        <f t="shared" si="31"/>
        <v>41533355.613935031</v>
      </c>
      <c r="V112" s="289">
        <f t="shared" si="31"/>
        <v>59457524.461940996</v>
      </c>
      <c r="W112" s="86">
        <f t="shared" si="31"/>
        <v>69850.567974172794</v>
      </c>
      <c r="X112" s="86">
        <f t="shared" si="31"/>
        <v>9312589.8846791666</v>
      </c>
      <c r="Y112" s="86">
        <f t="shared" si="25"/>
        <v>279199505.48762006</v>
      </c>
      <c r="Z112" s="86">
        <f>SUM(P112:X112)</f>
        <v>289122111.93548083</v>
      </c>
    </row>
    <row r="114" spans="2:26" x14ac:dyDescent="0.3">
      <c r="D114" s="354">
        <v>41791</v>
      </c>
      <c r="E114" s="354">
        <v>41974</v>
      </c>
      <c r="F114" s="354">
        <v>42339</v>
      </c>
      <c r="G114" s="354">
        <v>42705</v>
      </c>
      <c r="H114" s="354">
        <v>43070</v>
      </c>
      <c r="I114" s="354">
        <v>43435</v>
      </c>
    </row>
    <row r="115" spans="2:26" x14ac:dyDescent="0.3">
      <c r="B115" s="1" t="s">
        <v>11</v>
      </c>
      <c r="E115" s="361">
        <f>1.025^0.5-1</f>
        <v>1.2422836565829209E-2</v>
      </c>
      <c r="F115" s="361">
        <v>2.5000000000000001E-2</v>
      </c>
      <c r="G115" s="361">
        <v>2.5000000000000001E-2</v>
      </c>
      <c r="H115" s="361">
        <v>2.5000000000000001E-2</v>
      </c>
      <c r="I115" s="361">
        <v>2.5000000000000001E-2</v>
      </c>
      <c r="J115" s="355"/>
    </row>
    <row r="116" spans="2:26" x14ac:dyDescent="0.3">
      <c r="D116" s="1">
        <v>1</v>
      </c>
      <c r="E116" s="1">
        <f>D116*(1+E115)</f>
        <v>1.0124228365658292</v>
      </c>
      <c r="F116" s="1">
        <f>E116*(1+F115)</f>
        <v>1.0377334074799749</v>
      </c>
      <c r="G116" s="1">
        <f>F116*(1+G115)</f>
        <v>1.0636767426669742</v>
      </c>
      <c r="H116" s="1">
        <f>G116*(1+H115)</f>
        <v>1.0902686612336485</v>
      </c>
      <c r="I116" s="1">
        <f>H116*(1+I115)</f>
        <v>1.1175253777644896</v>
      </c>
    </row>
    <row r="118" spans="2:26" x14ac:dyDescent="0.3">
      <c r="D118" s="360" t="s">
        <v>329</v>
      </c>
      <c r="E118" s="289">
        <f>E112*E116</f>
        <v>51641486.453649275</v>
      </c>
      <c r="F118" s="356">
        <f>F112*F116</f>
        <v>68592691.704317167</v>
      </c>
      <c r="G118" s="356">
        <f>G112*G116</f>
        <v>63684787.533951342</v>
      </c>
      <c r="H118" s="356">
        <f>H112*H116</f>
        <v>58536967.004648641</v>
      </c>
      <c r="I118" s="356">
        <f>I112*I116</f>
        <v>50593356.479024194</v>
      </c>
      <c r="L118" s="357">
        <f>SUM(E118:I118)</f>
        <v>293049289.17559057</v>
      </c>
      <c r="R118" s="356">
        <f>R112*E116</f>
        <v>52987090.290030219</v>
      </c>
      <c r="S118" s="356">
        <f>S112*F116</f>
        <v>46460583.229669675</v>
      </c>
      <c r="T118" s="356">
        <f>T112*G116</f>
        <v>86264710.646748453</v>
      </c>
      <c r="U118" s="356">
        <f>U112*H116</f>
        <v>45282516.021745987</v>
      </c>
      <c r="V118" s="356">
        <f>V112*I116</f>
        <v>66445292.48527199</v>
      </c>
      <c r="Y118" s="357">
        <f>SUM(R118:X118)</f>
        <v>297440192.67346632</v>
      </c>
    </row>
    <row r="122" spans="2:26" s="20" customFormat="1" x14ac:dyDescent="0.3"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4" spans="2:26" x14ac:dyDescent="0.3">
      <c r="K124" s="491" t="s">
        <v>331</v>
      </c>
      <c r="L124" s="493">
        <f>L28</f>
        <v>249527631.75011599</v>
      </c>
      <c r="M124" s="493"/>
    </row>
    <row r="125" spans="2:26" x14ac:dyDescent="0.3">
      <c r="K125" s="491" t="s">
        <v>332</v>
      </c>
      <c r="L125" s="493">
        <f>L56-L28</f>
        <v>4122823.4644905925</v>
      </c>
      <c r="M125" s="355">
        <f>L125/L124</f>
        <v>1.6522512699592741E-2</v>
      </c>
      <c r="N125" s="1" t="s">
        <v>478</v>
      </c>
    </row>
    <row r="126" spans="2:26" x14ac:dyDescent="0.3">
      <c r="K126" s="491" t="s">
        <v>333</v>
      </c>
      <c r="L126" s="493">
        <f>L84-L56</f>
        <v>9275944.8547025323</v>
      </c>
      <c r="M126" s="493"/>
    </row>
    <row r="127" spans="2:26" x14ac:dyDescent="0.3">
      <c r="K127" s="491" t="s">
        <v>334</v>
      </c>
      <c r="L127" s="493">
        <f>L112-L84</f>
        <v>13015380.561199844</v>
      </c>
      <c r="M127" s="493"/>
    </row>
    <row r="128" spans="2:26" x14ac:dyDescent="0.3">
      <c r="K128" s="491" t="s">
        <v>335</v>
      </c>
      <c r="L128" s="493">
        <f>L124+L125+L126+L127</f>
        <v>275941780.63050896</v>
      </c>
      <c r="M128" s="493"/>
    </row>
    <row r="129" spans="11:13" x14ac:dyDescent="0.3">
      <c r="L129" s="492" t="str">
        <f>IF(L112=L128,"OK","ERROR")</f>
        <v>OK</v>
      </c>
    </row>
    <row r="131" spans="11:13" x14ac:dyDescent="0.3">
      <c r="K131" s="491"/>
      <c r="L131" s="493"/>
      <c r="M131" s="493"/>
    </row>
    <row r="132" spans="11:13" x14ac:dyDescent="0.3">
      <c r="K132" s="491"/>
      <c r="L132" s="493"/>
      <c r="M132" s="355"/>
    </row>
    <row r="133" spans="11:13" x14ac:dyDescent="0.3">
      <c r="K133" s="491"/>
      <c r="L133" s="493"/>
      <c r="M133" s="493"/>
    </row>
    <row r="134" spans="11:13" x14ac:dyDescent="0.3">
      <c r="K134" s="491"/>
      <c r="L134" s="493"/>
      <c r="M134" s="493"/>
    </row>
    <row r="135" spans="11:13" x14ac:dyDescent="0.3">
      <c r="K135" s="491"/>
      <c r="L135" s="493"/>
      <c r="M135" s="493"/>
    </row>
    <row r="136" spans="11:13" x14ac:dyDescent="0.3">
      <c r="L136" s="492"/>
    </row>
  </sheetData>
  <mergeCells count="1">
    <mergeCell ref="B1:Z1"/>
  </mergeCells>
  <printOptions horizontalCentered="1"/>
  <pageMargins left="0.39370078740157483" right="0.39370078740157483" top="0.78740157480314965" bottom="0.39370078740157483" header="0" footer="0"/>
  <pageSetup paperSize="8" orientation="portrait" blackAndWhite="1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5"/>
  <sheetViews>
    <sheetView topLeftCell="A76" zoomScale="85" zoomScaleNormal="85" workbookViewId="0">
      <selection activeCell="P101" sqref="P101"/>
    </sheetView>
  </sheetViews>
  <sheetFormatPr defaultColWidth="9.109375" defaultRowHeight="13.8" x14ac:dyDescent="0.3"/>
  <cols>
    <col min="1" max="1" width="9.88671875" style="1" customWidth="1"/>
    <col min="2" max="2" width="25.6640625" style="1" customWidth="1"/>
    <col min="3" max="13" width="8.5546875" style="1" customWidth="1"/>
    <col min="14" max="14" width="2.88671875" style="1" customWidth="1"/>
    <col min="15" max="15" width="25.6640625" style="1" customWidth="1"/>
    <col min="16" max="26" width="8.5546875" style="1" customWidth="1"/>
    <col min="27" max="16384" width="9.109375" style="1"/>
  </cols>
  <sheetData>
    <row r="1" spans="2:26" ht="35.25" customHeight="1" x14ac:dyDescent="0.7">
      <c r="B1" s="602" t="s">
        <v>95</v>
      </c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</row>
    <row r="2" spans="2:26" ht="14.4" thickBot="1" x14ac:dyDescent="0.35">
      <c r="B2" s="87" t="str">
        <f>'Asset Class Summary'!B2</f>
        <v>Spend - Base Costs ($m)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7" t="str">
        <f>'Asset Class Summary'!O2</f>
        <v>Commission - Base Costs ($m)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2:26" ht="42.6" thickBot="1" x14ac:dyDescent="0.35">
      <c r="B3" s="88"/>
      <c r="C3" s="182" t="str">
        <f t="array" ref="C3:K3">'Input Data Sheet'!Q3:Y3</f>
        <v>2012/13</v>
      </c>
      <c r="D3" s="183" t="str">
        <v>2013/14</v>
      </c>
      <c r="E3" s="290" t="str">
        <v>2014/15</v>
      </c>
      <c r="F3" s="290" t="str">
        <v>2015/16</v>
      </c>
      <c r="G3" s="290" t="str">
        <v>2016/17</v>
      </c>
      <c r="H3" s="290" t="str">
        <v>2017/18</v>
      </c>
      <c r="I3" s="290" t="str">
        <v>2018/19</v>
      </c>
      <c r="J3" s="183" t="str">
        <v>2019/20</v>
      </c>
      <c r="K3" s="184" t="str">
        <v>2020/21</v>
      </c>
      <c r="L3" s="410" t="str">
        <f>'Asset Class Summary'!L3</f>
        <v>2014-19
Total</v>
      </c>
      <c r="M3" s="411" t="s">
        <v>12</v>
      </c>
      <c r="N3" s="88"/>
      <c r="O3" s="88"/>
      <c r="P3" s="182" t="str">
        <f t="array" ref="P3:X3">C3:K3</f>
        <v>2012/13</v>
      </c>
      <c r="Q3" s="183" t="str">
        <v>2013/14</v>
      </c>
      <c r="R3" s="290" t="str">
        <v>2014/15</v>
      </c>
      <c r="S3" s="290" t="str">
        <v>2015/16</v>
      </c>
      <c r="T3" s="290" t="str">
        <v>2016/17</v>
      </c>
      <c r="U3" s="290" t="str">
        <v>2017/18</v>
      </c>
      <c r="V3" s="290" t="str">
        <v>2018/19</v>
      </c>
      <c r="W3" s="183" t="str">
        <v>2019/20</v>
      </c>
      <c r="X3" s="184" t="str">
        <v>2020/21</v>
      </c>
      <c r="Y3" s="410" t="str">
        <f>$L$3</f>
        <v>2014-19
Total</v>
      </c>
      <c r="Z3" s="411" t="s">
        <v>12</v>
      </c>
    </row>
    <row r="4" spans="2:26" ht="13.95" x14ac:dyDescent="0.3">
      <c r="B4" s="89" t="str">
        <f t="array" ref="B4:B19">Parameters!N65:N80</f>
        <v>Augmentation</v>
      </c>
      <c r="C4" s="90">
        <f>SUMIF('Base Costs'!$C$4:$C$100,$B4,'Base Costs'!P$4:P$100)</f>
        <v>0</v>
      </c>
      <c r="D4" s="91">
        <f>SUMIF('Base Costs'!$C$4:$C$100,$B4,'Base Costs'!Q$4:Q$100)</f>
        <v>0</v>
      </c>
      <c r="E4" s="291">
        <f>SUMIF('Base Costs'!$C$4:$C$100,$B4,'Base Costs'!R$4:R$100)</f>
        <v>341956</v>
      </c>
      <c r="F4" s="291">
        <f>SUMIF('Base Costs'!$C$4:$C$100,$B4,'Base Costs'!S$4:S$100)</f>
        <v>4207566</v>
      </c>
      <c r="G4" s="291">
        <f>SUMIF('Base Costs'!$C$4:$C$100,$B4,'Base Costs'!T$4:T$100)</f>
        <v>9971951</v>
      </c>
      <c r="H4" s="291">
        <f>SUMIF('Base Costs'!$C$4:$C$100,$B4,'Base Costs'!U$4:U$100)</f>
        <v>7950466</v>
      </c>
      <c r="I4" s="291">
        <f>SUMIF('Base Costs'!$C$4:$C$100,$B4,'Base Costs'!V$4:V$100)</f>
        <v>9680775</v>
      </c>
      <c r="J4" s="91">
        <f>SUMIF('Base Costs'!$C$4:$C$100,$B4,'Base Costs'!W$4:W$100)</f>
        <v>0</v>
      </c>
      <c r="K4" s="92">
        <f>SUMIF('Base Costs'!$C$4:$C$100,$B4,'Base Costs'!X$4:X$100)</f>
        <v>0</v>
      </c>
      <c r="L4" s="92">
        <f t="shared" ref="L4:L20" si="0">SUM(E4:I4)</f>
        <v>32152714</v>
      </c>
      <c r="M4" s="92">
        <f>SUM(C4:K4)</f>
        <v>32152714</v>
      </c>
      <c r="N4" s="88"/>
      <c r="O4" s="89" t="str">
        <f t="array" ref="O4:O19">$B$4:$B$19</f>
        <v>Augmentation</v>
      </c>
      <c r="P4" s="90">
        <f>SUMIF('Base Costs'!$C$4:$C$100,$B4,'Base Costs'!Y$4:Y$100)</f>
        <v>0</v>
      </c>
      <c r="Q4" s="91">
        <f>SUMIF('Base Costs'!$C$4:$C$100,$B4,'Base Costs'!Z$4:Z$100)</f>
        <v>0</v>
      </c>
      <c r="R4" s="291">
        <f>SUMIF('Base Costs'!$C$4:$C$100,$B4,'Base Costs'!AA$4:AA$100)</f>
        <v>0</v>
      </c>
      <c r="S4" s="291">
        <f>SUMIF('Base Costs'!$C$4:$C$100,$B4,'Base Costs'!AB$4:AB$100)</f>
        <v>0</v>
      </c>
      <c r="T4" s="291">
        <f>SUMIF('Base Costs'!$C$4:$C$100,$B4,'Base Costs'!AC$4:AC$100)</f>
        <v>13968430</v>
      </c>
      <c r="U4" s="291">
        <f>SUMIF('Base Costs'!$C$4:$C$100,$B4,'Base Costs'!AD$4:AD$100)</f>
        <v>0</v>
      </c>
      <c r="V4" s="291">
        <f>SUMIF('Base Costs'!$C$4:$C$100,$B4,'Base Costs'!AE$4:AE$100)</f>
        <v>18184284</v>
      </c>
      <c r="W4" s="91">
        <f>SUMIF('Base Costs'!$C$4:$C$100,$B4,'Base Costs'!AF$4:AF$100)</f>
        <v>0</v>
      </c>
      <c r="X4" s="92">
        <f>SUMIF('Base Costs'!$C$4:$C$100,$B4,'Base Costs'!AG$4:AG$100)</f>
        <v>0</v>
      </c>
      <c r="Y4" s="92">
        <f t="shared" ref="Y4:Y20" si="1">SUM(R4:V4)</f>
        <v>32152714</v>
      </c>
      <c r="Z4" s="92">
        <f>SUM(P4:X4)</f>
        <v>32152714</v>
      </c>
    </row>
    <row r="5" spans="2:26" ht="13.95" x14ac:dyDescent="0.3">
      <c r="B5" s="93" t="str">
        <v>Connection</v>
      </c>
      <c r="C5" s="94">
        <f>SUMIF('Base Costs'!$C$4:$C$100,$B5,'Base Costs'!P$4:P$100)</f>
        <v>0</v>
      </c>
      <c r="D5" s="95">
        <f>SUMIF('Base Costs'!$C$4:$C$100,$B5,'Base Costs'!Q$4:Q$100)</f>
        <v>0</v>
      </c>
      <c r="E5" s="292">
        <f>SUMIF('Base Costs'!$C$4:$C$100,$B5,'Base Costs'!R$4:R$100)</f>
        <v>2604111</v>
      </c>
      <c r="F5" s="292">
        <f>SUMIF('Base Costs'!$C$4:$C$100,$B5,'Base Costs'!S$4:S$100)</f>
        <v>10122937</v>
      </c>
      <c r="G5" s="292">
        <f>SUMIF('Base Costs'!$C$4:$C$100,$B5,'Base Costs'!T$4:T$100)</f>
        <v>3399458</v>
      </c>
      <c r="H5" s="292">
        <f>SUMIF('Base Costs'!$C$4:$C$100,$B5,'Base Costs'!U$4:U$100)</f>
        <v>964774</v>
      </c>
      <c r="I5" s="292">
        <f>SUMIF('Base Costs'!$C$4:$C$100,$B5,'Base Costs'!V$4:V$100)</f>
        <v>0</v>
      </c>
      <c r="J5" s="95">
        <f>SUMIF('Base Costs'!$C$4:$C$100,$B5,'Base Costs'!W$4:W$100)</f>
        <v>0</v>
      </c>
      <c r="K5" s="96">
        <f>SUMIF('Base Costs'!$C$4:$C$100,$B5,'Base Costs'!X$4:X$100)</f>
        <v>0</v>
      </c>
      <c r="L5" s="96">
        <f t="shared" si="0"/>
        <v>17091280</v>
      </c>
      <c r="M5" s="96">
        <f>SUM(C5:K5)</f>
        <v>17091280</v>
      </c>
      <c r="N5" s="88"/>
      <c r="O5" s="93" t="str">
        <v>Connection</v>
      </c>
      <c r="P5" s="94">
        <f>SUMIF('Base Costs'!$C$4:$C$100,$B5,'Base Costs'!Y$4:Y$100)</f>
        <v>0</v>
      </c>
      <c r="Q5" s="95">
        <f>SUMIF('Base Costs'!$C$4:$C$100,$B5,'Base Costs'!Z$4:Z$100)</f>
        <v>0</v>
      </c>
      <c r="R5" s="292">
        <f>SUMIF('Base Costs'!$C$4:$C$100,$B5,'Base Costs'!AA$4:AA$100)</f>
        <v>1397334</v>
      </c>
      <c r="S5" s="292">
        <f>SUMIF('Base Costs'!$C$4:$C$100,$B5,'Base Costs'!AB$4:AB$100)</f>
        <v>2595282</v>
      </c>
      <c r="T5" s="292">
        <f>SUMIF('Base Costs'!$C$4:$C$100,$B5,'Base Costs'!AC$4:AC$100)</f>
        <v>9826693</v>
      </c>
      <c r="U5" s="292">
        <f>SUMIF('Base Costs'!$C$4:$C$100,$B5,'Base Costs'!AD$4:AD$100)</f>
        <v>3271971</v>
      </c>
      <c r="V5" s="292">
        <f>SUMIF('Base Costs'!$C$4:$C$100,$B5,'Base Costs'!AE$4:AE$100)</f>
        <v>0</v>
      </c>
      <c r="W5" s="95">
        <f>SUMIF('Base Costs'!$C$4:$C$100,$B5,'Base Costs'!AF$4:AF$100)</f>
        <v>0</v>
      </c>
      <c r="X5" s="96">
        <f>SUMIF('Base Costs'!$C$4:$C$100,$B5,'Base Costs'!AG$4:AG$100)</f>
        <v>0</v>
      </c>
      <c r="Y5" s="96">
        <f t="shared" si="1"/>
        <v>17091280</v>
      </c>
      <c r="Z5" s="96">
        <f t="shared" ref="Z5:Z19" si="2">SUM(P5:X5)</f>
        <v>17091280</v>
      </c>
    </row>
    <row r="6" spans="2:26" ht="13.95" x14ac:dyDescent="0.3">
      <c r="B6" s="93" t="str">
        <v>Land and Easements</v>
      </c>
      <c r="C6" s="94">
        <f>SUMIF('Base Costs'!$C$4:$C$100,$B6,'Base Costs'!P$4:P$100)</f>
        <v>0</v>
      </c>
      <c r="D6" s="95">
        <f>SUMIF('Base Costs'!$C$4:$C$100,$B6,'Base Costs'!Q$4:Q$100)</f>
        <v>482246.13123609993</v>
      </c>
      <c r="E6" s="292">
        <f>SUMIF('Base Costs'!$C$4:$C$100,$B6,'Base Costs'!R$4:R$100)</f>
        <v>0</v>
      </c>
      <c r="F6" s="292">
        <f>SUMIF('Base Costs'!$C$4:$C$100,$B6,'Base Costs'!S$4:S$100)</f>
        <v>0</v>
      </c>
      <c r="G6" s="292">
        <f>SUMIF('Base Costs'!$C$4:$C$100,$B6,'Base Costs'!T$4:T$100)</f>
        <v>0</v>
      </c>
      <c r="H6" s="292">
        <f>SUMIF('Base Costs'!$C$4:$C$100,$B6,'Base Costs'!U$4:U$100)</f>
        <v>0</v>
      </c>
      <c r="I6" s="292">
        <f>SUMIF('Base Costs'!$C$4:$C$100,$B6,'Base Costs'!V$4:V$100)</f>
        <v>0</v>
      </c>
      <c r="J6" s="95">
        <f>SUMIF('Base Costs'!$C$4:$C$100,$B6,'Base Costs'!W$4:W$100)</f>
        <v>0</v>
      </c>
      <c r="K6" s="96">
        <f>SUMIF('Base Costs'!$C$4:$C$100,$B6,'Base Costs'!X$4:X$100)</f>
        <v>0</v>
      </c>
      <c r="L6" s="96">
        <f t="shared" si="0"/>
        <v>0</v>
      </c>
      <c r="M6" s="96">
        <f t="shared" ref="M6:M19" si="3">SUM(C6:K6)</f>
        <v>482246.13123609993</v>
      </c>
      <c r="N6" s="88"/>
      <c r="O6" s="93" t="str">
        <v>Land and Easements</v>
      </c>
      <c r="P6" s="94">
        <f>SUMIF('Base Costs'!$C$4:$C$100,$B6,'Base Costs'!Y$4:Y$100)</f>
        <v>0</v>
      </c>
      <c r="Q6" s="95">
        <f>SUMIF('Base Costs'!$C$4:$C$100,$B6,'Base Costs'!Z$4:Z$100)</f>
        <v>482246.13123609993</v>
      </c>
      <c r="R6" s="292">
        <f>SUMIF('Base Costs'!$C$4:$C$100,$B6,'Base Costs'!AA$4:AA$100)</f>
        <v>0</v>
      </c>
      <c r="S6" s="292">
        <f>SUMIF('Base Costs'!$C$4:$C$100,$B6,'Base Costs'!AB$4:AB$100)</f>
        <v>0</v>
      </c>
      <c r="T6" s="292">
        <f>SUMIF('Base Costs'!$C$4:$C$100,$B6,'Base Costs'!AC$4:AC$100)</f>
        <v>0</v>
      </c>
      <c r="U6" s="292">
        <f>SUMIF('Base Costs'!$C$4:$C$100,$B6,'Base Costs'!AD$4:AD$100)</f>
        <v>0</v>
      </c>
      <c r="V6" s="292">
        <f>SUMIF('Base Costs'!$C$4:$C$100,$B6,'Base Costs'!AE$4:AE$100)</f>
        <v>0</v>
      </c>
      <c r="W6" s="95">
        <f>SUMIF('Base Costs'!$C$4:$C$100,$B6,'Base Costs'!AF$4:AF$100)</f>
        <v>0</v>
      </c>
      <c r="X6" s="96">
        <f>SUMIF('Base Costs'!$C$4:$C$100,$B6,'Base Costs'!AG$4:AG$100)</f>
        <v>0</v>
      </c>
      <c r="Y6" s="96">
        <f t="shared" si="1"/>
        <v>0</v>
      </c>
      <c r="Z6" s="96">
        <f t="shared" si="2"/>
        <v>482246.13123609993</v>
      </c>
    </row>
    <row r="7" spans="2:26" ht="13.95" x14ac:dyDescent="0.3">
      <c r="B7" s="93" t="str">
        <v>Asset Renewal</v>
      </c>
      <c r="C7" s="94">
        <f>SUMIF('Base Costs'!$C$4:$C$100,$B7,'Base Costs'!P$4:P$100)</f>
        <v>0</v>
      </c>
      <c r="D7" s="95">
        <f>SUMIF('Base Costs'!$C$4:$C$100,$B7,'Base Costs'!Q$4:Q$100)</f>
        <v>5646584.2648761515</v>
      </c>
      <c r="E7" s="292">
        <f>SUMIF('Base Costs'!$C$4:$C$100,$B7,'Base Costs'!R$4:R$100)</f>
        <v>31544572.198111419</v>
      </c>
      <c r="F7" s="292">
        <f>SUMIF('Base Costs'!$C$4:$C$100,$B7,'Base Costs'!S$4:S$100)</f>
        <v>23825574.625000004</v>
      </c>
      <c r="G7" s="292">
        <f>SUMIF('Base Costs'!$C$4:$C$100,$B7,'Base Costs'!T$4:T$100)</f>
        <v>25309312.625000004</v>
      </c>
      <c r="H7" s="292">
        <f>SUMIF('Base Costs'!$C$4:$C$100,$B7,'Base Costs'!U$4:U$100)</f>
        <v>28931410.625000004</v>
      </c>
      <c r="I7" s="292">
        <f>SUMIF('Base Costs'!$C$4:$C$100,$B7,'Base Costs'!V$4:V$100)</f>
        <v>21266037.625000004</v>
      </c>
      <c r="J7" s="95">
        <f>SUMIF('Base Costs'!$C$4:$C$100,$B7,'Base Costs'!W$4:W$100)</f>
        <v>5789312</v>
      </c>
      <c r="K7" s="96">
        <f>SUMIF('Base Costs'!$C$4:$C$100,$B7,'Base Costs'!X$4:X$100)</f>
        <v>0</v>
      </c>
      <c r="L7" s="96">
        <f t="shared" si="0"/>
        <v>130876907.69811143</v>
      </c>
      <c r="M7" s="96">
        <f t="shared" si="3"/>
        <v>142312803.96298757</v>
      </c>
      <c r="N7" s="88"/>
      <c r="O7" s="93" t="str">
        <v>Asset Renewal</v>
      </c>
      <c r="P7" s="94">
        <f>SUMIF('Base Costs'!$C$4:$C$100,$B7,'Base Costs'!Y$4:Y$100)</f>
        <v>0</v>
      </c>
      <c r="Q7" s="95">
        <f>SUMIF('Base Costs'!$C$4:$C$100,$B7,'Base Costs'!Z$4:Z$100)</f>
        <v>0</v>
      </c>
      <c r="R7" s="292">
        <f>SUMIF('Base Costs'!$C$4:$C$100,$B7,'Base Costs'!AA$4:AA$100)</f>
        <v>36067886.462987565</v>
      </c>
      <c r="S7" s="292">
        <f>SUMIF('Base Costs'!$C$4:$C$100,$B7,'Base Costs'!AB$4:AB$100)</f>
        <v>23948844.625000004</v>
      </c>
      <c r="T7" s="292">
        <f>SUMIF('Base Costs'!$C$4:$C$100,$B7,'Base Costs'!AC$4:AC$100)</f>
        <v>25921506.625000004</v>
      </c>
      <c r="U7" s="292">
        <f>SUMIF('Base Costs'!$C$4:$C$100,$B7,'Base Costs'!AD$4:AD$100)</f>
        <v>23208935.625000004</v>
      </c>
      <c r="V7" s="292">
        <f>SUMIF('Base Costs'!$C$4:$C$100,$B7,'Base Costs'!AE$4:AE$100)</f>
        <v>24861907.625000004</v>
      </c>
      <c r="W7" s="95">
        <f>SUMIF('Base Costs'!$C$4:$C$100,$B7,'Base Costs'!AF$4:AF$100)</f>
        <v>61818</v>
      </c>
      <c r="X7" s="96">
        <f>SUMIF('Base Costs'!$C$4:$C$100,$B7,'Base Costs'!AG$4:AG$100)</f>
        <v>8241905</v>
      </c>
      <c r="Y7" s="96">
        <f t="shared" si="1"/>
        <v>134009080.96298757</v>
      </c>
      <c r="Z7" s="96">
        <f t="shared" si="2"/>
        <v>142312803.96298757</v>
      </c>
    </row>
    <row r="8" spans="2:26" ht="13.95" x14ac:dyDescent="0.3">
      <c r="B8" s="93" t="str">
        <v>Physical Security / Compliance</v>
      </c>
      <c r="C8" s="94">
        <f>SUMIF('Base Costs'!$C$4:$C$100,$B8,'Base Costs'!P$4:P$100)</f>
        <v>0</v>
      </c>
      <c r="D8" s="95">
        <f>SUMIF('Base Costs'!$C$4:$C$100,$B8,'Base Costs'!Q$4:Q$100)</f>
        <v>0</v>
      </c>
      <c r="E8" s="292">
        <f>SUMIF('Base Costs'!$C$4:$C$100,$B8,'Base Costs'!R$4:R$100)</f>
        <v>2250028</v>
      </c>
      <c r="F8" s="292">
        <f>SUMIF('Base Costs'!$C$4:$C$100,$B8,'Base Costs'!S$4:S$100)</f>
        <v>2634246.75</v>
      </c>
      <c r="G8" s="292">
        <f>SUMIF('Base Costs'!$C$4:$C$100,$B8,'Base Costs'!T$4:T$100)</f>
        <v>2634246.75</v>
      </c>
      <c r="H8" s="292">
        <f>SUMIF('Base Costs'!$C$4:$C$100,$B8,'Base Costs'!U$4:U$100)</f>
        <v>2634246.75</v>
      </c>
      <c r="I8" s="292">
        <f>SUMIF('Base Costs'!$C$4:$C$100,$B8,'Base Costs'!V$4:V$100)</f>
        <v>2634246.75</v>
      </c>
      <c r="J8" s="95">
        <f>SUMIF('Base Costs'!$C$4:$C$100,$B8,'Base Costs'!W$4:W$100)</f>
        <v>0</v>
      </c>
      <c r="K8" s="96">
        <f>SUMIF('Base Costs'!$C$4:$C$100,$B8,'Base Costs'!X$4:X$100)</f>
        <v>0</v>
      </c>
      <c r="L8" s="96">
        <f t="shared" si="0"/>
        <v>12787015</v>
      </c>
      <c r="M8" s="96">
        <f t="shared" si="3"/>
        <v>12787015</v>
      </c>
      <c r="N8" s="88"/>
      <c r="O8" s="93" t="str">
        <v>Physical Security / Compliance</v>
      </c>
      <c r="P8" s="94">
        <f>SUMIF('Base Costs'!$C$4:$C$100,$B8,'Base Costs'!Y$4:Y$100)</f>
        <v>0</v>
      </c>
      <c r="Q8" s="95">
        <f>SUMIF('Base Costs'!$C$4:$C$100,$B8,'Base Costs'!Z$4:Z$100)</f>
        <v>0</v>
      </c>
      <c r="R8" s="292">
        <f>SUMIF('Base Costs'!$C$4:$C$100,$B8,'Base Costs'!AA$4:AA$100)</f>
        <v>2250028</v>
      </c>
      <c r="S8" s="292">
        <f>SUMIF('Base Costs'!$C$4:$C$100,$B8,'Base Costs'!AB$4:AB$100)</f>
        <v>2634246.75</v>
      </c>
      <c r="T8" s="292">
        <f>SUMIF('Base Costs'!$C$4:$C$100,$B8,'Base Costs'!AC$4:AC$100)</f>
        <v>2634246.75</v>
      </c>
      <c r="U8" s="292">
        <f>SUMIF('Base Costs'!$C$4:$C$100,$B8,'Base Costs'!AD$4:AD$100)</f>
        <v>2634246.75</v>
      </c>
      <c r="V8" s="292">
        <f>SUMIF('Base Costs'!$C$4:$C$100,$B8,'Base Costs'!AE$4:AE$100)</f>
        <v>2634246.75</v>
      </c>
      <c r="W8" s="95">
        <f>SUMIF('Base Costs'!$C$4:$C$100,$B8,'Base Costs'!AF$4:AF$100)</f>
        <v>0</v>
      </c>
      <c r="X8" s="96">
        <f>SUMIF('Base Costs'!$C$4:$C$100,$B8,'Base Costs'!AG$4:AG$100)</f>
        <v>0</v>
      </c>
      <c r="Y8" s="96">
        <f t="shared" si="1"/>
        <v>12787015</v>
      </c>
      <c r="Z8" s="96">
        <f t="shared" si="2"/>
        <v>12787015</v>
      </c>
    </row>
    <row r="9" spans="2:26" ht="13.95" x14ac:dyDescent="0.3">
      <c r="B9" s="93" t="str">
        <v>Inventory / Spares</v>
      </c>
      <c r="C9" s="94">
        <f>SUMIF('Base Costs'!$C$4:$C$100,$B9,'Base Costs'!P$4:P$100)</f>
        <v>0</v>
      </c>
      <c r="D9" s="95">
        <f>SUMIF('Base Costs'!$C$4:$C$100,$B9,'Base Costs'!Q$4:Q$100)</f>
        <v>0</v>
      </c>
      <c r="E9" s="292">
        <f>SUMIF('Base Costs'!$C$4:$C$100,$B9,'Base Costs'!R$4:R$100)</f>
        <v>1420510</v>
      </c>
      <c r="F9" s="292">
        <f>SUMIF('Base Costs'!$C$4:$C$100,$B9,'Base Costs'!S$4:S$100)</f>
        <v>7817892</v>
      </c>
      <c r="G9" s="292">
        <f>SUMIF('Base Costs'!$C$4:$C$100,$B9,'Base Costs'!T$4:T$100)</f>
        <v>4002051</v>
      </c>
      <c r="H9" s="292">
        <f>SUMIF('Base Costs'!$C$4:$C$100,$B9,'Base Costs'!U$4:U$100)</f>
        <v>162220</v>
      </c>
      <c r="I9" s="292">
        <f>SUMIF('Base Costs'!$C$4:$C$100,$B9,'Base Costs'!V$4:V$100)</f>
        <v>162220</v>
      </c>
      <c r="J9" s="95">
        <f>SUMIF('Base Costs'!$C$4:$C$100,$B9,'Base Costs'!W$4:W$100)</f>
        <v>0</v>
      </c>
      <c r="K9" s="96">
        <f>SUMIF('Base Costs'!$C$4:$C$100,$B9,'Base Costs'!X$4:X$100)</f>
        <v>0</v>
      </c>
      <c r="L9" s="96">
        <f t="shared" si="0"/>
        <v>13564893</v>
      </c>
      <c r="M9" s="96">
        <f t="shared" si="3"/>
        <v>13564893</v>
      </c>
      <c r="N9" s="88"/>
      <c r="O9" s="93" t="str">
        <v>Inventory / Spares</v>
      </c>
      <c r="P9" s="94">
        <f>SUMIF('Base Costs'!$C$4:$C$100,$B9,'Base Costs'!Y$4:Y$100)</f>
        <v>0</v>
      </c>
      <c r="Q9" s="95">
        <f>SUMIF('Base Costs'!$C$4:$C$100,$B9,'Base Costs'!Z$4:Z$100)</f>
        <v>0</v>
      </c>
      <c r="R9" s="292">
        <f>SUMIF('Base Costs'!$C$4:$C$100,$B9,'Base Costs'!AA$4:AA$100)</f>
        <v>162220</v>
      </c>
      <c r="S9" s="292">
        <f>SUMIF('Base Costs'!$C$4:$C$100,$B9,'Base Costs'!AB$4:AB$100)</f>
        <v>812220</v>
      </c>
      <c r="T9" s="292">
        <f>SUMIF('Base Costs'!$C$4:$C$100,$B9,'Base Costs'!AC$4:AC$100)</f>
        <v>12266013</v>
      </c>
      <c r="U9" s="292">
        <f>SUMIF('Base Costs'!$C$4:$C$100,$B9,'Base Costs'!AD$4:AD$100)</f>
        <v>162220</v>
      </c>
      <c r="V9" s="292">
        <f>SUMIF('Base Costs'!$C$4:$C$100,$B9,'Base Costs'!AE$4:AE$100)</f>
        <v>162220</v>
      </c>
      <c r="W9" s="95">
        <f>SUMIF('Base Costs'!$C$4:$C$100,$B9,'Base Costs'!AF$4:AF$100)</f>
        <v>0</v>
      </c>
      <c r="X9" s="96">
        <f>SUMIF('Base Costs'!$C$4:$C$100,$B9,'Base Costs'!AG$4:AG$100)</f>
        <v>0</v>
      </c>
      <c r="Y9" s="96">
        <f t="shared" si="1"/>
        <v>13564893</v>
      </c>
      <c r="Z9" s="96">
        <f t="shared" si="2"/>
        <v>13564893</v>
      </c>
    </row>
    <row r="10" spans="2:26" ht="13.95" x14ac:dyDescent="0.3">
      <c r="B10" s="93" t="str">
        <v>Operational Support Systems</v>
      </c>
      <c r="C10" s="94">
        <f>SUMIF('Base Costs'!$C$4:$C$100,$B10,'Base Costs'!P$4:P$100)</f>
        <v>0</v>
      </c>
      <c r="D10" s="95">
        <f>SUMIF('Base Costs'!$C$4:$C$100,$B10,'Base Costs'!Q$4:Q$100)</f>
        <v>36041</v>
      </c>
      <c r="E10" s="292">
        <f>SUMIF('Base Costs'!$C$4:$C$100,$B10,'Base Costs'!R$4:R$100)</f>
        <v>6618609.9835550915</v>
      </c>
      <c r="F10" s="292">
        <f>SUMIF('Base Costs'!$C$4:$C$100,$B10,'Base Costs'!S$4:S$100)</f>
        <v>8718510.0799999982</v>
      </c>
      <c r="G10" s="292">
        <f>SUMIF('Base Costs'!$C$4:$C$100,$B10,'Base Costs'!T$4:T$100)</f>
        <v>6330243.04</v>
      </c>
      <c r="H10" s="292">
        <f>SUMIF('Base Costs'!$C$4:$C$100,$B10,'Base Costs'!U$4:U$100)</f>
        <v>4862487.84</v>
      </c>
      <c r="I10" s="292">
        <f>SUMIF('Base Costs'!$C$4:$C$100,$B10,'Base Costs'!V$4:V$100)</f>
        <v>4435915.1199999992</v>
      </c>
      <c r="J10" s="95">
        <f>SUMIF('Base Costs'!$C$4:$C$100,$B10,'Base Costs'!W$4:W$100)</f>
        <v>0</v>
      </c>
      <c r="K10" s="96">
        <f>SUMIF('Base Costs'!$C$4:$C$100,$B10,'Base Costs'!X$4:X$100)</f>
        <v>0</v>
      </c>
      <c r="L10" s="96">
        <f t="shared" si="0"/>
        <v>30965766.063555092</v>
      </c>
      <c r="M10" s="96">
        <f t="shared" si="3"/>
        <v>31001807.063555092</v>
      </c>
      <c r="N10" s="88"/>
      <c r="O10" s="93" t="str">
        <v>Operational Support Systems</v>
      </c>
      <c r="P10" s="94">
        <f>SUMIF('Base Costs'!$C$4:$C$100,$B10,'Base Costs'!Y$4:Y$100)</f>
        <v>0</v>
      </c>
      <c r="Q10" s="95">
        <f>SUMIF('Base Costs'!$C$4:$C$100,$B10,'Base Costs'!Z$4:Z$100)</f>
        <v>36041</v>
      </c>
      <c r="R10" s="292">
        <f>SUMIF('Base Costs'!$C$4:$C$100,$B10,'Base Costs'!AA$4:AA$100)</f>
        <v>6463609.9835550915</v>
      </c>
      <c r="S10" s="292">
        <f>SUMIF('Base Costs'!$C$4:$C$100,$B10,'Base Costs'!AB$4:AB$100)</f>
        <v>8238510.0799999991</v>
      </c>
      <c r="T10" s="292">
        <f>SUMIF('Base Costs'!$C$4:$C$100,$B10,'Base Costs'!AC$4:AC$100)</f>
        <v>6065243.04</v>
      </c>
      <c r="U10" s="292">
        <f>SUMIF('Base Costs'!$C$4:$C$100,$B10,'Base Costs'!AD$4:AD$100)</f>
        <v>5762487.8399999999</v>
      </c>
      <c r="V10" s="292">
        <f>SUMIF('Base Costs'!$C$4:$C$100,$B10,'Base Costs'!AE$4:AE$100)</f>
        <v>4435915.1199999992</v>
      </c>
      <c r="W10" s="95">
        <f>SUMIF('Base Costs'!$C$4:$C$100,$B10,'Base Costs'!AF$4:AF$100)</f>
        <v>0</v>
      </c>
      <c r="X10" s="96">
        <f>SUMIF('Base Costs'!$C$4:$C$100,$B10,'Base Costs'!AG$4:AG$100)</f>
        <v>0</v>
      </c>
      <c r="Y10" s="96">
        <f t="shared" si="1"/>
        <v>30965766.063555092</v>
      </c>
      <c r="Z10" s="96">
        <f t="shared" si="2"/>
        <v>31001807.063555092</v>
      </c>
    </row>
    <row r="11" spans="2:26" ht="13.95" x14ac:dyDescent="0.3">
      <c r="B11" s="93" t="str">
        <v>Information Technology</v>
      </c>
      <c r="C11" s="94">
        <f>SUMIF('Base Costs'!$C$4:$C$100,$B11,'Base Costs'!P$4:P$100)</f>
        <v>0</v>
      </c>
      <c r="D11" s="95">
        <f>SUMIF('Base Costs'!$C$4:$C$100,$B11,'Base Costs'!Q$4:Q$100)</f>
        <v>0</v>
      </c>
      <c r="E11" s="292">
        <f>SUMIF('Base Costs'!$C$4:$C$100,$B11,'Base Costs'!R$4:R$100)</f>
        <v>1659329.4400000002</v>
      </c>
      <c r="F11" s="292">
        <f>SUMIF('Base Costs'!$C$4:$C$100,$B11,'Base Costs'!S$4:S$100)</f>
        <v>1055321.9200000002</v>
      </c>
      <c r="G11" s="292">
        <f>SUMIF('Base Costs'!$C$4:$C$100,$B11,'Base Costs'!T$4:T$100)</f>
        <v>1237712.96</v>
      </c>
      <c r="H11" s="292">
        <f>SUMIF('Base Costs'!$C$4:$C$100,$B11,'Base Costs'!U$4:U$100)</f>
        <v>1906708.1600000001</v>
      </c>
      <c r="I11" s="292">
        <f>SUMIF('Base Costs'!$C$4:$C$100,$B11,'Base Costs'!V$4:V$100)</f>
        <v>785722.88</v>
      </c>
      <c r="J11" s="95">
        <f>SUMIF('Base Costs'!$C$4:$C$100,$B11,'Base Costs'!W$4:W$100)</f>
        <v>0</v>
      </c>
      <c r="K11" s="96">
        <f>SUMIF('Base Costs'!$C$4:$C$100,$B11,'Base Costs'!X$4:X$100)</f>
        <v>0</v>
      </c>
      <c r="L11" s="96">
        <f t="shared" si="0"/>
        <v>6644795.3600000003</v>
      </c>
      <c r="M11" s="96">
        <f t="shared" si="3"/>
        <v>6644795.3600000003</v>
      </c>
      <c r="N11" s="88"/>
      <c r="O11" s="93" t="str">
        <v>Information Technology</v>
      </c>
      <c r="P11" s="94">
        <f>SUMIF('Base Costs'!$C$4:$C$100,$B11,'Base Costs'!Y$4:Y$100)</f>
        <v>0</v>
      </c>
      <c r="Q11" s="95">
        <f>SUMIF('Base Costs'!$C$4:$C$100,$B11,'Base Costs'!Z$4:Z$100)</f>
        <v>0</v>
      </c>
      <c r="R11" s="292">
        <f>SUMIF('Base Costs'!$C$4:$C$100,$B11,'Base Costs'!AA$4:AA$100)</f>
        <v>1659329.4400000002</v>
      </c>
      <c r="S11" s="292">
        <f>SUMIF('Base Costs'!$C$4:$C$100,$B11,'Base Costs'!AB$4:AB$100)</f>
        <v>1055321.9200000002</v>
      </c>
      <c r="T11" s="292">
        <f>SUMIF('Base Costs'!$C$4:$C$100,$B11,'Base Costs'!AC$4:AC$100)</f>
        <v>1237712.96</v>
      </c>
      <c r="U11" s="292">
        <f>SUMIF('Base Costs'!$C$4:$C$100,$B11,'Base Costs'!AD$4:AD$100)</f>
        <v>1906708.1600000001</v>
      </c>
      <c r="V11" s="292">
        <f>SUMIF('Base Costs'!$C$4:$C$100,$B11,'Base Costs'!AE$4:AE$100)</f>
        <v>785722.88</v>
      </c>
      <c r="W11" s="95">
        <f>SUMIF('Base Costs'!$C$4:$C$100,$B11,'Base Costs'!AF$4:AF$100)</f>
        <v>0</v>
      </c>
      <c r="X11" s="96">
        <f>SUMIF('Base Costs'!$C$4:$C$100,$B11,'Base Costs'!AG$4:AG$100)</f>
        <v>0</v>
      </c>
      <c r="Y11" s="96">
        <f t="shared" si="1"/>
        <v>6644795.3600000003</v>
      </c>
      <c r="Z11" s="96">
        <f t="shared" si="2"/>
        <v>6644795.3600000003</v>
      </c>
    </row>
    <row r="12" spans="2:26" ht="13.95" x14ac:dyDescent="0.3">
      <c r="B12" s="93" t="str">
        <v>Business Support</v>
      </c>
      <c r="C12" s="94">
        <f>SUMIF('Base Costs'!$C$4:$C$100,$B12,'Base Costs'!P$4:P$100)</f>
        <v>0</v>
      </c>
      <c r="D12" s="95">
        <f>SUMIF('Base Costs'!$C$4:$C$100,$B12,'Base Costs'!Q$4:Q$100)</f>
        <v>157217.42431432096</v>
      </c>
      <c r="E12" s="292">
        <f>SUMIF('Base Costs'!$C$4:$C$100,$B12,'Base Costs'!R$4:R$100)</f>
        <v>1385957.4581000286</v>
      </c>
      <c r="F12" s="292">
        <f>SUMIF('Base Costs'!$C$4:$C$100,$B12,'Base Costs'!S$4:S$100)</f>
        <v>1810000</v>
      </c>
      <c r="G12" s="292">
        <f>SUMIF('Base Costs'!$C$4:$C$100,$B12,'Base Costs'!T$4:T$100)</f>
        <v>1039750</v>
      </c>
      <c r="H12" s="292">
        <f>SUMIF('Base Costs'!$C$4:$C$100,$B12,'Base Costs'!U$4:U$100)</f>
        <v>336350</v>
      </c>
      <c r="I12" s="292">
        <f>SUMIF('Base Costs'!$C$4:$C$100,$B12,'Base Costs'!V$4:V$100)</f>
        <v>872200</v>
      </c>
      <c r="J12" s="95">
        <f>SUMIF('Base Costs'!$C$4:$C$100,$B12,'Base Costs'!W$4:W$100)</f>
        <v>0</v>
      </c>
      <c r="K12" s="96">
        <f>SUMIF('Base Costs'!$C$4:$C$100,$B12,'Base Costs'!X$4:X$100)</f>
        <v>0</v>
      </c>
      <c r="L12" s="96">
        <f t="shared" si="0"/>
        <v>5444257.4581000283</v>
      </c>
      <c r="M12" s="96">
        <f t="shared" si="3"/>
        <v>5601474.8824143494</v>
      </c>
      <c r="N12" s="88"/>
      <c r="O12" s="93" t="str">
        <v>Business Support</v>
      </c>
      <c r="P12" s="94">
        <f>SUMIF('Base Costs'!$C$4:$C$100,$B12,'Base Costs'!Y$4:Y$100)</f>
        <v>0</v>
      </c>
      <c r="Q12" s="95">
        <f>SUMIF('Base Costs'!$C$4:$C$100,$B12,'Base Costs'!Z$4:Z$100)</f>
        <v>0</v>
      </c>
      <c r="R12" s="292">
        <f>SUMIF('Base Costs'!$C$4:$C$100,$B12,'Base Costs'!AA$4:AA$100)</f>
        <v>1278324.8824143494</v>
      </c>
      <c r="S12" s="292">
        <f>SUMIF('Base Costs'!$C$4:$C$100,$B12,'Base Costs'!AB$4:AB$100)</f>
        <v>1737000</v>
      </c>
      <c r="T12" s="292">
        <f>SUMIF('Base Costs'!$C$4:$C$100,$B12,'Base Costs'!AC$4:AC$100)</f>
        <v>1120000</v>
      </c>
      <c r="U12" s="292">
        <f>SUMIF('Base Costs'!$C$4:$C$100,$B12,'Base Costs'!AD$4:AD$100)</f>
        <v>280000</v>
      </c>
      <c r="V12" s="292">
        <f>SUMIF('Base Costs'!$C$4:$C$100,$B12,'Base Costs'!AE$4:AE$100)</f>
        <v>1186150</v>
      </c>
      <c r="W12" s="95">
        <f>SUMIF('Base Costs'!$C$4:$C$100,$B12,'Base Costs'!AF$4:AF$100)</f>
        <v>0</v>
      </c>
      <c r="X12" s="96">
        <f>SUMIF('Base Costs'!$C$4:$C$100,$B12,'Base Costs'!AG$4:AG$100)</f>
        <v>0</v>
      </c>
      <c r="Y12" s="96">
        <f t="shared" si="1"/>
        <v>5601474.8824143494</v>
      </c>
      <c r="Z12" s="96">
        <f t="shared" si="2"/>
        <v>5601474.8824143494</v>
      </c>
    </row>
    <row r="13" spans="2:26" ht="13.95" x14ac:dyDescent="0.3">
      <c r="B13" s="93" t="str">
        <v/>
      </c>
      <c r="C13" s="94">
        <f>SUMIF('Base Costs'!$C$4:$C$100,$B13,'Base Costs'!P$4:P$100)</f>
        <v>0</v>
      </c>
      <c r="D13" s="95">
        <f>SUMIF('Base Costs'!$C$4:$C$100,$B13,'Base Costs'!Q$4:Q$100)</f>
        <v>0</v>
      </c>
      <c r="E13" s="292">
        <f>SUMIF('Base Costs'!$C$4:$C$100,$B13,'Base Costs'!R$4:R$100)</f>
        <v>0</v>
      </c>
      <c r="F13" s="292">
        <f>SUMIF('Base Costs'!$C$4:$C$100,$B13,'Base Costs'!S$4:S$100)</f>
        <v>0</v>
      </c>
      <c r="G13" s="292">
        <f>SUMIF('Base Costs'!$C$4:$C$100,$B13,'Base Costs'!T$4:T$100)</f>
        <v>0</v>
      </c>
      <c r="H13" s="292">
        <f>SUMIF('Base Costs'!$C$4:$C$100,$B13,'Base Costs'!U$4:U$100)</f>
        <v>0</v>
      </c>
      <c r="I13" s="292">
        <f>SUMIF('Base Costs'!$C$4:$C$100,$B13,'Base Costs'!V$4:V$100)</f>
        <v>0</v>
      </c>
      <c r="J13" s="95">
        <f>SUMIF('Base Costs'!$C$4:$C$100,$B13,'Base Costs'!W$4:W$100)</f>
        <v>0</v>
      </c>
      <c r="K13" s="96">
        <f>SUMIF('Base Costs'!$C$4:$C$100,$B13,'Base Costs'!X$4:X$100)</f>
        <v>0</v>
      </c>
      <c r="L13" s="96">
        <f t="shared" si="0"/>
        <v>0</v>
      </c>
      <c r="M13" s="96">
        <f t="shared" si="3"/>
        <v>0</v>
      </c>
      <c r="N13" s="88"/>
      <c r="O13" s="93" t="str">
        <v/>
      </c>
      <c r="P13" s="94">
        <f>SUMIF('Base Costs'!$C$4:$C$100,$B13,'Base Costs'!Y$4:Y$100)</f>
        <v>0</v>
      </c>
      <c r="Q13" s="95">
        <f>SUMIF('Base Costs'!$C$4:$C$100,$B13,'Base Costs'!Z$4:Z$100)</f>
        <v>0</v>
      </c>
      <c r="R13" s="292">
        <f>SUMIF('Base Costs'!$C$4:$C$100,$B13,'Base Costs'!AA$4:AA$100)</f>
        <v>0</v>
      </c>
      <c r="S13" s="292">
        <f>SUMIF('Base Costs'!$C$4:$C$100,$B13,'Base Costs'!AB$4:AB$100)</f>
        <v>0</v>
      </c>
      <c r="T13" s="292">
        <f>SUMIF('Base Costs'!$C$4:$C$100,$B13,'Base Costs'!AC$4:AC$100)</f>
        <v>0</v>
      </c>
      <c r="U13" s="292">
        <f>SUMIF('Base Costs'!$C$4:$C$100,$B13,'Base Costs'!AD$4:AD$100)</f>
        <v>0</v>
      </c>
      <c r="V13" s="292">
        <f>SUMIF('Base Costs'!$C$4:$C$100,$B13,'Base Costs'!AE$4:AE$100)</f>
        <v>0</v>
      </c>
      <c r="W13" s="95">
        <f>SUMIF('Base Costs'!$C$4:$C$100,$B13,'Base Costs'!AF$4:AF$100)</f>
        <v>0</v>
      </c>
      <c r="X13" s="96">
        <f>SUMIF('Base Costs'!$C$4:$C$100,$B13,'Base Costs'!AG$4:AG$100)</f>
        <v>0</v>
      </c>
      <c r="Y13" s="96">
        <f t="shared" si="1"/>
        <v>0</v>
      </c>
      <c r="Z13" s="96">
        <f t="shared" si="2"/>
        <v>0</v>
      </c>
    </row>
    <row r="14" spans="2:26" ht="13.95" x14ac:dyDescent="0.3">
      <c r="B14" s="93" t="str">
        <v/>
      </c>
      <c r="C14" s="94">
        <f>SUMIF('Base Costs'!$C$4:$C$100,$B14,'Base Costs'!P$4:P$100)</f>
        <v>0</v>
      </c>
      <c r="D14" s="95">
        <f>SUMIF('Base Costs'!$C$4:$C$100,$B14,'Base Costs'!Q$4:Q$100)</f>
        <v>0</v>
      </c>
      <c r="E14" s="292">
        <f>SUMIF('Base Costs'!$C$4:$C$100,$B14,'Base Costs'!R$4:R$100)</f>
        <v>0</v>
      </c>
      <c r="F14" s="292">
        <f>SUMIF('Base Costs'!$C$4:$C$100,$B14,'Base Costs'!S$4:S$100)</f>
        <v>0</v>
      </c>
      <c r="G14" s="292">
        <f>SUMIF('Base Costs'!$C$4:$C$100,$B14,'Base Costs'!T$4:T$100)</f>
        <v>0</v>
      </c>
      <c r="H14" s="292">
        <f>SUMIF('Base Costs'!$C$4:$C$100,$B14,'Base Costs'!U$4:U$100)</f>
        <v>0</v>
      </c>
      <c r="I14" s="292">
        <f>SUMIF('Base Costs'!$C$4:$C$100,$B14,'Base Costs'!V$4:V$100)</f>
        <v>0</v>
      </c>
      <c r="J14" s="95">
        <f>SUMIF('Base Costs'!$C$4:$C$100,$B14,'Base Costs'!W$4:W$100)</f>
        <v>0</v>
      </c>
      <c r="K14" s="96">
        <f>SUMIF('Base Costs'!$C$4:$C$100,$B14,'Base Costs'!X$4:X$100)</f>
        <v>0</v>
      </c>
      <c r="L14" s="96">
        <f t="shared" si="0"/>
        <v>0</v>
      </c>
      <c r="M14" s="96">
        <f t="shared" si="3"/>
        <v>0</v>
      </c>
      <c r="N14" s="88"/>
      <c r="O14" s="93" t="str">
        <v/>
      </c>
      <c r="P14" s="94">
        <f>SUMIF('Base Costs'!$C$4:$C$100,$B14,'Base Costs'!Y$4:Y$100)</f>
        <v>0</v>
      </c>
      <c r="Q14" s="95">
        <f>SUMIF('Base Costs'!$C$4:$C$100,$B14,'Base Costs'!Z$4:Z$100)</f>
        <v>0</v>
      </c>
      <c r="R14" s="292">
        <f>SUMIF('Base Costs'!$C$4:$C$100,$B14,'Base Costs'!AA$4:AA$100)</f>
        <v>0</v>
      </c>
      <c r="S14" s="292">
        <f>SUMIF('Base Costs'!$C$4:$C$100,$B14,'Base Costs'!AB$4:AB$100)</f>
        <v>0</v>
      </c>
      <c r="T14" s="292">
        <f>SUMIF('Base Costs'!$C$4:$C$100,$B14,'Base Costs'!AC$4:AC$100)</f>
        <v>0</v>
      </c>
      <c r="U14" s="292">
        <f>SUMIF('Base Costs'!$C$4:$C$100,$B14,'Base Costs'!AD$4:AD$100)</f>
        <v>0</v>
      </c>
      <c r="V14" s="292">
        <f>SUMIF('Base Costs'!$C$4:$C$100,$B14,'Base Costs'!AE$4:AE$100)</f>
        <v>0</v>
      </c>
      <c r="W14" s="95">
        <f>SUMIF('Base Costs'!$C$4:$C$100,$B14,'Base Costs'!AF$4:AF$100)</f>
        <v>0</v>
      </c>
      <c r="X14" s="96">
        <f>SUMIF('Base Costs'!$C$4:$C$100,$B14,'Base Costs'!AG$4:AG$100)</f>
        <v>0</v>
      </c>
      <c r="Y14" s="96">
        <f t="shared" si="1"/>
        <v>0</v>
      </c>
      <c r="Z14" s="96">
        <f t="shared" si="2"/>
        <v>0</v>
      </c>
    </row>
    <row r="15" spans="2:26" ht="13.95" x14ac:dyDescent="0.3">
      <c r="B15" s="93" t="str">
        <v/>
      </c>
      <c r="C15" s="94">
        <f>SUMIF('Base Costs'!$C$4:$C$100,$B15,'Base Costs'!P$4:P$100)</f>
        <v>0</v>
      </c>
      <c r="D15" s="95">
        <f>SUMIF('Base Costs'!$C$4:$C$100,$B15,'Base Costs'!Q$4:Q$100)</f>
        <v>0</v>
      </c>
      <c r="E15" s="292">
        <f>SUMIF('Base Costs'!$C$4:$C$100,$B15,'Base Costs'!R$4:R$100)</f>
        <v>0</v>
      </c>
      <c r="F15" s="292">
        <f>SUMIF('Base Costs'!$C$4:$C$100,$B15,'Base Costs'!S$4:S$100)</f>
        <v>0</v>
      </c>
      <c r="G15" s="292">
        <f>SUMIF('Base Costs'!$C$4:$C$100,$B15,'Base Costs'!T$4:T$100)</f>
        <v>0</v>
      </c>
      <c r="H15" s="292">
        <f>SUMIF('Base Costs'!$C$4:$C$100,$B15,'Base Costs'!U$4:U$100)</f>
        <v>0</v>
      </c>
      <c r="I15" s="292">
        <f>SUMIF('Base Costs'!$C$4:$C$100,$B15,'Base Costs'!V$4:V$100)</f>
        <v>0</v>
      </c>
      <c r="J15" s="95">
        <f>SUMIF('Base Costs'!$C$4:$C$100,$B15,'Base Costs'!W$4:W$100)</f>
        <v>0</v>
      </c>
      <c r="K15" s="96">
        <f>SUMIF('Base Costs'!$C$4:$C$100,$B15,'Base Costs'!X$4:X$100)</f>
        <v>0</v>
      </c>
      <c r="L15" s="96">
        <f t="shared" si="0"/>
        <v>0</v>
      </c>
      <c r="M15" s="96">
        <f t="shared" si="3"/>
        <v>0</v>
      </c>
      <c r="N15" s="88"/>
      <c r="O15" s="93" t="str">
        <v/>
      </c>
      <c r="P15" s="94">
        <f>SUMIF('Base Costs'!$C$4:$C$100,$B15,'Base Costs'!Y$4:Y$100)</f>
        <v>0</v>
      </c>
      <c r="Q15" s="95">
        <f>SUMIF('Base Costs'!$C$4:$C$100,$B15,'Base Costs'!Z$4:Z$100)</f>
        <v>0</v>
      </c>
      <c r="R15" s="292">
        <f>SUMIF('Base Costs'!$C$4:$C$100,$B15,'Base Costs'!AA$4:AA$100)</f>
        <v>0</v>
      </c>
      <c r="S15" s="292">
        <f>SUMIF('Base Costs'!$C$4:$C$100,$B15,'Base Costs'!AB$4:AB$100)</f>
        <v>0</v>
      </c>
      <c r="T15" s="292">
        <f>SUMIF('Base Costs'!$C$4:$C$100,$B15,'Base Costs'!AC$4:AC$100)</f>
        <v>0</v>
      </c>
      <c r="U15" s="292">
        <f>SUMIF('Base Costs'!$C$4:$C$100,$B15,'Base Costs'!AD$4:AD$100)</f>
        <v>0</v>
      </c>
      <c r="V15" s="292">
        <f>SUMIF('Base Costs'!$C$4:$C$100,$B15,'Base Costs'!AE$4:AE$100)</f>
        <v>0</v>
      </c>
      <c r="W15" s="95">
        <f>SUMIF('Base Costs'!$C$4:$C$100,$B15,'Base Costs'!AF$4:AF$100)</f>
        <v>0</v>
      </c>
      <c r="X15" s="96">
        <f>SUMIF('Base Costs'!$C$4:$C$100,$B15,'Base Costs'!AG$4:AG$100)</f>
        <v>0</v>
      </c>
      <c r="Y15" s="96">
        <f t="shared" si="1"/>
        <v>0</v>
      </c>
      <c r="Z15" s="96">
        <f t="shared" si="2"/>
        <v>0</v>
      </c>
    </row>
    <row r="16" spans="2:26" ht="13.95" x14ac:dyDescent="0.3">
      <c r="B16" s="93" t="str">
        <v/>
      </c>
      <c r="C16" s="94">
        <f>SUMIF('Base Costs'!$C$4:$C$100,$B16,'Base Costs'!P$4:P$100)</f>
        <v>0</v>
      </c>
      <c r="D16" s="95">
        <f>SUMIF('Base Costs'!$C$4:$C$100,$B16,'Base Costs'!Q$4:Q$100)</f>
        <v>0</v>
      </c>
      <c r="E16" s="292">
        <f>SUMIF('Base Costs'!$C$4:$C$100,$B16,'Base Costs'!R$4:R$100)</f>
        <v>0</v>
      </c>
      <c r="F16" s="292">
        <f>SUMIF('Base Costs'!$C$4:$C$100,$B16,'Base Costs'!S$4:S$100)</f>
        <v>0</v>
      </c>
      <c r="G16" s="292">
        <f>SUMIF('Base Costs'!$C$4:$C$100,$B16,'Base Costs'!T$4:T$100)</f>
        <v>0</v>
      </c>
      <c r="H16" s="292">
        <f>SUMIF('Base Costs'!$C$4:$C$100,$B16,'Base Costs'!U$4:U$100)</f>
        <v>0</v>
      </c>
      <c r="I16" s="292">
        <f>SUMIF('Base Costs'!$C$4:$C$100,$B16,'Base Costs'!V$4:V$100)</f>
        <v>0</v>
      </c>
      <c r="J16" s="95">
        <f>SUMIF('Base Costs'!$C$4:$C$100,$B16,'Base Costs'!W$4:W$100)</f>
        <v>0</v>
      </c>
      <c r="K16" s="96">
        <f>SUMIF('Base Costs'!$C$4:$C$100,$B16,'Base Costs'!X$4:X$100)</f>
        <v>0</v>
      </c>
      <c r="L16" s="96">
        <f t="shared" si="0"/>
        <v>0</v>
      </c>
      <c r="M16" s="96">
        <f t="shared" si="3"/>
        <v>0</v>
      </c>
      <c r="N16" s="88"/>
      <c r="O16" s="93" t="str">
        <v/>
      </c>
      <c r="P16" s="94">
        <f>SUMIF('Base Costs'!$C$4:$C$100,$B16,'Base Costs'!Y$4:Y$100)</f>
        <v>0</v>
      </c>
      <c r="Q16" s="95">
        <f>SUMIF('Base Costs'!$C$4:$C$100,$B16,'Base Costs'!Z$4:Z$100)</f>
        <v>0</v>
      </c>
      <c r="R16" s="292">
        <f>SUMIF('Base Costs'!$C$4:$C$100,$B16,'Base Costs'!AA$4:AA$100)</f>
        <v>0</v>
      </c>
      <c r="S16" s="292">
        <f>SUMIF('Base Costs'!$C$4:$C$100,$B16,'Base Costs'!AB$4:AB$100)</f>
        <v>0</v>
      </c>
      <c r="T16" s="292">
        <f>SUMIF('Base Costs'!$C$4:$C$100,$B16,'Base Costs'!AC$4:AC$100)</f>
        <v>0</v>
      </c>
      <c r="U16" s="292">
        <f>SUMIF('Base Costs'!$C$4:$C$100,$B16,'Base Costs'!AD$4:AD$100)</f>
        <v>0</v>
      </c>
      <c r="V16" s="292">
        <f>SUMIF('Base Costs'!$C$4:$C$100,$B16,'Base Costs'!AE$4:AE$100)</f>
        <v>0</v>
      </c>
      <c r="W16" s="95">
        <f>SUMIF('Base Costs'!$C$4:$C$100,$B16,'Base Costs'!AF$4:AF$100)</f>
        <v>0</v>
      </c>
      <c r="X16" s="96">
        <f>SUMIF('Base Costs'!$C$4:$C$100,$B16,'Base Costs'!AG$4:AG$100)</f>
        <v>0</v>
      </c>
      <c r="Y16" s="96">
        <f t="shared" si="1"/>
        <v>0</v>
      </c>
      <c r="Z16" s="96">
        <f t="shared" si="2"/>
        <v>0</v>
      </c>
    </row>
    <row r="17" spans="2:26" ht="13.95" x14ac:dyDescent="0.3">
      <c r="B17" s="93" t="str">
        <v/>
      </c>
      <c r="C17" s="94">
        <f>SUMIF('Base Costs'!$C$4:$C$100,$B17,'Base Costs'!P$4:P$100)</f>
        <v>0</v>
      </c>
      <c r="D17" s="95">
        <f>SUMIF('Base Costs'!$C$4:$C$100,$B17,'Base Costs'!Q$4:Q$100)</f>
        <v>0</v>
      </c>
      <c r="E17" s="292">
        <f>SUMIF('Base Costs'!$C$4:$C$100,$B17,'Base Costs'!R$4:R$100)</f>
        <v>0</v>
      </c>
      <c r="F17" s="292">
        <f>SUMIF('Base Costs'!$C$4:$C$100,$B17,'Base Costs'!S$4:S$100)</f>
        <v>0</v>
      </c>
      <c r="G17" s="292">
        <f>SUMIF('Base Costs'!$C$4:$C$100,$B17,'Base Costs'!T$4:T$100)</f>
        <v>0</v>
      </c>
      <c r="H17" s="292">
        <f>SUMIF('Base Costs'!$C$4:$C$100,$B17,'Base Costs'!U$4:U$100)</f>
        <v>0</v>
      </c>
      <c r="I17" s="292">
        <f>SUMIF('Base Costs'!$C$4:$C$100,$B17,'Base Costs'!V$4:V$100)</f>
        <v>0</v>
      </c>
      <c r="J17" s="95">
        <f>SUMIF('Base Costs'!$C$4:$C$100,$B17,'Base Costs'!W$4:W$100)</f>
        <v>0</v>
      </c>
      <c r="K17" s="96">
        <f>SUMIF('Base Costs'!$C$4:$C$100,$B17,'Base Costs'!X$4:X$100)</f>
        <v>0</v>
      </c>
      <c r="L17" s="96">
        <f t="shared" si="0"/>
        <v>0</v>
      </c>
      <c r="M17" s="96">
        <f t="shared" si="3"/>
        <v>0</v>
      </c>
      <c r="N17" s="88"/>
      <c r="O17" s="93" t="str">
        <v/>
      </c>
      <c r="P17" s="94">
        <f>SUMIF('Base Costs'!$C$4:$C$100,$B17,'Base Costs'!Y$4:Y$100)</f>
        <v>0</v>
      </c>
      <c r="Q17" s="95">
        <f>SUMIF('Base Costs'!$C$4:$C$100,$B17,'Base Costs'!Z$4:Z$100)</f>
        <v>0</v>
      </c>
      <c r="R17" s="292">
        <f>SUMIF('Base Costs'!$C$4:$C$100,$B17,'Base Costs'!AA$4:AA$100)</f>
        <v>0</v>
      </c>
      <c r="S17" s="292">
        <f>SUMIF('Base Costs'!$C$4:$C$100,$B17,'Base Costs'!AB$4:AB$100)</f>
        <v>0</v>
      </c>
      <c r="T17" s="292">
        <f>SUMIF('Base Costs'!$C$4:$C$100,$B17,'Base Costs'!AC$4:AC$100)</f>
        <v>0</v>
      </c>
      <c r="U17" s="292">
        <f>SUMIF('Base Costs'!$C$4:$C$100,$B17,'Base Costs'!AD$4:AD$100)</f>
        <v>0</v>
      </c>
      <c r="V17" s="292">
        <f>SUMIF('Base Costs'!$C$4:$C$100,$B17,'Base Costs'!AE$4:AE$100)</f>
        <v>0</v>
      </c>
      <c r="W17" s="95">
        <f>SUMIF('Base Costs'!$C$4:$C$100,$B17,'Base Costs'!AF$4:AF$100)</f>
        <v>0</v>
      </c>
      <c r="X17" s="96">
        <f>SUMIF('Base Costs'!$C$4:$C$100,$B17,'Base Costs'!AG$4:AG$100)</f>
        <v>0</v>
      </c>
      <c r="Y17" s="96">
        <f t="shared" si="1"/>
        <v>0</v>
      </c>
      <c r="Z17" s="96">
        <f t="shared" si="2"/>
        <v>0</v>
      </c>
    </row>
    <row r="18" spans="2:26" ht="13.95" x14ac:dyDescent="0.3">
      <c r="B18" s="93" t="str">
        <v/>
      </c>
      <c r="C18" s="94">
        <f>SUMIF('Base Costs'!$C$4:$C$100,$B18,'Base Costs'!P$4:P$100)</f>
        <v>0</v>
      </c>
      <c r="D18" s="95">
        <f>SUMIF('Base Costs'!$C$4:$C$100,$B18,'Base Costs'!Q$4:Q$100)</f>
        <v>0</v>
      </c>
      <c r="E18" s="292">
        <f>SUMIF('Base Costs'!$C$4:$C$100,$B18,'Base Costs'!R$4:R$100)</f>
        <v>0</v>
      </c>
      <c r="F18" s="292">
        <f>SUMIF('Base Costs'!$C$4:$C$100,$B18,'Base Costs'!S$4:S$100)</f>
        <v>0</v>
      </c>
      <c r="G18" s="292">
        <f>SUMIF('Base Costs'!$C$4:$C$100,$B18,'Base Costs'!T$4:T$100)</f>
        <v>0</v>
      </c>
      <c r="H18" s="292">
        <f>SUMIF('Base Costs'!$C$4:$C$100,$B18,'Base Costs'!U$4:U$100)</f>
        <v>0</v>
      </c>
      <c r="I18" s="292">
        <f>SUMIF('Base Costs'!$C$4:$C$100,$B18,'Base Costs'!V$4:V$100)</f>
        <v>0</v>
      </c>
      <c r="J18" s="95">
        <f>SUMIF('Base Costs'!$C$4:$C$100,$B18,'Base Costs'!W$4:W$100)</f>
        <v>0</v>
      </c>
      <c r="K18" s="96">
        <f>SUMIF('Base Costs'!$C$4:$C$100,$B18,'Base Costs'!X$4:X$100)</f>
        <v>0</v>
      </c>
      <c r="L18" s="96">
        <f t="shared" si="0"/>
        <v>0</v>
      </c>
      <c r="M18" s="96">
        <f t="shared" si="3"/>
        <v>0</v>
      </c>
      <c r="N18" s="88"/>
      <c r="O18" s="93" t="str">
        <v/>
      </c>
      <c r="P18" s="94">
        <f>SUMIF('Base Costs'!$C$4:$C$100,$B18,'Base Costs'!Y$4:Y$100)</f>
        <v>0</v>
      </c>
      <c r="Q18" s="95">
        <f>SUMIF('Base Costs'!$C$4:$C$100,$B18,'Base Costs'!Z$4:Z$100)</f>
        <v>0</v>
      </c>
      <c r="R18" s="292">
        <f>SUMIF('Base Costs'!$C$4:$C$100,$B18,'Base Costs'!AA$4:AA$100)</f>
        <v>0</v>
      </c>
      <c r="S18" s="292">
        <f>SUMIF('Base Costs'!$C$4:$C$100,$B18,'Base Costs'!AB$4:AB$100)</f>
        <v>0</v>
      </c>
      <c r="T18" s="292">
        <f>SUMIF('Base Costs'!$C$4:$C$100,$B18,'Base Costs'!AC$4:AC$100)</f>
        <v>0</v>
      </c>
      <c r="U18" s="292">
        <f>SUMIF('Base Costs'!$C$4:$C$100,$B18,'Base Costs'!AD$4:AD$100)</f>
        <v>0</v>
      </c>
      <c r="V18" s="292">
        <f>SUMIF('Base Costs'!$C$4:$C$100,$B18,'Base Costs'!AE$4:AE$100)</f>
        <v>0</v>
      </c>
      <c r="W18" s="95">
        <f>SUMIF('Base Costs'!$C$4:$C$100,$B18,'Base Costs'!AF$4:AF$100)</f>
        <v>0</v>
      </c>
      <c r="X18" s="96">
        <f>SUMIF('Base Costs'!$C$4:$C$100,$B18,'Base Costs'!AG$4:AG$100)</f>
        <v>0</v>
      </c>
      <c r="Y18" s="96">
        <f t="shared" si="1"/>
        <v>0</v>
      </c>
      <c r="Z18" s="96">
        <f t="shared" si="2"/>
        <v>0</v>
      </c>
    </row>
    <row r="19" spans="2:26" ht="14.4" thickBot="1" x14ac:dyDescent="0.35">
      <c r="B19" s="97" t="str">
        <v/>
      </c>
      <c r="C19" s="98">
        <f>SUMIF('Base Costs'!$C$4:$C$100,$B19,'Base Costs'!P$4:P$100)</f>
        <v>0</v>
      </c>
      <c r="D19" s="99">
        <f>SUMIF('Base Costs'!$C$4:$C$100,$B19,'Base Costs'!Q$4:Q$100)</f>
        <v>0</v>
      </c>
      <c r="E19" s="293">
        <f>SUMIF('Base Costs'!$C$4:$C$100,$B19,'Base Costs'!R$4:R$100)</f>
        <v>0</v>
      </c>
      <c r="F19" s="293">
        <f>SUMIF('Base Costs'!$C$4:$C$100,$B19,'Base Costs'!S$4:S$100)</f>
        <v>0</v>
      </c>
      <c r="G19" s="293">
        <f>SUMIF('Base Costs'!$C$4:$C$100,$B19,'Base Costs'!T$4:T$100)</f>
        <v>0</v>
      </c>
      <c r="H19" s="293">
        <f>SUMIF('Base Costs'!$C$4:$C$100,$B19,'Base Costs'!U$4:U$100)</f>
        <v>0</v>
      </c>
      <c r="I19" s="293">
        <f>SUMIF('Base Costs'!$C$4:$C$100,$B19,'Base Costs'!V$4:V$100)</f>
        <v>0</v>
      </c>
      <c r="J19" s="99">
        <f>SUMIF('Base Costs'!$C$4:$C$100,$B19,'Base Costs'!W$4:W$100)</f>
        <v>0</v>
      </c>
      <c r="K19" s="100">
        <f>SUMIF('Base Costs'!$C$4:$C$100,$B19,'Base Costs'!X$4:X$100)</f>
        <v>0</v>
      </c>
      <c r="L19" s="100">
        <f t="shared" si="0"/>
        <v>0</v>
      </c>
      <c r="M19" s="100">
        <f t="shared" si="3"/>
        <v>0</v>
      </c>
      <c r="N19" s="88"/>
      <c r="O19" s="97" t="str">
        <v/>
      </c>
      <c r="P19" s="98">
        <f>SUMIF('Base Costs'!$C$4:$C$100,$B19,'Base Costs'!Y$4:Y$100)</f>
        <v>0</v>
      </c>
      <c r="Q19" s="99">
        <f>SUMIF('Base Costs'!$C$4:$C$100,$B19,'Base Costs'!Z$4:Z$100)</f>
        <v>0</v>
      </c>
      <c r="R19" s="293">
        <f>SUMIF('Base Costs'!$C$4:$C$100,$B19,'Base Costs'!AA$4:AA$100)</f>
        <v>0</v>
      </c>
      <c r="S19" s="293">
        <f>SUMIF('Base Costs'!$C$4:$C$100,$B19,'Base Costs'!AB$4:AB$100)</f>
        <v>0</v>
      </c>
      <c r="T19" s="293">
        <f>SUMIF('Base Costs'!$C$4:$C$100,$B19,'Base Costs'!AC$4:AC$100)</f>
        <v>0</v>
      </c>
      <c r="U19" s="293">
        <f>SUMIF('Base Costs'!$C$4:$C$100,$B19,'Base Costs'!AD$4:AD$100)</f>
        <v>0</v>
      </c>
      <c r="V19" s="293">
        <f>SUMIF('Base Costs'!$C$4:$C$100,$B19,'Base Costs'!AE$4:AE$100)</f>
        <v>0</v>
      </c>
      <c r="W19" s="99">
        <f>SUMIF('Base Costs'!$C$4:$C$100,$B19,'Base Costs'!AF$4:AF$100)</f>
        <v>0</v>
      </c>
      <c r="X19" s="100">
        <f>SUMIF('Base Costs'!$C$4:$C$100,$B19,'Base Costs'!AG$4:AG$100)</f>
        <v>0</v>
      </c>
      <c r="Y19" s="100">
        <f t="shared" si="1"/>
        <v>0</v>
      </c>
      <c r="Z19" s="100">
        <f t="shared" si="2"/>
        <v>0</v>
      </c>
    </row>
    <row r="20" spans="2:26" ht="13.95" x14ac:dyDescent="0.3">
      <c r="B20" s="88" t="s">
        <v>12</v>
      </c>
      <c r="C20" s="101">
        <f>SUM(C4:C19)</f>
        <v>0</v>
      </c>
      <c r="D20" s="101">
        <f t="shared" ref="D20:K20" si="4">SUM(D4:D19)</f>
        <v>6322088.8204265721</v>
      </c>
      <c r="E20" s="294">
        <f t="shared" si="4"/>
        <v>47825074.079766534</v>
      </c>
      <c r="F20" s="294">
        <f t="shared" si="4"/>
        <v>60192048.375</v>
      </c>
      <c r="G20" s="294">
        <f t="shared" si="4"/>
        <v>53924725.375</v>
      </c>
      <c r="H20" s="294">
        <f t="shared" si="4"/>
        <v>47748663.375</v>
      </c>
      <c r="I20" s="294">
        <f t="shared" si="4"/>
        <v>39837117.375</v>
      </c>
      <c r="J20" s="101">
        <f t="shared" si="4"/>
        <v>5789312</v>
      </c>
      <c r="K20" s="101">
        <f t="shared" si="4"/>
        <v>0</v>
      </c>
      <c r="L20" s="101">
        <f t="shared" si="0"/>
        <v>249527628.57976654</v>
      </c>
      <c r="M20" s="101">
        <f>SUM(C20:K20)</f>
        <v>261639029.4001931</v>
      </c>
      <c r="N20" s="88"/>
      <c r="O20" s="88" t="s">
        <v>12</v>
      </c>
      <c r="P20" s="101">
        <f>SUM(P4:P19)</f>
        <v>0</v>
      </c>
      <c r="Q20" s="101">
        <f t="shared" ref="Q20:X20" si="5">SUM(Q4:Q19)</f>
        <v>518287.13123609993</v>
      </c>
      <c r="R20" s="294">
        <f t="shared" si="5"/>
        <v>49278732.768957004</v>
      </c>
      <c r="S20" s="294">
        <f t="shared" si="5"/>
        <v>41021425.375000007</v>
      </c>
      <c r="T20" s="294">
        <f t="shared" si="5"/>
        <v>73039845.375</v>
      </c>
      <c r="U20" s="294">
        <f t="shared" si="5"/>
        <v>37226569.375</v>
      </c>
      <c r="V20" s="294">
        <f t="shared" si="5"/>
        <v>52250446.375</v>
      </c>
      <c r="W20" s="101">
        <f t="shared" si="5"/>
        <v>61818</v>
      </c>
      <c r="X20" s="101">
        <f t="shared" si="5"/>
        <v>8241905</v>
      </c>
      <c r="Y20" s="101">
        <f t="shared" si="1"/>
        <v>252817019.26895702</v>
      </c>
      <c r="Z20" s="101">
        <f>SUM(P20:X20)</f>
        <v>261639029.4001931</v>
      </c>
    </row>
    <row r="21" spans="2:26" ht="13.95" x14ac:dyDescent="0.3">
      <c r="B21" s="88"/>
      <c r="C21" s="88"/>
      <c r="D21" s="88"/>
      <c r="E21" s="295"/>
      <c r="F21" s="295"/>
      <c r="G21" s="295"/>
      <c r="H21" s="295"/>
      <c r="I21" s="295"/>
      <c r="J21" s="88"/>
      <c r="K21" s="88"/>
      <c r="L21" s="88"/>
      <c r="M21" s="88"/>
      <c r="N21" s="88"/>
      <c r="O21" s="88"/>
      <c r="P21" s="88"/>
      <c r="Q21" s="88"/>
      <c r="R21" s="295"/>
      <c r="S21" s="295"/>
      <c r="T21" s="295"/>
      <c r="U21" s="295"/>
      <c r="V21" s="295"/>
      <c r="W21" s="88"/>
      <c r="X21" s="88"/>
      <c r="Y21" s="88"/>
      <c r="Z21" s="88"/>
    </row>
    <row r="22" spans="2:26" ht="14.4" thickBot="1" x14ac:dyDescent="0.35">
      <c r="B22" s="87" t="str">
        <f>'Asset Class Summary'!B30</f>
        <v>Spend - Costs+LOA ($m)</v>
      </c>
      <c r="C22" s="88"/>
      <c r="D22" s="88"/>
      <c r="E22" s="295"/>
      <c r="F22" s="295"/>
      <c r="G22" s="295"/>
      <c r="H22" s="295"/>
      <c r="I22" s="295"/>
      <c r="J22" s="88"/>
      <c r="K22" s="88"/>
      <c r="L22" s="88"/>
      <c r="M22" s="88"/>
      <c r="N22" s="88"/>
      <c r="O22" s="87" t="str">
        <f>'Asset Class Summary'!O30</f>
        <v>Commission - Costs+LOA ($m)</v>
      </c>
      <c r="P22" s="88"/>
      <c r="Q22" s="88"/>
      <c r="R22" s="295"/>
      <c r="S22" s="295"/>
      <c r="T22" s="295"/>
      <c r="U22" s="295"/>
      <c r="V22" s="295"/>
      <c r="W22" s="88"/>
      <c r="X22" s="88"/>
      <c r="Y22" s="88"/>
      <c r="Z22" s="88"/>
    </row>
    <row r="23" spans="2:26" ht="41.25" thickBot="1" x14ac:dyDescent="0.25">
      <c r="B23" s="88"/>
      <c r="C23" s="182" t="str">
        <f t="array" ref="C23:K23">C3:K3</f>
        <v>2012/13</v>
      </c>
      <c r="D23" s="183" t="str">
        <v>2013/14</v>
      </c>
      <c r="E23" s="290" t="str">
        <v>2014/15</v>
      </c>
      <c r="F23" s="290" t="str">
        <v>2015/16</v>
      </c>
      <c r="G23" s="290" t="str">
        <v>2016/17</v>
      </c>
      <c r="H23" s="290" t="str">
        <v>2017/18</v>
      </c>
      <c r="I23" s="290" t="str">
        <v>2018/19</v>
      </c>
      <c r="J23" s="183" t="str">
        <v>2019/20</v>
      </c>
      <c r="K23" s="184" t="str">
        <v>2020/21</v>
      </c>
      <c r="L23" s="410" t="str">
        <f>$L$3</f>
        <v>2014-19
Total</v>
      </c>
      <c r="M23" s="411" t="s">
        <v>12</v>
      </c>
      <c r="N23" s="88"/>
      <c r="O23" s="88"/>
      <c r="P23" s="182" t="str">
        <f t="array" ref="P23:X23">C3:K3</f>
        <v>2012/13</v>
      </c>
      <c r="Q23" s="183" t="str">
        <v>2013/14</v>
      </c>
      <c r="R23" s="290" t="str">
        <v>2014/15</v>
      </c>
      <c r="S23" s="290" t="str">
        <v>2015/16</v>
      </c>
      <c r="T23" s="290" t="str">
        <v>2016/17</v>
      </c>
      <c r="U23" s="290" t="str">
        <v>2017/18</v>
      </c>
      <c r="V23" s="290" t="str">
        <v>2018/19</v>
      </c>
      <c r="W23" s="183" t="str">
        <v>2019/20</v>
      </c>
      <c r="X23" s="184" t="str">
        <v>2020/21</v>
      </c>
      <c r="Y23" s="410" t="str">
        <f>$L$3</f>
        <v>2014-19
Total</v>
      </c>
      <c r="Z23" s="411" t="s">
        <v>12</v>
      </c>
    </row>
    <row r="24" spans="2:26" ht="12.75" x14ac:dyDescent="0.2">
      <c r="B24" s="89" t="str">
        <f t="array" ref="B24:B39">$B$4:$B$19</f>
        <v>Augmentation</v>
      </c>
      <c r="C24" s="90">
        <f>SUMIF('Base Costs'!$C$4:$C$100,$B24,'Cost+LOA'!P$4:P$100)</f>
        <v>0</v>
      </c>
      <c r="D24" s="91">
        <f>SUMIF('Base Costs'!$C$4:$C$100,$B24,'Cost+LOA'!Q$4:Q$100)</f>
        <v>0</v>
      </c>
      <c r="E24" s="291">
        <f>SUMIF('Base Costs'!$C$4:$C$100,$B24,'Cost+LOA'!R$4:R$100)</f>
        <v>349034.48919999995</v>
      </c>
      <c r="F24" s="291">
        <f>SUMIF('Base Costs'!$C$4:$C$100,$B24,'Cost+LOA'!S$4:S$100)</f>
        <v>4294662.6162</v>
      </c>
      <c r="G24" s="291">
        <f>SUMIF('Base Costs'!$C$4:$C$100,$B24,'Cost+LOA'!T$4:T$100)</f>
        <v>10180693.166300001</v>
      </c>
      <c r="H24" s="291">
        <f>SUMIF('Base Costs'!$C$4:$C$100,$B24,'Cost+LOA'!U$4:U$100)</f>
        <v>8148432.6033999994</v>
      </c>
      <c r="I24" s="291">
        <f>SUMIF('Base Costs'!$C$4:$C$100,$B24,'Cost+LOA'!V$4:V$100)</f>
        <v>9921826.2974999994</v>
      </c>
      <c r="J24" s="91">
        <f>SUMIF('Base Costs'!$C$4:$C$100,$B24,'Cost+LOA'!W$4:W$100)</f>
        <v>0</v>
      </c>
      <c r="K24" s="92">
        <f>SUMIF('Base Costs'!$C$4:$C$100,$B24,'Cost+LOA'!X$4:X$100)</f>
        <v>0</v>
      </c>
      <c r="L24" s="92">
        <f t="shared" ref="L24:L40" si="6">SUM(E24:I24)</f>
        <v>32894649.172600001</v>
      </c>
      <c r="M24" s="92">
        <f>SUM(C24:K24)</f>
        <v>32894649.172600001</v>
      </c>
      <c r="N24" s="88"/>
      <c r="O24" s="89" t="str">
        <f t="array" ref="O24:O39">$B$4:$B$19</f>
        <v>Augmentation</v>
      </c>
      <c r="P24" s="90">
        <f>SUMIF('Base Costs'!$C$4:$C$100,$B24,'Cost+LOA'!Y$4:Y$100)</f>
        <v>0</v>
      </c>
      <c r="Q24" s="91">
        <f>SUMIF('Base Costs'!$C$4:$C$100,$B24,'Cost+LOA'!Z$4:Z$100)</f>
        <v>0</v>
      </c>
      <c r="R24" s="291">
        <f>SUMIF('Base Costs'!$C$4:$C$100,$B24,'Cost+LOA'!AA$4:AA$100)</f>
        <v>0</v>
      </c>
      <c r="S24" s="291">
        <f>SUMIF('Base Costs'!$C$4:$C$100,$B24,'Cost+LOA'!AB$4:AB$100)</f>
        <v>0</v>
      </c>
      <c r="T24" s="291">
        <f>SUMIF('Base Costs'!$C$4:$C$100,$B24,'Cost+LOA'!AC$4:AC$100)</f>
        <v>14257576.500999998</v>
      </c>
      <c r="U24" s="291">
        <f>SUMIF('Base Costs'!$C$4:$C$100,$B24,'Cost+LOA'!AD$4:AD$100)</f>
        <v>0</v>
      </c>
      <c r="V24" s="291">
        <f>SUMIF('Base Costs'!$C$4:$C$100,$B24,'Cost+LOA'!AE$4:AE$100)</f>
        <v>18637072.671599999</v>
      </c>
      <c r="W24" s="91">
        <f>SUMIF('Base Costs'!$C$4:$C$100,$B24,'Cost+LOA'!AF$4:AF$100)</f>
        <v>0</v>
      </c>
      <c r="X24" s="92">
        <f>SUMIF('Base Costs'!$C$4:$C$100,$B24,'Cost+LOA'!AG$4:AG$100)</f>
        <v>0</v>
      </c>
      <c r="Y24" s="92">
        <f t="shared" ref="Y24:Y40" si="7">SUM(R24:V24)</f>
        <v>32894649.172599997</v>
      </c>
      <c r="Z24" s="92">
        <f>SUM(P24:X24)</f>
        <v>32894649.172599997</v>
      </c>
    </row>
    <row r="25" spans="2:26" ht="12.75" x14ac:dyDescent="0.2">
      <c r="B25" s="93" t="str">
        <v>Connection</v>
      </c>
      <c r="C25" s="94">
        <f>SUMIF('Base Costs'!$C$4:$C$100,$B25,'Cost+LOA'!P$4:P$100)</f>
        <v>0</v>
      </c>
      <c r="D25" s="95">
        <f>SUMIF('Base Costs'!$C$4:$C$100,$B25,'Cost+LOA'!Q$4:Q$100)</f>
        <v>0</v>
      </c>
      <c r="E25" s="292">
        <f>SUMIF('Base Costs'!$C$4:$C$100,$B25,'Cost+LOA'!R$4:R$100)</f>
        <v>2668172.1305999998</v>
      </c>
      <c r="F25" s="292">
        <f>SUMIF('Base Costs'!$C$4:$C$100,$B25,'Cost+LOA'!S$4:S$100)</f>
        <v>10371961.2502</v>
      </c>
      <c r="G25" s="292">
        <f>SUMIF('Base Costs'!$C$4:$C$100,$B25,'Cost+LOA'!T$4:T$100)</f>
        <v>3483084.6667999998</v>
      </c>
      <c r="H25" s="292">
        <f>SUMIF('Base Costs'!$C$4:$C$100,$B25,'Cost+LOA'!U$4:U$100)</f>
        <v>988507.44039999996</v>
      </c>
      <c r="I25" s="292">
        <f>SUMIF('Base Costs'!$C$4:$C$100,$B25,'Cost+LOA'!V$4:V$100)</f>
        <v>0</v>
      </c>
      <c r="J25" s="95">
        <f>SUMIF('Base Costs'!$C$4:$C$100,$B25,'Cost+LOA'!W$4:W$100)</f>
        <v>0</v>
      </c>
      <c r="K25" s="96">
        <f>SUMIF('Base Costs'!$C$4:$C$100,$B25,'Cost+LOA'!X$4:X$100)</f>
        <v>0</v>
      </c>
      <c r="L25" s="96">
        <f t="shared" si="6"/>
        <v>17511725.487999998</v>
      </c>
      <c r="M25" s="96">
        <f t="shared" ref="M25:M39" si="8">SUM(C25:K25)</f>
        <v>17511725.487999998</v>
      </c>
      <c r="N25" s="88"/>
      <c r="O25" s="93" t="str">
        <v>Connection</v>
      </c>
      <c r="P25" s="94">
        <f>SUMIF('Base Costs'!$C$4:$C$100,$B25,'Cost+LOA'!Y$4:Y$100)</f>
        <v>0</v>
      </c>
      <c r="Q25" s="95">
        <f>SUMIF('Base Costs'!$C$4:$C$100,$B25,'Cost+LOA'!Z$4:Z$100)</f>
        <v>0</v>
      </c>
      <c r="R25" s="292">
        <f>SUMIF('Base Costs'!$C$4:$C$100,$B25,'Cost+LOA'!AA$4:AA$100)</f>
        <v>1431708.4164</v>
      </c>
      <c r="S25" s="292">
        <f>SUMIF('Base Costs'!$C$4:$C$100,$B25,'Cost+LOA'!AB$4:AB$100)</f>
        <v>2659125.9372</v>
      </c>
      <c r="T25" s="292">
        <f>SUMIF('Base Costs'!$C$4:$C$100,$B25,'Cost+LOA'!AC$4:AC$100)</f>
        <v>10068429.6478</v>
      </c>
      <c r="U25" s="292">
        <f>SUMIF('Base Costs'!$C$4:$C$100,$B25,'Cost+LOA'!AD$4:AD$100)</f>
        <v>3352461.4865999995</v>
      </c>
      <c r="V25" s="292">
        <f>SUMIF('Base Costs'!$C$4:$C$100,$B25,'Cost+LOA'!AE$4:AE$100)</f>
        <v>0</v>
      </c>
      <c r="W25" s="95">
        <f>SUMIF('Base Costs'!$C$4:$C$100,$B25,'Cost+LOA'!AF$4:AF$100)</f>
        <v>0</v>
      </c>
      <c r="X25" s="96">
        <f>SUMIF('Base Costs'!$C$4:$C$100,$B25,'Cost+LOA'!AG$4:AG$100)</f>
        <v>0</v>
      </c>
      <c r="Y25" s="96">
        <f t="shared" si="7"/>
        <v>17511725.488000002</v>
      </c>
      <c r="Z25" s="96">
        <f t="shared" ref="Z25:Z39" si="9">SUM(P25:X25)</f>
        <v>17511725.488000002</v>
      </c>
    </row>
    <row r="26" spans="2:26" ht="12.75" x14ac:dyDescent="0.2">
      <c r="B26" s="93" t="str">
        <v>Land and Easements</v>
      </c>
      <c r="C26" s="94">
        <f>SUMIF('Base Costs'!$C$4:$C$100,$B26,'Cost+LOA'!P$4:P$100)</f>
        <v>0</v>
      </c>
      <c r="D26" s="95">
        <f>SUMIF('Base Costs'!$C$4:$C$100,$B26,'Cost+LOA'!Q$4:Q$100)</f>
        <v>482246.13123609993</v>
      </c>
      <c r="E26" s="292">
        <f>SUMIF('Base Costs'!$C$4:$C$100,$B26,'Cost+LOA'!R$4:R$100)</f>
        <v>0</v>
      </c>
      <c r="F26" s="292">
        <f>SUMIF('Base Costs'!$C$4:$C$100,$B26,'Cost+LOA'!S$4:S$100)</f>
        <v>0</v>
      </c>
      <c r="G26" s="292">
        <f>SUMIF('Base Costs'!$C$4:$C$100,$B26,'Cost+LOA'!T$4:T$100)</f>
        <v>0</v>
      </c>
      <c r="H26" s="292">
        <f>SUMIF('Base Costs'!$C$4:$C$100,$B26,'Cost+LOA'!U$4:U$100)</f>
        <v>0</v>
      </c>
      <c r="I26" s="292">
        <f>SUMIF('Base Costs'!$C$4:$C$100,$B26,'Cost+LOA'!V$4:V$100)</f>
        <v>0</v>
      </c>
      <c r="J26" s="95">
        <f>SUMIF('Base Costs'!$C$4:$C$100,$B26,'Cost+LOA'!W$4:W$100)</f>
        <v>0</v>
      </c>
      <c r="K26" s="96">
        <f>SUMIF('Base Costs'!$C$4:$C$100,$B26,'Cost+LOA'!X$4:X$100)</f>
        <v>0</v>
      </c>
      <c r="L26" s="96">
        <f t="shared" si="6"/>
        <v>0</v>
      </c>
      <c r="M26" s="96">
        <f t="shared" si="8"/>
        <v>482246.13123609993</v>
      </c>
      <c r="N26" s="88"/>
      <c r="O26" s="93" t="str">
        <v>Land and Easements</v>
      </c>
      <c r="P26" s="94">
        <f>SUMIF('Base Costs'!$C$4:$C$100,$B26,'Cost+LOA'!Y$4:Y$100)</f>
        <v>0</v>
      </c>
      <c r="Q26" s="95">
        <f>SUMIF('Base Costs'!$C$4:$C$100,$B26,'Cost+LOA'!Z$4:Z$100)</f>
        <v>482246.13123609993</v>
      </c>
      <c r="R26" s="292">
        <f>SUMIF('Base Costs'!$C$4:$C$100,$B26,'Cost+LOA'!AA$4:AA$100)</f>
        <v>0</v>
      </c>
      <c r="S26" s="292">
        <f>SUMIF('Base Costs'!$C$4:$C$100,$B26,'Cost+LOA'!AB$4:AB$100)</f>
        <v>0</v>
      </c>
      <c r="T26" s="292">
        <f>SUMIF('Base Costs'!$C$4:$C$100,$B26,'Cost+LOA'!AC$4:AC$100)</f>
        <v>0</v>
      </c>
      <c r="U26" s="292">
        <f>SUMIF('Base Costs'!$C$4:$C$100,$B26,'Cost+LOA'!AD$4:AD$100)</f>
        <v>0</v>
      </c>
      <c r="V26" s="292">
        <f>SUMIF('Base Costs'!$C$4:$C$100,$B26,'Cost+LOA'!AE$4:AE$100)</f>
        <v>0</v>
      </c>
      <c r="W26" s="95">
        <f>SUMIF('Base Costs'!$C$4:$C$100,$B26,'Cost+LOA'!AF$4:AF$100)</f>
        <v>0</v>
      </c>
      <c r="X26" s="96">
        <f>SUMIF('Base Costs'!$C$4:$C$100,$B26,'Cost+LOA'!AG$4:AG$100)</f>
        <v>0</v>
      </c>
      <c r="Y26" s="96">
        <f t="shared" si="7"/>
        <v>0</v>
      </c>
      <c r="Z26" s="96">
        <f t="shared" si="9"/>
        <v>482246.13123609993</v>
      </c>
    </row>
    <row r="27" spans="2:26" ht="12.75" x14ac:dyDescent="0.2">
      <c r="B27" s="93" t="str">
        <v>Asset Renewal</v>
      </c>
      <c r="C27" s="94">
        <f>SUMIF('Base Costs'!$C$4:$C$100,$B27,'Cost+LOA'!P$4:P$100)</f>
        <v>0</v>
      </c>
      <c r="D27" s="95">
        <f>SUMIF('Base Costs'!$C$4:$C$100,$B27,'Cost+LOA'!Q$4:Q$100)</f>
        <v>5650383.6610761518</v>
      </c>
      <c r="E27" s="292">
        <f>SUMIF('Base Costs'!$C$4:$C$100,$B27,'Cost+LOA'!R$4:R$100)</f>
        <v>31827596.493911419</v>
      </c>
      <c r="F27" s="292">
        <f>SUMIF('Base Costs'!$C$4:$C$100,$B27,'Cost+LOA'!S$4:S$100)</f>
        <v>24326241.040199995</v>
      </c>
      <c r="G27" s="292">
        <f>SUMIF('Base Costs'!$C$4:$C$100,$B27,'Cost+LOA'!T$4:T$100)</f>
        <v>25861280.047399994</v>
      </c>
      <c r="H27" s="292">
        <f>SUMIF('Base Costs'!$C$4:$C$100,$B27,'Cost+LOA'!U$4:U$100)</f>
        <v>29571849.476199996</v>
      </c>
      <c r="I27" s="292">
        <f>SUMIF('Base Costs'!$C$4:$C$100,$B27,'Cost+LOA'!V$4:V$100)</f>
        <v>21726347.556399997</v>
      </c>
      <c r="J27" s="95">
        <f>SUMIF('Base Costs'!$C$4:$C$100,$B27,'Cost+LOA'!W$4:W$100)</f>
        <v>5931729.0752000008</v>
      </c>
      <c r="K27" s="96">
        <f>SUMIF('Base Costs'!$C$4:$C$100,$B27,'Cost+LOA'!X$4:X$100)</f>
        <v>0</v>
      </c>
      <c r="L27" s="96">
        <f t="shared" si="6"/>
        <v>133313314.61411141</v>
      </c>
      <c r="M27" s="96">
        <f t="shared" si="8"/>
        <v>144895427.35038754</v>
      </c>
      <c r="N27" s="88"/>
      <c r="O27" s="93" t="str">
        <v>Asset Renewal</v>
      </c>
      <c r="P27" s="94">
        <f>SUMIF('Base Costs'!$C$4:$C$100,$B27,'Cost+LOA'!Y$4:Y$100)</f>
        <v>0</v>
      </c>
      <c r="Q27" s="95">
        <f>SUMIF('Base Costs'!$C$4:$C$100,$B27,'Cost+LOA'!Z$4:Z$100)</f>
        <v>0</v>
      </c>
      <c r="R27" s="292">
        <f>SUMIF('Base Costs'!$C$4:$C$100,$B27,'Cost+LOA'!AA$4:AA$100)</f>
        <v>36328637.712987565</v>
      </c>
      <c r="S27" s="292">
        <f>SUMIF('Base Costs'!$C$4:$C$100,$B27,'Cost+LOA'!AB$4:AB$100)</f>
        <v>24454883.482199997</v>
      </c>
      <c r="T27" s="292">
        <f>SUMIF('Base Costs'!$C$4:$C$100,$B27,'Cost+LOA'!AC$4:AC$100)</f>
        <v>26484634.019799992</v>
      </c>
      <c r="U27" s="292">
        <f>SUMIF('Base Costs'!$C$4:$C$100,$B27,'Cost+LOA'!AD$4:AD$100)</f>
        <v>23708601.591199998</v>
      </c>
      <c r="V27" s="292">
        <f>SUMIF('Base Costs'!$C$4:$C$100,$B27,'Cost+LOA'!AE$4:AE$100)</f>
        <v>25410675.958399992</v>
      </c>
      <c r="W27" s="95">
        <f>SUMIF('Base Costs'!$C$4:$C$100,$B27,'Cost+LOA'!AF$4:AF$100)</f>
        <v>63338.722800000003</v>
      </c>
      <c r="X27" s="96">
        <f>SUMIF('Base Costs'!$C$4:$C$100,$B27,'Cost+LOA'!AG$4:AG$100)</f>
        <v>8444655.8629999999</v>
      </c>
      <c r="Y27" s="96">
        <f t="shared" si="7"/>
        <v>136387432.76458752</v>
      </c>
      <c r="Z27" s="96">
        <f t="shared" si="9"/>
        <v>144895427.35038751</v>
      </c>
    </row>
    <row r="28" spans="2:26" ht="12.75" x14ac:dyDescent="0.2">
      <c r="B28" s="93" t="str">
        <v>Physical Security / Compliance</v>
      </c>
      <c r="C28" s="94">
        <f>SUMIF('Base Costs'!$C$4:$C$100,$B28,'Cost+LOA'!P$4:P$100)</f>
        <v>0</v>
      </c>
      <c r="D28" s="95">
        <f>SUMIF('Base Costs'!$C$4:$C$100,$B28,'Cost+LOA'!Q$4:Q$100)</f>
        <v>0</v>
      </c>
      <c r="E28" s="292">
        <f>SUMIF('Base Costs'!$C$4:$C$100,$B28,'Cost+LOA'!R$4:R$100)</f>
        <v>2288583.4370000004</v>
      </c>
      <c r="F28" s="292">
        <f>SUMIF('Base Costs'!$C$4:$C$100,$B28,'Cost+LOA'!S$4:S$100)</f>
        <v>2679410.7494999999</v>
      </c>
      <c r="G28" s="292">
        <f>SUMIF('Base Costs'!$C$4:$C$100,$B28,'Cost+LOA'!T$4:T$100)</f>
        <v>2679410.7494999999</v>
      </c>
      <c r="H28" s="292">
        <f>SUMIF('Base Costs'!$C$4:$C$100,$B28,'Cost+LOA'!U$4:U$100)</f>
        <v>2679410.7494999999</v>
      </c>
      <c r="I28" s="292">
        <f>SUMIF('Base Costs'!$C$4:$C$100,$B28,'Cost+LOA'!V$4:V$100)</f>
        <v>2679410.7494999999</v>
      </c>
      <c r="J28" s="95">
        <f>SUMIF('Base Costs'!$C$4:$C$100,$B28,'Cost+LOA'!W$4:W$100)</f>
        <v>0</v>
      </c>
      <c r="K28" s="96">
        <f>SUMIF('Base Costs'!$C$4:$C$100,$B28,'Cost+LOA'!X$4:X$100)</f>
        <v>0</v>
      </c>
      <c r="L28" s="96">
        <f t="shared" si="6"/>
        <v>13006226.434999999</v>
      </c>
      <c r="M28" s="96">
        <f t="shared" si="8"/>
        <v>13006226.434999999</v>
      </c>
      <c r="N28" s="88"/>
      <c r="O28" s="93" t="str">
        <v>Physical Security / Compliance</v>
      </c>
      <c r="P28" s="94">
        <f>SUMIF('Base Costs'!$C$4:$C$100,$B28,'Cost+LOA'!Y$4:Y$100)</f>
        <v>0</v>
      </c>
      <c r="Q28" s="95">
        <f>SUMIF('Base Costs'!$C$4:$C$100,$B28,'Cost+LOA'!Z$4:Z$100)</f>
        <v>0</v>
      </c>
      <c r="R28" s="292">
        <f>SUMIF('Base Costs'!$C$4:$C$100,$B28,'Cost+LOA'!AA$4:AA$100)</f>
        <v>2288583.4370000004</v>
      </c>
      <c r="S28" s="292">
        <f>SUMIF('Base Costs'!$C$4:$C$100,$B28,'Cost+LOA'!AB$4:AB$100)</f>
        <v>2679410.7494999999</v>
      </c>
      <c r="T28" s="292">
        <f>SUMIF('Base Costs'!$C$4:$C$100,$B28,'Cost+LOA'!AC$4:AC$100)</f>
        <v>2679410.7494999999</v>
      </c>
      <c r="U28" s="292">
        <f>SUMIF('Base Costs'!$C$4:$C$100,$B28,'Cost+LOA'!AD$4:AD$100)</f>
        <v>2679410.7494999999</v>
      </c>
      <c r="V28" s="292">
        <f>SUMIF('Base Costs'!$C$4:$C$100,$B28,'Cost+LOA'!AE$4:AE$100)</f>
        <v>2679410.7494999999</v>
      </c>
      <c r="W28" s="95">
        <f>SUMIF('Base Costs'!$C$4:$C$100,$B28,'Cost+LOA'!AF$4:AF$100)</f>
        <v>0</v>
      </c>
      <c r="X28" s="96">
        <f>SUMIF('Base Costs'!$C$4:$C$100,$B28,'Cost+LOA'!AG$4:AG$100)</f>
        <v>0</v>
      </c>
      <c r="Y28" s="96">
        <f t="shared" si="7"/>
        <v>13006226.434999999</v>
      </c>
      <c r="Z28" s="96">
        <f t="shared" si="9"/>
        <v>13006226.434999999</v>
      </c>
    </row>
    <row r="29" spans="2:26" ht="12.75" x14ac:dyDescent="0.2">
      <c r="B29" s="93" t="str">
        <v>Inventory / Spares</v>
      </c>
      <c r="C29" s="94">
        <f>SUMIF('Base Costs'!$C$4:$C$100,$B29,'Cost+LOA'!P$4:P$100)</f>
        <v>0</v>
      </c>
      <c r="D29" s="95">
        <f>SUMIF('Base Costs'!$C$4:$C$100,$B29,'Cost+LOA'!Q$4:Q$100)</f>
        <v>0</v>
      </c>
      <c r="E29" s="292">
        <f>SUMIF('Base Costs'!$C$4:$C$100,$B29,'Cost+LOA'!R$4:R$100)</f>
        <v>1452837.226</v>
      </c>
      <c r="F29" s="292">
        <f>SUMIF('Base Costs'!$C$4:$C$100,$B29,'Cost+LOA'!S$4:S$100)</f>
        <v>7985000.9765999997</v>
      </c>
      <c r="G29" s="292">
        <f>SUMIF('Base Costs'!$C$4:$C$100,$B29,'Cost+LOA'!T$4:T$100)</f>
        <v>4063049.9412000002</v>
      </c>
      <c r="H29" s="292">
        <f>SUMIF('Base Costs'!$C$4:$C$100,$B29,'Cost+LOA'!U$4:U$100)</f>
        <v>166210.61199999999</v>
      </c>
      <c r="I29" s="292">
        <f>SUMIF('Base Costs'!$C$4:$C$100,$B29,'Cost+LOA'!V$4:V$100)</f>
        <v>166210.61199999999</v>
      </c>
      <c r="J29" s="95">
        <f>SUMIF('Base Costs'!$C$4:$C$100,$B29,'Cost+LOA'!W$4:W$100)</f>
        <v>0</v>
      </c>
      <c r="K29" s="96">
        <f>SUMIF('Base Costs'!$C$4:$C$100,$B29,'Cost+LOA'!X$4:X$100)</f>
        <v>0</v>
      </c>
      <c r="L29" s="96">
        <f t="shared" si="6"/>
        <v>13833309.367800001</v>
      </c>
      <c r="M29" s="96">
        <f t="shared" si="8"/>
        <v>13833309.367800001</v>
      </c>
      <c r="N29" s="88"/>
      <c r="O29" s="93" t="str">
        <v>Inventory / Spares</v>
      </c>
      <c r="P29" s="94">
        <f>SUMIF('Base Costs'!$C$4:$C$100,$B29,'Cost+LOA'!Y$4:Y$100)</f>
        <v>0</v>
      </c>
      <c r="Q29" s="95">
        <f>SUMIF('Base Costs'!$C$4:$C$100,$B29,'Cost+LOA'!Z$4:Z$100)</f>
        <v>0</v>
      </c>
      <c r="R29" s="292">
        <f>SUMIF('Base Costs'!$C$4:$C$100,$B29,'Cost+LOA'!AA$4:AA$100)</f>
        <v>166210.61199999999</v>
      </c>
      <c r="S29" s="292">
        <f>SUMIF('Base Costs'!$C$4:$C$100,$B29,'Cost+LOA'!AB$4:AB$100)</f>
        <v>832200.61199999996</v>
      </c>
      <c r="T29" s="292">
        <f>SUMIF('Base Costs'!$C$4:$C$100,$B29,'Cost+LOA'!AC$4:AC$100)</f>
        <v>12502476.919799998</v>
      </c>
      <c r="U29" s="292">
        <f>SUMIF('Base Costs'!$C$4:$C$100,$B29,'Cost+LOA'!AD$4:AD$100)</f>
        <v>166210.61199999999</v>
      </c>
      <c r="V29" s="292">
        <f>SUMIF('Base Costs'!$C$4:$C$100,$B29,'Cost+LOA'!AE$4:AE$100)</f>
        <v>166210.61199999999</v>
      </c>
      <c r="W29" s="95">
        <f>SUMIF('Base Costs'!$C$4:$C$100,$B29,'Cost+LOA'!AF$4:AF$100)</f>
        <v>0</v>
      </c>
      <c r="X29" s="96">
        <f>SUMIF('Base Costs'!$C$4:$C$100,$B29,'Cost+LOA'!AG$4:AG$100)</f>
        <v>0</v>
      </c>
      <c r="Y29" s="96">
        <f t="shared" si="7"/>
        <v>13833309.367799997</v>
      </c>
      <c r="Z29" s="96">
        <f t="shared" si="9"/>
        <v>13833309.367799997</v>
      </c>
    </row>
    <row r="30" spans="2:26" ht="12.75" x14ac:dyDescent="0.2">
      <c r="B30" s="93" t="str">
        <v>Operational Support Systems</v>
      </c>
      <c r="C30" s="94">
        <f>SUMIF('Base Costs'!$C$4:$C$100,$B30,'Cost+LOA'!P$4:P$100)</f>
        <v>0</v>
      </c>
      <c r="D30" s="95">
        <f>SUMIF('Base Costs'!$C$4:$C$100,$B30,'Cost+LOA'!Q$4:Q$100)</f>
        <v>36041</v>
      </c>
      <c r="E30" s="292">
        <f>SUMIF('Base Costs'!$C$4:$C$100,$B30,'Cost+LOA'!R$4:R$100)</f>
        <v>6625891.5835550912</v>
      </c>
      <c r="F30" s="292">
        <f>SUMIF('Base Costs'!$C$4:$C$100,$B30,'Cost+LOA'!S$4:S$100)</f>
        <v>8725791.6799999997</v>
      </c>
      <c r="G30" s="292">
        <f>SUMIF('Base Costs'!$C$4:$C$100,$B30,'Cost+LOA'!T$4:T$100)</f>
        <v>6337524.6399999997</v>
      </c>
      <c r="H30" s="292">
        <f>SUMIF('Base Costs'!$C$4:$C$100,$B30,'Cost+LOA'!U$4:U$100)</f>
        <v>4869769.4399999995</v>
      </c>
      <c r="I30" s="292">
        <f>SUMIF('Base Costs'!$C$4:$C$100,$B30,'Cost+LOA'!V$4:V$100)</f>
        <v>4443196.72</v>
      </c>
      <c r="J30" s="95">
        <f>SUMIF('Base Costs'!$C$4:$C$100,$B30,'Cost+LOA'!W$4:W$100)</f>
        <v>0</v>
      </c>
      <c r="K30" s="96">
        <f>SUMIF('Base Costs'!$C$4:$C$100,$B30,'Cost+LOA'!X$4:X$100)</f>
        <v>0</v>
      </c>
      <c r="L30" s="96">
        <f t="shared" si="6"/>
        <v>31002174.063555092</v>
      </c>
      <c r="M30" s="96">
        <f t="shared" si="8"/>
        <v>31038215.063555092</v>
      </c>
      <c r="N30" s="88"/>
      <c r="O30" s="93" t="str">
        <v>Operational Support Systems</v>
      </c>
      <c r="P30" s="94">
        <f>SUMIF('Base Costs'!$C$4:$C$100,$B30,'Cost+LOA'!Y$4:Y$100)</f>
        <v>0</v>
      </c>
      <c r="Q30" s="95">
        <f>SUMIF('Base Costs'!$C$4:$C$100,$B30,'Cost+LOA'!Z$4:Z$100)</f>
        <v>36041</v>
      </c>
      <c r="R30" s="292">
        <f>SUMIF('Base Costs'!$C$4:$C$100,$B30,'Cost+LOA'!AA$4:AA$100)</f>
        <v>6470891.5835550912</v>
      </c>
      <c r="S30" s="292">
        <f>SUMIF('Base Costs'!$C$4:$C$100,$B30,'Cost+LOA'!AB$4:AB$100)</f>
        <v>8245791.6799999988</v>
      </c>
      <c r="T30" s="292">
        <f>SUMIF('Base Costs'!$C$4:$C$100,$B30,'Cost+LOA'!AC$4:AC$100)</f>
        <v>6072524.6399999997</v>
      </c>
      <c r="U30" s="292">
        <f>SUMIF('Base Costs'!$C$4:$C$100,$B30,'Cost+LOA'!AD$4:AD$100)</f>
        <v>5769769.4399999995</v>
      </c>
      <c r="V30" s="292">
        <f>SUMIF('Base Costs'!$C$4:$C$100,$B30,'Cost+LOA'!AE$4:AE$100)</f>
        <v>4443196.72</v>
      </c>
      <c r="W30" s="95">
        <f>SUMIF('Base Costs'!$C$4:$C$100,$B30,'Cost+LOA'!AF$4:AF$100)</f>
        <v>0</v>
      </c>
      <c r="X30" s="96">
        <f>SUMIF('Base Costs'!$C$4:$C$100,$B30,'Cost+LOA'!AG$4:AG$100)</f>
        <v>0</v>
      </c>
      <c r="Y30" s="96">
        <f t="shared" si="7"/>
        <v>31002174.063555092</v>
      </c>
      <c r="Z30" s="96">
        <f t="shared" si="9"/>
        <v>31038215.063555092</v>
      </c>
    </row>
    <row r="31" spans="2:26" ht="12.75" x14ac:dyDescent="0.2">
      <c r="B31" s="93" t="str">
        <v>Information Technology</v>
      </c>
      <c r="C31" s="94">
        <f>SUMIF('Base Costs'!$C$4:$C$100,$B31,'Cost+LOA'!P$4:P$100)</f>
        <v>0</v>
      </c>
      <c r="D31" s="95">
        <f>SUMIF('Base Costs'!$C$4:$C$100,$B31,'Cost+LOA'!Q$4:Q$100)</f>
        <v>0</v>
      </c>
      <c r="E31" s="292">
        <f>SUMIF('Base Costs'!$C$4:$C$100,$B31,'Cost+LOA'!R$4:R$100)</f>
        <v>1659329.4400000002</v>
      </c>
      <c r="F31" s="292">
        <f>SUMIF('Base Costs'!$C$4:$C$100,$B31,'Cost+LOA'!S$4:S$100)</f>
        <v>1055321.9200000002</v>
      </c>
      <c r="G31" s="292">
        <f>SUMIF('Base Costs'!$C$4:$C$100,$B31,'Cost+LOA'!T$4:T$100)</f>
        <v>1237712.96</v>
      </c>
      <c r="H31" s="292">
        <f>SUMIF('Base Costs'!$C$4:$C$100,$B31,'Cost+LOA'!U$4:U$100)</f>
        <v>1906708.1600000001</v>
      </c>
      <c r="I31" s="292">
        <f>SUMIF('Base Costs'!$C$4:$C$100,$B31,'Cost+LOA'!V$4:V$100)</f>
        <v>785722.88</v>
      </c>
      <c r="J31" s="95">
        <f>SUMIF('Base Costs'!$C$4:$C$100,$B31,'Cost+LOA'!W$4:W$100)</f>
        <v>0</v>
      </c>
      <c r="K31" s="96">
        <f>SUMIF('Base Costs'!$C$4:$C$100,$B31,'Cost+LOA'!X$4:X$100)</f>
        <v>0</v>
      </c>
      <c r="L31" s="96">
        <f t="shared" si="6"/>
        <v>6644795.3600000003</v>
      </c>
      <c r="M31" s="96">
        <f t="shared" si="8"/>
        <v>6644795.3600000003</v>
      </c>
      <c r="N31" s="88"/>
      <c r="O31" s="93" t="str">
        <v>Information Technology</v>
      </c>
      <c r="P31" s="94">
        <f>SUMIF('Base Costs'!$C$4:$C$100,$B31,'Cost+LOA'!Y$4:Y$100)</f>
        <v>0</v>
      </c>
      <c r="Q31" s="95">
        <f>SUMIF('Base Costs'!$C$4:$C$100,$B31,'Cost+LOA'!Z$4:Z$100)</f>
        <v>0</v>
      </c>
      <c r="R31" s="292">
        <f>SUMIF('Base Costs'!$C$4:$C$100,$B31,'Cost+LOA'!AA$4:AA$100)</f>
        <v>1659329.4400000002</v>
      </c>
      <c r="S31" s="292">
        <f>SUMIF('Base Costs'!$C$4:$C$100,$B31,'Cost+LOA'!AB$4:AB$100)</f>
        <v>1055321.9200000002</v>
      </c>
      <c r="T31" s="292">
        <f>SUMIF('Base Costs'!$C$4:$C$100,$B31,'Cost+LOA'!AC$4:AC$100)</f>
        <v>1237712.96</v>
      </c>
      <c r="U31" s="292">
        <f>SUMIF('Base Costs'!$C$4:$C$100,$B31,'Cost+LOA'!AD$4:AD$100)</f>
        <v>1906708.1600000001</v>
      </c>
      <c r="V31" s="292">
        <f>SUMIF('Base Costs'!$C$4:$C$100,$B31,'Cost+LOA'!AE$4:AE$100)</f>
        <v>785722.88</v>
      </c>
      <c r="W31" s="95">
        <f>SUMIF('Base Costs'!$C$4:$C$100,$B31,'Cost+LOA'!AF$4:AF$100)</f>
        <v>0</v>
      </c>
      <c r="X31" s="96">
        <f>SUMIF('Base Costs'!$C$4:$C$100,$B31,'Cost+LOA'!AG$4:AG$100)</f>
        <v>0</v>
      </c>
      <c r="Y31" s="96">
        <f t="shared" si="7"/>
        <v>6644795.3600000003</v>
      </c>
      <c r="Z31" s="96">
        <f t="shared" si="9"/>
        <v>6644795.3600000003</v>
      </c>
    </row>
    <row r="32" spans="2:26" x14ac:dyDescent="0.3">
      <c r="B32" s="93" t="str">
        <v>Business Support</v>
      </c>
      <c r="C32" s="94">
        <f>SUMIF('Base Costs'!$C$4:$C$100,$B32,'Cost+LOA'!P$4:P$100)</f>
        <v>0</v>
      </c>
      <c r="D32" s="95">
        <f>SUMIF('Base Costs'!$C$4:$C$100,$B32,'Cost+LOA'!Q$4:Q$100)</f>
        <v>157217.42431432096</v>
      </c>
      <c r="E32" s="292">
        <f>SUMIF('Base Costs'!$C$4:$C$100,$B32,'Cost+LOA'!R$4:R$100)</f>
        <v>1385957.4581000286</v>
      </c>
      <c r="F32" s="292">
        <f>SUMIF('Base Costs'!$C$4:$C$100,$B32,'Cost+LOA'!S$4:S$100)</f>
        <v>1810000</v>
      </c>
      <c r="G32" s="292">
        <f>SUMIF('Base Costs'!$C$4:$C$100,$B32,'Cost+LOA'!T$4:T$100)</f>
        <v>1039750</v>
      </c>
      <c r="H32" s="292">
        <f>SUMIF('Base Costs'!$C$4:$C$100,$B32,'Cost+LOA'!U$4:U$100)</f>
        <v>336350</v>
      </c>
      <c r="I32" s="292">
        <f>SUMIF('Base Costs'!$C$4:$C$100,$B32,'Cost+LOA'!V$4:V$100)</f>
        <v>872200</v>
      </c>
      <c r="J32" s="95">
        <f>SUMIF('Base Costs'!$C$4:$C$100,$B32,'Cost+LOA'!W$4:W$100)</f>
        <v>0</v>
      </c>
      <c r="K32" s="96">
        <f>SUMIF('Base Costs'!$C$4:$C$100,$B32,'Cost+LOA'!X$4:X$100)</f>
        <v>0</v>
      </c>
      <c r="L32" s="96">
        <f t="shared" si="6"/>
        <v>5444257.4581000283</v>
      </c>
      <c r="M32" s="96">
        <f t="shared" si="8"/>
        <v>5601474.8824143494</v>
      </c>
      <c r="N32" s="88"/>
      <c r="O32" s="93" t="str">
        <v>Business Support</v>
      </c>
      <c r="P32" s="94">
        <f>SUMIF('Base Costs'!$C$4:$C$100,$B32,'Cost+LOA'!Y$4:Y$100)</f>
        <v>0</v>
      </c>
      <c r="Q32" s="95">
        <f>SUMIF('Base Costs'!$C$4:$C$100,$B32,'Cost+LOA'!Z$4:Z$100)</f>
        <v>0</v>
      </c>
      <c r="R32" s="292">
        <f>SUMIF('Base Costs'!$C$4:$C$100,$B32,'Cost+LOA'!AA$4:AA$100)</f>
        <v>1278324.8824143494</v>
      </c>
      <c r="S32" s="292">
        <f>SUMIF('Base Costs'!$C$4:$C$100,$B32,'Cost+LOA'!AB$4:AB$100)</f>
        <v>1737000</v>
      </c>
      <c r="T32" s="292">
        <f>SUMIF('Base Costs'!$C$4:$C$100,$B32,'Cost+LOA'!AC$4:AC$100)</f>
        <v>1120000</v>
      </c>
      <c r="U32" s="292">
        <f>SUMIF('Base Costs'!$C$4:$C$100,$B32,'Cost+LOA'!AD$4:AD$100)</f>
        <v>280000</v>
      </c>
      <c r="V32" s="292">
        <f>SUMIF('Base Costs'!$C$4:$C$100,$B32,'Cost+LOA'!AE$4:AE$100)</f>
        <v>1186150</v>
      </c>
      <c r="W32" s="95">
        <f>SUMIF('Base Costs'!$C$4:$C$100,$B32,'Cost+LOA'!AF$4:AF$100)</f>
        <v>0</v>
      </c>
      <c r="X32" s="96">
        <f>SUMIF('Base Costs'!$C$4:$C$100,$B32,'Cost+LOA'!AG$4:AG$100)</f>
        <v>0</v>
      </c>
      <c r="Y32" s="96">
        <f t="shared" si="7"/>
        <v>5601474.8824143494</v>
      </c>
      <c r="Z32" s="96">
        <f t="shared" si="9"/>
        <v>5601474.8824143494</v>
      </c>
    </row>
    <row r="33" spans="2:26" x14ac:dyDescent="0.3">
      <c r="B33" s="93" t="str">
        <v/>
      </c>
      <c r="C33" s="94">
        <f>SUMIF('Base Costs'!$C$4:$C$100,$B33,'Cost+LOA'!P$4:P$100)</f>
        <v>0</v>
      </c>
      <c r="D33" s="95">
        <f>SUMIF('Base Costs'!$C$4:$C$100,$B33,'Cost+LOA'!Q$4:Q$100)</f>
        <v>0</v>
      </c>
      <c r="E33" s="292">
        <f>SUMIF('Base Costs'!$C$4:$C$100,$B33,'Cost+LOA'!R$4:R$100)</f>
        <v>0</v>
      </c>
      <c r="F33" s="292">
        <f>SUMIF('Base Costs'!$C$4:$C$100,$B33,'Cost+LOA'!S$4:S$100)</f>
        <v>0</v>
      </c>
      <c r="G33" s="292">
        <f>SUMIF('Base Costs'!$C$4:$C$100,$B33,'Cost+LOA'!T$4:T$100)</f>
        <v>0</v>
      </c>
      <c r="H33" s="292">
        <f>SUMIF('Base Costs'!$C$4:$C$100,$B33,'Cost+LOA'!U$4:U$100)</f>
        <v>0</v>
      </c>
      <c r="I33" s="292">
        <f>SUMIF('Base Costs'!$C$4:$C$100,$B33,'Cost+LOA'!V$4:V$100)</f>
        <v>0</v>
      </c>
      <c r="J33" s="95">
        <f>SUMIF('Base Costs'!$C$4:$C$100,$B33,'Cost+LOA'!W$4:W$100)</f>
        <v>0</v>
      </c>
      <c r="K33" s="96">
        <f>SUMIF('Base Costs'!$C$4:$C$100,$B33,'Cost+LOA'!X$4:X$100)</f>
        <v>0</v>
      </c>
      <c r="L33" s="96">
        <f t="shared" si="6"/>
        <v>0</v>
      </c>
      <c r="M33" s="96">
        <f t="shared" si="8"/>
        <v>0</v>
      </c>
      <c r="N33" s="88"/>
      <c r="O33" s="93" t="str">
        <v/>
      </c>
      <c r="P33" s="94">
        <f>SUMIF('Base Costs'!$C$4:$C$100,$B33,'Cost+LOA'!Y$4:Y$100)</f>
        <v>0</v>
      </c>
      <c r="Q33" s="95">
        <f>SUMIF('Base Costs'!$C$4:$C$100,$B33,'Cost+LOA'!Z$4:Z$100)</f>
        <v>0</v>
      </c>
      <c r="R33" s="292">
        <f>SUMIF('Base Costs'!$C$4:$C$100,$B33,'Cost+LOA'!AA$4:AA$100)</f>
        <v>0</v>
      </c>
      <c r="S33" s="292">
        <f>SUMIF('Base Costs'!$C$4:$C$100,$B33,'Cost+LOA'!AB$4:AB$100)</f>
        <v>0</v>
      </c>
      <c r="T33" s="292">
        <f>SUMIF('Base Costs'!$C$4:$C$100,$B33,'Cost+LOA'!AC$4:AC$100)</f>
        <v>0</v>
      </c>
      <c r="U33" s="292">
        <f>SUMIF('Base Costs'!$C$4:$C$100,$B33,'Cost+LOA'!AD$4:AD$100)</f>
        <v>0</v>
      </c>
      <c r="V33" s="292">
        <f>SUMIF('Base Costs'!$C$4:$C$100,$B33,'Cost+LOA'!AE$4:AE$100)</f>
        <v>0</v>
      </c>
      <c r="W33" s="95">
        <f>SUMIF('Base Costs'!$C$4:$C$100,$B33,'Cost+LOA'!AF$4:AF$100)</f>
        <v>0</v>
      </c>
      <c r="X33" s="96">
        <f>SUMIF('Base Costs'!$C$4:$C$100,$B33,'Cost+LOA'!AG$4:AG$100)</f>
        <v>0</v>
      </c>
      <c r="Y33" s="96">
        <f t="shared" si="7"/>
        <v>0</v>
      </c>
      <c r="Z33" s="96">
        <f t="shared" si="9"/>
        <v>0</v>
      </c>
    </row>
    <row r="34" spans="2:26" x14ac:dyDescent="0.3">
      <c r="B34" s="93" t="str">
        <v/>
      </c>
      <c r="C34" s="94">
        <f>SUMIF('Base Costs'!$C$4:$C$100,$B34,'Cost+LOA'!P$4:P$100)</f>
        <v>0</v>
      </c>
      <c r="D34" s="95">
        <f>SUMIF('Base Costs'!$C$4:$C$100,$B34,'Cost+LOA'!Q$4:Q$100)</f>
        <v>0</v>
      </c>
      <c r="E34" s="292">
        <f>SUMIF('Base Costs'!$C$4:$C$100,$B34,'Cost+LOA'!R$4:R$100)</f>
        <v>0</v>
      </c>
      <c r="F34" s="292">
        <f>SUMIF('Base Costs'!$C$4:$C$100,$B34,'Cost+LOA'!S$4:S$100)</f>
        <v>0</v>
      </c>
      <c r="G34" s="292">
        <f>SUMIF('Base Costs'!$C$4:$C$100,$B34,'Cost+LOA'!T$4:T$100)</f>
        <v>0</v>
      </c>
      <c r="H34" s="292">
        <f>SUMIF('Base Costs'!$C$4:$C$100,$B34,'Cost+LOA'!U$4:U$100)</f>
        <v>0</v>
      </c>
      <c r="I34" s="292">
        <f>SUMIF('Base Costs'!$C$4:$C$100,$B34,'Cost+LOA'!V$4:V$100)</f>
        <v>0</v>
      </c>
      <c r="J34" s="95">
        <f>SUMIF('Base Costs'!$C$4:$C$100,$B34,'Cost+LOA'!W$4:W$100)</f>
        <v>0</v>
      </c>
      <c r="K34" s="96">
        <f>SUMIF('Base Costs'!$C$4:$C$100,$B34,'Cost+LOA'!X$4:X$100)</f>
        <v>0</v>
      </c>
      <c r="L34" s="96">
        <f t="shared" si="6"/>
        <v>0</v>
      </c>
      <c r="M34" s="96">
        <f t="shared" si="8"/>
        <v>0</v>
      </c>
      <c r="N34" s="88"/>
      <c r="O34" s="93" t="str">
        <v/>
      </c>
      <c r="P34" s="94">
        <f>SUMIF('Base Costs'!$C$4:$C$100,$B34,'Cost+LOA'!Y$4:Y$100)</f>
        <v>0</v>
      </c>
      <c r="Q34" s="95">
        <f>SUMIF('Base Costs'!$C$4:$C$100,$B34,'Cost+LOA'!Z$4:Z$100)</f>
        <v>0</v>
      </c>
      <c r="R34" s="292">
        <f>SUMIF('Base Costs'!$C$4:$C$100,$B34,'Cost+LOA'!AA$4:AA$100)</f>
        <v>0</v>
      </c>
      <c r="S34" s="292">
        <f>SUMIF('Base Costs'!$C$4:$C$100,$B34,'Cost+LOA'!AB$4:AB$100)</f>
        <v>0</v>
      </c>
      <c r="T34" s="292">
        <f>SUMIF('Base Costs'!$C$4:$C$100,$B34,'Cost+LOA'!AC$4:AC$100)</f>
        <v>0</v>
      </c>
      <c r="U34" s="292">
        <f>SUMIF('Base Costs'!$C$4:$C$100,$B34,'Cost+LOA'!AD$4:AD$100)</f>
        <v>0</v>
      </c>
      <c r="V34" s="292">
        <f>SUMIF('Base Costs'!$C$4:$C$100,$B34,'Cost+LOA'!AE$4:AE$100)</f>
        <v>0</v>
      </c>
      <c r="W34" s="95">
        <f>SUMIF('Base Costs'!$C$4:$C$100,$B34,'Cost+LOA'!AF$4:AF$100)</f>
        <v>0</v>
      </c>
      <c r="X34" s="96">
        <f>SUMIF('Base Costs'!$C$4:$C$100,$B34,'Cost+LOA'!AG$4:AG$100)</f>
        <v>0</v>
      </c>
      <c r="Y34" s="96">
        <f t="shared" si="7"/>
        <v>0</v>
      </c>
      <c r="Z34" s="96">
        <f t="shared" si="9"/>
        <v>0</v>
      </c>
    </row>
    <row r="35" spans="2:26" x14ac:dyDescent="0.3">
      <c r="B35" s="93" t="str">
        <v/>
      </c>
      <c r="C35" s="94">
        <f>SUMIF('Base Costs'!$C$4:$C$100,$B35,'Cost+LOA'!P$4:P$100)</f>
        <v>0</v>
      </c>
      <c r="D35" s="95">
        <f>SUMIF('Base Costs'!$C$4:$C$100,$B35,'Cost+LOA'!Q$4:Q$100)</f>
        <v>0</v>
      </c>
      <c r="E35" s="292">
        <f>SUMIF('Base Costs'!$C$4:$C$100,$B35,'Cost+LOA'!R$4:R$100)</f>
        <v>0</v>
      </c>
      <c r="F35" s="292">
        <f>SUMIF('Base Costs'!$C$4:$C$100,$B35,'Cost+LOA'!S$4:S$100)</f>
        <v>0</v>
      </c>
      <c r="G35" s="292">
        <f>SUMIF('Base Costs'!$C$4:$C$100,$B35,'Cost+LOA'!T$4:T$100)</f>
        <v>0</v>
      </c>
      <c r="H35" s="292">
        <f>SUMIF('Base Costs'!$C$4:$C$100,$B35,'Cost+LOA'!U$4:U$100)</f>
        <v>0</v>
      </c>
      <c r="I35" s="292">
        <f>SUMIF('Base Costs'!$C$4:$C$100,$B35,'Cost+LOA'!V$4:V$100)</f>
        <v>0</v>
      </c>
      <c r="J35" s="95">
        <f>SUMIF('Base Costs'!$C$4:$C$100,$B35,'Cost+LOA'!W$4:W$100)</f>
        <v>0</v>
      </c>
      <c r="K35" s="96">
        <f>SUMIF('Base Costs'!$C$4:$C$100,$B35,'Cost+LOA'!X$4:X$100)</f>
        <v>0</v>
      </c>
      <c r="L35" s="96">
        <f t="shared" si="6"/>
        <v>0</v>
      </c>
      <c r="M35" s="96">
        <f t="shared" si="8"/>
        <v>0</v>
      </c>
      <c r="N35" s="88"/>
      <c r="O35" s="93" t="str">
        <v/>
      </c>
      <c r="P35" s="94">
        <f>SUMIF('Base Costs'!$C$4:$C$100,$B35,'Cost+LOA'!Y$4:Y$100)</f>
        <v>0</v>
      </c>
      <c r="Q35" s="95">
        <f>SUMIF('Base Costs'!$C$4:$C$100,$B35,'Cost+LOA'!Z$4:Z$100)</f>
        <v>0</v>
      </c>
      <c r="R35" s="292">
        <f>SUMIF('Base Costs'!$C$4:$C$100,$B35,'Cost+LOA'!AA$4:AA$100)</f>
        <v>0</v>
      </c>
      <c r="S35" s="292">
        <f>SUMIF('Base Costs'!$C$4:$C$100,$B35,'Cost+LOA'!AB$4:AB$100)</f>
        <v>0</v>
      </c>
      <c r="T35" s="292">
        <f>SUMIF('Base Costs'!$C$4:$C$100,$B35,'Cost+LOA'!AC$4:AC$100)</f>
        <v>0</v>
      </c>
      <c r="U35" s="292">
        <f>SUMIF('Base Costs'!$C$4:$C$100,$B35,'Cost+LOA'!AD$4:AD$100)</f>
        <v>0</v>
      </c>
      <c r="V35" s="292">
        <f>SUMIF('Base Costs'!$C$4:$C$100,$B35,'Cost+LOA'!AE$4:AE$100)</f>
        <v>0</v>
      </c>
      <c r="W35" s="95">
        <f>SUMIF('Base Costs'!$C$4:$C$100,$B35,'Cost+LOA'!AF$4:AF$100)</f>
        <v>0</v>
      </c>
      <c r="X35" s="96">
        <f>SUMIF('Base Costs'!$C$4:$C$100,$B35,'Cost+LOA'!AG$4:AG$100)</f>
        <v>0</v>
      </c>
      <c r="Y35" s="96">
        <f t="shared" si="7"/>
        <v>0</v>
      </c>
      <c r="Z35" s="96">
        <f t="shared" si="9"/>
        <v>0</v>
      </c>
    </row>
    <row r="36" spans="2:26" x14ac:dyDescent="0.3">
      <c r="B36" s="93" t="str">
        <v/>
      </c>
      <c r="C36" s="94">
        <f>SUMIF('Base Costs'!$C$4:$C$100,$B36,'Cost+LOA'!P$4:P$100)</f>
        <v>0</v>
      </c>
      <c r="D36" s="95">
        <f>SUMIF('Base Costs'!$C$4:$C$100,$B36,'Cost+LOA'!Q$4:Q$100)</f>
        <v>0</v>
      </c>
      <c r="E36" s="292">
        <f>SUMIF('Base Costs'!$C$4:$C$100,$B36,'Cost+LOA'!R$4:R$100)</f>
        <v>0</v>
      </c>
      <c r="F36" s="292">
        <f>SUMIF('Base Costs'!$C$4:$C$100,$B36,'Cost+LOA'!S$4:S$100)</f>
        <v>0</v>
      </c>
      <c r="G36" s="292">
        <f>SUMIF('Base Costs'!$C$4:$C$100,$B36,'Cost+LOA'!T$4:T$100)</f>
        <v>0</v>
      </c>
      <c r="H36" s="292">
        <f>SUMIF('Base Costs'!$C$4:$C$100,$B36,'Cost+LOA'!U$4:U$100)</f>
        <v>0</v>
      </c>
      <c r="I36" s="292">
        <f>SUMIF('Base Costs'!$C$4:$C$100,$B36,'Cost+LOA'!V$4:V$100)</f>
        <v>0</v>
      </c>
      <c r="J36" s="95">
        <f>SUMIF('Base Costs'!$C$4:$C$100,$B36,'Cost+LOA'!W$4:W$100)</f>
        <v>0</v>
      </c>
      <c r="K36" s="96">
        <f>SUMIF('Base Costs'!$C$4:$C$100,$B36,'Cost+LOA'!X$4:X$100)</f>
        <v>0</v>
      </c>
      <c r="L36" s="96">
        <f t="shared" si="6"/>
        <v>0</v>
      </c>
      <c r="M36" s="96">
        <f t="shared" si="8"/>
        <v>0</v>
      </c>
      <c r="N36" s="88"/>
      <c r="O36" s="93" t="str">
        <v/>
      </c>
      <c r="P36" s="94">
        <f>SUMIF('Base Costs'!$C$4:$C$100,$B36,'Cost+LOA'!Y$4:Y$100)</f>
        <v>0</v>
      </c>
      <c r="Q36" s="95">
        <f>SUMIF('Base Costs'!$C$4:$C$100,$B36,'Cost+LOA'!Z$4:Z$100)</f>
        <v>0</v>
      </c>
      <c r="R36" s="292">
        <f>SUMIF('Base Costs'!$C$4:$C$100,$B36,'Cost+LOA'!AA$4:AA$100)</f>
        <v>0</v>
      </c>
      <c r="S36" s="292">
        <f>SUMIF('Base Costs'!$C$4:$C$100,$B36,'Cost+LOA'!AB$4:AB$100)</f>
        <v>0</v>
      </c>
      <c r="T36" s="292">
        <f>SUMIF('Base Costs'!$C$4:$C$100,$B36,'Cost+LOA'!AC$4:AC$100)</f>
        <v>0</v>
      </c>
      <c r="U36" s="292">
        <f>SUMIF('Base Costs'!$C$4:$C$100,$B36,'Cost+LOA'!AD$4:AD$100)</f>
        <v>0</v>
      </c>
      <c r="V36" s="292">
        <f>SUMIF('Base Costs'!$C$4:$C$100,$B36,'Cost+LOA'!AE$4:AE$100)</f>
        <v>0</v>
      </c>
      <c r="W36" s="95">
        <f>SUMIF('Base Costs'!$C$4:$C$100,$B36,'Cost+LOA'!AF$4:AF$100)</f>
        <v>0</v>
      </c>
      <c r="X36" s="96">
        <f>SUMIF('Base Costs'!$C$4:$C$100,$B36,'Cost+LOA'!AG$4:AG$100)</f>
        <v>0</v>
      </c>
      <c r="Y36" s="96">
        <f t="shared" si="7"/>
        <v>0</v>
      </c>
      <c r="Z36" s="96">
        <f t="shared" si="9"/>
        <v>0</v>
      </c>
    </row>
    <row r="37" spans="2:26" x14ac:dyDescent="0.3">
      <c r="B37" s="93" t="str">
        <v/>
      </c>
      <c r="C37" s="94">
        <f>SUMIF('Base Costs'!$C$4:$C$100,$B37,'Cost+LOA'!P$4:P$100)</f>
        <v>0</v>
      </c>
      <c r="D37" s="95">
        <f>SUMIF('Base Costs'!$C$4:$C$100,$B37,'Cost+LOA'!Q$4:Q$100)</f>
        <v>0</v>
      </c>
      <c r="E37" s="292">
        <f>SUMIF('Base Costs'!$C$4:$C$100,$B37,'Cost+LOA'!R$4:R$100)</f>
        <v>0</v>
      </c>
      <c r="F37" s="292">
        <f>SUMIF('Base Costs'!$C$4:$C$100,$B37,'Cost+LOA'!S$4:S$100)</f>
        <v>0</v>
      </c>
      <c r="G37" s="292">
        <f>SUMIF('Base Costs'!$C$4:$C$100,$B37,'Cost+LOA'!T$4:T$100)</f>
        <v>0</v>
      </c>
      <c r="H37" s="292">
        <f>SUMIF('Base Costs'!$C$4:$C$100,$B37,'Cost+LOA'!U$4:U$100)</f>
        <v>0</v>
      </c>
      <c r="I37" s="292">
        <f>SUMIF('Base Costs'!$C$4:$C$100,$B37,'Cost+LOA'!V$4:V$100)</f>
        <v>0</v>
      </c>
      <c r="J37" s="95">
        <f>SUMIF('Base Costs'!$C$4:$C$100,$B37,'Cost+LOA'!W$4:W$100)</f>
        <v>0</v>
      </c>
      <c r="K37" s="96">
        <f>SUMIF('Base Costs'!$C$4:$C$100,$B37,'Cost+LOA'!X$4:X$100)</f>
        <v>0</v>
      </c>
      <c r="L37" s="96">
        <f t="shared" si="6"/>
        <v>0</v>
      </c>
      <c r="M37" s="96">
        <f t="shared" si="8"/>
        <v>0</v>
      </c>
      <c r="N37" s="88"/>
      <c r="O37" s="93" t="str">
        <v/>
      </c>
      <c r="P37" s="94">
        <f>SUMIF('Base Costs'!$C$4:$C$100,$B37,'Cost+LOA'!Y$4:Y$100)</f>
        <v>0</v>
      </c>
      <c r="Q37" s="95">
        <f>SUMIF('Base Costs'!$C$4:$C$100,$B37,'Cost+LOA'!Z$4:Z$100)</f>
        <v>0</v>
      </c>
      <c r="R37" s="292">
        <f>SUMIF('Base Costs'!$C$4:$C$100,$B37,'Cost+LOA'!AA$4:AA$100)</f>
        <v>0</v>
      </c>
      <c r="S37" s="292">
        <f>SUMIF('Base Costs'!$C$4:$C$100,$B37,'Cost+LOA'!AB$4:AB$100)</f>
        <v>0</v>
      </c>
      <c r="T37" s="292">
        <f>SUMIF('Base Costs'!$C$4:$C$100,$B37,'Cost+LOA'!AC$4:AC$100)</f>
        <v>0</v>
      </c>
      <c r="U37" s="292">
        <f>SUMIF('Base Costs'!$C$4:$C$100,$B37,'Cost+LOA'!AD$4:AD$100)</f>
        <v>0</v>
      </c>
      <c r="V37" s="292">
        <f>SUMIF('Base Costs'!$C$4:$C$100,$B37,'Cost+LOA'!AE$4:AE$100)</f>
        <v>0</v>
      </c>
      <c r="W37" s="95">
        <f>SUMIF('Base Costs'!$C$4:$C$100,$B37,'Cost+LOA'!AF$4:AF$100)</f>
        <v>0</v>
      </c>
      <c r="X37" s="96">
        <f>SUMIF('Base Costs'!$C$4:$C$100,$B37,'Cost+LOA'!AG$4:AG$100)</f>
        <v>0</v>
      </c>
      <c r="Y37" s="96">
        <f t="shared" si="7"/>
        <v>0</v>
      </c>
      <c r="Z37" s="96">
        <f t="shared" si="9"/>
        <v>0</v>
      </c>
    </row>
    <row r="38" spans="2:26" x14ac:dyDescent="0.3">
      <c r="B38" s="93" t="str">
        <v/>
      </c>
      <c r="C38" s="94">
        <f>SUMIF('Base Costs'!$C$4:$C$100,$B38,'Cost+LOA'!P$4:P$100)</f>
        <v>0</v>
      </c>
      <c r="D38" s="95">
        <f>SUMIF('Base Costs'!$C$4:$C$100,$B38,'Cost+LOA'!Q$4:Q$100)</f>
        <v>0</v>
      </c>
      <c r="E38" s="292">
        <f>SUMIF('Base Costs'!$C$4:$C$100,$B38,'Cost+LOA'!R$4:R$100)</f>
        <v>0</v>
      </c>
      <c r="F38" s="292">
        <f>SUMIF('Base Costs'!$C$4:$C$100,$B38,'Cost+LOA'!S$4:S$100)</f>
        <v>0</v>
      </c>
      <c r="G38" s="292">
        <f>SUMIF('Base Costs'!$C$4:$C$100,$B38,'Cost+LOA'!T$4:T$100)</f>
        <v>0</v>
      </c>
      <c r="H38" s="292">
        <f>SUMIF('Base Costs'!$C$4:$C$100,$B38,'Cost+LOA'!U$4:U$100)</f>
        <v>0</v>
      </c>
      <c r="I38" s="292">
        <f>SUMIF('Base Costs'!$C$4:$C$100,$B38,'Cost+LOA'!V$4:V$100)</f>
        <v>0</v>
      </c>
      <c r="J38" s="95">
        <f>SUMIF('Base Costs'!$C$4:$C$100,$B38,'Cost+LOA'!W$4:W$100)</f>
        <v>0</v>
      </c>
      <c r="K38" s="96">
        <f>SUMIF('Base Costs'!$C$4:$C$100,$B38,'Cost+LOA'!X$4:X$100)</f>
        <v>0</v>
      </c>
      <c r="L38" s="96">
        <f t="shared" si="6"/>
        <v>0</v>
      </c>
      <c r="M38" s="96">
        <f t="shared" si="8"/>
        <v>0</v>
      </c>
      <c r="N38" s="88"/>
      <c r="O38" s="93" t="str">
        <v/>
      </c>
      <c r="P38" s="94">
        <f>SUMIF('Base Costs'!$C$4:$C$100,$B38,'Cost+LOA'!Y$4:Y$100)</f>
        <v>0</v>
      </c>
      <c r="Q38" s="95">
        <f>SUMIF('Base Costs'!$C$4:$C$100,$B38,'Cost+LOA'!Z$4:Z$100)</f>
        <v>0</v>
      </c>
      <c r="R38" s="292">
        <f>SUMIF('Base Costs'!$C$4:$C$100,$B38,'Cost+LOA'!AA$4:AA$100)</f>
        <v>0</v>
      </c>
      <c r="S38" s="292">
        <f>SUMIF('Base Costs'!$C$4:$C$100,$B38,'Cost+LOA'!AB$4:AB$100)</f>
        <v>0</v>
      </c>
      <c r="T38" s="292">
        <f>SUMIF('Base Costs'!$C$4:$C$100,$B38,'Cost+LOA'!AC$4:AC$100)</f>
        <v>0</v>
      </c>
      <c r="U38" s="292">
        <f>SUMIF('Base Costs'!$C$4:$C$100,$B38,'Cost+LOA'!AD$4:AD$100)</f>
        <v>0</v>
      </c>
      <c r="V38" s="292">
        <f>SUMIF('Base Costs'!$C$4:$C$100,$B38,'Cost+LOA'!AE$4:AE$100)</f>
        <v>0</v>
      </c>
      <c r="W38" s="95">
        <f>SUMIF('Base Costs'!$C$4:$C$100,$B38,'Cost+LOA'!AF$4:AF$100)</f>
        <v>0</v>
      </c>
      <c r="X38" s="96">
        <f>SUMIF('Base Costs'!$C$4:$C$100,$B38,'Cost+LOA'!AG$4:AG$100)</f>
        <v>0</v>
      </c>
      <c r="Y38" s="96">
        <f t="shared" si="7"/>
        <v>0</v>
      </c>
      <c r="Z38" s="96">
        <f t="shared" si="9"/>
        <v>0</v>
      </c>
    </row>
    <row r="39" spans="2:26" ht="14.4" thickBot="1" x14ac:dyDescent="0.35">
      <c r="B39" s="97" t="str">
        <v/>
      </c>
      <c r="C39" s="98">
        <f>SUMIF('Base Costs'!$C$4:$C$100,$B39,'Cost+LOA'!P$4:P$100)</f>
        <v>0</v>
      </c>
      <c r="D39" s="99">
        <f>SUMIF('Base Costs'!$C$4:$C$100,$B39,'Cost+LOA'!Q$4:Q$100)</f>
        <v>0</v>
      </c>
      <c r="E39" s="293">
        <f>SUMIF('Base Costs'!$C$4:$C$100,$B39,'Cost+LOA'!R$4:R$100)</f>
        <v>0</v>
      </c>
      <c r="F39" s="293">
        <f>SUMIF('Base Costs'!$C$4:$C$100,$B39,'Cost+LOA'!S$4:S$100)</f>
        <v>0</v>
      </c>
      <c r="G39" s="293">
        <f>SUMIF('Base Costs'!$C$4:$C$100,$B39,'Cost+LOA'!T$4:T$100)</f>
        <v>0</v>
      </c>
      <c r="H39" s="293">
        <f>SUMIF('Base Costs'!$C$4:$C$100,$B39,'Cost+LOA'!U$4:U$100)</f>
        <v>0</v>
      </c>
      <c r="I39" s="293">
        <f>SUMIF('Base Costs'!$C$4:$C$100,$B39,'Cost+LOA'!V$4:V$100)</f>
        <v>0</v>
      </c>
      <c r="J39" s="99">
        <f>SUMIF('Base Costs'!$C$4:$C$100,$B39,'Cost+LOA'!W$4:W$100)</f>
        <v>0</v>
      </c>
      <c r="K39" s="100">
        <f>SUMIF('Base Costs'!$C$4:$C$100,$B39,'Cost+LOA'!X$4:X$100)</f>
        <v>0</v>
      </c>
      <c r="L39" s="100">
        <f t="shared" si="6"/>
        <v>0</v>
      </c>
      <c r="M39" s="100">
        <f t="shared" si="8"/>
        <v>0</v>
      </c>
      <c r="N39" s="88"/>
      <c r="O39" s="97" t="str">
        <v/>
      </c>
      <c r="P39" s="98">
        <f>SUMIF('Base Costs'!$C$4:$C$100,$B39,'Cost+LOA'!Y$4:Y$100)</f>
        <v>0</v>
      </c>
      <c r="Q39" s="99">
        <f>SUMIF('Base Costs'!$C$4:$C$100,$B39,'Cost+LOA'!Z$4:Z$100)</f>
        <v>0</v>
      </c>
      <c r="R39" s="293">
        <f>SUMIF('Base Costs'!$C$4:$C$100,$B39,'Cost+LOA'!AA$4:AA$100)</f>
        <v>0</v>
      </c>
      <c r="S39" s="293">
        <f>SUMIF('Base Costs'!$C$4:$C$100,$B39,'Cost+LOA'!AB$4:AB$100)</f>
        <v>0</v>
      </c>
      <c r="T39" s="293">
        <f>SUMIF('Base Costs'!$C$4:$C$100,$B39,'Cost+LOA'!AC$4:AC$100)</f>
        <v>0</v>
      </c>
      <c r="U39" s="293">
        <f>SUMIF('Base Costs'!$C$4:$C$100,$B39,'Cost+LOA'!AD$4:AD$100)</f>
        <v>0</v>
      </c>
      <c r="V39" s="293">
        <f>SUMIF('Base Costs'!$C$4:$C$100,$B39,'Cost+LOA'!AE$4:AE$100)</f>
        <v>0</v>
      </c>
      <c r="W39" s="99">
        <f>SUMIF('Base Costs'!$C$4:$C$100,$B39,'Cost+LOA'!AF$4:AF$100)</f>
        <v>0</v>
      </c>
      <c r="X39" s="100">
        <f>SUMIF('Base Costs'!$C$4:$C$100,$B39,'Cost+LOA'!AG$4:AG$100)</f>
        <v>0</v>
      </c>
      <c r="Y39" s="100">
        <f t="shared" si="7"/>
        <v>0</v>
      </c>
      <c r="Z39" s="100">
        <f t="shared" si="9"/>
        <v>0</v>
      </c>
    </row>
    <row r="40" spans="2:26" x14ac:dyDescent="0.3">
      <c r="B40" s="88" t="s">
        <v>12</v>
      </c>
      <c r="C40" s="101">
        <f>SUM(C24:C39)</f>
        <v>0</v>
      </c>
      <c r="D40" s="101">
        <f t="shared" ref="D40:K40" si="10">SUM(D24:D39)</f>
        <v>6325888.2166265724</v>
      </c>
      <c r="E40" s="294">
        <f t="shared" si="10"/>
        <v>48257402.258366533</v>
      </c>
      <c r="F40" s="294">
        <f t="shared" si="10"/>
        <v>61248390.232699998</v>
      </c>
      <c r="G40" s="294">
        <f t="shared" si="10"/>
        <v>54882506.1712</v>
      </c>
      <c r="H40" s="294">
        <f t="shared" si="10"/>
        <v>48667238.4815</v>
      </c>
      <c r="I40" s="294">
        <f t="shared" si="10"/>
        <v>40594914.815400004</v>
      </c>
      <c r="J40" s="101">
        <f t="shared" si="10"/>
        <v>5931729.0752000008</v>
      </c>
      <c r="K40" s="101">
        <f t="shared" si="10"/>
        <v>0</v>
      </c>
      <c r="L40" s="101">
        <f t="shared" si="6"/>
        <v>253650451.95916653</v>
      </c>
      <c r="M40" s="101">
        <f>SUM(C40:K40)</f>
        <v>265908069.2509931</v>
      </c>
      <c r="N40" s="88"/>
      <c r="O40" s="88" t="s">
        <v>12</v>
      </c>
      <c r="P40" s="101">
        <f>SUM(P24:P39)</f>
        <v>0</v>
      </c>
      <c r="Q40" s="101">
        <f t="shared" ref="Q40:X40" si="11">SUM(Q24:Q39)</f>
        <v>518287.13123609993</v>
      </c>
      <c r="R40" s="294">
        <f t="shared" si="11"/>
        <v>49623686.084357001</v>
      </c>
      <c r="S40" s="294">
        <f t="shared" si="11"/>
        <v>41663734.380899996</v>
      </c>
      <c r="T40" s="294">
        <f t="shared" si="11"/>
        <v>74422765.437899977</v>
      </c>
      <c r="U40" s="294">
        <f t="shared" si="11"/>
        <v>37863162.039299995</v>
      </c>
      <c r="V40" s="294">
        <f t="shared" si="11"/>
        <v>53308439.591499999</v>
      </c>
      <c r="W40" s="101">
        <f t="shared" si="11"/>
        <v>63338.722800000003</v>
      </c>
      <c r="X40" s="101">
        <f t="shared" si="11"/>
        <v>8444655.8629999999</v>
      </c>
      <c r="Y40" s="101">
        <f t="shared" si="7"/>
        <v>256881787.53395694</v>
      </c>
      <c r="Z40" s="101">
        <f>SUM(P40:X40)</f>
        <v>265908069.25099307</v>
      </c>
    </row>
    <row r="41" spans="2:26" x14ac:dyDescent="0.3">
      <c r="B41" s="88"/>
      <c r="C41" s="88"/>
      <c r="D41" s="88"/>
      <c r="E41" s="295"/>
      <c r="F41" s="295"/>
      <c r="G41" s="295"/>
      <c r="H41" s="295"/>
      <c r="I41" s="295"/>
      <c r="J41" s="88"/>
      <c r="K41" s="88"/>
      <c r="L41" s="88"/>
      <c r="M41" s="88"/>
      <c r="N41" s="88"/>
      <c r="O41" s="88"/>
      <c r="P41" s="88"/>
      <c r="Q41" s="88"/>
      <c r="R41" s="295"/>
      <c r="S41" s="295"/>
      <c r="T41" s="295"/>
      <c r="U41" s="295"/>
      <c r="V41" s="295"/>
      <c r="W41" s="88"/>
      <c r="X41" s="88"/>
      <c r="Y41" s="88"/>
      <c r="Z41" s="88"/>
    </row>
    <row r="42" spans="2:26" ht="14.4" thickBot="1" x14ac:dyDescent="0.35">
      <c r="B42" s="87" t="str">
        <f>'Asset Class Summary'!B58</f>
        <v>Spend - Escalated Costs ($m)</v>
      </c>
      <c r="C42" s="88"/>
      <c r="D42" s="88"/>
      <c r="E42" s="295"/>
      <c r="F42" s="295"/>
      <c r="G42" s="295"/>
      <c r="H42" s="295"/>
      <c r="I42" s="295"/>
      <c r="J42" s="88"/>
      <c r="K42" s="88"/>
      <c r="L42" s="88"/>
      <c r="M42" s="88"/>
      <c r="N42" s="88"/>
      <c r="O42" s="87" t="str">
        <f>'Asset Class Summary'!O58</f>
        <v>Commission - Escalated Costs ($m)</v>
      </c>
      <c r="P42" s="88"/>
      <c r="Q42" s="88"/>
      <c r="R42" s="295"/>
      <c r="S42" s="295"/>
      <c r="T42" s="295"/>
      <c r="U42" s="295"/>
      <c r="V42" s="295"/>
      <c r="W42" s="88"/>
      <c r="X42" s="88"/>
      <c r="Y42" s="88"/>
      <c r="Z42" s="88"/>
    </row>
    <row r="43" spans="2:26" ht="42.6" thickBot="1" x14ac:dyDescent="0.35">
      <c r="B43" s="88"/>
      <c r="C43" s="182" t="str">
        <f t="array" ref="C43:K43">C3:K3</f>
        <v>2012/13</v>
      </c>
      <c r="D43" s="183" t="str">
        <v>2013/14</v>
      </c>
      <c r="E43" s="290" t="str">
        <v>2014/15</v>
      </c>
      <c r="F43" s="290" t="str">
        <v>2015/16</v>
      </c>
      <c r="G43" s="290" t="str">
        <v>2016/17</v>
      </c>
      <c r="H43" s="290" t="str">
        <v>2017/18</v>
      </c>
      <c r="I43" s="290" t="str">
        <v>2018/19</v>
      </c>
      <c r="J43" s="183" t="str">
        <v>2019/20</v>
      </c>
      <c r="K43" s="184" t="str">
        <v>2020/21</v>
      </c>
      <c r="L43" s="410" t="str">
        <f>$L$3</f>
        <v>2014-19
Total</v>
      </c>
      <c r="M43" s="411" t="s">
        <v>12</v>
      </c>
      <c r="N43" s="88"/>
      <c r="O43" s="88"/>
      <c r="P43" s="182" t="str">
        <f t="array" ref="P43:X43">C3:K3</f>
        <v>2012/13</v>
      </c>
      <c r="Q43" s="183" t="str">
        <v>2013/14</v>
      </c>
      <c r="R43" s="290" t="str">
        <v>2014/15</v>
      </c>
      <c r="S43" s="290" t="str">
        <v>2015/16</v>
      </c>
      <c r="T43" s="290" t="str">
        <v>2016/17</v>
      </c>
      <c r="U43" s="290" t="str">
        <v>2017/18</v>
      </c>
      <c r="V43" s="290" t="str">
        <v>2018/19</v>
      </c>
      <c r="W43" s="183" t="str">
        <v>2019/20</v>
      </c>
      <c r="X43" s="184" t="str">
        <v>2020/21</v>
      </c>
      <c r="Y43" s="410" t="str">
        <f>$L$3</f>
        <v>2014-19
Total</v>
      </c>
      <c r="Z43" s="411" t="s">
        <v>12</v>
      </c>
    </row>
    <row r="44" spans="2:26" x14ac:dyDescent="0.3">
      <c r="B44" s="89" t="str">
        <f t="array" ref="B44:B59">$B$4:$B$19</f>
        <v>Augmentation</v>
      </c>
      <c r="C44" s="90">
        <f>SUMIF('Base Costs'!$C$4:$C$100,$B44,'Cost+Escalation'!P$4:P$100)</f>
        <v>0</v>
      </c>
      <c r="D44" s="91">
        <f>SUMIF('Base Costs'!$C$4:$C$100,$B44,'Cost+Escalation'!Q$4:Q$100)</f>
        <v>0</v>
      </c>
      <c r="E44" s="291">
        <f>SUMIF('Base Costs'!$C$4:$C$100,$B44,'Cost+Escalation'!R$4:R$100)</f>
        <v>358385.92548025481</v>
      </c>
      <c r="F44" s="291">
        <f>SUMIF('Base Costs'!$C$4:$C$100,$B44,'Cost+Escalation'!S$4:S$100)</f>
        <v>4476536.3671040572</v>
      </c>
      <c r="G44" s="291">
        <f>SUMIF('Base Costs'!$C$4:$C$100,$B44,'Cost+Escalation'!T$4:T$100)</f>
        <v>10759442.031458145</v>
      </c>
      <c r="H44" s="291">
        <f>SUMIF('Base Costs'!$C$4:$C$100,$B44,'Cost+Escalation'!U$4:U$100)</f>
        <v>8728457.122337414</v>
      </c>
      <c r="I44" s="291">
        <f>SUMIF('Base Costs'!$C$4:$C$100,$B44,'Cost+Escalation'!V$4:V$100)</f>
        <v>10730063.316021904</v>
      </c>
      <c r="J44" s="91">
        <f>SUMIF('Base Costs'!$C$4:$C$100,$B44,'Cost+Escalation'!W$4:W$100)</f>
        <v>0</v>
      </c>
      <c r="K44" s="92">
        <f>SUMIF('Base Costs'!$C$4:$C$100,$B44,'Cost+Escalation'!X$4:X$100)</f>
        <v>0</v>
      </c>
      <c r="L44" s="92">
        <f t="shared" ref="L44:L60" si="12">SUM(E44:I44)</f>
        <v>35052884.762401775</v>
      </c>
      <c r="M44" s="92">
        <f>SUM(C44:K44)</f>
        <v>35052884.762401775</v>
      </c>
      <c r="N44" s="88"/>
      <c r="O44" s="89" t="str">
        <f t="array" ref="O44:O59">$B$4:$B$19</f>
        <v>Augmentation</v>
      </c>
      <c r="P44" s="90">
        <f>SUMIF('Base Costs'!$C$4:$C$100,$B44,'Cost+Escalation'!Y$4:Y$100)</f>
        <v>0</v>
      </c>
      <c r="Q44" s="91">
        <f>SUMIF('Base Costs'!$C$4:$C$100,$B44,'Cost+Escalation'!Z$4:Z$100)</f>
        <v>0</v>
      </c>
      <c r="R44" s="291">
        <f>SUMIF('Base Costs'!$C$4:$C$100,$B44,'Cost+Escalation'!AA$4:AA$100)</f>
        <v>0</v>
      </c>
      <c r="S44" s="291">
        <f>SUMIF('Base Costs'!$C$4:$C$100,$B44,'Cost+Escalation'!AB$4:AB$100)</f>
        <v>0</v>
      </c>
      <c r="T44" s="291">
        <f>SUMIF('Base Costs'!$C$4:$C$100,$B44,'Cost+Escalation'!AC$4:AC$100)</f>
        <v>14994368.447145075</v>
      </c>
      <c r="U44" s="291">
        <f>SUMIF('Base Costs'!$C$4:$C$100,$B44,'Cost+Escalation'!AD$4:AD$100)</f>
        <v>0</v>
      </c>
      <c r="V44" s="291">
        <f>SUMIF('Base Costs'!$C$4:$C$100,$B44,'Cost+Escalation'!AE$4:AE$100)</f>
        <v>20058516.3152567</v>
      </c>
      <c r="W44" s="91">
        <f>SUMIF('Base Costs'!$C$4:$C$100,$B44,'Cost+Escalation'!AF$4:AF$100)</f>
        <v>0</v>
      </c>
      <c r="X44" s="92">
        <f>SUMIF('Base Costs'!$C$4:$C$100,$B44,'Cost+Escalation'!AG$4:AG$100)</f>
        <v>0</v>
      </c>
      <c r="Y44" s="92">
        <f t="shared" ref="Y44:Y60" si="13">SUM(R44:V44)</f>
        <v>35052884.762401775</v>
      </c>
      <c r="Z44" s="92">
        <f>SUM(P44:X44)</f>
        <v>35052884.762401775</v>
      </c>
    </row>
    <row r="45" spans="2:26" x14ac:dyDescent="0.3">
      <c r="B45" s="93" t="str">
        <v>Connection</v>
      </c>
      <c r="C45" s="94">
        <f>SUMIF('Base Costs'!$C$4:$C$100,$B45,'Cost+Escalation'!P$4:P$100)</f>
        <v>0</v>
      </c>
      <c r="D45" s="95">
        <f>SUMIF('Base Costs'!$C$4:$C$100,$B45,'Cost+Escalation'!Q$4:Q$100)</f>
        <v>0</v>
      </c>
      <c r="E45" s="292">
        <f>SUMIF('Base Costs'!$C$4:$C$100,$B45,'Cost+Escalation'!R$4:R$100)</f>
        <v>2730428.0541382162</v>
      </c>
      <c r="F45" s="292">
        <f>SUMIF('Base Costs'!$C$4:$C$100,$B45,'Cost+Escalation'!S$4:S$100)</f>
        <v>10731299.099389434</v>
      </c>
      <c r="G45" s="292">
        <f>SUMIF('Base Costs'!$C$4:$C$100,$B45,'Cost+Escalation'!T$4:T$100)</f>
        <v>3637717.4199522776</v>
      </c>
      <c r="H45" s="292">
        <f>SUMIF('Base Costs'!$C$4:$C$100,$B45,'Cost+Escalation'!U$4:U$100)</f>
        <v>1037048.5273294745</v>
      </c>
      <c r="I45" s="292">
        <f>SUMIF('Base Costs'!$C$4:$C$100,$B45,'Cost+Escalation'!V$4:V$100)</f>
        <v>0</v>
      </c>
      <c r="J45" s="95">
        <f>SUMIF('Base Costs'!$C$4:$C$100,$B45,'Cost+Escalation'!W$4:W$100)</f>
        <v>0</v>
      </c>
      <c r="K45" s="96">
        <f>SUMIF('Base Costs'!$C$4:$C$100,$B45,'Cost+Escalation'!X$4:X$100)</f>
        <v>0</v>
      </c>
      <c r="L45" s="96">
        <f t="shared" si="12"/>
        <v>18136493.100809403</v>
      </c>
      <c r="M45" s="96">
        <f t="shared" ref="M45:M59" si="14">SUM(C45:K45)</f>
        <v>18136493.100809403</v>
      </c>
      <c r="N45" s="88"/>
      <c r="O45" s="93" t="str">
        <v>Connection</v>
      </c>
      <c r="P45" s="94">
        <f>SUMIF('Base Costs'!$C$4:$C$100,$B45,'Cost+Escalation'!Y$4:Y$100)</f>
        <v>0</v>
      </c>
      <c r="Q45" s="95">
        <f>SUMIF('Base Costs'!$C$4:$C$100,$B45,'Cost+Escalation'!Z$4:Z$100)</f>
        <v>0</v>
      </c>
      <c r="R45" s="292">
        <f>SUMIF('Base Costs'!$C$4:$C$100,$B45,'Cost+Escalation'!AA$4:AA$100)</f>
        <v>1463196.4153669258</v>
      </c>
      <c r="S45" s="292">
        <f>SUMIF('Base Costs'!$C$4:$C$100,$B45,'Cost+Escalation'!AB$4:AB$100)</f>
        <v>2744701.6202334077</v>
      </c>
      <c r="T45" s="292">
        <f>SUMIF('Base Costs'!$C$4:$C$100,$B45,'Cost+Escalation'!AC$4:AC$100)</f>
        <v>10425239.485360321</v>
      </c>
      <c r="U45" s="292">
        <f>SUMIF('Base Costs'!$C$4:$C$100,$B45,'Cost+Escalation'!AD$4:AD$100)</f>
        <v>3503355.5798487486</v>
      </c>
      <c r="V45" s="292">
        <f>SUMIF('Base Costs'!$C$4:$C$100,$B45,'Cost+Escalation'!AE$4:AE$100)</f>
        <v>0</v>
      </c>
      <c r="W45" s="95">
        <f>SUMIF('Base Costs'!$C$4:$C$100,$B45,'Cost+Escalation'!AF$4:AF$100)</f>
        <v>0</v>
      </c>
      <c r="X45" s="96">
        <f>SUMIF('Base Costs'!$C$4:$C$100,$B45,'Cost+Escalation'!AG$4:AG$100)</f>
        <v>0</v>
      </c>
      <c r="Y45" s="96">
        <f t="shared" si="13"/>
        <v>18136493.100809403</v>
      </c>
      <c r="Z45" s="96">
        <f t="shared" ref="Z45:Z59" si="15">SUM(P45:X45)</f>
        <v>18136493.100809403</v>
      </c>
    </row>
    <row r="46" spans="2:26" x14ac:dyDescent="0.3">
      <c r="B46" s="93" t="str">
        <v>Land and Easements</v>
      </c>
      <c r="C46" s="94">
        <f>SUMIF('Base Costs'!$C$4:$C$100,$B46,'Cost+Escalation'!P$4:P$100)</f>
        <v>0</v>
      </c>
      <c r="D46" s="95">
        <f>SUMIF('Base Costs'!$C$4:$C$100,$B46,'Cost+Escalation'!Q$4:Q$100)</f>
        <v>482246.13123609993</v>
      </c>
      <c r="E46" s="292">
        <f>SUMIF('Base Costs'!$C$4:$C$100,$B46,'Cost+Escalation'!R$4:R$100)</f>
        <v>0</v>
      </c>
      <c r="F46" s="292">
        <f>SUMIF('Base Costs'!$C$4:$C$100,$B46,'Cost+Escalation'!S$4:S$100)</f>
        <v>0</v>
      </c>
      <c r="G46" s="292">
        <f>SUMIF('Base Costs'!$C$4:$C$100,$B46,'Cost+Escalation'!T$4:T$100)</f>
        <v>0</v>
      </c>
      <c r="H46" s="292">
        <f>SUMIF('Base Costs'!$C$4:$C$100,$B46,'Cost+Escalation'!U$4:U$100)</f>
        <v>0</v>
      </c>
      <c r="I46" s="292">
        <f>SUMIF('Base Costs'!$C$4:$C$100,$B46,'Cost+Escalation'!V$4:V$100)</f>
        <v>0</v>
      </c>
      <c r="J46" s="95">
        <f>SUMIF('Base Costs'!$C$4:$C$100,$B46,'Cost+Escalation'!W$4:W$100)</f>
        <v>0</v>
      </c>
      <c r="K46" s="96">
        <f>SUMIF('Base Costs'!$C$4:$C$100,$B46,'Cost+Escalation'!X$4:X$100)</f>
        <v>0</v>
      </c>
      <c r="L46" s="96">
        <f t="shared" si="12"/>
        <v>0</v>
      </c>
      <c r="M46" s="96">
        <f t="shared" si="14"/>
        <v>482246.13123609993</v>
      </c>
      <c r="N46" s="88"/>
      <c r="O46" s="93" t="str">
        <v>Land and Easements</v>
      </c>
      <c r="P46" s="94">
        <f>SUMIF('Base Costs'!$C$4:$C$100,$B46,'Cost+Escalation'!Y$4:Y$100)</f>
        <v>0</v>
      </c>
      <c r="Q46" s="95">
        <f>SUMIF('Base Costs'!$C$4:$C$100,$B46,'Cost+Escalation'!Z$4:Z$100)</f>
        <v>482246.13123609993</v>
      </c>
      <c r="R46" s="292">
        <f>SUMIF('Base Costs'!$C$4:$C$100,$B46,'Cost+Escalation'!AA$4:AA$100)</f>
        <v>0</v>
      </c>
      <c r="S46" s="292">
        <f>SUMIF('Base Costs'!$C$4:$C$100,$B46,'Cost+Escalation'!AB$4:AB$100)</f>
        <v>0</v>
      </c>
      <c r="T46" s="292">
        <f>SUMIF('Base Costs'!$C$4:$C$100,$B46,'Cost+Escalation'!AC$4:AC$100)</f>
        <v>0</v>
      </c>
      <c r="U46" s="292">
        <f>SUMIF('Base Costs'!$C$4:$C$100,$B46,'Cost+Escalation'!AD$4:AD$100)</f>
        <v>0</v>
      </c>
      <c r="V46" s="292">
        <f>SUMIF('Base Costs'!$C$4:$C$100,$B46,'Cost+Escalation'!AE$4:AE$100)</f>
        <v>0</v>
      </c>
      <c r="W46" s="95">
        <f>SUMIF('Base Costs'!$C$4:$C$100,$B46,'Cost+Escalation'!AF$4:AF$100)</f>
        <v>0</v>
      </c>
      <c r="X46" s="96">
        <f>SUMIF('Base Costs'!$C$4:$C$100,$B46,'Cost+Escalation'!AG$4:AG$100)</f>
        <v>0</v>
      </c>
      <c r="Y46" s="96">
        <f t="shared" si="13"/>
        <v>0</v>
      </c>
      <c r="Z46" s="96">
        <f t="shared" si="15"/>
        <v>482246.13123609993</v>
      </c>
    </row>
    <row r="47" spans="2:26" x14ac:dyDescent="0.3">
      <c r="B47" s="93" t="str">
        <v>Asset Renewal</v>
      </c>
      <c r="C47" s="94">
        <f>SUMIF('Base Costs'!$C$4:$C$100,$B47,'Cost+Escalation'!P$4:P$100)</f>
        <v>0</v>
      </c>
      <c r="D47" s="95">
        <f>SUMIF('Base Costs'!$C$4:$C$100,$B47,'Cost+Escalation'!Q$4:Q$100)</f>
        <v>5653897.260168002</v>
      </c>
      <c r="E47" s="292">
        <f>SUMIF('Base Costs'!$C$4:$C$100,$B47,'Cost+Escalation'!R$4:R$100)</f>
        <v>32113097.725121673</v>
      </c>
      <c r="F47" s="292">
        <f>SUMIF('Base Costs'!$C$4:$C$100,$B47,'Cost+Escalation'!S$4:S$100)</f>
        <v>25118012.219641455</v>
      </c>
      <c r="G47" s="292">
        <f>SUMIF('Base Costs'!$C$4:$C$100,$B47,'Cost+Escalation'!T$4:T$100)</f>
        <v>26944729.399557639</v>
      </c>
      <c r="H47" s="292">
        <f>SUMIF('Base Costs'!$C$4:$C$100,$B47,'Cost+Escalation'!U$4:U$100)</f>
        <v>31207604.654632431</v>
      </c>
      <c r="I47" s="292">
        <f>SUMIF('Base Costs'!$C$4:$C$100,$B47,'Cost+Escalation'!V$4:V$100)</f>
        <v>23175648.982916083</v>
      </c>
      <c r="J47" s="95">
        <f>SUMIF('Base Costs'!$C$4:$C$100,$B47,'Cost+Escalation'!W$4:W$100)</f>
        <v>6232849.4741729386</v>
      </c>
      <c r="K47" s="96">
        <f>SUMIF('Base Costs'!$C$4:$C$100,$B47,'Cost+Escalation'!X$4:X$100)</f>
        <v>0</v>
      </c>
      <c r="L47" s="96">
        <f t="shared" si="12"/>
        <v>138559092.98186928</v>
      </c>
      <c r="M47" s="96">
        <f t="shared" si="14"/>
        <v>150445839.71621025</v>
      </c>
      <c r="N47" s="88"/>
      <c r="O47" s="93" t="str">
        <v>Asset Renewal</v>
      </c>
      <c r="P47" s="94">
        <f>SUMIF('Base Costs'!$C$4:$C$100,$B47,'Cost+Escalation'!Y$4:Y$100)</f>
        <v>0</v>
      </c>
      <c r="Q47" s="95">
        <f>SUMIF('Base Costs'!$C$4:$C$100,$B47,'Cost+Escalation'!Z$4:Z$100)</f>
        <v>0</v>
      </c>
      <c r="R47" s="292">
        <f>SUMIF('Base Costs'!$C$4:$C$100,$B47,'Cost+Escalation'!AA$4:AA$100)</f>
        <v>36590110.924955688</v>
      </c>
      <c r="S47" s="292">
        <f>SUMIF('Base Costs'!$C$4:$C$100,$B47,'Cost+Escalation'!AB$4:AB$100)</f>
        <v>25236928.040695187</v>
      </c>
      <c r="T47" s="292">
        <f>SUMIF('Base Costs'!$C$4:$C$100,$B47,'Cost+Escalation'!AC$4:AC$100)</f>
        <v>27587394.510140773</v>
      </c>
      <c r="U47" s="292">
        <f>SUMIF('Base Costs'!$C$4:$C$100,$B47,'Cost+Escalation'!AD$4:AD$100)</f>
        <v>25042466.933014322</v>
      </c>
      <c r="V47" s="292">
        <f>SUMIF('Base Costs'!$C$4:$C$100,$B47,'Cost+Escalation'!AE$4:AE$100)</f>
        <v>27049042.676449627</v>
      </c>
      <c r="W47" s="95">
        <f>SUMIF('Base Costs'!$C$4:$C$100,$B47,'Cost+Escalation'!AF$4:AF$100)</f>
        <v>66555.917477526338</v>
      </c>
      <c r="X47" s="96">
        <f>SUMIF('Base Costs'!$C$4:$C$100,$B47,'Cost+Escalation'!AG$4:AG$100)</f>
        <v>8873340.7134770826</v>
      </c>
      <c r="Y47" s="96">
        <f t="shared" si="13"/>
        <v>141505943.08525559</v>
      </c>
      <c r="Z47" s="96">
        <f t="shared" si="15"/>
        <v>150445839.71621019</v>
      </c>
    </row>
    <row r="48" spans="2:26" x14ac:dyDescent="0.3">
      <c r="B48" s="93" t="str">
        <v>Physical Security / Compliance</v>
      </c>
      <c r="C48" s="94">
        <f>SUMIF('Base Costs'!$C$4:$C$100,$B48,'Cost+Escalation'!P$4:P$100)</f>
        <v>0</v>
      </c>
      <c r="D48" s="95">
        <f>SUMIF('Base Costs'!$C$4:$C$100,$B48,'Cost+Escalation'!Q$4:Q$100)</f>
        <v>0</v>
      </c>
      <c r="E48" s="292">
        <f>SUMIF('Base Costs'!$C$4:$C$100,$B48,'Cost+Escalation'!R$4:R$100)</f>
        <v>2320699.6054620668</v>
      </c>
      <c r="F48" s="292">
        <f>SUMIF('Base Costs'!$C$4:$C$100,$B48,'Cost+Escalation'!S$4:S$100)</f>
        <v>2768410.7246822189</v>
      </c>
      <c r="G48" s="292">
        <f>SUMIF('Base Costs'!$C$4:$C$100,$B48,'Cost+Escalation'!T$4:T$100)</f>
        <v>2818399.1378088566</v>
      </c>
      <c r="H48" s="292">
        <f>SUMIF('Base Costs'!$C$4:$C$100,$B48,'Cost+Escalation'!U$4:U$100)</f>
        <v>2868451.3186359187</v>
      </c>
      <c r="I48" s="292">
        <f>SUMIF('Base Costs'!$C$4:$C$100,$B48,'Cost+Escalation'!V$4:V$100)</f>
        <v>2916332.8733707657</v>
      </c>
      <c r="J48" s="95">
        <f>SUMIF('Base Costs'!$C$4:$C$100,$B48,'Cost+Escalation'!W$4:W$100)</f>
        <v>0</v>
      </c>
      <c r="K48" s="96">
        <f>SUMIF('Base Costs'!$C$4:$C$100,$B48,'Cost+Escalation'!X$4:X$100)</f>
        <v>0</v>
      </c>
      <c r="L48" s="96">
        <f t="shared" si="12"/>
        <v>13692293.659959827</v>
      </c>
      <c r="M48" s="96">
        <f t="shared" si="14"/>
        <v>13692293.659959827</v>
      </c>
      <c r="N48" s="88"/>
      <c r="O48" s="93" t="str">
        <v>Physical Security / Compliance</v>
      </c>
      <c r="P48" s="94">
        <f>SUMIF('Base Costs'!$C$4:$C$100,$B48,'Cost+Escalation'!Y$4:Y$100)</f>
        <v>0</v>
      </c>
      <c r="Q48" s="95">
        <f>SUMIF('Base Costs'!$C$4:$C$100,$B48,'Cost+Escalation'!Z$4:Z$100)</f>
        <v>0</v>
      </c>
      <c r="R48" s="292">
        <f>SUMIF('Base Costs'!$C$4:$C$100,$B48,'Cost+Escalation'!AA$4:AA$100)</f>
        <v>2320699.6054620668</v>
      </c>
      <c r="S48" s="292">
        <f>SUMIF('Base Costs'!$C$4:$C$100,$B48,'Cost+Escalation'!AB$4:AB$100)</f>
        <v>2768410.7246822189</v>
      </c>
      <c r="T48" s="292">
        <f>SUMIF('Base Costs'!$C$4:$C$100,$B48,'Cost+Escalation'!AC$4:AC$100)</f>
        <v>2818399.1378088566</v>
      </c>
      <c r="U48" s="292">
        <f>SUMIF('Base Costs'!$C$4:$C$100,$B48,'Cost+Escalation'!AD$4:AD$100)</f>
        <v>2868451.3186359187</v>
      </c>
      <c r="V48" s="292">
        <f>SUMIF('Base Costs'!$C$4:$C$100,$B48,'Cost+Escalation'!AE$4:AE$100)</f>
        <v>2916332.8733707657</v>
      </c>
      <c r="W48" s="95">
        <f>SUMIF('Base Costs'!$C$4:$C$100,$B48,'Cost+Escalation'!AF$4:AF$100)</f>
        <v>0</v>
      </c>
      <c r="X48" s="96">
        <f>SUMIF('Base Costs'!$C$4:$C$100,$B48,'Cost+Escalation'!AG$4:AG$100)</f>
        <v>0</v>
      </c>
      <c r="Y48" s="96">
        <f t="shared" si="13"/>
        <v>13692293.659959827</v>
      </c>
      <c r="Z48" s="96">
        <f t="shared" si="15"/>
        <v>13692293.659959827</v>
      </c>
    </row>
    <row r="49" spans="2:26" x14ac:dyDescent="0.3">
      <c r="B49" s="93" t="str">
        <v>Inventory / Spares</v>
      </c>
      <c r="C49" s="94">
        <f>SUMIF('Base Costs'!$C$4:$C$100,$B49,'Cost+Escalation'!P$4:P$100)</f>
        <v>0</v>
      </c>
      <c r="D49" s="95">
        <f>SUMIF('Base Costs'!$C$4:$C$100,$B49,'Cost+Escalation'!Q$4:Q$100)</f>
        <v>0</v>
      </c>
      <c r="E49" s="292">
        <f>SUMIF('Base Costs'!$C$4:$C$100,$B49,'Cost+Escalation'!R$4:R$100)</f>
        <v>1492225.0509311855</v>
      </c>
      <c r="F49" s="292">
        <f>SUMIF('Base Costs'!$C$4:$C$100,$B49,'Cost+Escalation'!S$4:S$100)</f>
        <v>8284982.53986404</v>
      </c>
      <c r="G49" s="292">
        <f>SUMIF('Base Costs'!$C$4:$C$100,$B49,'Cost+Escalation'!T$4:T$100)</f>
        <v>4253993.9049734194</v>
      </c>
      <c r="H49" s="292">
        <f>SUMIF('Base Costs'!$C$4:$C$100,$B49,'Cost+Escalation'!U$4:U$100)</f>
        <v>175878.04062283301</v>
      </c>
      <c r="I49" s="292">
        <f>SUMIF('Base Costs'!$C$4:$C$100,$B49,'Cost+Escalation'!V$4:V$100)</f>
        <v>177809.89571295583</v>
      </c>
      <c r="J49" s="95">
        <f>SUMIF('Base Costs'!$C$4:$C$100,$B49,'Cost+Escalation'!W$4:W$100)</f>
        <v>0</v>
      </c>
      <c r="K49" s="96">
        <f>SUMIF('Base Costs'!$C$4:$C$100,$B49,'Cost+Escalation'!X$4:X$100)</f>
        <v>0</v>
      </c>
      <c r="L49" s="96">
        <f t="shared" si="12"/>
        <v>14384889.432104433</v>
      </c>
      <c r="M49" s="96">
        <f t="shared" si="14"/>
        <v>14384889.432104433</v>
      </c>
      <c r="N49" s="88"/>
      <c r="O49" s="93" t="str">
        <v>Inventory / Spares</v>
      </c>
      <c r="P49" s="94">
        <f>SUMIF('Base Costs'!$C$4:$C$100,$B49,'Cost+Escalation'!Y$4:Y$100)</f>
        <v>0</v>
      </c>
      <c r="Q49" s="95">
        <f>SUMIF('Base Costs'!$C$4:$C$100,$B49,'Cost+Escalation'!Z$4:Z$100)</f>
        <v>0</v>
      </c>
      <c r="R49" s="292">
        <f>SUMIF('Base Costs'!$C$4:$C$100,$B49,'Cost+Escalation'!AA$4:AA$100)</f>
        <v>169866.13257876979</v>
      </c>
      <c r="S49" s="292">
        <f>SUMIF('Base Costs'!$C$4:$C$100,$B49,'Cost+Escalation'!AB$4:AB$100)</f>
        <v>860796.71882421162</v>
      </c>
      <c r="T49" s="292">
        <f>SUMIF('Base Costs'!$C$4:$C$100,$B49,'Cost+Escalation'!AC$4:AC$100)</f>
        <v>13000538.644365665</v>
      </c>
      <c r="U49" s="292">
        <f>SUMIF('Base Costs'!$C$4:$C$100,$B49,'Cost+Escalation'!AD$4:AD$100)</f>
        <v>175878.04062283301</v>
      </c>
      <c r="V49" s="292">
        <f>SUMIF('Base Costs'!$C$4:$C$100,$B49,'Cost+Escalation'!AE$4:AE$100)</f>
        <v>177809.89571295583</v>
      </c>
      <c r="W49" s="95">
        <f>SUMIF('Base Costs'!$C$4:$C$100,$B49,'Cost+Escalation'!AF$4:AF$100)</f>
        <v>0</v>
      </c>
      <c r="X49" s="96">
        <f>SUMIF('Base Costs'!$C$4:$C$100,$B49,'Cost+Escalation'!AG$4:AG$100)</f>
        <v>0</v>
      </c>
      <c r="Y49" s="96">
        <f t="shared" si="13"/>
        <v>14384889.432104433</v>
      </c>
      <c r="Z49" s="96">
        <f t="shared" si="15"/>
        <v>14384889.432104433</v>
      </c>
    </row>
    <row r="50" spans="2:26" x14ac:dyDescent="0.3">
      <c r="B50" s="93" t="str">
        <v>Operational Support Systems</v>
      </c>
      <c r="C50" s="94">
        <f>SUMIF('Base Costs'!$C$4:$C$100,$B50,'Cost+Escalation'!P$4:P$100)</f>
        <v>0</v>
      </c>
      <c r="D50" s="95">
        <f>SUMIF('Base Costs'!$C$4:$C$100,$B50,'Cost+Escalation'!Q$4:Q$100)</f>
        <v>32441.786756054458</v>
      </c>
      <c r="E50" s="292">
        <f>SUMIF('Base Costs'!$C$4:$C$100,$B50,'Cost+Escalation'!R$4:R$100)</f>
        <v>6541806.3189499471</v>
      </c>
      <c r="F50" s="292">
        <f>SUMIF('Base Costs'!$C$4:$C$100,$B50,'Cost+Escalation'!S$4:S$100)</f>
        <v>8736325.6162412465</v>
      </c>
      <c r="G50" s="292">
        <f>SUMIF('Base Costs'!$C$4:$C$100,$B50,'Cost+Escalation'!T$4:T$100)</f>
        <v>6356562.9307266297</v>
      </c>
      <c r="H50" s="292">
        <f>SUMIF('Base Costs'!$C$4:$C$100,$B50,'Cost+Escalation'!U$4:U$100)</f>
        <v>4897485.7851428334</v>
      </c>
      <c r="I50" s="292">
        <f>SUMIF('Base Costs'!$C$4:$C$100,$B50,'Cost+Escalation'!V$4:V$100)</f>
        <v>4479509.402499726</v>
      </c>
      <c r="J50" s="95">
        <f>SUMIF('Base Costs'!$C$4:$C$100,$B50,'Cost+Escalation'!W$4:W$100)</f>
        <v>0</v>
      </c>
      <c r="K50" s="96">
        <f>SUMIF('Base Costs'!$C$4:$C$100,$B50,'Cost+Escalation'!X$4:X$100)</f>
        <v>0</v>
      </c>
      <c r="L50" s="96">
        <f t="shared" si="12"/>
        <v>31011690.053560384</v>
      </c>
      <c r="M50" s="96">
        <f t="shared" si="14"/>
        <v>31044131.840316437</v>
      </c>
      <c r="N50" s="88"/>
      <c r="O50" s="93" t="str">
        <v>Operational Support Systems</v>
      </c>
      <c r="P50" s="94">
        <f>SUMIF('Base Costs'!$C$4:$C$100,$B50,'Cost+Escalation'!Y$4:Y$100)</f>
        <v>0</v>
      </c>
      <c r="Q50" s="95">
        <f>SUMIF('Base Costs'!$C$4:$C$100,$B50,'Cost+Escalation'!Z$4:Z$100)</f>
        <v>32441.786756054458</v>
      </c>
      <c r="R50" s="292">
        <f>SUMIF('Base Costs'!$C$4:$C$100,$B50,'Cost+Escalation'!AA$4:AA$100)</f>
        <v>6386806.3189499471</v>
      </c>
      <c r="S50" s="292">
        <f>SUMIF('Base Costs'!$C$4:$C$100,$B50,'Cost+Escalation'!AB$4:AB$100)</f>
        <v>8256325.6162412465</v>
      </c>
      <c r="T50" s="292">
        <f>SUMIF('Base Costs'!$C$4:$C$100,$B50,'Cost+Escalation'!AC$4:AC$100)</f>
        <v>6091562.9307266297</v>
      </c>
      <c r="U50" s="292">
        <f>SUMIF('Base Costs'!$C$4:$C$100,$B50,'Cost+Escalation'!AD$4:AD$100)</f>
        <v>5797485.7851428343</v>
      </c>
      <c r="V50" s="292">
        <f>SUMIF('Base Costs'!$C$4:$C$100,$B50,'Cost+Escalation'!AE$4:AE$100)</f>
        <v>4479509.402499726</v>
      </c>
      <c r="W50" s="95">
        <f>SUMIF('Base Costs'!$C$4:$C$100,$B50,'Cost+Escalation'!AF$4:AF$100)</f>
        <v>0</v>
      </c>
      <c r="X50" s="96">
        <f>SUMIF('Base Costs'!$C$4:$C$100,$B50,'Cost+Escalation'!AG$4:AG$100)</f>
        <v>0</v>
      </c>
      <c r="Y50" s="96">
        <f t="shared" si="13"/>
        <v>31011690.053560384</v>
      </c>
      <c r="Z50" s="96">
        <f t="shared" si="15"/>
        <v>31044131.840316437</v>
      </c>
    </row>
    <row r="51" spans="2:26" x14ac:dyDescent="0.3">
      <c r="B51" s="93" t="str">
        <v>Information Technology</v>
      </c>
      <c r="C51" s="94">
        <f>SUMIF('Base Costs'!$C$4:$C$100,$B51,'Cost+Escalation'!P$4:P$100)</f>
        <v>0</v>
      </c>
      <c r="D51" s="95">
        <f>SUMIF('Base Costs'!$C$4:$C$100,$B51,'Cost+Escalation'!Q$4:Q$100)</f>
        <v>0</v>
      </c>
      <c r="E51" s="292">
        <f>SUMIF('Base Costs'!$C$4:$C$100,$B51,'Cost+Escalation'!R$4:R$100)</f>
        <v>1659329.4400000002</v>
      </c>
      <c r="F51" s="292">
        <f>SUMIF('Base Costs'!$C$4:$C$100,$B51,'Cost+Escalation'!S$4:S$100)</f>
        <v>1055321.9200000002</v>
      </c>
      <c r="G51" s="292">
        <f>SUMIF('Base Costs'!$C$4:$C$100,$B51,'Cost+Escalation'!T$4:T$100)</f>
        <v>1237712.96</v>
      </c>
      <c r="H51" s="292">
        <f>SUMIF('Base Costs'!$C$4:$C$100,$B51,'Cost+Escalation'!U$4:U$100)</f>
        <v>1906708.1600000001</v>
      </c>
      <c r="I51" s="292">
        <f>SUMIF('Base Costs'!$C$4:$C$100,$B51,'Cost+Escalation'!V$4:V$100)</f>
        <v>785722.88</v>
      </c>
      <c r="J51" s="95">
        <f>SUMIF('Base Costs'!$C$4:$C$100,$B51,'Cost+Escalation'!W$4:W$100)</f>
        <v>0</v>
      </c>
      <c r="K51" s="96">
        <f>SUMIF('Base Costs'!$C$4:$C$100,$B51,'Cost+Escalation'!X$4:X$100)</f>
        <v>0</v>
      </c>
      <c r="L51" s="96">
        <f t="shared" si="12"/>
        <v>6644795.3600000003</v>
      </c>
      <c r="M51" s="96">
        <f t="shared" si="14"/>
        <v>6644795.3600000003</v>
      </c>
      <c r="N51" s="88"/>
      <c r="O51" s="93" t="str">
        <v>Information Technology</v>
      </c>
      <c r="P51" s="94">
        <f>SUMIF('Base Costs'!$C$4:$C$100,$B51,'Cost+Escalation'!Y$4:Y$100)</f>
        <v>0</v>
      </c>
      <c r="Q51" s="95">
        <f>SUMIF('Base Costs'!$C$4:$C$100,$B51,'Cost+Escalation'!Z$4:Z$100)</f>
        <v>0</v>
      </c>
      <c r="R51" s="292">
        <f>SUMIF('Base Costs'!$C$4:$C$100,$B51,'Cost+Escalation'!AA$4:AA$100)</f>
        <v>1659329.4400000002</v>
      </c>
      <c r="S51" s="292">
        <f>SUMIF('Base Costs'!$C$4:$C$100,$B51,'Cost+Escalation'!AB$4:AB$100)</f>
        <v>1055321.9200000002</v>
      </c>
      <c r="T51" s="292">
        <f>SUMIF('Base Costs'!$C$4:$C$100,$B51,'Cost+Escalation'!AC$4:AC$100)</f>
        <v>1237712.96</v>
      </c>
      <c r="U51" s="292">
        <f>SUMIF('Base Costs'!$C$4:$C$100,$B51,'Cost+Escalation'!AD$4:AD$100)</f>
        <v>1906708.1600000001</v>
      </c>
      <c r="V51" s="292">
        <f>SUMIF('Base Costs'!$C$4:$C$100,$B51,'Cost+Escalation'!AE$4:AE$100)</f>
        <v>785722.88</v>
      </c>
      <c r="W51" s="95">
        <f>SUMIF('Base Costs'!$C$4:$C$100,$B51,'Cost+Escalation'!AF$4:AF$100)</f>
        <v>0</v>
      </c>
      <c r="X51" s="96">
        <f>SUMIF('Base Costs'!$C$4:$C$100,$B51,'Cost+Escalation'!AG$4:AG$100)</f>
        <v>0</v>
      </c>
      <c r="Y51" s="96">
        <f t="shared" si="13"/>
        <v>6644795.3600000003</v>
      </c>
      <c r="Z51" s="96">
        <f t="shared" si="15"/>
        <v>6644795.3600000003</v>
      </c>
    </row>
    <row r="52" spans="2:26" x14ac:dyDescent="0.3">
      <c r="B52" s="93" t="str">
        <v>Business Support</v>
      </c>
      <c r="C52" s="94">
        <f>SUMIF('Base Costs'!$C$4:$C$100,$B52,'Cost+Escalation'!P$4:P$100)</f>
        <v>0</v>
      </c>
      <c r="D52" s="95">
        <f>SUMIF('Base Costs'!$C$4:$C$100,$B52,'Cost+Escalation'!Q$4:Q$100)</f>
        <v>157217.42431432096</v>
      </c>
      <c r="E52" s="292">
        <f>SUMIF('Base Costs'!$C$4:$C$100,$B52,'Cost+Escalation'!R$4:R$100)</f>
        <v>1385957.4581000286</v>
      </c>
      <c r="F52" s="292">
        <f>SUMIF('Base Costs'!$C$4:$C$100,$B52,'Cost+Escalation'!S$4:S$100)</f>
        <v>1810000</v>
      </c>
      <c r="G52" s="292">
        <f>SUMIF('Base Costs'!$C$4:$C$100,$B52,'Cost+Escalation'!T$4:T$100)</f>
        <v>1039750</v>
      </c>
      <c r="H52" s="292">
        <f>SUMIF('Base Costs'!$C$4:$C$100,$B52,'Cost+Escalation'!U$4:U$100)</f>
        <v>336350</v>
      </c>
      <c r="I52" s="292">
        <f>SUMIF('Base Costs'!$C$4:$C$100,$B52,'Cost+Escalation'!V$4:V$100)</f>
        <v>872200</v>
      </c>
      <c r="J52" s="95">
        <f>SUMIF('Base Costs'!$C$4:$C$100,$B52,'Cost+Escalation'!W$4:W$100)</f>
        <v>0</v>
      </c>
      <c r="K52" s="96">
        <f>SUMIF('Base Costs'!$C$4:$C$100,$B52,'Cost+Escalation'!X$4:X$100)</f>
        <v>0</v>
      </c>
      <c r="L52" s="96">
        <f t="shared" si="12"/>
        <v>5444257.4581000283</v>
      </c>
      <c r="M52" s="96">
        <f t="shared" si="14"/>
        <v>5601474.8824143494</v>
      </c>
      <c r="N52" s="88"/>
      <c r="O52" s="93" t="str">
        <v>Business Support</v>
      </c>
      <c r="P52" s="94">
        <f>SUMIF('Base Costs'!$C$4:$C$100,$B52,'Cost+Escalation'!Y$4:Y$100)</f>
        <v>0</v>
      </c>
      <c r="Q52" s="95">
        <f>SUMIF('Base Costs'!$C$4:$C$100,$B52,'Cost+Escalation'!Z$4:Z$100)</f>
        <v>0</v>
      </c>
      <c r="R52" s="292">
        <f>SUMIF('Base Costs'!$C$4:$C$100,$B52,'Cost+Escalation'!AA$4:AA$100)</f>
        <v>1278324.8824143494</v>
      </c>
      <c r="S52" s="292">
        <f>SUMIF('Base Costs'!$C$4:$C$100,$B52,'Cost+Escalation'!AB$4:AB$100)</f>
        <v>1737000</v>
      </c>
      <c r="T52" s="292">
        <f>SUMIF('Base Costs'!$C$4:$C$100,$B52,'Cost+Escalation'!AC$4:AC$100)</f>
        <v>1120000</v>
      </c>
      <c r="U52" s="292">
        <f>SUMIF('Base Costs'!$C$4:$C$100,$B52,'Cost+Escalation'!AD$4:AD$100)</f>
        <v>280000</v>
      </c>
      <c r="V52" s="292">
        <f>SUMIF('Base Costs'!$C$4:$C$100,$B52,'Cost+Escalation'!AE$4:AE$100)</f>
        <v>1186150</v>
      </c>
      <c r="W52" s="95">
        <f>SUMIF('Base Costs'!$C$4:$C$100,$B52,'Cost+Escalation'!AF$4:AF$100)</f>
        <v>0</v>
      </c>
      <c r="X52" s="96">
        <f>SUMIF('Base Costs'!$C$4:$C$100,$B52,'Cost+Escalation'!AG$4:AG$100)</f>
        <v>0</v>
      </c>
      <c r="Y52" s="96">
        <f t="shared" si="13"/>
        <v>5601474.8824143494</v>
      </c>
      <c r="Z52" s="96">
        <f t="shared" si="15"/>
        <v>5601474.8824143494</v>
      </c>
    </row>
    <row r="53" spans="2:26" x14ac:dyDescent="0.3">
      <c r="B53" s="93" t="str">
        <v/>
      </c>
      <c r="C53" s="94">
        <f>SUMIF('Base Costs'!$C$4:$C$100,$B53,'Cost+Escalation'!P$4:P$100)</f>
        <v>0</v>
      </c>
      <c r="D53" s="95">
        <f>SUMIF('Base Costs'!$C$4:$C$100,$B53,'Cost+Escalation'!Q$4:Q$100)</f>
        <v>0</v>
      </c>
      <c r="E53" s="292">
        <f>SUMIF('Base Costs'!$C$4:$C$100,$B53,'Cost+Escalation'!R$4:R$100)</f>
        <v>0</v>
      </c>
      <c r="F53" s="292">
        <f>SUMIF('Base Costs'!$C$4:$C$100,$B53,'Cost+Escalation'!S$4:S$100)</f>
        <v>0</v>
      </c>
      <c r="G53" s="292">
        <f>SUMIF('Base Costs'!$C$4:$C$100,$B53,'Cost+Escalation'!T$4:T$100)</f>
        <v>0</v>
      </c>
      <c r="H53" s="292">
        <f>SUMIF('Base Costs'!$C$4:$C$100,$B53,'Cost+Escalation'!U$4:U$100)</f>
        <v>0</v>
      </c>
      <c r="I53" s="292">
        <f>SUMIF('Base Costs'!$C$4:$C$100,$B53,'Cost+Escalation'!V$4:V$100)</f>
        <v>0</v>
      </c>
      <c r="J53" s="95">
        <f>SUMIF('Base Costs'!$C$4:$C$100,$B53,'Cost+Escalation'!W$4:W$100)</f>
        <v>0</v>
      </c>
      <c r="K53" s="96">
        <f>SUMIF('Base Costs'!$C$4:$C$100,$B53,'Cost+Escalation'!X$4:X$100)</f>
        <v>0</v>
      </c>
      <c r="L53" s="96">
        <f t="shared" si="12"/>
        <v>0</v>
      </c>
      <c r="M53" s="96">
        <f t="shared" si="14"/>
        <v>0</v>
      </c>
      <c r="N53" s="88"/>
      <c r="O53" s="93" t="str">
        <v/>
      </c>
      <c r="P53" s="94">
        <f>SUMIF('Base Costs'!$C$4:$C$100,$B53,'Cost+Escalation'!Y$4:Y$100)</f>
        <v>0</v>
      </c>
      <c r="Q53" s="95">
        <f>SUMIF('Base Costs'!$C$4:$C$100,$B53,'Cost+Escalation'!Z$4:Z$100)</f>
        <v>0</v>
      </c>
      <c r="R53" s="292">
        <f>SUMIF('Base Costs'!$C$4:$C$100,$B53,'Cost+Escalation'!AA$4:AA$100)</f>
        <v>0</v>
      </c>
      <c r="S53" s="292">
        <f>SUMIF('Base Costs'!$C$4:$C$100,$B53,'Cost+Escalation'!AB$4:AB$100)</f>
        <v>0</v>
      </c>
      <c r="T53" s="292">
        <f>SUMIF('Base Costs'!$C$4:$C$100,$B53,'Cost+Escalation'!AC$4:AC$100)</f>
        <v>0</v>
      </c>
      <c r="U53" s="292">
        <f>SUMIF('Base Costs'!$C$4:$C$100,$B53,'Cost+Escalation'!AD$4:AD$100)</f>
        <v>0</v>
      </c>
      <c r="V53" s="292">
        <f>SUMIF('Base Costs'!$C$4:$C$100,$B53,'Cost+Escalation'!AE$4:AE$100)</f>
        <v>0</v>
      </c>
      <c r="W53" s="95">
        <f>SUMIF('Base Costs'!$C$4:$C$100,$B53,'Cost+Escalation'!AF$4:AF$100)</f>
        <v>0</v>
      </c>
      <c r="X53" s="96">
        <f>SUMIF('Base Costs'!$C$4:$C$100,$B53,'Cost+Escalation'!AG$4:AG$100)</f>
        <v>0</v>
      </c>
      <c r="Y53" s="96">
        <f t="shared" si="13"/>
        <v>0</v>
      </c>
      <c r="Z53" s="96">
        <f t="shared" si="15"/>
        <v>0</v>
      </c>
    </row>
    <row r="54" spans="2:26" x14ac:dyDescent="0.3">
      <c r="B54" s="93" t="str">
        <v/>
      </c>
      <c r="C54" s="94">
        <f>SUMIF('Base Costs'!$C$4:$C$100,$B54,'Cost+Escalation'!P$4:P$100)</f>
        <v>0</v>
      </c>
      <c r="D54" s="95">
        <f>SUMIF('Base Costs'!$C$4:$C$100,$B54,'Cost+Escalation'!Q$4:Q$100)</f>
        <v>0</v>
      </c>
      <c r="E54" s="292">
        <f>SUMIF('Base Costs'!$C$4:$C$100,$B54,'Cost+Escalation'!R$4:R$100)</f>
        <v>0</v>
      </c>
      <c r="F54" s="292">
        <f>SUMIF('Base Costs'!$C$4:$C$100,$B54,'Cost+Escalation'!S$4:S$100)</f>
        <v>0</v>
      </c>
      <c r="G54" s="292">
        <f>SUMIF('Base Costs'!$C$4:$C$100,$B54,'Cost+Escalation'!T$4:T$100)</f>
        <v>0</v>
      </c>
      <c r="H54" s="292">
        <f>SUMIF('Base Costs'!$C$4:$C$100,$B54,'Cost+Escalation'!U$4:U$100)</f>
        <v>0</v>
      </c>
      <c r="I54" s="292">
        <f>SUMIF('Base Costs'!$C$4:$C$100,$B54,'Cost+Escalation'!V$4:V$100)</f>
        <v>0</v>
      </c>
      <c r="J54" s="95">
        <f>SUMIF('Base Costs'!$C$4:$C$100,$B54,'Cost+Escalation'!W$4:W$100)</f>
        <v>0</v>
      </c>
      <c r="K54" s="96">
        <f>SUMIF('Base Costs'!$C$4:$C$100,$B54,'Cost+Escalation'!X$4:X$100)</f>
        <v>0</v>
      </c>
      <c r="L54" s="96">
        <f t="shared" si="12"/>
        <v>0</v>
      </c>
      <c r="M54" s="96">
        <f t="shared" si="14"/>
        <v>0</v>
      </c>
      <c r="N54" s="88"/>
      <c r="O54" s="93" t="str">
        <v/>
      </c>
      <c r="P54" s="94">
        <f>SUMIF('Base Costs'!$C$4:$C$100,$B54,'Cost+Escalation'!Y$4:Y$100)</f>
        <v>0</v>
      </c>
      <c r="Q54" s="95">
        <f>SUMIF('Base Costs'!$C$4:$C$100,$B54,'Cost+Escalation'!Z$4:Z$100)</f>
        <v>0</v>
      </c>
      <c r="R54" s="292">
        <f>SUMIF('Base Costs'!$C$4:$C$100,$B54,'Cost+Escalation'!AA$4:AA$100)</f>
        <v>0</v>
      </c>
      <c r="S54" s="292">
        <f>SUMIF('Base Costs'!$C$4:$C$100,$B54,'Cost+Escalation'!AB$4:AB$100)</f>
        <v>0</v>
      </c>
      <c r="T54" s="292">
        <f>SUMIF('Base Costs'!$C$4:$C$100,$B54,'Cost+Escalation'!AC$4:AC$100)</f>
        <v>0</v>
      </c>
      <c r="U54" s="292">
        <f>SUMIF('Base Costs'!$C$4:$C$100,$B54,'Cost+Escalation'!AD$4:AD$100)</f>
        <v>0</v>
      </c>
      <c r="V54" s="292">
        <f>SUMIF('Base Costs'!$C$4:$C$100,$B54,'Cost+Escalation'!AE$4:AE$100)</f>
        <v>0</v>
      </c>
      <c r="W54" s="95">
        <f>SUMIF('Base Costs'!$C$4:$C$100,$B54,'Cost+Escalation'!AF$4:AF$100)</f>
        <v>0</v>
      </c>
      <c r="X54" s="96">
        <f>SUMIF('Base Costs'!$C$4:$C$100,$B54,'Cost+Escalation'!AG$4:AG$100)</f>
        <v>0</v>
      </c>
      <c r="Y54" s="96">
        <f t="shared" si="13"/>
        <v>0</v>
      </c>
      <c r="Z54" s="96">
        <f t="shared" si="15"/>
        <v>0</v>
      </c>
    </row>
    <row r="55" spans="2:26" x14ac:dyDescent="0.3">
      <c r="B55" s="93" t="str">
        <v/>
      </c>
      <c r="C55" s="94">
        <f>SUMIF('Base Costs'!$C$4:$C$100,$B55,'Cost+Escalation'!P$4:P$100)</f>
        <v>0</v>
      </c>
      <c r="D55" s="95">
        <f>SUMIF('Base Costs'!$C$4:$C$100,$B55,'Cost+Escalation'!Q$4:Q$100)</f>
        <v>0</v>
      </c>
      <c r="E55" s="292">
        <f>SUMIF('Base Costs'!$C$4:$C$100,$B55,'Cost+Escalation'!R$4:R$100)</f>
        <v>0</v>
      </c>
      <c r="F55" s="292">
        <f>SUMIF('Base Costs'!$C$4:$C$100,$B55,'Cost+Escalation'!S$4:S$100)</f>
        <v>0</v>
      </c>
      <c r="G55" s="292">
        <f>SUMIF('Base Costs'!$C$4:$C$100,$B55,'Cost+Escalation'!T$4:T$100)</f>
        <v>0</v>
      </c>
      <c r="H55" s="292">
        <f>SUMIF('Base Costs'!$C$4:$C$100,$B55,'Cost+Escalation'!U$4:U$100)</f>
        <v>0</v>
      </c>
      <c r="I55" s="292">
        <f>SUMIF('Base Costs'!$C$4:$C$100,$B55,'Cost+Escalation'!V$4:V$100)</f>
        <v>0</v>
      </c>
      <c r="J55" s="95">
        <f>SUMIF('Base Costs'!$C$4:$C$100,$B55,'Cost+Escalation'!W$4:W$100)</f>
        <v>0</v>
      </c>
      <c r="K55" s="96">
        <f>SUMIF('Base Costs'!$C$4:$C$100,$B55,'Cost+Escalation'!X$4:X$100)</f>
        <v>0</v>
      </c>
      <c r="L55" s="96">
        <f t="shared" si="12"/>
        <v>0</v>
      </c>
      <c r="M55" s="96">
        <f t="shared" si="14"/>
        <v>0</v>
      </c>
      <c r="N55" s="88"/>
      <c r="O55" s="93" t="str">
        <v/>
      </c>
      <c r="P55" s="94">
        <f>SUMIF('Base Costs'!$C$4:$C$100,$B55,'Cost+Escalation'!Y$4:Y$100)</f>
        <v>0</v>
      </c>
      <c r="Q55" s="95">
        <f>SUMIF('Base Costs'!$C$4:$C$100,$B55,'Cost+Escalation'!Z$4:Z$100)</f>
        <v>0</v>
      </c>
      <c r="R55" s="292">
        <f>SUMIF('Base Costs'!$C$4:$C$100,$B55,'Cost+Escalation'!AA$4:AA$100)</f>
        <v>0</v>
      </c>
      <c r="S55" s="292">
        <f>SUMIF('Base Costs'!$C$4:$C$100,$B55,'Cost+Escalation'!AB$4:AB$100)</f>
        <v>0</v>
      </c>
      <c r="T55" s="292">
        <f>SUMIF('Base Costs'!$C$4:$C$100,$B55,'Cost+Escalation'!AC$4:AC$100)</f>
        <v>0</v>
      </c>
      <c r="U55" s="292">
        <f>SUMIF('Base Costs'!$C$4:$C$100,$B55,'Cost+Escalation'!AD$4:AD$100)</f>
        <v>0</v>
      </c>
      <c r="V55" s="292">
        <f>SUMIF('Base Costs'!$C$4:$C$100,$B55,'Cost+Escalation'!AE$4:AE$100)</f>
        <v>0</v>
      </c>
      <c r="W55" s="95">
        <f>SUMIF('Base Costs'!$C$4:$C$100,$B55,'Cost+Escalation'!AF$4:AF$100)</f>
        <v>0</v>
      </c>
      <c r="X55" s="96">
        <f>SUMIF('Base Costs'!$C$4:$C$100,$B55,'Cost+Escalation'!AG$4:AG$100)</f>
        <v>0</v>
      </c>
      <c r="Y55" s="96">
        <f t="shared" si="13"/>
        <v>0</v>
      </c>
      <c r="Z55" s="96">
        <f t="shared" si="15"/>
        <v>0</v>
      </c>
    </row>
    <row r="56" spans="2:26" x14ac:dyDescent="0.3">
      <c r="B56" s="93" t="str">
        <v/>
      </c>
      <c r="C56" s="94">
        <f>SUMIF('Base Costs'!$C$4:$C$100,$B56,'Cost+Escalation'!P$4:P$100)</f>
        <v>0</v>
      </c>
      <c r="D56" s="95">
        <f>SUMIF('Base Costs'!$C$4:$C$100,$B56,'Cost+Escalation'!Q$4:Q$100)</f>
        <v>0</v>
      </c>
      <c r="E56" s="292">
        <f>SUMIF('Base Costs'!$C$4:$C$100,$B56,'Cost+Escalation'!R$4:R$100)</f>
        <v>0</v>
      </c>
      <c r="F56" s="292">
        <f>SUMIF('Base Costs'!$C$4:$C$100,$B56,'Cost+Escalation'!S$4:S$100)</f>
        <v>0</v>
      </c>
      <c r="G56" s="292">
        <f>SUMIF('Base Costs'!$C$4:$C$100,$B56,'Cost+Escalation'!T$4:T$100)</f>
        <v>0</v>
      </c>
      <c r="H56" s="292">
        <f>SUMIF('Base Costs'!$C$4:$C$100,$B56,'Cost+Escalation'!U$4:U$100)</f>
        <v>0</v>
      </c>
      <c r="I56" s="292">
        <f>SUMIF('Base Costs'!$C$4:$C$100,$B56,'Cost+Escalation'!V$4:V$100)</f>
        <v>0</v>
      </c>
      <c r="J56" s="95">
        <f>SUMIF('Base Costs'!$C$4:$C$100,$B56,'Cost+Escalation'!W$4:W$100)</f>
        <v>0</v>
      </c>
      <c r="K56" s="96">
        <f>SUMIF('Base Costs'!$C$4:$C$100,$B56,'Cost+Escalation'!X$4:X$100)</f>
        <v>0</v>
      </c>
      <c r="L56" s="96">
        <f t="shared" si="12"/>
        <v>0</v>
      </c>
      <c r="M56" s="96">
        <f t="shared" si="14"/>
        <v>0</v>
      </c>
      <c r="N56" s="88"/>
      <c r="O56" s="93" t="str">
        <v/>
      </c>
      <c r="P56" s="94">
        <f>SUMIF('Base Costs'!$C$4:$C$100,$B56,'Cost+Escalation'!Y$4:Y$100)</f>
        <v>0</v>
      </c>
      <c r="Q56" s="95">
        <f>SUMIF('Base Costs'!$C$4:$C$100,$B56,'Cost+Escalation'!Z$4:Z$100)</f>
        <v>0</v>
      </c>
      <c r="R56" s="292">
        <f>SUMIF('Base Costs'!$C$4:$C$100,$B56,'Cost+Escalation'!AA$4:AA$100)</f>
        <v>0</v>
      </c>
      <c r="S56" s="292">
        <f>SUMIF('Base Costs'!$C$4:$C$100,$B56,'Cost+Escalation'!AB$4:AB$100)</f>
        <v>0</v>
      </c>
      <c r="T56" s="292">
        <f>SUMIF('Base Costs'!$C$4:$C$100,$B56,'Cost+Escalation'!AC$4:AC$100)</f>
        <v>0</v>
      </c>
      <c r="U56" s="292">
        <f>SUMIF('Base Costs'!$C$4:$C$100,$B56,'Cost+Escalation'!AD$4:AD$100)</f>
        <v>0</v>
      </c>
      <c r="V56" s="292">
        <f>SUMIF('Base Costs'!$C$4:$C$100,$B56,'Cost+Escalation'!AE$4:AE$100)</f>
        <v>0</v>
      </c>
      <c r="W56" s="95">
        <f>SUMIF('Base Costs'!$C$4:$C$100,$B56,'Cost+Escalation'!AF$4:AF$100)</f>
        <v>0</v>
      </c>
      <c r="X56" s="96">
        <f>SUMIF('Base Costs'!$C$4:$C$100,$B56,'Cost+Escalation'!AG$4:AG$100)</f>
        <v>0</v>
      </c>
      <c r="Y56" s="96">
        <f t="shared" si="13"/>
        <v>0</v>
      </c>
      <c r="Z56" s="96">
        <f t="shared" si="15"/>
        <v>0</v>
      </c>
    </row>
    <row r="57" spans="2:26" x14ac:dyDescent="0.3">
      <c r="B57" s="93" t="str">
        <v/>
      </c>
      <c r="C57" s="94">
        <f>SUMIF('Base Costs'!$C$4:$C$100,$B57,'Cost+Escalation'!P$4:P$100)</f>
        <v>0</v>
      </c>
      <c r="D57" s="95">
        <f>SUMIF('Base Costs'!$C$4:$C$100,$B57,'Cost+Escalation'!Q$4:Q$100)</f>
        <v>0</v>
      </c>
      <c r="E57" s="292">
        <f>SUMIF('Base Costs'!$C$4:$C$100,$B57,'Cost+Escalation'!R$4:R$100)</f>
        <v>0</v>
      </c>
      <c r="F57" s="292">
        <f>SUMIF('Base Costs'!$C$4:$C$100,$B57,'Cost+Escalation'!S$4:S$100)</f>
        <v>0</v>
      </c>
      <c r="G57" s="292">
        <f>SUMIF('Base Costs'!$C$4:$C$100,$B57,'Cost+Escalation'!T$4:T$100)</f>
        <v>0</v>
      </c>
      <c r="H57" s="292">
        <f>SUMIF('Base Costs'!$C$4:$C$100,$B57,'Cost+Escalation'!U$4:U$100)</f>
        <v>0</v>
      </c>
      <c r="I57" s="292">
        <f>SUMIF('Base Costs'!$C$4:$C$100,$B57,'Cost+Escalation'!V$4:V$100)</f>
        <v>0</v>
      </c>
      <c r="J57" s="95">
        <f>SUMIF('Base Costs'!$C$4:$C$100,$B57,'Cost+Escalation'!W$4:W$100)</f>
        <v>0</v>
      </c>
      <c r="K57" s="96">
        <f>SUMIF('Base Costs'!$C$4:$C$100,$B57,'Cost+Escalation'!X$4:X$100)</f>
        <v>0</v>
      </c>
      <c r="L57" s="96">
        <f t="shared" si="12"/>
        <v>0</v>
      </c>
      <c r="M57" s="96">
        <f t="shared" si="14"/>
        <v>0</v>
      </c>
      <c r="N57" s="88"/>
      <c r="O57" s="93" t="str">
        <v/>
      </c>
      <c r="P57" s="94">
        <f>SUMIF('Base Costs'!$C$4:$C$100,$B57,'Cost+Escalation'!Y$4:Y$100)</f>
        <v>0</v>
      </c>
      <c r="Q57" s="95">
        <f>SUMIF('Base Costs'!$C$4:$C$100,$B57,'Cost+Escalation'!Z$4:Z$100)</f>
        <v>0</v>
      </c>
      <c r="R57" s="292">
        <f>SUMIF('Base Costs'!$C$4:$C$100,$B57,'Cost+Escalation'!AA$4:AA$100)</f>
        <v>0</v>
      </c>
      <c r="S57" s="292">
        <f>SUMIF('Base Costs'!$C$4:$C$100,$B57,'Cost+Escalation'!AB$4:AB$100)</f>
        <v>0</v>
      </c>
      <c r="T57" s="292">
        <f>SUMIF('Base Costs'!$C$4:$C$100,$B57,'Cost+Escalation'!AC$4:AC$100)</f>
        <v>0</v>
      </c>
      <c r="U57" s="292">
        <f>SUMIF('Base Costs'!$C$4:$C$100,$B57,'Cost+Escalation'!AD$4:AD$100)</f>
        <v>0</v>
      </c>
      <c r="V57" s="292">
        <f>SUMIF('Base Costs'!$C$4:$C$100,$B57,'Cost+Escalation'!AE$4:AE$100)</f>
        <v>0</v>
      </c>
      <c r="W57" s="95">
        <f>SUMIF('Base Costs'!$C$4:$C$100,$B57,'Cost+Escalation'!AF$4:AF$100)</f>
        <v>0</v>
      </c>
      <c r="X57" s="96">
        <f>SUMIF('Base Costs'!$C$4:$C$100,$B57,'Cost+Escalation'!AG$4:AG$100)</f>
        <v>0</v>
      </c>
      <c r="Y57" s="96">
        <f t="shared" si="13"/>
        <v>0</v>
      </c>
      <c r="Z57" s="96">
        <f t="shared" si="15"/>
        <v>0</v>
      </c>
    </row>
    <row r="58" spans="2:26" x14ac:dyDescent="0.3">
      <c r="B58" s="93" t="str">
        <v/>
      </c>
      <c r="C58" s="94">
        <f>SUMIF('Base Costs'!$C$4:$C$100,$B58,'Cost+Escalation'!P$4:P$100)</f>
        <v>0</v>
      </c>
      <c r="D58" s="95">
        <f>SUMIF('Base Costs'!$C$4:$C$100,$B58,'Cost+Escalation'!Q$4:Q$100)</f>
        <v>0</v>
      </c>
      <c r="E58" s="292">
        <f>SUMIF('Base Costs'!$C$4:$C$100,$B58,'Cost+Escalation'!R$4:R$100)</f>
        <v>0</v>
      </c>
      <c r="F58" s="292">
        <f>SUMIF('Base Costs'!$C$4:$C$100,$B58,'Cost+Escalation'!S$4:S$100)</f>
        <v>0</v>
      </c>
      <c r="G58" s="292">
        <f>SUMIF('Base Costs'!$C$4:$C$100,$B58,'Cost+Escalation'!T$4:T$100)</f>
        <v>0</v>
      </c>
      <c r="H58" s="292">
        <f>SUMIF('Base Costs'!$C$4:$C$100,$B58,'Cost+Escalation'!U$4:U$100)</f>
        <v>0</v>
      </c>
      <c r="I58" s="292">
        <f>SUMIF('Base Costs'!$C$4:$C$100,$B58,'Cost+Escalation'!V$4:V$100)</f>
        <v>0</v>
      </c>
      <c r="J58" s="95">
        <f>SUMIF('Base Costs'!$C$4:$C$100,$B58,'Cost+Escalation'!W$4:W$100)</f>
        <v>0</v>
      </c>
      <c r="K58" s="96">
        <f>SUMIF('Base Costs'!$C$4:$C$100,$B58,'Cost+Escalation'!X$4:X$100)</f>
        <v>0</v>
      </c>
      <c r="L58" s="96">
        <f t="shared" si="12"/>
        <v>0</v>
      </c>
      <c r="M58" s="96">
        <f t="shared" si="14"/>
        <v>0</v>
      </c>
      <c r="N58" s="88"/>
      <c r="O58" s="93" t="str">
        <v/>
      </c>
      <c r="P58" s="94">
        <f>SUMIF('Base Costs'!$C$4:$C$100,$B58,'Cost+Escalation'!Y$4:Y$100)</f>
        <v>0</v>
      </c>
      <c r="Q58" s="95">
        <f>SUMIF('Base Costs'!$C$4:$C$100,$B58,'Cost+Escalation'!Z$4:Z$100)</f>
        <v>0</v>
      </c>
      <c r="R58" s="292">
        <f>SUMIF('Base Costs'!$C$4:$C$100,$B58,'Cost+Escalation'!AA$4:AA$100)</f>
        <v>0</v>
      </c>
      <c r="S58" s="292">
        <f>SUMIF('Base Costs'!$C$4:$C$100,$B58,'Cost+Escalation'!AB$4:AB$100)</f>
        <v>0</v>
      </c>
      <c r="T58" s="292">
        <f>SUMIF('Base Costs'!$C$4:$C$100,$B58,'Cost+Escalation'!AC$4:AC$100)</f>
        <v>0</v>
      </c>
      <c r="U58" s="292">
        <f>SUMIF('Base Costs'!$C$4:$C$100,$B58,'Cost+Escalation'!AD$4:AD$100)</f>
        <v>0</v>
      </c>
      <c r="V58" s="292">
        <f>SUMIF('Base Costs'!$C$4:$C$100,$B58,'Cost+Escalation'!AE$4:AE$100)</f>
        <v>0</v>
      </c>
      <c r="W58" s="95">
        <f>SUMIF('Base Costs'!$C$4:$C$100,$B58,'Cost+Escalation'!AF$4:AF$100)</f>
        <v>0</v>
      </c>
      <c r="X58" s="96">
        <f>SUMIF('Base Costs'!$C$4:$C$100,$B58,'Cost+Escalation'!AG$4:AG$100)</f>
        <v>0</v>
      </c>
      <c r="Y58" s="96">
        <f t="shared" si="13"/>
        <v>0</v>
      </c>
      <c r="Z58" s="96">
        <f t="shared" si="15"/>
        <v>0</v>
      </c>
    </row>
    <row r="59" spans="2:26" ht="14.4" thickBot="1" x14ac:dyDescent="0.35">
      <c r="B59" s="97" t="str">
        <v/>
      </c>
      <c r="C59" s="98">
        <f>SUMIF('Base Costs'!$C$4:$C$100,$B59,'Cost+Escalation'!P$4:P$100)</f>
        <v>0</v>
      </c>
      <c r="D59" s="99">
        <f>SUMIF('Base Costs'!$C$4:$C$100,$B59,'Cost+Escalation'!Q$4:Q$100)</f>
        <v>0</v>
      </c>
      <c r="E59" s="293">
        <f>SUMIF('Base Costs'!$C$4:$C$100,$B59,'Cost+Escalation'!R$4:R$100)</f>
        <v>0</v>
      </c>
      <c r="F59" s="293">
        <f>SUMIF('Base Costs'!$C$4:$C$100,$B59,'Cost+Escalation'!S$4:S$100)</f>
        <v>0</v>
      </c>
      <c r="G59" s="293">
        <f>SUMIF('Base Costs'!$C$4:$C$100,$B59,'Cost+Escalation'!T$4:T$100)</f>
        <v>0</v>
      </c>
      <c r="H59" s="293">
        <f>SUMIF('Base Costs'!$C$4:$C$100,$B59,'Cost+Escalation'!U$4:U$100)</f>
        <v>0</v>
      </c>
      <c r="I59" s="293">
        <f>SUMIF('Base Costs'!$C$4:$C$100,$B59,'Cost+Escalation'!V$4:V$100)</f>
        <v>0</v>
      </c>
      <c r="J59" s="99">
        <f>SUMIF('Base Costs'!$C$4:$C$100,$B59,'Cost+Escalation'!W$4:W$100)</f>
        <v>0</v>
      </c>
      <c r="K59" s="100">
        <f>SUMIF('Base Costs'!$C$4:$C$100,$B59,'Cost+Escalation'!X$4:X$100)</f>
        <v>0</v>
      </c>
      <c r="L59" s="100">
        <f t="shared" si="12"/>
        <v>0</v>
      </c>
      <c r="M59" s="100">
        <f t="shared" si="14"/>
        <v>0</v>
      </c>
      <c r="N59" s="88"/>
      <c r="O59" s="97" t="str">
        <v/>
      </c>
      <c r="P59" s="98">
        <f>SUMIF('Base Costs'!$C$4:$C$100,$B59,'Cost+Escalation'!Y$4:Y$100)</f>
        <v>0</v>
      </c>
      <c r="Q59" s="99">
        <f>SUMIF('Base Costs'!$C$4:$C$100,$B59,'Cost+Escalation'!Z$4:Z$100)</f>
        <v>0</v>
      </c>
      <c r="R59" s="293">
        <f>SUMIF('Base Costs'!$C$4:$C$100,$B59,'Cost+Escalation'!AA$4:AA$100)</f>
        <v>0</v>
      </c>
      <c r="S59" s="293">
        <f>SUMIF('Base Costs'!$C$4:$C$100,$B59,'Cost+Escalation'!AB$4:AB$100)</f>
        <v>0</v>
      </c>
      <c r="T59" s="293">
        <f>SUMIF('Base Costs'!$C$4:$C$100,$B59,'Cost+Escalation'!AC$4:AC$100)</f>
        <v>0</v>
      </c>
      <c r="U59" s="293">
        <f>SUMIF('Base Costs'!$C$4:$C$100,$B59,'Cost+Escalation'!AD$4:AD$100)</f>
        <v>0</v>
      </c>
      <c r="V59" s="293">
        <f>SUMIF('Base Costs'!$C$4:$C$100,$B59,'Cost+Escalation'!AE$4:AE$100)</f>
        <v>0</v>
      </c>
      <c r="W59" s="99">
        <f>SUMIF('Base Costs'!$C$4:$C$100,$B59,'Cost+Escalation'!AF$4:AF$100)</f>
        <v>0</v>
      </c>
      <c r="X59" s="100">
        <f>SUMIF('Base Costs'!$C$4:$C$100,$B59,'Cost+Escalation'!AG$4:AG$100)</f>
        <v>0</v>
      </c>
      <c r="Y59" s="100">
        <f t="shared" si="13"/>
        <v>0</v>
      </c>
      <c r="Z59" s="100">
        <f t="shared" si="15"/>
        <v>0</v>
      </c>
    </row>
    <row r="60" spans="2:26" x14ac:dyDescent="0.3">
      <c r="B60" s="88" t="s">
        <v>12</v>
      </c>
      <c r="C60" s="101">
        <f>SUM(C44:C59)</f>
        <v>0</v>
      </c>
      <c r="D60" s="101">
        <f t="shared" ref="D60:K60" si="16">SUM(D44:D59)</f>
        <v>6325802.6024744771</v>
      </c>
      <c r="E60" s="294">
        <f t="shared" si="16"/>
        <v>48601929.578183368</v>
      </c>
      <c r="F60" s="294">
        <f t="shared" si="16"/>
        <v>62980888.486922458</v>
      </c>
      <c r="G60" s="294">
        <f t="shared" si="16"/>
        <v>57048307.784476973</v>
      </c>
      <c r="H60" s="294">
        <f t="shared" si="16"/>
        <v>51157983.608700901</v>
      </c>
      <c r="I60" s="294">
        <f t="shared" si="16"/>
        <v>43137287.350521445</v>
      </c>
      <c r="J60" s="101">
        <f t="shared" si="16"/>
        <v>6232849.4741729386</v>
      </c>
      <c r="K60" s="101">
        <f t="shared" si="16"/>
        <v>0</v>
      </c>
      <c r="L60" s="101">
        <f t="shared" si="12"/>
        <v>262926396.80880514</v>
      </c>
      <c r="M60" s="101">
        <f>SUM(C60:K60)</f>
        <v>275485048.88545257</v>
      </c>
      <c r="N60" s="88"/>
      <c r="O60" s="88" t="s">
        <v>12</v>
      </c>
      <c r="P60" s="101">
        <f>SUM(P44:P59)</f>
        <v>0</v>
      </c>
      <c r="Q60" s="101">
        <f t="shared" ref="Q60:X60" si="17">SUM(Q44:Q59)</f>
        <v>514687.91799215437</v>
      </c>
      <c r="R60" s="294">
        <f t="shared" si="17"/>
        <v>49868333.71972774</v>
      </c>
      <c r="S60" s="294">
        <f t="shared" si="17"/>
        <v>42659484.640676275</v>
      </c>
      <c r="T60" s="294">
        <f t="shared" si="17"/>
        <v>77275216.115547314</v>
      </c>
      <c r="U60" s="294">
        <f t="shared" si="17"/>
        <v>39574345.817264661</v>
      </c>
      <c r="V60" s="294">
        <f t="shared" si="17"/>
        <v>56653084.043289781</v>
      </c>
      <c r="W60" s="101">
        <f t="shared" si="17"/>
        <v>66555.917477526338</v>
      </c>
      <c r="X60" s="101">
        <f t="shared" si="17"/>
        <v>8873340.7134770826</v>
      </c>
      <c r="Y60" s="101">
        <f t="shared" si="13"/>
        <v>266030464.33650577</v>
      </c>
      <c r="Z60" s="101">
        <f>SUM(P60:X60)</f>
        <v>275485048.88545257</v>
      </c>
    </row>
    <row r="61" spans="2:26" x14ac:dyDescent="0.3">
      <c r="B61" s="88"/>
      <c r="C61" s="88"/>
      <c r="D61" s="88"/>
      <c r="E61" s="295"/>
      <c r="F61" s="295"/>
      <c r="G61" s="295"/>
      <c r="H61" s="295"/>
      <c r="I61" s="295"/>
      <c r="J61" s="88"/>
      <c r="K61" s="88"/>
      <c r="L61" s="101"/>
      <c r="M61" s="101"/>
      <c r="N61" s="101"/>
      <c r="O61" s="88"/>
      <c r="P61" s="88"/>
      <c r="Q61" s="88"/>
      <c r="R61" s="295"/>
      <c r="S61" s="295"/>
      <c r="T61" s="295"/>
      <c r="U61" s="295"/>
      <c r="V61" s="295"/>
      <c r="W61" s="88"/>
      <c r="X61" s="88"/>
      <c r="Y61" s="88"/>
      <c r="Z61" s="88"/>
    </row>
    <row r="62" spans="2:26" ht="14.4" thickBot="1" x14ac:dyDescent="0.35">
      <c r="B62" s="87" t="str">
        <f>'Asset Class Summary'!B86</f>
        <v>Spend - Escalated Costs - ($m June 2014)</v>
      </c>
      <c r="C62" s="88"/>
      <c r="D62" s="88"/>
      <c r="E62" s="295"/>
      <c r="F62" s="295"/>
      <c r="G62" s="295"/>
      <c r="H62" s="295"/>
      <c r="I62" s="295"/>
      <c r="J62" s="88"/>
      <c r="K62" s="88"/>
      <c r="L62" s="88"/>
      <c r="M62" s="88"/>
      <c r="N62" s="88"/>
      <c r="O62" s="87" t="str">
        <f>'Asset Class Summary'!O86</f>
        <v>Commission - Escalated Costs - ($m June 2014)</v>
      </c>
      <c r="P62" s="88"/>
      <c r="Q62" s="88"/>
      <c r="R62" s="295"/>
      <c r="S62" s="295"/>
      <c r="T62" s="295"/>
      <c r="U62" s="295"/>
      <c r="V62" s="295"/>
      <c r="W62" s="88"/>
      <c r="X62" s="88"/>
      <c r="Y62" s="88"/>
      <c r="Z62" s="88"/>
    </row>
    <row r="63" spans="2:26" ht="42.6" thickBot="1" x14ac:dyDescent="0.35">
      <c r="B63" s="88"/>
      <c r="C63" s="182" t="str">
        <f t="array" ref="C63:K63">C3:K3</f>
        <v>2012/13</v>
      </c>
      <c r="D63" s="183" t="str">
        <v>2013/14</v>
      </c>
      <c r="E63" s="290" t="str">
        <v>2014/15</v>
      </c>
      <c r="F63" s="290" t="str">
        <v>2015/16</v>
      </c>
      <c r="G63" s="290" t="str">
        <v>2016/17</v>
      </c>
      <c r="H63" s="290" t="str">
        <v>2017/18</v>
      </c>
      <c r="I63" s="290" t="str">
        <v>2018/19</v>
      </c>
      <c r="J63" s="183" t="str">
        <v>2019/20</v>
      </c>
      <c r="K63" s="184" t="str">
        <v>2020/21</v>
      </c>
      <c r="L63" s="410" t="str">
        <f>$L$3</f>
        <v>2014-19
Total</v>
      </c>
      <c r="M63" s="411" t="s">
        <v>12</v>
      </c>
      <c r="N63" s="88"/>
      <c r="O63" s="88"/>
      <c r="P63" s="182" t="str">
        <f t="array" ref="P63:X63">C3:K3</f>
        <v>2012/13</v>
      </c>
      <c r="Q63" s="183" t="str">
        <v>2013/14</v>
      </c>
      <c r="R63" s="290" t="str">
        <v>2014/15</v>
      </c>
      <c r="S63" s="290" t="str">
        <v>2015/16</v>
      </c>
      <c r="T63" s="290" t="str">
        <v>2016/17</v>
      </c>
      <c r="U63" s="290" t="str">
        <v>2017/18</v>
      </c>
      <c r="V63" s="290" t="str">
        <v>2018/19</v>
      </c>
      <c r="W63" s="183" t="str">
        <v>2019/20</v>
      </c>
      <c r="X63" s="184" t="str">
        <v>2020/21</v>
      </c>
      <c r="Y63" s="410" t="str">
        <f>$L$3</f>
        <v>2014-19
Total</v>
      </c>
      <c r="Z63" s="411" t="s">
        <v>12</v>
      </c>
    </row>
    <row r="64" spans="2:26" x14ac:dyDescent="0.3">
      <c r="B64" s="89" t="str">
        <f t="array" ref="B64:B79">$B$4:$B$19</f>
        <v>Augmentation</v>
      </c>
      <c r="C64" s="90">
        <f>SUMIF('Base Costs'!$C$4:$C$100,$B64,'Cost+CPI'!P$4:P$100)</f>
        <v>0</v>
      </c>
      <c r="D64" s="91">
        <f>SUMIF('Base Costs'!$C$4:$C$100,$B64,'Cost+CPI'!Q$4:Q$100)</f>
        <v>0</v>
      </c>
      <c r="E64" s="291">
        <f>SUMIF('Base Costs'!$C$4:$C$100,$B64,'Cost+CPI'!R$4:R$100)</f>
        <v>376126.74270771362</v>
      </c>
      <c r="F64" s="291">
        <f>SUMIF('Base Costs'!$C$4:$C$100,$B64,'Cost+CPI'!S$4:S$100)</f>
        <v>4698133.8346788296</v>
      </c>
      <c r="G64" s="291">
        <f>SUMIF('Base Costs'!$C$4:$C$100,$B64,'Cost+CPI'!T$4:T$100)</f>
        <v>11292055.84516678</v>
      </c>
      <c r="H64" s="291">
        <f>SUMIF('Base Costs'!$C$4:$C$100,$B64,'Cost+CPI'!U$4:U$100)</f>
        <v>9160533.1372579001</v>
      </c>
      <c r="I64" s="291">
        <f>SUMIF('Base Costs'!$C$4:$C$100,$B64,'Cost+CPI'!V$4:V$100)</f>
        <v>11261222.824793108</v>
      </c>
      <c r="J64" s="91">
        <f>SUMIF('Base Costs'!$C$4:$C$100,$B64,'Cost+CPI'!W$4:W$100)</f>
        <v>0</v>
      </c>
      <c r="K64" s="92">
        <f>SUMIF('Base Costs'!$C$4:$C$100,$B64,'Cost+CPI'!X$4:X$100)</f>
        <v>0</v>
      </c>
      <c r="L64" s="92">
        <f t="shared" ref="L64:L80" si="18">SUM(E64:I64)</f>
        <v>36788072.384604335</v>
      </c>
      <c r="M64" s="92">
        <f>SUM(C64:K64)</f>
        <v>36788072.384604335</v>
      </c>
      <c r="N64" s="88"/>
      <c r="O64" s="89" t="str">
        <f t="array" ref="O64:O79">$B$4:$B$19</f>
        <v>Augmentation</v>
      </c>
      <c r="P64" s="90">
        <f>SUMIF('Base Costs'!$C$4:$C$100,$B64,'Cost+CPI'!Y$4:Y$100)</f>
        <v>0</v>
      </c>
      <c r="Q64" s="91">
        <f>SUMIF('Base Costs'!$C$4:$C$100,$B64,'Cost+CPI'!Z$4:Z$100)</f>
        <v>0</v>
      </c>
      <c r="R64" s="291">
        <f>SUMIF('Base Costs'!$C$4:$C$100,$B64,'Cost+CPI'!AA$4:AA$100)</f>
        <v>0</v>
      </c>
      <c r="S64" s="291">
        <f>SUMIF('Base Costs'!$C$4:$C$100,$B64,'Cost+CPI'!AB$4:AB$100)</f>
        <v>0</v>
      </c>
      <c r="T64" s="291">
        <f>SUMIF('Base Costs'!$C$4:$C$100,$B64,'Cost+CPI'!AC$4:AC$100)</f>
        <v>15736619.554538611</v>
      </c>
      <c r="U64" s="291">
        <f>SUMIF('Base Costs'!$C$4:$C$100,$B64,'Cost+CPI'!AD$4:AD$100)</f>
        <v>0</v>
      </c>
      <c r="V64" s="291">
        <f>SUMIF('Base Costs'!$C$4:$C$100,$B64,'Cost+CPI'!AE$4:AE$100)</f>
        <v>21051452.83006572</v>
      </c>
      <c r="W64" s="91">
        <f>SUMIF('Base Costs'!$C$4:$C$100,$B64,'Cost+CPI'!AF$4:AF$100)</f>
        <v>0</v>
      </c>
      <c r="X64" s="92">
        <f>SUMIF('Base Costs'!$C$4:$C$100,$B64,'Cost+CPI'!AG$4:AG$100)</f>
        <v>0</v>
      </c>
      <c r="Y64" s="92">
        <f t="shared" ref="Y64:Y80" si="19">SUM(R64:V64)</f>
        <v>36788072.384604335</v>
      </c>
      <c r="Z64" s="92">
        <f>SUM(P64:X64)</f>
        <v>36788072.384604335</v>
      </c>
    </row>
    <row r="65" spans="2:26" x14ac:dyDescent="0.3">
      <c r="B65" s="93" t="str">
        <v>Connection</v>
      </c>
      <c r="C65" s="94">
        <f>SUMIF('Base Costs'!$C$4:$C$100,$B65,'Cost+CPI'!P$4:P$100)</f>
        <v>0</v>
      </c>
      <c r="D65" s="95">
        <f>SUMIF('Base Costs'!$C$4:$C$100,$B65,'Cost+CPI'!Q$4:Q$100)</f>
        <v>0</v>
      </c>
      <c r="E65" s="292">
        <f>SUMIF('Base Costs'!$C$4:$C$100,$B65,'Cost+CPI'!R$4:R$100)</f>
        <v>2865589.681917767</v>
      </c>
      <c r="F65" s="292">
        <f>SUMIF('Base Costs'!$C$4:$C$100,$B65,'Cost+CPI'!S$4:S$100)</f>
        <v>11262519.781899048</v>
      </c>
      <c r="G65" s="292">
        <f>SUMIF('Base Costs'!$C$4:$C$100,$B65,'Cost+CPI'!T$4:T$100)</f>
        <v>3817791.6786889592</v>
      </c>
      <c r="H65" s="292">
        <f>SUMIF('Base Costs'!$C$4:$C$100,$B65,'Cost+CPI'!U$4:U$100)</f>
        <v>1088384.4952660031</v>
      </c>
      <c r="I65" s="292">
        <f>SUMIF('Base Costs'!$C$4:$C$100,$B65,'Cost+CPI'!V$4:V$100)</f>
        <v>0</v>
      </c>
      <c r="J65" s="95">
        <f>SUMIF('Base Costs'!$C$4:$C$100,$B65,'Cost+CPI'!W$4:W$100)</f>
        <v>0</v>
      </c>
      <c r="K65" s="96">
        <f>SUMIF('Base Costs'!$C$4:$C$100,$B65,'Cost+CPI'!X$4:X$100)</f>
        <v>0</v>
      </c>
      <c r="L65" s="96">
        <f t="shared" si="18"/>
        <v>19034285.637771774</v>
      </c>
      <c r="M65" s="96">
        <f t="shared" ref="M65:M79" si="20">SUM(C65:K65)</f>
        <v>19034285.637771774</v>
      </c>
      <c r="N65" s="88"/>
      <c r="O65" s="93" t="str">
        <v>Connection</v>
      </c>
      <c r="P65" s="94">
        <f>SUMIF('Base Costs'!$C$4:$C$100,$B65,'Cost+CPI'!Y$4:Y$100)</f>
        <v>0</v>
      </c>
      <c r="Q65" s="95">
        <f>SUMIF('Base Costs'!$C$4:$C$100,$B65,'Cost+CPI'!Z$4:Z$100)</f>
        <v>0</v>
      </c>
      <c r="R65" s="292">
        <f>SUMIF('Base Costs'!$C$4:$C$100,$B65,'Cost+CPI'!AA$4:AA$100)</f>
        <v>1535627.5526614836</v>
      </c>
      <c r="S65" s="292">
        <f>SUMIF('Base Costs'!$C$4:$C$100,$B65,'Cost+CPI'!AB$4:AB$100)</f>
        <v>2880569.8179680691</v>
      </c>
      <c r="T65" s="292">
        <f>SUMIF('Base Costs'!$C$4:$C$100,$B65,'Cost+CPI'!AC$4:AC$100)</f>
        <v>10941309.607294988</v>
      </c>
      <c r="U65" s="292">
        <f>SUMIF('Base Costs'!$C$4:$C$100,$B65,'Cost+CPI'!AD$4:AD$100)</f>
        <v>3676778.6598472372</v>
      </c>
      <c r="V65" s="292">
        <f>SUMIF('Base Costs'!$C$4:$C$100,$B65,'Cost+CPI'!AE$4:AE$100)</f>
        <v>0</v>
      </c>
      <c r="W65" s="95">
        <f>SUMIF('Base Costs'!$C$4:$C$100,$B65,'Cost+CPI'!AF$4:AF$100)</f>
        <v>0</v>
      </c>
      <c r="X65" s="96">
        <f>SUMIF('Base Costs'!$C$4:$C$100,$B65,'Cost+CPI'!AG$4:AG$100)</f>
        <v>0</v>
      </c>
      <c r="Y65" s="96">
        <f t="shared" si="19"/>
        <v>19034285.637771778</v>
      </c>
      <c r="Z65" s="96">
        <f t="shared" ref="Z65:Z79" si="21">SUM(P65:X65)</f>
        <v>19034285.637771778</v>
      </c>
    </row>
    <row r="66" spans="2:26" x14ac:dyDescent="0.3">
      <c r="B66" s="93" t="str">
        <v>Land and Easements</v>
      </c>
      <c r="C66" s="94">
        <f>SUMIF('Base Costs'!$C$4:$C$100,$B66,'Cost+CPI'!P$4:P$100)</f>
        <v>0</v>
      </c>
      <c r="D66" s="95">
        <f>SUMIF('Base Costs'!$C$4:$C$100,$B66,'Cost+CPI'!Q$4:Q$100)</f>
        <v>506118.27538195066</v>
      </c>
      <c r="E66" s="292">
        <f>SUMIF('Base Costs'!$C$4:$C$100,$B66,'Cost+CPI'!R$4:R$100)</f>
        <v>0</v>
      </c>
      <c r="F66" s="292">
        <f>SUMIF('Base Costs'!$C$4:$C$100,$B66,'Cost+CPI'!S$4:S$100)</f>
        <v>0</v>
      </c>
      <c r="G66" s="292">
        <f>SUMIF('Base Costs'!$C$4:$C$100,$B66,'Cost+CPI'!T$4:T$100)</f>
        <v>0</v>
      </c>
      <c r="H66" s="292">
        <f>SUMIF('Base Costs'!$C$4:$C$100,$B66,'Cost+CPI'!U$4:U$100)</f>
        <v>0</v>
      </c>
      <c r="I66" s="292">
        <f>SUMIF('Base Costs'!$C$4:$C$100,$B66,'Cost+CPI'!V$4:V$100)</f>
        <v>0</v>
      </c>
      <c r="J66" s="95">
        <f>SUMIF('Base Costs'!$C$4:$C$100,$B66,'Cost+CPI'!W$4:W$100)</f>
        <v>0</v>
      </c>
      <c r="K66" s="96">
        <f>SUMIF('Base Costs'!$C$4:$C$100,$B66,'Cost+CPI'!X$4:X$100)</f>
        <v>0</v>
      </c>
      <c r="L66" s="96">
        <f t="shared" si="18"/>
        <v>0</v>
      </c>
      <c r="M66" s="96">
        <f t="shared" si="20"/>
        <v>506118.27538195066</v>
      </c>
      <c r="N66" s="88"/>
      <c r="O66" s="93" t="str">
        <v>Land and Easements</v>
      </c>
      <c r="P66" s="94">
        <f>SUMIF('Base Costs'!$C$4:$C$100,$B66,'Cost+CPI'!Y$4:Y$100)</f>
        <v>0</v>
      </c>
      <c r="Q66" s="95">
        <f>SUMIF('Base Costs'!$C$4:$C$100,$B66,'Cost+CPI'!Z$4:Z$100)</f>
        <v>506118.27538195066</v>
      </c>
      <c r="R66" s="292">
        <f>SUMIF('Base Costs'!$C$4:$C$100,$B66,'Cost+CPI'!AA$4:AA$100)</f>
        <v>0</v>
      </c>
      <c r="S66" s="292">
        <f>SUMIF('Base Costs'!$C$4:$C$100,$B66,'Cost+CPI'!AB$4:AB$100)</f>
        <v>0</v>
      </c>
      <c r="T66" s="292">
        <f>SUMIF('Base Costs'!$C$4:$C$100,$B66,'Cost+CPI'!AC$4:AC$100)</f>
        <v>0</v>
      </c>
      <c r="U66" s="292">
        <f>SUMIF('Base Costs'!$C$4:$C$100,$B66,'Cost+CPI'!AD$4:AD$100)</f>
        <v>0</v>
      </c>
      <c r="V66" s="292">
        <f>SUMIF('Base Costs'!$C$4:$C$100,$B66,'Cost+CPI'!AE$4:AE$100)</f>
        <v>0</v>
      </c>
      <c r="W66" s="95">
        <f>SUMIF('Base Costs'!$C$4:$C$100,$B66,'Cost+CPI'!AF$4:AF$100)</f>
        <v>0</v>
      </c>
      <c r="X66" s="96">
        <f>SUMIF('Base Costs'!$C$4:$C$100,$B66,'Cost+CPI'!AG$4:AG$100)</f>
        <v>0</v>
      </c>
      <c r="Y66" s="96">
        <f t="shared" si="19"/>
        <v>0</v>
      </c>
      <c r="Z66" s="96">
        <f t="shared" si="21"/>
        <v>506118.27538195066</v>
      </c>
    </row>
    <row r="67" spans="2:26" x14ac:dyDescent="0.3">
      <c r="B67" s="93" t="str">
        <v>Asset Renewal</v>
      </c>
      <c r="C67" s="94">
        <f>SUMIF('Base Costs'!$C$4:$C$100,$B67,'Cost+CPI'!P$4:P$100)</f>
        <v>0</v>
      </c>
      <c r="D67" s="95">
        <f>SUMIF('Base Costs'!$C$4:$C$100,$B67,'Cost+CPI'!Q$4:Q$100)</f>
        <v>5933776.4372898638</v>
      </c>
      <c r="E67" s="292">
        <f>SUMIF('Base Costs'!$C$4:$C$100,$B67,'Cost+CPI'!R$4:R$100)</f>
        <v>33702760.032829389</v>
      </c>
      <c r="F67" s="292">
        <f>SUMIF('Base Costs'!$C$4:$C$100,$B67,'Cost+CPI'!S$4:S$100)</f>
        <v>26361403.860394619</v>
      </c>
      <c r="G67" s="292">
        <f>SUMIF('Base Costs'!$C$4:$C$100,$B67,'Cost+CPI'!T$4:T$100)</f>
        <v>28278547.179595504</v>
      </c>
      <c r="H67" s="292">
        <f>SUMIF('Base Costs'!$C$4:$C$100,$B67,'Cost+CPI'!U$4:U$100)</f>
        <v>32752443.251579858</v>
      </c>
      <c r="I67" s="292">
        <f>SUMIF('Base Costs'!$C$4:$C$100,$B67,'Cost+CPI'!V$4:V$100)</f>
        <v>24322889.774201866</v>
      </c>
      <c r="J67" s="95">
        <f>SUMIF('Base Costs'!$C$4:$C$100,$B67,'Cost+CPI'!W$4:W$100)</f>
        <v>6541387.9391793087</v>
      </c>
      <c r="K67" s="96">
        <f>SUMIF('Base Costs'!$C$4:$C$100,$B67,'Cost+CPI'!X$4:X$100)</f>
        <v>0</v>
      </c>
      <c r="L67" s="96">
        <f t="shared" si="18"/>
        <v>145418044.09860125</v>
      </c>
      <c r="M67" s="96">
        <f t="shared" si="20"/>
        <v>157893208.47507042</v>
      </c>
      <c r="N67" s="88"/>
      <c r="O67" s="93" t="str">
        <v>Asset Renewal</v>
      </c>
      <c r="P67" s="94">
        <f>SUMIF('Base Costs'!$C$4:$C$100,$B67,'Cost+CPI'!Y$4:Y$100)</f>
        <v>0</v>
      </c>
      <c r="Q67" s="95">
        <f>SUMIF('Base Costs'!$C$4:$C$100,$B67,'Cost+CPI'!Z$4:Z$100)</f>
        <v>0</v>
      </c>
      <c r="R67" s="292">
        <f>SUMIF('Base Costs'!$C$4:$C$100,$B67,'Cost+CPI'!AA$4:AA$100)</f>
        <v>38401394.304408178</v>
      </c>
      <c r="S67" s="292">
        <f>SUMIF('Base Costs'!$C$4:$C$100,$B67,'Cost+CPI'!AB$4:AB$100)</f>
        <v>26486206.251474619</v>
      </c>
      <c r="T67" s="292">
        <f>SUMIF('Base Costs'!$C$4:$C$100,$B67,'Cost+CPI'!AC$4:AC$100)</f>
        <v>28953025.493361879</v>
      </c>
      <c r="U67" s="292">
        <f>SUMIF('Base Costs'!$C$4:$C$100,$B67,'Cost+CPI'!AD$4:AD$100)</f>
        <v>26282118.931590825</v>
      </c>
      <c r="V67" s="292">
        <f>SUMIF('Base Costs'!$C$4:$C$100,$B67,'Cost+CPI'!AE$4:AE$100)</f>
        <v>28388024.171489015</v>
      </c>
      <c r="W67" s="95">
        <f>SUMIF('Base Costs'!$C$4:$C$100,$B67,'Cost+CPI'!AF$4:AF$100)</f>
        <v>69850.567974172809</v>
      </c>
      <c r="X67" s="96">
        <f>SUMIF('Base Costs'!$C$4:$C$100,$B67,'Cost+CPI'!AG$4:AG$100)</f>
        <v>9312588.7547717132</v>
      </c>
      <c r="Y67" s="96">
        <f t="shared" si="19"/>
        <v>148510769.1523245</v>
      </c>
      <c r="Z67" s="96">
        <f t="shared" si="21"/>
        <v>157893208.47507039</v>
      </c>
    </row>
    <row r="68" spans="2:26" x14ac:dyDescent="0.3">
      <c r="B68" s="93" t="str">
        <v>Physical Security / Compliance</v>
      </c>
      <c r="C68" s="94">
        <f>SUMIF('Base Costs'!$C$4:$C$100,$B68,'Cost+CPI'!P$4:P$100)</f>
        <v>0</v>
      </c>
      <c r="D68" s="95">
        <f>SUMIF('Base Costs'!$C$4:$C$100,$B68,'Cost+CPI'!Q$4:Q$100)</f>
        <v>0</v>
      </c>
      <c r="E68" s="292">
        <f>SUMIF('Base Costs'!$C$4:$C$100,$B68,'Cost+CPI'!R$4:R$100)</f>
        <v>2435578.8588400194</v>
      </c>
      <c r="F68" s="292">
        <f>SUMIF('Base Costs'!$C$4:$C$100,$B68,'Cost+CPI'!S$4:S$100)</f>
        <v>2905452.5703163887</v>
      </c>
      <c r="G68" s="292">
        <f>SUMIF('Base Costs'!$C$4:$C$100,$B68,'Cost+CPI'!T$4:T$100)</f>
        <v>2957915.5094713075</v>
      </c>
      <c r="H68" s="292">
        <f>SUMIF('Base Costs'!$C$4:$C$100,$B68,'Cost+CPI'!U$4:U$100)</f>
        <v>3010445.3729548482</v>
      </c>
      <c r="I68" s="292">
        <f>SUMIF('Base Costs'!$C$4:$C$100,$B68,'Cost+CPI'!V$4:V$100)</f>
        <v>3060697.1600306532</v>
      </c>
      <c r="J68" s="95">
        <f>SUMIF('Base Costs'!$C$4:$C$100,$B68,'Cost+CPI'!W$4:W$100)</f>
        <v>0</v>
      </c>
      <c r="K68" s="96">
        <f>SUMIF('Base Costs'!$C$4:$C$100,$B68,'Cost+CPI'!X$4:X$100)</f>
        <v>0</v>
      </c>
      <c r="L68" s="96">
        <f t="shared" si="18"/>
        <v>14370089.471613217</v>
      </c>
      <c r="M68" s="96">
        <f t="shared" si="20"/>
        <v>14370089.471613217</v>
      </c>
      <c r="N68" s="88"/>
      <c r="O68" s="93" t="str">
        <v>Physical Security / Compliance</v>
      </c>
      <c r="P68" s="94">
        <f>SUMIF('Base Costs'!$C$4:$C$100,$B68,'Cost+CPI'!Y$4:Y$100)</f>
        <v>0</v>
      </c>
      <c r="Q68" s="95">
        <f>SUMIF('Base Costs'!$C$4:$C$100,$B68,'Cost+CPI'!Z$4:Z$100)</f>
        <v>0</v>
      </c>
      <c r="R68" s="292">
        <f>SUMIF('Base Costs'!$C$4:$C$100,$B68,'Cost+CPI'!AA$4:AA$100)</f>
        <v>2435578.8588400194</v>
      </c>
      <c r="S68" s="292">
        <f>SUMIF('Base Costs'!$C$4:$C$100,$B68,'Cost+CPI'!AB$4:AB$100)</f>
        <v>2905452.5703163887</v>
      </c>
      <c r="T68" s="292">
        <f>SUMIF('Base Costs'!$C$4:$C$100,$B68,'Cost+CPI'!AC$4:AC$100)</f>
        <v>2957915.5094713075</v>
      </c>
      <c r="U68" s="292">
        <f>SUMIF('Base Costs'!$C$4:$C$100,$B68,'Cost+CPI'!AD$4:AD$100)</f>
        <v>3010445.3729548482</v>
      </c>
      <c r="V68" s="292">
        <f>SUMIF('Base Costs'!$C$4:$C$100,$B68,'Cost+CPI'!AE$4:AE$100)</f>
        <v>3060697.1600306532</v>
      </c>
      <c r="W68" s="95">
        <f>SUMIF('Base Costs'!$C$4:$C$100,$B68,'Cost+CPI'!AF$4:AF$100)</f>
        <v>0</v>
      </c>
      <c r="X68" s="96">
        <f>SUMIF('Base Costs'!$C$4:$C$100,$B68,'Cost+CPI'!AG$4:AG$100)</f>
        <v>0</v>
      </c>
      <c r="Y68" s="96">
        <f t="shared" si="19"/>
        <v>14370089.471613217</v>
      </c>
      <c r="Z68" s="96">
        <f t="shared" si="21"/>
        <v>14370089.471613217</v>
      </c>
    </row>
    <row r="69" spans="2:26" x14ac:dyDescent="0.3">
      <c r="B69" s="93" t="str">
        <v>Inventory / Spares</v>
      </c>
      <c r="C69" s="94">
        <f>SUMIF('Base Costs'!$C$4:$C$100,$B69,'Cost+CPI'!P$4:P$100)</f>
        <v>0</v>
      </c>
      <c r="D69" s="95">
        <f>SUMIF('Base Costs'!$C$4:$C$100,$B69,'Cost+CPI'!Q$4:Q$100)</f>
        <v>0</v>
      </c>
      <c r="E69" s="292">
        <f>SUMIF('Base Costs'!$C$4:$C$100,$B69,'Cost+CPI'!R$4:R$100)</f>
        <v>1566093.1635121417</v>
      </c>
      <c r="F69" s="292">
        <f>SUMIF('Base Costs'!$C$4:$C$100,$B69,'Cost+CPI'!S$4:S$100)</f>
        <v>8695105.6795365941</v>
      </c>
      <c r="G69" s="292">
        <f>SUMIF('Base Costs'!$C$4:$C$100,$B69,'Cost+CPI'!T$4:T$100)</f>
        <v>4464575.0773610473</v>
      </c>
      <c r="H69" s="292">
        <f>SUMIF('Base Costs'!$C$4:$C$100,$B69,'Cost+CPI'!U$4:U$100)</f>
        <v>184584.35398832583</v>
      </c>
      <c r="I69" s="292">
        <f>SUMIF('Base Costs'!$C$4:$C$100,$B69,'Cost+CPI'!V$4:V$100)</f>
        <v>186611.83975372664</v>
      </c>
      <c r="J69" s="95">
        <f>SUMIF('Base Costs'!$C$4:$C$100,$B69,'Cost+CPI'!W$4:W$100)</f>
        <v>0</v>
      </c>
      <c r="K69" s="96">
        <f>SUMIF('Base Costs'!$C$4:$C$100,$B69,'Cost+CPI'!X$4:X$100)</f>
        <v>0</v>
      </c>
      <c r="L69" s="96">
        <f t="shared" si="18"/>
        <v>15096970.114151835</v>
      </c>
      <c r="M69" s="96">
        <f t="shared" si="20"/>
        <v>15096970.114151835</v>
      </c>
      <c r="N69" s="88"/>
      <c r="O69" s="93" t="str">
        <v>Inventory / Spares</v>
      </c>
      <c r="P69" s="94">
        <f>SUMIF('Base Costs'!$C$4:$C$100,$B69,'Cost+CPI'!Y$4:Y$100)</f>
        <v>0</v>
      </c>
      <c r="Q69" s="95">
        <f>SUMIF('Base Costs'!$C$4:$C$100,$B69,'Cost+CPI'!Z$4:Z$100)</f>
        <v>0</v>
      </c>
      <c r="R69" s="292">
        <f>SUMIF('Base Costs'!$C$4:$C$100,$B69,'Cost+CPI'!AA$4:AA$100)</f>
        <v>178274.84452016905</v>
      </c>
      <c r="S69" s="292">
        <f>SUMIF('Base Costs'!$C$4:$C$100,$B69,'Cost+CPI'!AB$4:AB$100)</f>
        <v>903407.87114050973</v>
      </c>
      <c r="T69" s="292">
        <f>SUMIF('Base Costs'!$C$4:$C$100,$B69,'Cost+CPI'!AC$4:AC$100)</f>
        <v>13644091.204749105</v>
      </c>
      <c r="U69" s="292">
        <f>SUMIF('Base Costs'!$C$4:$C$100,$B69,'Cost+CPI'!AD$4:AD$100)</f>
        <v>184584.35398832583</v>
      </c>
      <c r="V69" s="292">
        <f>SUMIF('Base Costs'!$C$4:$C$100,$B69,'Cost+CPI'!AE$4:AE$100)</f>
        <v>186611.83975372664</v>
      </c>
      <c r="W69" s="95">
        <f>SUMIF('Base Costs'!$C$4:$C$100,$B69,'Cost+CPI'!AF$4:AF$100)</f>
        <v>0</v>
      </c>
      <c r="X69" s="96">
        <f>SUMIF('Base Costs'!$C$4:$C$100,$B69,'Cost+CPI'!AG$4:AG$100)</f>
        <v>0</v>
      </c>
      <c r="Y69" s="96">
        <f t="shared" si="19"/>
        <v>15096970.114151835</v>
      </c>
      <c r="Z69" s="96">
        <f t="shared" si="21"/>
        <v>15096970.114151835</v>
      </c>
    </row>
    <row r="70" spans="2:26" x14ac:dyDescent="0.3">
      <c r="B70" s="93" t="str">
        <v>Operational Support Systems</v>
      </c>
      <c r="C70" s="94">
        <f>SUMIF('Base Costs'!$C$4:$C$100,$B70,'Cost+CPI'!P$4:P$100)</f>
        <v>0</v>
      </c>
      <c r="D70" s="95">
        <f>SUMIF('Base Costs'!$C$4:$C$100,$B70,'Cost+CPI'!Q$4:Q$100)</f>
        <v>34047.719825552369</v>
      </c>
      <c r="E70" s="292">
        <f>SUMIF('Base Costs'!$C$4:$C$100,$B70,'Cost+CPI'!R$4:R$100)</f>
        <v>6865638.7632246595</v>
      </c>
      <c r="F70" s="292">
        <f>SUMIF('Base Costs'!$C$4:$C$100,$B70,'Cost+CPI'!S$4:S$100)</f>
        <v>9168791.137284264</v>
      </c>
      <c r="G70" s="292">
        <f>SUMIF('Base Costs'!$C$4:$C$100,$B70,'Cost+CPI'!T$4:T$100)</f>
        <v>6671225.4582735561</v>
      </c>
      <c r="H70" s="292">
        <f>SUMIF('Base Costs'!$C$4:$C$100,$B70,'Cost+CPI'!U$4:U$100)</f>
        <v>5139921.0874551833</v>
      </c>
      <c r="I70" s="292">
        <f>SUMIF('Base Costs'!$C$4:$C$100,$B70,'Cost+CPI'!V$4:V$100)</f>
        <v>4701254.0412489651</v>
      </c>
      <c r="J70" s="95">
        <f>SUMIF('Base Costs'!$C$4:$C$100,$B70,'Cost+CPI'!W$4:W$100)</f>
        <v>0</v>
      </c>
      <c r="K70" s="96">
        <f>SUMIF('Base Costs'!$C$4:$C$100,$B70,'Cost+CPI'!X$4:X$100)</f>
        <v>0</v>
      </c>
      <c r="L70" s="96">
        <f t="shared" si="18"/>
        <v>32546830.487486627</v>
      </c>
      <c r="M70" s="96">
        <f t="shared" si="20"/>
        <v>32580878.207312182</v>
      </c>
      <c r="N70" s="88"/>
      <c r="O70" s="93" t="str">
        <v>Operational Support Systems</v>
      </c>
      <c r="P70" s="94">
        <f>SUMIF('Base Costs'!$C$4:$C$100,$B70,'Cost+CPI'!Y$4:Y$100)</f>
        <v>0</v>
      </c>
      <c r="Q70" s="95">
        <f>SUMIF('Base Costs'!$C$4:$C$100,$B70,'Cost+CPI'!Z$4:Z$100)</f>
        <v>34047.719825552369</v>
      </c>
      <c r="R70" s="292">
        <f>SUMIF('Base Costs'!$C$4:$C$100,$B70,'Cost+CPI'!AA$4:AA$100)</f>
        <v>6702965.9544597194</v>
      </c>
      <c r="S70" s="292">
        <f>SUMIF('Base Costs'!$C$4:$C$100,$B70,'Cost+CPI'!AB$4:AB$100)</f>
        <v>8665030.1811089646</v>
      </c>
      <c r="T70" s="292">
        <f>SUMIF('Base Costs'!$C$4:$C$100,$B70,'Cost+CPI'!AC$4:AC$100)</f>
        <v>6393107.430385109</v>
      </c>
      <c r="U70" s="292">
        <f>SUMIF('Base Costs'!$C$4:$C$100,$B70,'Cost+CPI'!AD$4:AD$100)</f>
        <v>6084472.8802838689</v>
      </c>
      <c r="V70" s="292">
        <f>SUMIF('Base Costs'!$C$4:$C$100,$B70,'Cost+CPI'!AE$4:AE$100)</f>
        <v>4701254.0412489651</v>
      </c>
      <c r="W70" s="95">
        <f>SUMIF('Base Costs'!$C$4:$C$100,$B70,'Cost+CPI'!AF$4:AF$100)</f>
        <v>0</v>
      </c>
      <c r="X70" s="96">
        <f>SUMIF('Base Costs'!$C$4:$C$100,$B70,'Cost+CPI'!AG$4:AG$100)</f>
        <v>0</v>
      </c>
      <c r="Y70" s="96">
        <f t="shared" si="19"/>
        <v>32546830.487486627</v>
      </c>
      <c r="Z70" s="96">
        <f t="shared" si="21"/>
        <v>32580878.207312182</v>
      </c>
    </row>
    <row r="71" spans="2:26" x14ac:dyDescent="0.3">
      <c r="B71" s="93" t="str">
        <v>Information Technology</v>
      </c>
      <c r="C71" s="94">
        <f>SUMIF('Base Costs'!$C$4:$C$100,$B71,'Cost+CPI'!P$4:P$100)</f>
        <v>0</v>
      </c>
      <c r="D71" s="95">
        <f>SUMIF('Base Costs'!$C$4:$C$100,$B71,'Cost+CPI'!Q$4:Q$100)</f>
        <v>0</v>
      </c>
      <c r="E71" s="292">
        <f>SUMIF('Base Costs'!$C$4:$C$100,$B71,'Cost+CPI'!R$4:R$100)</f>
        <v>1741469.5527171313</v>
      </c>
      <c r="F71" s="292">
        <f>SUMIF('Base Costs'!$C$4:$C$100,$B71,'Cost+CPI'!S$4:S$100)</f>
        <v>1107562.4572749003</v>
      </c>
      <c r="G71" s="292">
        <f>SUMIF('Base Costs'!$C$4:$C$100,$B71,'Cost+CPI'!T$4:T$100)</f>
        <v>1298982.2170836653</v>
      </c>
      <c r="H71" s="292">
        <f>SUMIF('Base Costs'!$C$4:$C$100,$B71,'Cost+CPI'!U$4:U$100)</f>
        <v>2001094.0121434263</v>
      </c>
      <c r="I71" s="292">
        <f>SUMIF('Base Costs'!$C$4:$C$100,$B71,'Cost+CPI'!V$4:V$100)</f>
        <v>824617.72774501983</v>
      </c>
      <c r="J71" s="95">
        <f>SUMIF('Base Costs'!$C$4:$C$100,$B71,'Cost+CPI'!W$4:W$100)</f>
        <v>0</v>
      </c>
      <c r="K71" s="96">
        <f>SUMIF('Base Costs'!$C$4:$C$100,$B71,'Cost+CPI'!X$4:X$100)</f>
        <v>0</v>
      </c>
      <c r="L71" s="96">
        <f t="shared" si="18"/>
        <v>6973725.9669641433</v>
      </c>
      <c r="M71" s="96">
        <f t="shared" si="20"/>
        <v>6973725.9669641433</v>
      </c>
      <c r="N71" s="88"/>
      <c r="O71" s="93" t="str">
        <v>Information Technology</v>
      </c>
      <c r="P71" s="94">
        <f>SUMIF('Base Costs'!$C$4:$C$100,$B71,'Cost+CPI'!Y$4:Y$100)</f>
        <v>0</v>
      </c>
      <c r="Q71" s="95">
        <f>SUMIF('Base Costs'!$C$4:$C$100,$B71,'Cost+CPI'!Z$4:Z$100)</f>
        <v>0</v>
      </c>
      <c r="R71" s="292">
        <f>SUMIF('Base Costs'!$C$4:$C$100,$B71,'Cost+CPI'!AA$4:AA$100)</f>
        <v>1741469.5527171313</v>
      </c>
      <c r="S71" s="292">
        <f>SUMIF('Base Costs'!$C$4:$C$100,$B71,'Cost+CPI'!AB$4:AB$100)</f>
        <v>1107562.4572749003</v>
      </c>
      <c r="T71" s="292">
        <f>SUMIF('Base Costs'!$C$4:$C$100,$B71,'Cost+CPI'!AC$4:AC$100)</f>
        <v>1298982.2170836653</v>
      </c>
      <c r="U71" s="292">
        <f>SUMIF('Base Costs'!$C$4:$C$100,$B71,'Cost+CPI'!AD$4:AD$100)</f>
        <v>2001094.0121434263</v>
      </c>
      <c r="V71" s="292">
        <f>SUMIF('Base Costs'!$C$4:$C$100,$B71,'Cost+CPI'!AE$4:AE$100)</f>
        <v>824617.72774501983</v>
      </c>
      <c r="W71" s="95">
        <f>SUMIF('Base Costs'!$C$4:$C$100,$B71,'Cost+CPI'!AF$4:AF$100)</f>
        <v>0</v>
      </c>
      <c r="X71" s="96">
        <f>SUMIF('Base Costs'!$C$4:$C$100,$B71,'Cost+CPI'!AG$4:AG$100)</f>
        <v>0</v>
      </c>
      <c r="Y71" s="96">
        <f t="shared" si="19"/>
        <v>6973725.9669641433</v>
      </c>
      <c r="Z71" s="96">
        <f t="shared" si="21"/>
        <v>6973725.9669641433</v>
      </c>
    </row>
    <row r="72" spans="2:26" x14ac:dyDescent="0.3">
      <c r="B72" s="93" t="str">
        <v>Business Support</v>
      </c>
      <c r="C72" s="94">
        <f>SUMIF('Base Costs'!$C$4:$C$100,$B72,'Cost+CPI'!P$4:P$100)</f>
        <v>0</v>
      </c>
      <c r="D72" s="95">
        <f>SUMIF('Base Costs'!$C$4:$C$100,$B72,'Cost+CPI'!Q$4:Q$100)</f>
        <v>165000</v>
      </c>
      <c r="E72" s="292">
        <f>SUMIF('Base Costs'!$C$4:$C$100,$B72,'Cost+CPI'!R$4:R$100)</f>
        <v>1454565.1131474103</v>
      </c>
      <c r="F72" s="292">
        <f>SUMIF('Base Costs'!$C$4:$C$100,$B72,'Cost+CPI'!S$4:S$100)</f>
        <v>1899598.6055776889</v>
      </c>
      <c r="G72" s="292">
        <f>SUMIF('Base Costs'!$C$4:$C$100,$B72,'Cost+CPI'!T$4:T$100)</f>
        <v>1091219.6962151395</v>
      </c>
      <c r="H72" s="292">
        <f>SUMIF('Base Costs'!$C$4:$C$100,$B72,'Cost+CPI'!U$4:U$100)</f>
        <v>352999.99501992029</v>
      </c>
      <c r="I72" s="292">
        <f>SUMIF('Base Costs'!$C$4:$C$100,$B72,'Cost+CPI'!V$4:V$100)</f>
        <v>915375.63745019911</v>
      </c>
      <c r="J72" s="95">
        <f>SUMIF('Base Costs'!$C$4:$C$100,$B72,'Cost+CPI'!W$4:W$100)</f>
        <v>0</v>
      </c>
      <c r="K72" s="96">
        <f>SUMIF('Base Costs'!$C$4:$C$100,$B72,'Cost+CPI'!X$4:X$100)</f>
        <v>0</v>
      </c>
      <c r="L72" s="96">
        <f t="shared" si="18"/>
        <v>5713759.0474103577</v>
      </c>
      <c r="M72" s="96">
        <f t="shared" si="20"/>
        <v>5878759.0474103577</v>
      </c>
      <c r="N72" s="88"/>
      <c r="O72" s="93" t="str">
        <v>Business Support</v>
      </c>
      <c r="P72" s="94">
        <f>SUMIF('Base Costs'!$C$4:$C$100,$B72,'Cost+CPI'!Y$4:Y$100)</f>
        <v>0</v>
      </c>
      <c r="Q72" s="95">
        <f>SUMIF('Base Costs'!$C$4:$C$100,$B72,'Cost+CPI'!Z$4:Z$100)</f>
        <v>0</v>
      </c>
      <c r="R72" s="292">
        <f>SUMIF('Base Costs'!$C$4:$C$100,$B72,'Cost+CPI'!AA$4:AA$100)</f>
        <v>1341604.5105577689</v>
      </c>
      <c r="S72" s="292">
        <f>SUMIF('Base Costs'!$C$4:$C$100,$B72,'Cost+CPI'!AB$4:AB$100)</f>
        <v>1822984.9601593623</v>
      </c>
      <c r="T72" s="292">
        <f>SUMIF('Base Costs'!$C$4:$C$100,$B72,'Cost+CPI'!AC$4:AC$100)</f>
        <v>1175442.2310756971</v>
      </c>
      <c r="U72" s="292">
        <f>SUMIF('Base Costs'!$C$4:$C$100,$B72,'Cost+CPI'!AD$4:AD$100)</f>
        <v>293860.55776892428</v>
      </c>
      <c r="V72" s="292">
        <f>SUMIF('Base Costs'!$C$4:$C$100,$B72,'Cost+CPI'!AE$4:AE$100)</f>
        <v>1244866.7878486055</v>
      </c>
      <c r="W72" s="95">
        <f>SUMIF('Base Costs'!$C$4:$C$100,$B72,'Cost+CPI'!AF$4:AF$100)</f>
        <v>0</v>
      </c>
      <c r="X72" s="96">
        <f>SUMIF('Base Costs'!$C$4:$C$100,$B72,'Cost+CPI'!AG$4:AG$100)</f>
        <v>0</v>
      </c>
      <c r="Y72" s="96">
        <f t="shared" si="19"/>
        <v>5878759.0474103587</v>
      </c>
      <c r="Z72" s="96">
        <f t="shared" si="21"/>
        <v>5878759.0474103587</v>
      </c>
    </row>
    <row r="73" spans="2:26" x14ac:dyDescent="0.3">
      <c r="B73" s="93" t="str">
        <v/>
      </c>
      <c r="C73" s="94">
        <f>SUMIF('Base Costs'!$C$4:$C$100,$B73,'Cost+CPI'!P$4:P$100)</f>
        <v>0</v>
      </c>
      <c r="D73" s="95">
        <f>SUMIF('Base Costs'!$C$4:$C$100,$B73,'Cost+CPI'!Q$4:Q$100)</f>
        <v>0</v>
      </c>
      <c r="E73" s="292">
        <f>SUMIF('Base Costs'!$C$4:$C$100,$B73,'Cost+CPI'!R$4:R$100)</f>
        <v>0</v>
      </c>
      <c r="F73" s="292">
        <f>SUMIF('Base Costs'!$C$4:$C$100,$B73,'Cost+CPI'!S$4:S$100)</f>
        <v>0</v>
      </c>
      <c r="G73" s="292">
        <f>SUMIF('Base Costs'!$C$4:$C$100,$B73,'Cost+CPI'!T$4:T$100)</f>
        <v>0</v>
      </c>
      <c r="H73" s="292">
        <f>SUMIF('Base Costs'!$C$4:$C$100,$B73,'Cost+CPI'!U$4:U$100)</f>
        <v>0</v>
      </c>
      <c r="I73" s="292">
        <f>SUMIF('Base Costs'!$C$4:$C$100,$B73,'Cost+CPI'!V$4:V$100)</f>
        <v>0</v>
      </c>
      <c r="J73" s="95">
        <f>SUMIF('Base Costs'!$C$4:$C$100,$B73,'Cost+CPI'!W$4:W$100)</f>
        <v>0</v>
      </c>
      <c r="K73" s="96">
        <f>SUMIF('Base Costs'!$C$4:$C$100,$B73,'Cost+CPI'!X$4:X$100)</f>
        <v>0</v>
      </c>
      <c r="L73" s="96">
        <f t="shared" si="18"/>
        <v>0</v>
      </c>
      <c r="M73" s="96">
        <f t="shared" si="20"/>
        <v>0</v>
      </c>
      <c r="N73" s="88"/>
      <c r="O73" s="93" t="str">
        <v/>
      </c>
      <c r="P73" s="94">
        <f>SUMIF('Base Costs'!$C$4:$C$100,$B73,'Cost+CPI'!Y$4:Y$100)</f>
        <v>0</v>
      </c>
      <c r="Q73" s="95">
        <f>SUMIF('Base Costs'!$C$4:$C$100,$B73,'Cost+CPI'!Z$4:Z$100)</f>
        <v>0</v>
      </c>
      <c r="R73" s="292">
        <f>SUMIF('Base Costs'!$C$4:$C$100,$B73,'Cost+CPI'!AA$4:AA$100)</f>
        <v>0</v>
      </c>
      <c r="S73" s="292">
        <f>SUMIF('Base Costs'!$C$4:$C$100,$B73,'Cost+CPI'!AB$4:AB$100)</f>
        <v>0</v>
      </c>
      <c r="T73" s="292">
        <f>SUMIF('Base Costs'!$C$4:$C$100,$B73,'Cost+CPI'!AC$4:AC$100)</f>
        <v>0</v>
      </c>
      <c r="U73" s="292">
        <f>SUMIF('Base Costs'!$C$4:$C$100,$B73,'Cost+CPI'!AD$4:AD$100)</f>
        <v>0</v>
      </c>
      <c r="V73" s="292">
        <f>SUMIF('Base Costs'!$C$4:$C$100,$B73,'Cost+CPI'!AE$4:AE$100)</f>
        <v>0</v>
      </c>
      <c r="W73" s="95">
        <f>SUMIF('Base Costs'!$C$4:$C$100,$B73,'Cost+CPI'!AF$4:AF$100)</f>
        <v>0</v>
      </c>
      <c r="X73" s="96">
        <f>SUMIF('Base Costs'!$C$4:$C$100,$B73,'Cost+CPI'!AG$4:AG$100)</f>
        <v>0</v>
      </c>
      <c r="Y73" s="96">
        <f t="shared" si="19"/>
        <v>0</v>
      </c>
      <c r="Z73" s="96">
        <f t="shared" si="21"/>
        <v>0</v>
      </c>
    </row>
    <row r="74" spans="2:26" x14ac:dyDescent="0.3">
      <c r="B74" s="93" t="str">
        <v/>
      </c>
      <c r="C74" s="94">
        <f>SUMIF('Base Costs'!$C$4:$C$100,$B74,'Cost+CPI'!P$4:P$100)</f>
        <v>0</v>
      </c>
      <c r="D74" s="95">
        <f>SUMIF('Base Costs'!$C$4:$C$100,$B74,'Cost+CPI'!Q$4:Q$100)</f>
        <v>0</v>
      </c>
      <c r="E74" s="292">
        <f>SUMIF('Base Costs'!$C$4:$C$100,$B74,'Cost+CPI'!R$4:R$100)</f>
        <v>0</v>
      </c>
      <c r="F74" s="292">
        <f>SUMIF('Base Costs'!$C$4:$C$100,$B74,'Cost+CPI'!S$4:S$100)</f>
        <v>0</v>
      </c>
      <c r="G74" s="292">
        <f>SUMIF('Base Costs'!$C$4:$C$100,$B74,'Cost+CPI'!T$4:T$100)</f>
        <v>0</v>
      </c>
      <c r="H74" s="292">
        <f>SUMIF('Base Costs'!$C$4:$C$100,$B74,'Cost+CPI'!U$4:U$100)</f>
        <v>0</v>
      </c>
      <c r="I74" s="292">
        <f>SUMIF('Base Costs'!$C$4:$C$100,$B74,'Cost+CPI'!V$4:V$100)</f>
        <v>0</v>
      </c>
      <c r="J74" s="95">
        <f>SUMIF('Base Costs'!$C$4:$C$100,$B74,'Cost+CPI'!W$4:W$100)</f>
        <v>0</v>
      </c>
      <c r="K74" s="96">
        <f>SUMIF('Base Costs'!$C$4:$C$100,$B74,'Cost+CPI'!X$4:X$100)</f>
        <v>0</v>
      </c>
      <c r="L74" s="96">
        <f t="shared" si="18"/>
        <v>0</v>
      </c>
      <c r="M74" s="96">
        <f t="shared" si="20"/>
        <v>0</v>
      </c>
      <c r="N74" s="88"/>
      <c r="O74" s="93" t="str">
        <v/>
      </c>
      <c r="P74" s="94">
        <f>SUMIF('Base Costs'!$C$4:$C$100,$B74,'Cost+CPI'!Y$4:Y$100)</f>
        <v>0</v>
      </c>
      <c r="Q74" s="95">
        <f>SUMIF('Base Costs'!$C$4:$C$100,$B74,'Cost+CPI'!Z$4:Z$100)</f>
        <v>0</v>
      </c>
      <c r="R74" s="292">
        <f>SUMIF('Base Costs'!$C$4:$C$100,$B74,'Cost+CPI'!AA$4:AA$100)</f>
        <v>0</v>
      </c>
      <c r="S74" s="292">
        <f>SUMIF('Base Costs'!$C$4:$C$100,$B74,'Cost+CPI'!AB$4:AB$100)</f>
        <v>0</v>
      </c>
      <c r="T74" s="292">
        <f>SUMIF('Base Costs'!$C$4:$C$100,$B74,'Cost+CPI'!AC$4:AC$100)</f>
        <v>0</v>
      </c>
      <c r="U74" s="292">
        <f>SUMIF('Base Costs'!$C$4:$C$100,$B74,'Cost+CPI'!AD$4:AD$100)</f>
        <v>0</v>
      </c>
      <c r="V74" s="292">
        <f>SUMIF('Base Costs'!$C$4:$C$100,$B74,'Cost+CPI'!AE$4:AE$100)</f>
        <v>0</v>
      </c>
      <c r="W74" s="95">
        <f>SUMIF('Base Costs'!$C$4:$C$100,$B74,'Cost+CPI'!AF$4:AF$100)</f>
        <v>0</v>
      </c>
      <c r="X74" s="96">
        <f>SUMIF('Base Costs'!$C$4:$C$100,$B74,'Cost+CPI'!AG$4:AG$100)</f>
        <v>0</v>
      </c>
      <c r="Y74" s="96">
        <f t="shared" si="19"/>
        <v>0</v>
      </c>
      <c r="Z74" s="96">
        <f t="shared" si="21"/>
        <v>0</v>
      </c>
    </row>
    <row r="75" spans="2:26" x14ac:dyDescent="0.3">
      <c r="B75" s="93" t="str">
        <v/>
      </c>
      <c r="C75" s="94">
        <f>SUMIF('Base Costs'!$C$4:$C$100,$B75,'Cost+CPI'!P$4:P$100)</f>
        <v>0</v>
      </c>
      <c r="D75" s="95">
        <f>SUMIF('Base Costs'!$C$4:$C$100,$B75,'Cost+CPI'!Q$4:Q$100)</f>
        <v>0</v>
      </c>
      <c r="E75" s="292">
        <f>SUMIF('Base Costs'!$C$4:$C$100,$B75,'Cost+CPI'!R$4:R$100)</f>
        <v>0</v>
      </c>
      <c r="F75" s="292">
        <f>SUMIF('Base Costs'!$C$4:$C$100,$B75,'Cost+CPI'!S$4:S$100)</f>
        <v>0</v>
      </c>
      <c r="G75" s="292">
        <f>SUMIF('Base Costs'!$C$4:$C$100,$B75,'Cost+CPI'!T$4:T$100)</f>
        <v>0</v>
      </c>
      <c r="H75" s="292">
        <f>SUMIF('Base Costs'!$C$4:$C$100,$B75,'Cost+CPI'!U$4:U$100)</f>
        <v>0</v>
      </c>
      <c r="I75" s="292">
        <f>SUMIF('Base Costs'!$C$4:$C$100,$B75,'Cost+CPI'!V$4:V$100)</f>
        <v>0</v>
      </c>
      <c r="J75" s="95">
        <f>SUMIF('Base Costs'!$C$4:$C$100,$B75,'Cost+CPI'!W$4:W$100)</f>
        <v>0</v>
      </c>
      <c r="K75" s="96">
        <f>SUMIF('Base Costs'!$C$4:$C$100,$B75,'Cost+CPI'!X$4:X$100)</f>
        <v>0</v>
      </c>
      <c r="L75" s="96">
        <f t="shared" si="18"/>
        <v>0</v>
      </c>
      <c r="M75" s="96">
        <f t="shared" si="20"/>
        <v>0</v>
      </c>
      <c r="N75" s="88"/>
      <c r="O75" s="93" t="str">
        <v/>
      </c>
      <c r="P75" s="94">
        <f>SUMIF('Base Costs'!$C$4:$C$100,$B75,'Cost+CPI'!Y$4:Y$100)</f>
        <v>0</v>
      </c>
      <c r="Q75" s="95">
        <f>SUMIF('Base Costs'!$C$4:$C$100,$B75,'Cost+CPI'!Z$4:Z$100)</f>
        <v>0</v>
      </c>
      <c r="R75" s="292">
        <f>SUMIF('Base Costs'!$C$4:$C$100,$B75,'Cost+CPI'!AA$4:AA$100)</f>
        <v>0</v>
      </c>
      <c r="S75" s="292">
        <f>SUMIF('Base Costs'!$C$4:$C$100,$B75,'Cost+CPI'!AB$4:AB$100)</f>
        <v>0</v>
      </c>
      <c r="T75" s="292">
        <f>SUMIF('Base Costs'!$C$4:$C$100,$B75,'Cost+CPI'!AC$4:AC$100)</f>
        <v>0</v>
      </c>
      <c r="U75" s="292">
        <f>SUMIF('Base Costs'!$C$4:$C$100,$B75,'Cost+CPI'!AD$4:AD$100)</f>
        <v>0</v>
      </c>
      <c r="V75" s="292">
        <f>SUMIF('Base Costs'!$C$4:$C$100,$B75,'Cost+CPI'!AE$4:AE$100)</f>
        <v>0</v>
      </c>
      <c r="W75" s="95">
        <f>SUMIF('Base Costs'!$C$4:$C$100,$B75,'Cost+CPI'!AF$4:AF$100)</f>
        <v>0</v>
      </c>
      <c r="X75" s="96">
        <f>SUMIF('Base Costs'!$C$4:$C$100,$B75,'Cost+CPI'!AG$4:AG$100)</f>
        <v>0</v>
      </c>
      <c r="Y75" s="96">
        <f t="shared" si="19"/>
        <v>0</v>
      </c>
      <c r="Z75" s="96">
        <f t="shared" si="21"/>
        <v>0</v>
      </c>
    </row>
    <row r="76" spans="2:26" x14ac:dyDescent="0.3">
      <c r="B76" s="93" t="str">
        <v/>
      </c>
      <c r="C76" s="94">
        <f>SUMIF('Base Costs'!$C$4:$C$100,$B76,'Cost+CPI'!P$4:P$100)</f>
        <v>0</v>
      </c>
      <c r="D76" s="95">
        <f>SUMIF('Base Costs'!$C$4:$C$100,$B76,'Cost+CPI'!Q$4:Q$100)</f>
        <v>0</v>
      </c>
      <c r="E76" s="292">
        <f>SUMIF('Base Costs'!$C$4:$C$100,$B76,'Cost+CPI'!R$4:R$100)</f>
        <v>0</v>
      </c>
      <c r="F76" s="292">
        <f>SUMIF('Base Costs'!$C$4:$C$100,$B76,'Cost+CPI'!S$4:S$100)</f>
        <v>0</v>
      </c>
      <c r="G76" s="292">
        <f>SUMIF('Base Costs'!$C$4:$C$100,$B76,'Cost+CPI'!T$4:T$100)</f>
        <v>0</v>
      </c>
      <c r="H76" s="292">
        <f>SUMIF('Base Costs'!$C$4:$C$100,$B76,'Cost+CPI'!U$4:U$100)</f>
        <v>0</v>
      </c>
      <c r="I76" s="292">
        <f>SUMIF('Base Costs'!$C$4:$C$100,$B76,'Cost+CPI'!V$4:V$100)</f>
        <v>0</v>
      </c>
      <c r="J76" s="95">
        <f>SUMIF('Base Costs'!$C$4:$C$100,$B76,'Cost+CPI'!W$4:W$100)</f>
        <v>0</v>
      </c>
      <c r="K76" s="96">
        <f>SUMIF('Base Costs'!$C$4:$C$100,$B76,'Cost+CPI'!X$4:X$100)</f>
        <v>0</v>
      </c>
      <c r="L76" s="96">
        <f t="shared" si="18"/>
        <v>0</v>
      </c>
      <c r="M76" s="96">
        <f t="shared" si="20"/>
        <v>0</v>
      </c>
      <c r="N76" s="88"/>
      <c r="O76" s="93" t="str">
        <v/>
      </c>
      <c r="P76" s="94">
        <f>SUMIF('Base Costs'!$C$4:$C$100,$B76,'Cost+CPI'!Y$4:Y$100)</f>
        <v>0</v>
      </c>
      <c r="Q76" s="95">
        <f>SUMIF('Base Costs'!$C$4:$C$100,$B76,'Cost+CPI'!Z$4:Z$100)</f>
        <v>0</v>
      </c>
      <c r="R76" s="292">
        <f>SUMIF('Base Costs'!$C$4:$C$100,$B76,'Cost+CPI'!AA$4:AA$100)</f>
        <v>0</v>
      </c>
      <c r="S76" s="292">
        <f>SUMIF('Base Costs'!$C$4:$C$100,$B76,'Cost+CPI'!AB$4:AB$100)</f>
        <v>0</v>
      </c>
      <c r="T76" s="292">
        <f>SUMIF('Base Costs'!$C$4:$C$100,$B76,'Cost+CPI'!AC$4:AC$100)</f>
        <v>0</v>
      </c>
      <c r="U76" s="292">
        <f>SUMIF('Base Costs'!$C$4:$C$100,$B76,'Cost+CPI'!AD$4:AD$100)</f>
        <v>0</v>
      </c>
      <c r="V76" s="292">
        <f>SUMIF('Base Costs'!$C$4:$C$100,$B76,'Cost+CPI'!AE$4:AE$100)</f>
        <v>0</v>
      </c>
      <c r="W76" s="95">
        <f>SUMIF('Base Costs'!$C$4:$C$100,$B76,'Cost+CPI'!AF$4:AF$100)</f>
        <v>0</v>
      </c>
      <c r="X76" s="96">
        <f>SUMIF('Base Costs'!$C$4:$C$100,$B76,'Cost+CPI'!AG$4:AG$100)</f>
        <v>0</v>
      </c>
      <c r="Y76" s="96">
        <f t="shared" si="19"/>
        <v>0</v>
      </c>
      <c r="Z76" s="96">
        <f t="shared" si="21"/>
        <v>0</v>
      </c>
    </row>
    <row r="77" spans="2:26" x14ac:dyDescent="0.3">
      <c r="B77" s="93" t="str">
        <v/>
      </c>
      <c r="C77" s="94">
        <f>SUMIF('Base Costs'!$C$4:$C$100,$B77,'Cost+CPI'!P$4:P$100)</f>
        <v>0</v>
      </c>
      <c r="D77" s="95">
        <f>SUMIF('Base Costs'!$C$4:$C$100,$B77,'Cost+CPI'!Q$4:Q$100)</f>
        <v>0</v>
      </c>
      <c r="E77" s="292">
        <f>SUMIF('Base Costs'!$C$4:$C$100,$B77,'Cost+CPI'!R$4:R$100)</f>
        <v>0</v>
      </c>
      <c r="F77" s="292">
        <f>SUMIF('Base Costs'!$C$4:$C$100,$B77,'Cost+CPI'!S$4:S$100)</f>
        <v>0</v>
      </c>
      <c r="G77" s="292">
        <f>SUMIF('Base Costs'!$C$4:$C$100,$B77,'Cost+CPI'!T$4:T$100)</f>
        <v>0</v>
      </c>
      <c r="H77" s="292">
        <f>SUMIF('Base Costs'!$C$4:$C$100,$B77,'Cost+CPI'!U$4:U$100)</f>
        <v>0</v>
      </c>
      <c r="I77" s="292">
        <f>SUMIF('Base Costs'!$C$4:$C$100,$B77,'Cost+CPI'!V$4:V$100)</f>
        <v>0</v>
      </c>
      <c r="J77" s="95">
        <f>SUMIF('Base Costs'!$C$4:$C$100,$B77,'Cost+CPI'!W$4:W$100)</f>
        <v>0</v>
      </c>
      <c r="K77" s="96">
        <f>SUMIF('Base Costs'!$C$4:$C$100,$B77,'Cost+CPI'!X$4:X$100)</f>
        <v>0</v>
      </c>
      <c r="L77" s="96">
        <f t="shared" si="18"/>
        <v>0</v>
      </c>
      <c r="M77" s="96">
        <f t="shared" si="20"/>
        <v>0</v>
      </c>
      <c r="N77" s="88"/>
      <c r="O77" s="93" t="str">
        <v/>
      </c>
      <c r="P77" s="94">
        <f>SUMIF('Base Costs'!$C$4:$C$100,$B77,'Cost+CPI'!Y$4:Y$100)</f>
        <v>0</v>
      </c>
      <c r="Q77" s="95">
        <f>SUMIF('Base Costs'!$C$4:$C$100,$B77,'Cost+CPI'!Z$4:Z$100)</f>
        <v>0</v>
      </c>
      <c r="R77" s="292">
        <f>SUMIF('Base Costs'!$C$4:$C$100,$B77,'Cost+CPI'!AA$4:AA$100)</f>
        <v>0</v>
      </c>
      <c r="S77" s="292">
        <f>SUMIF('Base Costs'!$C$4:$C$100,$B77,'Cost+CPI'!AB$4:AB$100)</f>
        <v>0</v>
      </c>
      <c r="T77" s="292">
        <f>SUMIF('Base Costs'!$C$4:$C$100,$B77,'Cost+CPI'!AC$4:AC$100)</f>
        <v>0</v>
      </c>
      <c r="U77" s="292">
        <f>SUMIF('Base Costs'!$C$4:$C$100,$B77,'Cost+CPI'!AD$4:AD$100)</f>
        <v>0</v>
      </c>
      <c r="V77" s="292">
        <f>SUMIF('Base Costs'!$C$4:$C$100,$B77,'Cost+CPI'!AE$4:AE$100)</f>
        <v>0</v>
      </c>
      <c r="W77" s="95">
        <f>SUMIF('Base Costs'!$C$4:$C$100,$B77,'Cost+CPI'!AF$4:AF$100)</f>
        <v>0</v>
      </c>
      <c r="X77" s="96">
        <f>SUMIF('Base Costs'!$C$4:$C$100,$B77,'Cost+CPI'!AG$4:AG$100)</f>
        <v>0</v>
      </c>
      <c r="Y77" s="96">
        <f t="shared" si="19"/>
        <v>0</v>
      </c>
      <c r="Z77" s="96">
        <f t="shared" si="21"/>
        <v>0</v>
      </c>
    </row>
    <row r="78" spans="2:26" x14ac:dyDescent="0.3">
      <c r="B78" s="93" t="str">
        <v/>
      </c>
      <c r="C78" s="94">
        <f>SUMIF('Base Costs'!$C$4:$C$100,$B78,'Cost+CPI'!P$4:P$100)</f>
        <v>0</v>
      </c>
      <c r="D78" s="95">
        <f>SUMIF('Base Costs'!$C$4:$C$100,$B78,'Cost+CPI'!Q$4:Q$100)</f>
        <v>0</v>
      </c>
      <c r="E78" s="292">
        <f>SUMIF('Base Costs'!$C$4:$C$100,$B78,'Cost+CPI'!R$4:R$100)</f>
        <v>0</v>
      </c>
      <c r="F78" s="292">
        <f>SUMIF('Base Costs'!$C$4:$C$100,$B78,'Cost+CPI'!S$4:S$100)</f>
        <v>0</v>
      </c>
      <c r="G78" s="292">
        <f>SUMIF('Base Costs'!$C$4:$C$100,$B78,'Cost+CPI'!T$4:T$100)</f>
        <v>0</v>
      </c>
      <c r="H78" s="292">
        <f>SUMIF('Base Costs'!$C$4:$C$100,$B78,'Cost+CPI'!U$4:U$100)</f>
        <v>0</v>
      </c>
      <c r="I78" s="292">
        <f>SUMIF('Base Costs'!$C$4:$C$100,$B78,'Cost+CPI'!V$4:V$100)</f>
        <v>0</v>
      </c>
      <c r="J78" s="95">
        <f>SUMIF('Base Costs'!$C$4:$C$100,$B78,'Cost+CPI'!W$4:W$100)</f>
        <v>0</v>
      </c>
      <c r="K78" s="96">
        <f>SUMIF('Base Costs'!$C$4:$C$100,$B78,'Cost+CPI'!X$4:X$100)</f>
        <v>0</v>
      </c>
      <c r="L78" s="96">
        <f t="shared" si="18"/>
        <v>0</v>
      </c>
      <c r="M78" s="96">
        <f t="shared" si="20"/>
        <v>0</v>
      </c>
      <c r="N78" s="88"/>
      <c r="O78" s="93" t="str">
        <v/>
      </c>
      <c r="P78" s="94">
        <f>SUMIF('Base Costs'!$C$4:$C$100,$B78,'Cost+CPI'!Y$4:Y$100)</f>
        <v>0</v>
      </c>
      <c r="Q78" s="95">
        <f>SUMIF('Base Costs'!$C$4:$C$100,$B78,'Cost+CPI'!Z$4:Z$100)</f>
        <v>0</v>
      </c>
      <c r="R78" s="292">
        <f>SUMIF('Base Costs'!$C$4:$C$100,$B78,'Cost+CPI'!AA$4:AA$100)</f>
        <v>0</v>
      </c>
      <c r="S78" s="292">
        <f>SUMIF('Base Costs'!$C$4:$C$100,$B78,'Cost+CPI'!AB$4:AB$100)</f>
        <v>0</v>
      </c>
      <c r="T78" s="292">
        <f>SUMIF('Base Costs'!$C$4:$C$100,$B78,'Cost+CPI'!AC$4:AC$100)</f>
        <v>0</v>
      </c>
      <c r="U78" s="292">
        <f>SUMIF('Base Costs'!$C$4:$C$100,$B78,'Cost+CPI'!AD$4:AD$100)</f>
        <v>0</v>
      </c>
      <c r="V78" s="292">
        <f>SUMIF('Base Costs'!$C$4:$C$100,$B78,'Cost+CPI'!AE$4:AE$100)</f>
        <v>0</v>
      </c>
      <c r="W78" s="95">
        <f>SUMIF('Base Costs'!$C$4:$C$100,$B78,'Cost+CPI'!AF$4:AF$100)</f>
        <v>0</v>
      </c>
      <c r="X78" s="96">
        <f>SUMIF('Base Costs'!$C$4:$C$100,$B78,'Cost+CPI'!AG$4:AG$100)</f>
        <v>0</v>
      </c>
      <c r="Y78" s="96">
        <f t="shared" si="19"/>
        <v>0</v>
      </c>
      <c r="Z78" s="96">
        <f t="shared" si="21"/>
        <v>0</v>
      </c>
    </row>
    <row r="79" spans="2:26" ht="14.4" thickBot="1" x14ac:dyDescent="0.35">
      <c r="B79" s="97" t="str">
        <v/>
      </c>
      <c r="C79" s="98">
        <f>SUMIF('Base Costs'!$C$4:$C$100,$B79,'Cost+CPI'!P$4:P$100)</f>
        <v>0</v>
      </c>
      <c r="D79" s="99">
        <f>SUMIF('Base Costs'!$C$4:$C$100,$B79,'Cost+CPI'!Q$4:Q$100)</f>
        <v>0</v>
      </c>
      <c r="E79" s="293">
        <f>SUMIF('Base Costs'!$C$4:$C$100,$B79,'Cost+CPI'!R$4:R$100)</f>
        <v>0</v>
      </c>
      <c r="F79" s="293">
        <f>SUMIF('Base Costs'!$C$4:$C$100,$B79,'Cost+CPI'!S$4:S$100)</f>
        <v>0</v>
      </c>
      <c r="G79" s="293">
        <f>SUMIF('Base Costs'!$C$4:$C$100,$B79,'Cost+CPI'!T$4:T$100)</f>
        <v>0</v>
      </c>
      <c r="H79" s="293">
        <f>SUMIF('Base Costs'!$C$4:$C$100,$B79,'Cost+CPI'!U$4:U$100)</f>
        <v>0</v>
      </c>
      <c r="I79" s="293">
        <f>SUMIF('Base Costs'!$C$4:$C$100,$B79,'Cost+CPI'!V$4:V$100)</f>
        <v>0</v>
      </c>
      <c r="J79" s="99">
        <f>SUMIF('Base Costs'!$C$4:$C$100,$B79,'Cost+CPI'!W$4:W$100)</f>
        <v>0</v>
      </c>
      <c r="K79" s="100">
        <f>SUMIF('Base Costs'!$C$4:$C$100,$B79,'Cost+CPI'!X$4:X$100)</f>
        <v>0</v>
      </c>
      <c r="L79" s="100">
        <f t="shared" si="18"/>
        <v>0</v>
      </c>
      <c r="M79" s="100">
        <f t="shared" si="20"/>
        <v>0</v>
      </c>
      <c r="N79" s="88"/>
      <c r="O79" s="97" t="str">
        <v/>
      </c>
      <c r="P79" s="98">
        <f>SUMIF('Base Costs'!$C$4:$C$100,$B79,'Cost+CPI'!Y$4:Y$100)</f>
        <v>0</v>
      </c>
      <c r="Q79" s="99">
        <f>SUMIF('Base Costs'!$C$4:$C$100,$B79,'Cost+CPI'!Z$4:Z$100)</f>
        <v>0</v>
      </c>
      <c r="R79" s="293">
        <f>SUMIF('Base Costs'!$C$4:$C$100,$B79,'Cost+CPI'!AA$4:AA$100)</f>
        <v>0</v>
      </c>
      <c r="S79" s="293">
        <f>SUMIF('Base Costs'!$C$4:$C$100,$B79,'Cost+CPI'!AB$4:AB$100)</f>
        <v>0</v>
      </c>
      <c r="T79" s="293">
        <f>SUMIF('Base Costs'!$C$4:$C$100,$B79,'Cost+CPI'!AC$4:AC$100)</f>
        <v>0</v>
      </c>
      <c r="U79" s="293">
        <f>SUMIF('Base Costs'!$C$4:$C$100,$B79,'Cost+CPI'!AD$4:AD$100)</f>
        <v>0</v>
      </c>
      <c r="V79" s="293">
        <f>SUMIF('Base Costs'!$C$4:$C$100,$B79,'Cost+CPI'!AE$4:AE$100)</f>
        <v>0</v>
      </c>
      <c r="W79" s="99">
        <f>SUMIF('Base Costs'!$C$4:$C$100,$B79,'Cost+CPI'!AF$4:AF$100)</f>
        <v>0</v>
      </c>
      <c r="X79" s="100">
        <f>SUMIF('Base Costs'!$C$4:$C$100,$B79,'Cost+CPI'!AG$4:AG$100)</f>
        <v>0</v>
      </c>
      <c r="Y79" s="100">
        <f t="shared" si="19"/>
        <v>0</v>
      </c>
      <c r="Z79" s="100">
        <f t="shared" si="21"/>
        <v>0</v>
      </c>
    </row>
    <row r="80" spans="2:26" x14ac:dyDescent="0.3">
      <c r="B80" s="88" t="s">
        <v>12</v>
      </c>
      <c r="C80" s="101">
        <f>SUM(C64:C79)</f>
        <v>0</v>
      </c>
      <c r="D80" s="101">
        <f t="shared" ref="D80:K80" si="22">SUM(D64:D79)</f>
        <v>6638942.4324973673</v>
      </c>
      <c r="E80" s="294">
        <f t="shared" si="22"/>
        <v>51007821.90889623</v>
      </c>
      <c r="F80" s="294">
        <f t="shared" si="22"/>
        <v>66098567.926962338</v>
      </c>
      <c r="G80" s="294">
        <f t="shared" si="22"/>
        <v>59872312.661855951</v>
      </c>
      <c r="H80" s="294">
        <f t="shared" si="22"/>
        <v>53690405.705665462</v>
      </c>
      <c r="I80" s="294">
        <f t="shared" si="22"/>
        <v>45272669.005223528</v>
      </c>
      <c r="J80" s="101">
        <f t="shared" si="22"/>
        <v>6541387.9391793087</v>
      </c>
      <c r="K80" s="101">
        <f t="shared" si="22"/>
        <v>0</v>
      </c>
      <c r="L80" s="101">
        <f t="shared" si="18"/>
        <v>275941777.2086035</v>
      </c>
      <c r="M80" s="101">
        <f>SUM(C80:K80)</f>
        <v>289122107.58028018</v>
      </c>
      <c r="N80" s="88"/>
      <c r="O80" s="88" t="s">
        <v>12</v>
      </c>
      <c r="P80" s="101">
        <f>SUM(P64:P79)</f>
        <v>0</v>
      </c>
      <c r="Q80" s="101">
        <f t="shared" ref="Q80:X80" si="23">SUM(Q64:Q79)</f>
        <v>540165.99520750297</v>
      </c>
      <c r="R80" s="294">
        <f t="shared" si="23"/>
        <v>52336915.578164473</v>
      </c>
      <c r="S80" s="294">
        <f t="shared" si="23"/>
        <v>44771214.109442815</v>
      </c>
      <c r="T80" s="294">
        <f t="shared" si="23"/>
        <v>81100493.247960359</v>
      </c>
      <c r="U80" s="294">
        <f t="shared" si="23"/>
        <v>41533354.768577456</v>
      </c>
      <c r="V80" s="294">
        <f t="shared" si="23"/>
        <v>59457524.558181703</v>
      </c>
      <c r="W80" s="101">
        <f t="shared" si="23"/>
        <v>69850.567974172809</v>
      </c>
      <c r="X80" s="101">
        <f t="shared" si="23"/>
        <v>9312588.7547717132</v>
      </c>
      <c r="Y80" s="101">
        <f t="shared" si="19"/>
        <v>279199502.26232684</v>
      </c>
      <c r="Z80" s="101">
        <f>SUM(P80:X80)</f>
        <v>289122107.58028018</v>
      </c>
    </row>
    <row r="82" spans="2:25" x14ac:dyDescent="0.3">
      <c r="D82" s="354">
        <v>41791</v>
      </c>
      <c r="E82" s="354">
        <v>41974</v>
      </c>
      <c r="F82" s="354">
        <v>42339</v>
      </c>
      <c r="G82" s="354">
        <v>42705</v>
      </c>
      <c r="H82" s="354">
        <v>43070</v>
      </c>
      <c r="I82" s="354">
        <v>43435</v>
      </c>
    </row>
    <row r="83" spans="2:25" x14ac:dyDescent="0.3">
      <c r="B83" s="1" t="s">
        <v>11</v>
      </c>
      <c r="E83" s="361">
        <f>'Asset Class Summary'!E115</f>
        <v>1.2422836565829209E-2</v>
      </c>
      <c r="F83" s="361">
        <f>'Asset Class Summary'!F115</f>
        <v>2.5000000000000001E-2</v>
      </c>
      <c r="G83" s="361">
        <f>'Asset Class Summary'!G115</f>
        <v>2.5000000000000001E-2</v>
      </c>
      <c r="H83" s="361">
        <f>'Asset Class Summary'!H115</f>
        <v>2.5000000000000001E-2</v>
      </c>
      <c r="I83" s="361">
        <f>'Asset Class Summary'!I115</f>
        <v>2.5000000000000001E-2</v>
      </c>
      <c r="J83" s="355"/>
    </row>
    <row r="84" spans="2:25" x14ac:dyDescent="0.3">
      <c r="D84" s="1">
        <v>1</v>
      </c>
      <c r="E84" s="1">
        <f>D84*(1+E83)</f>
        <v>1.0124228365658292</v>
      </c>
      <c r="F84" s="1">
        <f>E84*(1+F83)</f>
        <v>1.0377334074799749</v>
      </c>
      <c r="G84" s="1">
        <f>F84*(1+G83)</f>
        <v>1.0636767426669742</v>
      </c>
      <c r="H84" s="1">
        <f>G84*(1+H83)</f>
        <v>1.0902686612336485</v>
      </c>
      <c r="I84" s="1">
        <f>H84*(1+I83)</f>
        <v>1.1175253777644896</v>
      </c>
    </row>
    <row r="86" spans="2:25" x14ac:dyDescent="0.3">
      <c r="D86" s="360" t="s">
        <v>329</v>
      </c>
      <c r="E86" s="289">
        <f>E80*E84</f>
        <v>51641483.74404937</v>
      </c>
      <c r="F86" s="356">
        <f>F80*F84</f>
        <v>68592692.12439321</v>
      </c>
      <c r="G86" s="356">
        <f>G80*G84</f>
        <v>63684786.508101575</v>
      </c>
      <c r="H86" s="356">
        <f>H80*H84</f>
        <v>58536966.749807328</v>
      </c>
      <c r="I86" s="356">
        <f>I80*I84</f>
        <v>50593356.532469124</v>
      </c>
      <c r="L86" s="357">
        <f>SUM(E86:I86)</f>
        <v>293049285.65882063</v>
      </c>
      <c r="R86" s="356">
        <f>R80*E84</f>
        <v>52987088.526751608</v>
      </c>
      <c r="S86" s="356">
        <f>S80*F84</f>
        <v>46460584.574807622</v>
      </c>
      <c r="T86" s="356">
        <f>T80*G84</f>
        <v>86264708.486675411</v>
      </c>
      <c r="U86" s="356">
        <f>U80*H84</f>
        <v>45282515.100079112</v>
      </c>
      <c r="V86" s="356">
        <f>V80*I84</f>
        <v>66445292.592823423</v>
      </c>
      <c r="Y86" s="357">
        <f>SUM(R86:X86)</f>
        <v>297440189.28113717</v>
      </c>
    </row>
    <row r="87" spans="2:25" ht="14.4" thickBot="1" x14ac:dyDescent="0.35"/>
    <row r="88" spans="2:25" ht="14.4" thickBot="1" x14ac:dyDescent="0.35">
      <c r="C88" s="363" t="s">
        <v>195</v>
      </c>
      <c r="D88" s="364"/>
      <c r="E88" s="364" t="s">
        <v>226</v>
      </c>
      <c r="F88" s="364" t="s">
        <v>227</v>
      </c>
      <c r="G88" s="364" t="s">
        <v>228</v>
      </c>
      <c r="H88" s="364" t="s">
        <v>229</v>
      </c>
      <c r="I88" s="364" t="s">
        <v>230</v>
      </c>
    </row>
    <row r="89" spans="2:25" ht="14.4" x14ac:dyDescent="0.3">
      <c r="C89" s="460" t="s">
        <v>216</v>
      </c>
      <c r="D89" s="457"/>
    </row>
    <row r="90" spans="2:25" x14ac:dyDescent="0.3">
      <c r="C90" s="367"/>
      <c r="D90" s="453" t="s">
        <v>111</v>
      </c>
      <c r="E90" s="377">
        <f t="shared" ref="E90:I92" si="24">E64*E$84/1000000</f>
        <v>0.38079930376040921</v>
      </c>
      <c r="F90" s="377">
        <f t="shared" si="24"/>
        <v>4.8754104330582226</v>
      </c>
      <c r="G90" s="377">
        <f t="shared" si="24"/>
        <v>12.011097179400567</v>
      </c>
      <c r="H90" s="377">
        <f t="shared" si="24"/>
        <v>9.9874421997446454</v>
      </c>
      <c r="I90" s="377">
        <f t="shared" si="24"/>
        <v>12.584702291367009</v>
      </c>
    </row>
    <row r="91" spans="2:25" x14ac:dyDescent="0.3">
      <c r="C91" s="367"/>
      <c r="D91" s="454" t="s">
        <v>114</v>
      </c>
      <c r="E91" s="377">
        <f t="shared" si="24"/>
        <v>2.9011884342009577</v>
      </c>
      <c r="F91" s="377">
        <f t="shared" si="24"/>
        <v>11.687493030080722</v>
      </c>
      <c r="G91" s="377">
        <f t="shared" si="24"/>
        <v>4.0608962169689518</v>
      </c>
      <c r="H91" s="377">
        <f t="shared" si="24"/>
        <v>1.1866315065611255</v>
      </c>
      <c r="I91" s="377">
        <f t="shared" si="24"/>
        <v>0</v>
      </c>
    </row>
    <row r="92" spans="2:25" x14ac:dyDescent="0.3">
      <c r="C92" s="367"/>
      <c r="D92" s="455" t="s">
        <v>156</v>
      </c>
      <c r="E92" s="377">
        <f t="shared" si="24"/>
        <v>0</v>
      </c>
      <c r="F92" s="377">
        <f t="shared" si="24"/>
        <v>0</v>
      </c>
      <c r="G92" s="377">
        <f t="shared" si="24"/>
        <v>0</v>
      </c>
      <c r="H92" s="377">
        <f t="shared" si="24"/>
        <v>0</v>
      </c>
      <c r="I92" s="377">
        <f t="shared" si="24"/>
        <v>0</v>
      </c>
    </row>
    <row r="93" spans="2:25" ht="14.4" thickBot="1" x14ac:dyDescent="0.35">
      <c r="C93" s="461" t="s">
        <v>217</v>
      </c>
      <c r="D93" s="461"/>
      <c r="E93" s="378">
        <f>SUM(E90:E92)</f>
        <v>3.2819877379613671</v>
      </c>
      <c r="F93" s="378">
        <f>SUM(F90:F92)</f>
        <v>16.562903463138944</v>
      </c>
      <c r="G93" s="378">
        <f>SUM(G90:G92)</f>
        <v>16.071993396369518</v>
      </c>
      <c r="H93" s="378">
        <f>SUM(H90:H92)</f>
        <v>11.174073706305771</v>
      </c>
      <c r="I93" s="378">
        <f>SUM(I90:I92)</f>
        <v>12.584702291367009</v>
      </c>
    </row>
    <row r="94" spans="2:25" x14ac:dyDescent="0.3">
      <c r="C94" s="368"/>
      <c r="D94" s="369"/>
    </row>
    <row r="95" spans="2:25" ht="15" thickBot="1" x14ac:dyDescent="0.35">
      <c r="C95" s="459" t="s">
        <v>218</v>
      </c>
      <c r="D95" s="458"/>
      <c r="E95" s="370"/>
      <c r="F95" s="370"/>
      <c r="G95" s="370"/>
      <c r="H95" s="370"/>
      <c r="I95" s="370"/>
    </row>
    <row r="96" spans="2:25" x14ac:dyDescent="0.3">
      <c r="C96" s="367"/>
      <c r="D96" s="453" t="s">
        <v>107</v>
      </c>
      <c r="E96" s="362">
        <f t="shared" ref="E96:I99" si="25">E67*E$84/1000000</f>
        <v>34.121443912534588</v>
      </c>
      <c r="F96" s="362">
        <f t="shared" si="25"/>
        <v>27.356109454003072</v>
      </c>
      <c r="G96" s="362">
        <f t="shared" si="25"/>
        <v>30.079232951346494</v>
      </c>
      <c r="H96" s="362">
        <f t="shared" si="25"/>
        <v>35.708962456031017</v>
      </c>
      <c r="I96" s="362">
        <f t="shared" si="25"/>
        <v>27.18144658323898</v>
      </c>
    </row>
    <row r="97" spans="3:12" x14ac:dyDescent="0.3">
      <c r="C97" s="367"/>
      <c r="D97" s="454" t="s">
        <v>214</v>
      </c>
      <c r="E97" s="377">
        <f t="shared" si="25"/>
        <v>2.4658356569465778</v>
      </c>
      <c r="F97" s="377">
        <f t="shared" si="25"/>
        <v>3.0150851960658778</v>
      </c>
      <c r="G97" s="377">
        <f t="shared" si="25"/>
        <v>3.1462659341985639</v>
      </c>
      <c r="H97" s="377">
        <f t="shared" si="25"/>
        <v>3.2821942464885141</v>
      </c>
      <c r="I97" s="377">
        <f t="shared" si="25"/>
        <v>3.4204067499859563</v>
      </c>
    </row>
    <row r="98" spans="3:12" x14ac:dyDescent="0.3">
      <c r="C98" s="367"/>
      <c r="D98" s="454" t="s">
        <v>215</v>
      </c>
      <c r="E98" s="377">
        <f t="shared" si="25"/>
        <v>1.5855484829293154</v>
      </c>
      <c r="F98" s="377">
        <f t="shared" si="25"/>
        <v>9.0232016452239918</v>
      </c>
      <c r="G98" s="377">
        <f t="shared" si="25"/>
        <v>4.7488646756795534</v>
      </c>
      <c r="H98" s="377">
        <f t="shared" si="25"/>
        <v>0.20124653650752988</v>
      </c>
      <c r="I98" s="377">
        <f t="shared" si="25"/>
        <v>0.20854346671610974</v>
      </c>
    </row>
    <row r="99" spans="3:12" x14ac:dyDescent="0.3">
      <c r="C99" s="365"/>
      <c r="D99" s="454" t="s">
        <v>109</v>
      </c>
      <c r="E99" s="377">
        <f t="shared" si="25"/>
        <v>6.9509294715002214</v>
      </c>
      <c r="F99" s="377">
        <f t="shared" si="25"/>
        <v>9.514760869366194</v>
      </c>
      <c r="G99" s="377">
        <f t="shared" si="25"/>
        <v>7.0960273650534091</v>
      </c>
      <c r="H99" s="377">
        <f t="shared" si="25"/>
        <v>5.6038948828663608</v>
      </c>
      <c r="I99" s="377">
        <f t="shared" si="25"/>
        <v>5.2537706984135824</v>
      </c>
    </row>
    <row r="100" spans="3:12" ht="14.4" thickBot="1" x14ac:dyDescent="0.35">
      <c r="C100" s="461" t="s">
        <v>219</v>
      </c>
      <c r="D100" s="456"/>
      <c r="E100" s="378">
        <f>SUM(E96:E99)</f>
        <v>45.123757523910704</v>
      </c>
      <c r="F100" s="378">
        <f>SUM(F96:F99)</f>
        <v>48.909157164659135</v>
      </c>
      <c r="G100" s="378">
        <f>SUM(G96:G99)</f>
        <v>45.070390926278023</v>
      </c>
      <c r="H100" s="378">
        <f>SUM(H96:H99)</f>
        <v>44.796298121893429</v>
      </c>
      <c r="I100" s="378">
        <f>SUM(I96:I99)</f>
        <v>36.064167498354628</v>
      </c>
    </row>
    <row r="101" spans="3:12" ht="14.4" thickBot="1" x14ac:dyDescent="0.35">
      <c r="C101" s="371"/>
      <c r="D101" s="369"/>
      <c r="E101" s="369"/>
      <c r="F101" s="369"/>
      <c r="G101" s="369"/>
      <c r="H101" s="369"/>
      <c r="I101" s="369"/>
    </row>
    <row r="102" spans="3:12" ht="14.4" thickBot="1" x14ac:dyDescent="0.35">
      <c r="C102" s="363" t="s">
        <v>220</v>
      </c>
      <c r="D102" s="364"/>
      <c r="E102" s="379">
        <f>E93+E100</f>
        <v>48.40574526187207</v>
      </c>
      <c r="F102" s="379">
        <f>F93+F100</f>
        <v>65.472060627798072</v>
      </c>
      <c r="G102" s="379">
        <f>G93+G100</f>
        <v>61.142384322647544</v>
      </c>
      <c r="H102" s="379">
        <f>H93+H100</f>
        <v>55.970371828199198</v>
      </c>
      <c r="I102" s="379">
        <f>I93+I100</f>
        <v>48.648869789721637</v>
      </c>
    </row>
    <row r="103" spans="3:12" x14ac:dyDescent="0.3">
      <c r="C103" s="371"/>
      <c r="D103" s="371"/>
    </row>
    <row r="104" spans="3:12" ht="15" thickBot="1" x14ac:dyDescent="0.35">
      <c r="C104" s="372" t="s">
        <v>221</v>
      </c>
      <c r="D104" s="373"/>
      <c r="E104" s="370"/>
      <c r="F104" s="370"/>
      <c r="G104" s="370"/>
      <c r="H104" s="370"/>
      <c r="I104" s="370"/>
    </row>
    <row r="105" spans="3:12" ht="14.4" x14ac:dyDescent="0.3">
      <c r="C105" s="460" t="s">
        <v>222</v>
      </c>
      <c r="D105" s="366"/>
    </row>
    <row r="106" spans="3:12" x14ac:dyDescent="0.3">
      <c r="C106" s="367"/>
      <c r="D106" s="453" t="s">
        <v>191</v>
      </c>
      <c r="E106" s="377">
        <f t="shared" ref="E106:I107" si="26">E71*E$84/1000000</f>
        <v>1.7631035443549039</v>
      </c>
      <c r="F106" s="377">
        <f t="shared" si="26"/>
        <v>1.1493545627847763</v>
      </c>
      <c r="G106" s="377">
        <f t="shared" si="26"/>
        <v>1.3816971734498775</v>
      </c>
      <c r="H106" s="377">
        <f t="shared" si="26"/>
        <v>2.1817300896222838</v>
      </c>
      <c r="I106" s="377">
        <f t="shared" si="26"/>
        <v>0.92153123770954837</v>
      </c>
    </row>
    <row r="107" spans="3:12" x14ac:dyDescent="0.3">
      <c r="C107" s="367"/>
      <c r="D107" s="454" t="s">
        <v>168</v>
      </c>
      <c r="E107" s="377">
        <f t="shared" si="26"/>
        <v>1.4726349378223975</v>
      </c>
      <c r="F107" s="377">
        <f t="shared" si="26"/>
        <v>1.971276933810344</v>
      </c>
      <c r="G107" s="377">
        <f t="shared" si="26"/>
        <v>1.1607050120041646</v>
      </c>
      <c r="H107" s="377">
        <f t="shared" si="26"/>
        <v>0.38486483198585308</v>
      </c>
      <c r="I107" s="377">
        <f t="shared" si="26"/>
        <v>1.0229555050379442</v>
      </c>
    </row>
    <row r="108" spans="3:12" ht="14.4" thickBot="1" x14ac:dyDescent="0.35">
      <c r="C108" s="461" t="s">
        <v>223</v>
      </c>
      <c r="D108" s="456"/>
      <c r="E108" s="378">
        <f>SUM(E106:E107)</f>
        <v>3.2357384821773012</v>
      </c>
      <c r="F108" s="378">
        <f>SUM(F106:F107)</f>
        <v>3.1206314965951201</v>
      </c>
      <c r="G108" s="378">
        <f>SUM(G106:G107)</f>
        <v>2.5424021854540424</v>
      </c>
      <c r="H108" s="378">
        <f>SUM(H106:H107)</f>
        <v>2.5665949216081367</v>
      </c>
      <c r="I108" s="378">
        <f>SUM(I106:I107)</f>
        <v>1.9444867427474926</v>
      </c>
    </row>
    <row r="109" spans="3:12" ht="14.4" thickBot="1" x14ac:dyDescent="0.35">
      <c r="C109" s="371"/>
      <c r="D109" s="369"/>
    </row>
    <row r="110" spans="3:12" ht="14.4" thickBot="1" x14ac:dyDescent="0.35">
      <c r="C110" s="462" t="s">
        <v>224</v>
      </c>
      <c r="D110" s="364"/>
      <c r="E110" s="379">
        <f>E108</f>
        <v>3.2357384821773012</v>
      </c>
      <c r="F110" s="379">
        <f>F108</f>
        <v>3.1206314965951201</v>
      </c>
      <c r="G110" s="379">
        <f>G108</f>
        <v>2.5424021854540424</v>
      </c>
      <c r="H110" s="379">
        <f>H108</f>
        <v>2.5665949216081367</v>
      </c>
      <c r="I110" s="379">
        <f>I108</f>
        <v>1.9444867427474926</v>
      </c>
    </row>
    <row r="111" spans="3:12" ht="14.4" thickBot="1" x14ac:dyDescent="0.35">
      <c r="C111" s="371"/>
      <c r="D111" s="369"/>
    </row>
    <row r="112" spans="3:12" ht="14.4" thickBot="1" x14ac:dyDescent="0.35">
      <c r="C112" s="462" t="s">
        <v>225</v>
      </c>
      <c r="D112" s="364"/>
      <c r="E112" s="379">
        <f>E102+E110</f>
        <v>51.641483744049374</v>
      </c>
      <c r="F112" s="379">
        <f>F102+F110</f>
        <v>68.592692124393196</v>
      </c>
      <c r="G112" s="379">
        <f>G102+G110</f>
        <v>63.684786508101588</v>
      </c>
      <c r="H112" s="379">
        <f>H102+H110</f>
        <v>58.536966749807334</v>
      </c>
      <c r="I112" s="379">
        <f>I102+I110</f>
        <v>50.59335653246913</v>
      </c>
      <c r="L112" s="463">
        <f>SUM(E112:I112)</f>
        <v>293.04928565882062</v>
      </c>
    </row>
    <row r="114" spans="4:9" x14ac:dyDescent="0.3">
      <c r="D114" s="374" t="s">
        <v>231</v>
      </c>
      <c r="E114" s="375">
        <f>E86/1000000</f>
        <v>51.641483744049367</v>
      </c>
      <c r="F114" s="375">
        <f>F86/1000000</f>
        <v>68.59269212439321</v>
      </c>
      <c r="G114" s="375">
        <f>G86/1000000</f>
        <v>63.684786508101574</v>
      </c>
      <c r="H114" s="375">
        <f>H86/1000000</f>
        <v>58.536966749807327</v>
      </c>
      <c r="I114" s="375">
        <f>I86/1000000</f>
        <v>50.593356532469123</v>
      </c>
    </row>
    <row r="115" spans="4:9" x14ac:dyDescent="0.3">
      <c r="E115" s="376" t="str">
        <f>IF(E112=E114,"OK","ERROR")</f>
        <v>OK</v>
      </c>
      <c r="F115" s="376" t="str">
        <f>IF(F112=F114,"OK","ERROR")</f>
        <v>OK</v>
      </c>
      <c r="G115" s="376" t="str">
        <f>IF(G112=G114,"OK","ERROR")</f>
        <v>OK</v>
      </c>
      <c r="H115" s="376" t="str">
        <f>IF(H112=H114,"OK","ERROR")</f>
        <v>OK</v>
      </c>
      <c r="I115" s="376" t="str">
        <f>IF(I112=I114,"OK","ERROR")</f>
        <v>OK</v>
      </c>
    </row>
  </sheetData>
  <mergeCells count="1">
    <mergeCell ref="B1:Z1"/>
  </mergeCells>
  <printOptions horizontalCentered="1"/>
  <pageMargins left="0.39370078740157483" right="0.39370078740157483" top="0.78740157480314965" bottom="0.39370078740157483" header="0" footer="0"/>
  <pageSetup paperSize="8" orientation="portrait" blackAndWhite="1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72"/>
  <sheetViews>
    <sheetView workbookViewId="0">
      <selection activeCell="F6" sqref="F6"/>
    </sheetView>
  </sheetViews>
  <sheetFormatPr defaultRowHeight="14.4" x14ac:dyDescent="0.3"/>
  <cols>
    <col min="1" max="1" width="45.44140625" bestFit="1" customWidth="1"/>
    <col min="2" max="2" width="20.109375" hidden="1" customWidth="1"/>
    <col min="4" max="4" width="13.33203125" customWidth="1"/>
    <col min="5" max="5" width="11.6640625" customWidth="1"/>
    <col min="6" max="12" width="10.6640625" customWidth="1"/>
    <col min="14" max="17" width="9.109375" customWidth="1"/>
  </cols>
  <sheetData>
    <row r="1" spans="1:11" ht="15" customHeight="1" x14ac:dyDescent="0.4">
      <c r="A1" s="132" t="s">
        <v>182</v>
      </c>
    </row>
    <row r="2" spans="1:11" ht="12.75" customHeight="1" x14ac:dyDescent="0.3">
      <c r="A2" s="107"/>
    </row>
    <row r="3" spans="1:11" ht="16.5" customHeight="1" x14ac:dyDescent="0.3">
      <c r="A3" s="107"/>
      <c r="K3" s="106"/>
    </row>
    <row r="4" spans="1:11" x14ac:dyDescent="0.3">
      <c r="A4" s="107" t="s">
        <v>193</v>
      </c>
      <c r="B4" s="107"/>
      <c r="C4" s="107"/>
      <c r="D4" s="161"/>
    </row>
    <row r="5" spans="1:11" x14ac:dyDescent="0.3">
      <c r="A5" s="134"/>
      <c r="B5" s="109"/>
      <c r="C5" s="109"/>
      <c r="D5" s="109"/>
    </row>
    <row r="6" spans="1:11" ht="30" customHeight="1" x14ac:dyDescent="0.3">
      <c r="A6" s="603" t="s">
        <v>183</v>
      </c>
      <c r="B6" s="604"/>
      <c r="C6" s="604"/>
      <c r="D6" s="605"/>
      <c r="E6" s="221"/>
      <c r="F6" s="115" t="str">
        <f t="array" ref="F6:J6">'Capex - Network Projects'!$H$6:$L$6</f>
        <v>2014/15</v>
      </c>
      <c r="G6" s="115" t="str">
        <v>2015/16</v>
      </c>
      <c r="H6" s="115" t="str">
        <v>2016/17</v>
      </c>
      <c r="I6" s="115" t="str">
        <v>2017/18</v>
      </c>
      <c r="J6" s="115" t="str">
        <v>2018/19</v>
      </c>
      <c r="K6" s="185" t="s">
        <v>102</v>
      </c>
    </row>
    <row r="7" spans="1:11" x14ac:dyDescent="0.3">
      <c r="A7" s="606" t="s">
        <v>184</v>
      </c>
      <c r="B7" s="606"/>
      <c r="C7" s="162"/>
      <c r="D7" s="162"/>
      <c r="E7" s="222"/>
      <c r="F7" s="223"/>
      <c r="G7" s="223"/>
      <c r="H7" s="223"/>
      <c r="I7" s="223"/>
      <c r="J7" s="223"/>
      <c r="K7" s="223"/>
    </row>
    <row r="8" spans="1:11" ht="30" customHeight="1" x14ac:dyDescent="0.3">
      <c r="A8" s="224" t="s">
        <v>185</v>
      </c>
      <c r="B8" s="225"/>
      <c r="C8" s="226" t="s">
        <v>111</v>
      </c>
      <c r="D8" s="227"/>
      <c r="E8" s="227"/>
      <c r="F8" s="186">
        <f>'Category Summary'!E64</f>
        <v>376126.74270771362</v>
      </c>
      <c r="G8" s="186">
        <f>'Category Summary'!F64</f>
        <v>4698133.8346788296</v>
      </c>
      <c r="H8" s="186">
        <f>'Category Summary'!G64</f>
        <v>11292055.84516678</v>
      </c>
      <c r="I8" s="186">
        <f>'Category Summary'!H64</f>
        <v>9160533.1372579001</v>
      </c>
      <c r="J8" s="186">
        <f>'Category Summary'!I64</f>
        <v>11261222.824793108</v>
      </c>
      <c r="K8" s="187">
        <f>SUM(F8:J8)</f>
        <v>36788072.384604335</v>
      </c>
    </row>
    <row r="9" spans="1:11" ht="30" customHeight="1" x14ac:dyDescent="0.3">
      <c r="A9" s="228"/>
      <c r="B9" s="229"/>
      <c r="C9" s="230" t="s">
        <v>114</v>
      </c>
      <c r="D9" s="231"/>
      <c r="E9" s="231"/>
      <c r="F9" s="188">
        <f>'Category Summary'!E65</f>
        <v>2865589.681917767</v>
      </c>
      <c r="G9" s="188">
        <f>'Category Summary'!F65</f>
        <v>11262519.781899048</v>
      </c>
      <c r="H9" s="188">
        <f>'Category Summary'!G65</f>
        <v>3817791.6786889592</v>
      </c>
      <c r="I9" s="188">
        <f>'Category Summary'!H65</f>
        <v>1088384.4952660031</v>
      </c>
      <c r="J9" s="188">
        <f>'Category Summary'!I65</f>
        <v>0</v>
      </c>
      <c r="K9" s="189">
        <f t="shared" ref="K9:K14" si="0">SUM(F9:J9)</f>
        <v>19034285.637771774</v>
      </c>
    </row>
    <row r="10" spans="1:11" ht="30" customHeight="1" x14ac:dyDescent="0.3">
      <c r="A10" s="232"/>
      <c r="B10" s="233"/>
      <c r="C10" s="234" t="s">
        <v>156</v>
      </c>
      <c r="D10" s="235"/>
      <c r="E10" s="235"/>
      <c r="F10" s="190">
        <f>'Category Summary'!E66</f>
        <v>0</v>
      </c>
      <c r="G10" s="190">
        <f>'Category Summary'!F66</f>
        <v>0</v>
      </c>
      <c r="H10" s="190">
        <f>'Category Summary'!G66</f>
        <v>0</v>
      </c>
      <c r="I10" s="190">
        <f>'Category Summary'!H66</f>
        <v>0</v>
      </c>
      <c r="J10" s="190">
        <f>'Category Summary'!I66</f>
        <v>0</v>
      </c>
      <c r="K10" s="191">
        <f t="shared" si="0"/>
        <v>0</v>
      </c>
    </row>
    <row r="11" spans="1:11" ht="30" customHeight="1" x14ac:dyDescent="0.3">
      <c r="A11" s="236" t="s">
        <v>186</v>
      </c>
      <c r="B11" s="237"/>
      <c r="C11" s="238" t="s">
        <v>107</v>
      </c>
      <c r="D11" s="239"/>
      <c r="E11" s="239"/>
      <c r="F11" s="192">
        <f>'Category Summary'!E67</f>
        <v>33702760.032829389</v>
      </c>
      <c r="G11" s="192">
        <f>'Category Summary'!F67</f>
        <v>26361403.860394619</v>
      </c>
      <c r="H11" s="192">
        <f>'Category Summary'!G67</f>
        <v>28278547.179595504</v>
      </c>
      <c r="I11" s="192">
        <f>'Category Summary'!H67</f>
        <v>32752443.251579858</v>
      </c>
      <c r="J11" s="192">
        <f>'Category Summary'!I67</f>
        <v>24322889.774201866</v>
      </c>
      <c r="K11" s="193">
        <f t="shared" si="0"/>
        <v>145418044.09860125</v>
      </c>
    </row>
    <row r="12" spans="1:11" ht="30" customHeight="1" x14ac:dyDescent="0.3">
      <c r="A12" s="232"/>
      <c r="B12" s="233"/>
      <c r="C12" s="234" t="s">
        <v>187</v>
      </c>
      <c r="D12" s="240"/>
      <c r="E12" s="240"/>
      <c r="F12" s="190">
        <f>'Category Summary'!E68</f>
        <v>2435578.8588400194</v>
      </c>
      <c r="G12" s="190">
        <f>'Category Summary'!F68</f>
        <v>2905452.5703163887</v>
      </c>
      <c r="H12" s="190">
        <f>'Category Summary'!G68</f>
        <v>2957915.5094713075</v>
      </c>
      <c r="I12" s="190">
        <f>'Category Summary'!H68</f>
        <v>3010445.3729548482</v>
      </c>
      <c r="J12" s="190">
        <f>'Category Summary'!I68</f>
        <v>3060697.1600306532</v>
      </c>
      <c r="K12" s="191">
        <f t="shared" si="0"/>
        <v>14370089.471613217</v>
      </c>
    </row>
    <row r="13" spans="1:11" ht="30" customHeight="1" x14ac:dyDescent="0.3">
      <c r="A13" s="228"/>
      <c r="B13" s="229"/>
      <c r="C13" s="230" t="s">
        <v>188</v>
      </c>
      <c r="D13" s="241"/>
      <c r="E13" s="241"/>
      <c r="F13" s="188">
        <f>'Category Summary'!E69</f>
        <v>1566093.1635121417</v>
      </c>
      <c r="G13" s="188">
        <f>'Category Summary'!F69</f>
        <v>8695105.6795365941</v>
      </c>
      <c r="H13" s="188">
        <f>'Category Summary'!G69</f>
        <v>4464575.0773610473</v>
      </c>
      <c r="I13" s="188">
        <f>'Category Summary'!H69</f>
        <v>184584.35398832583</v>
      </c>
      <c r="J13" s="188">
        <f>'Category Summary'!I69</f>
        <v>186611.83975372664</v>
      </c>
      <c r="K13" s="189">
        <f t="shared" si="0"/>
        <v>15096970.114151835</v>
      </c>
    </row>
    <row r="14" spans="1:11" ht="30" customHeight="1" x14ac:dyDescent="0.25">
      <c r="A14" s="242"/>
      <c r="B14" s="243"/>
      <c r="C14" s="244" t="s">
        <v>109</v>
      </c>
      <c r="D14" s="245"/>
      <c r="E14" s="245"/>
      <c r="F14" s="194">
        <f>'Category Summary'!E70</f>
        <v>6865638.7632246595</v>
      </c>
      <c r="G14" s="194">
        <f>'Category Summary'!F70</f>
        <v>9168791.137284264</v>
      </c>
      <c r="H14" s="194">
        <f>'Category Summary'!G70</f>
        <v>6671225.4582735561</v>
      </c>
      <c r="I14" s="194">
        <f>'Category Summary'!H70</f>
        <v>5139921.0874551833</v>
      </c>
      <c r="J14" s="194">
        <f>'Category Summary'!I70</f>
        <v>4701254.0412489651</v>
      </c>
      <c r="K14" s="195">
        <f t="shared" si="0"/>
        <v>32546830.487486627</v>
      </c>
    </row>
    <row r="15" spans="1:11" ht="15" x14ac:dyDescent="0.25">
      <c r="A15" s="246" t="s">
        <v>189</v>
      </c>
      <c r="B15" s="247"/>
      <c r="C15" s="247"/>
      <c r="D15" s="247"/>
      <c r="E15" s="247"/>
      <c r="F15" s="196"/>
      <c r="G15" s="196"/>
      <c r="H15" s="196"/>
      <c r="I15" s="196"/>
      <c r="J15" s="196"/>
      <c r="K15" s="197"/>
    </row>
    <row r="16" spans="1:11" ht="30" customHeight="1" x14ac:dyDescent="0.25">
      <c r="A16" s="248" t="s">
        <v>190</v>
      </c>
      <c r="B16" s="249"/>
      <c r="C16" s="248" t="s">
        <v>191</v>
      </c>
      <c r="D16" s="225"/>
      <c r="E16" s="225"/>
      <c r="F16" s="186">
        <f>'Category Summary'!E71</f>
        <v>1741469.5527171313</v>
      </c>
      <c r="G16" s="186">
        <f>'Category Summary'!F71</f>
        <v>1107562.4572749003</v>
      </c>
      <c r="H16" s="186">
        <f>'Category Summary'!G71</f>
        <v>1298982.2170836653</v>
      </c>
      <c r="I16" s="186">
        <f>'Category Summary'!H71</f>
        <v>2001094.0121434263</v>
      </c>
      <c r="J16" s="186">
        <f>'Category Summary'!I71</f>
        <v>824617.72774501983</v>
      </c>
      <c r="K16" s="187">
        <f>SUM(F16:J16)</f>
        <v>6973725.9669641433</v>
      </c>
    </row>
    <row r="17" spans="1:18" ht="30" customHeight="1" x14ac:dyDescent="0.25">
      <c r="A17" s="250"/>
      <c r="B17" s="251"/>
      <c r="C17" s="250" t="s">
        <v>168</v>
      </c>
      <c r="D17" s="252"/>
      <c r="E17" s="252"/>
      <c r="F17" s="198">
        <f>'Category Summary'!E72</f>
        <v>1454565.1131474103</v>
      </c>
      <c r="G17" s="198">
        <f>'Category Summary'!F72</f>
        <v>1899598.6055776889</v>
      </c>
      <c r="H17" s="198">
        <f>'Category Summary'!G72</f>
        <v>1091219.6962151395</v>
      </c>
      <c r="I17" s="198">
        <f>'Category Summary'!H72</f>
        <v>352999.99501992029</v>
      </c>
      <c r="J17" s="198">
        <f>'Category Summary'!I72</f>
        <v>915375.63745019911</v>
      </c>
      <c r="K17" s="199">
        <f>SUM(F17:J17)</f>
        <v>5713759.0474103577</v>
      </c>
    </row>
    <row r="18" spans="1:18" ht="12.75" customHeight="1" x14ac:dyDescent="0.25">
      <c r="F18" s="200"/>
      <c r="G18" s="200"/>
      <c r="H18" s="200"/>
      <c r="I18" s="200"/>
      <c r="J18" s="200"/>
      <c r="K18" s="201"/>
    </row>
    <row r="19" spans="1:18" ht="15" x14ac:dyDescent="0.25">
      <c r="A19" s="135"/>
      <c r="B19" s="135"/>
      <c r="C19" s="135"/>
      <c r="D19" s="135"/>
      <c r="F19" s="200"/>
      <c r="G19" s="200"/>
      <c r="H19" s="200"/>
      <c r="I19" s="200"/>
      <c r="J19" s="200"/>
      <c r="K19" s="201"/>
    </row>
    <row r="20" spans="1:18" x14ac:dyDescent="0.3">
      <c r="A20" s="163" t="s">
        <v>192</v>
      </c>
      <c r="B20" s="164"/>
      <c r="C20" s="164"/>
      <c r="D20" s="165"/>
      <c r="F20" s="202">
        <f t="shared" ref="F20:K20" si="1">SUM(F8:F17)</f>
        <v>51007821.90889623</v>
      </c>
      <c r="G20" s="202">
        <f t="shared" si="1"/>
        <v>66098567.926962338</v>
      </c>
      <c r="H20" s="202">
        <f t="shared" si="1"/>
        <v>59872312.661855951</v>
      </c>
      <c r="I20" s="202">
        <f t="shared" si="1"/>
        <v>53690405.705665462</v>
      </c>
      <c r="J20" s="202">
        <f t="shared" si="1"/>
        <v>45272669.005223528</v>
      </c>
      <c r="K20" s="202">
        <f t="shared" si="1"/>
        <v>275941777.20860356</v>
      </c>
    </row>
    <row r="24" spans="1:18" x14ac:dyDescent="0.3">
      <c r="M24" s="106"/>
    </row>
    <row r="25" spans="1:18" x14ac:dyDescent="0.3">
      <c r="M25" s="106"/>
      <c r="R25" s="109"/>
    </row>
    <row r="26" spans="1:18" x14ac:dyDescent="0.3">
      <c r="M26" s="106"/>
    </row>
    <row r="27" spans="1:18" ht="12.75" customHeight="1" x14ac:dyDescent="0.3">
      <c r="M27" s="106"/>
    </row>
    <row r="28" spans="1:18" x14ac:dyDescent="0.3">
      <c r="M28" s="106"/>
    </row>
    <row r="34" spans="13:18" ht="12.75" customHeight="1" x14ac:dyDescent="0.3"/>
    <row r="41" spans="13:18" ht="12.75" customHeight="1" x14ac:dyDescent="0.3"/>
    <row r="43" spans="13:18" x14ac:dyDescent="0.3">
      <c r="M43" s="106"/>
    </row>
    <row r="44" spans="13:18" x14ac:dyDescent="0.3">
      <c r="M44" s="106"/>
      <c r="R44" s="135"/>
    </row>
    <row r="45" spans="13:18" x14ac:dyDescent="0.3">
      <c r="M45" s="106"/>
    </row>
    <row r="46" spans="13:18" x14ac:dyDescent="0.3">
      <c r="M46" s="106"/>
    </row>
    <row r="47" spans="13:18" x14ac:dyDescent="0.3">
      <c r="M47" s="106"/>
    </row>
    <row r="48" spans="13:18" x14ac:dyDescent="0.3">
      <c r="M48" s="106"/>
    </row>
    <row r="49" spans="13:18" x14ac:dyDescent="0.3">
      <c r="M49" s="106"/>
    </row>
    <row r="50" spans="13:18" x14ac:dyDescent="0.3">
      <c r="M50" s="106"/>
    </row>
    <row r="51" spans="13:18" x14ac:dyDescent="0.3">
      <c r="M51" s="106"/>
    </row>
    <row r="52" spans="13:18" x14ac:dyDescent="0.3">
      <c r="M52" s="106"/>
    </row>
    <row r="53" spans="13:18" x14ac:dyDescent="0.3">
      <c r="M53" s="106"/>
    </row>
    <row r="59" spans="13:18" x14ac:dyDescent="0.3">
      <c r="R59" s="135"/>
    </row>
    <row r="72" spans="18:18" x14ac:dyDescent="0.3">
      <c r="R72" s="135"/>
    </row>
  </sheetData>
  <mergeCells count="2">
    <mergeCell ref="A6:D6"/>
    <mergeCell ref="A7:B7"/>
  </mergeCells>
  <conditionalFormatting sqref="F6:H6">
    <cfRule type="expression" dxfId="7" priority="2" stopIfTrue="1">
      <formula>ISBLANK(F6)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3"/>
  <sheetViews>
    <sheetView topLeftCell="A7" workbookViewId="0">
      <selection activeCell="M24" sqref="M24"/>
    </sheetView>
  </sheetViews>
  <sheetFormatPr defaultRowHeight="14.4" x14ac:dyDescent="0.3"/>
  <cols>
    <col min="3" max="3" width="13.5546875" customWidth="1"/>
    <col min="4" max="4" width="10.88671875" customWidth="1"/>
    <col min="5" max="10" width="15.6640625" customWidth="1"/>
  </cols>
  <sheetData>
    <row r="1" spans="1:10" ht="16.2" x14ac:dyDescent="0.4">
      <c r="A1" s="132" t="s">
        <v>169</v>
      </c>
    </row>
    <row r="2" spans="1:10" x14ac:dyDescent="0.3">
      <c r="A2" s="107"/>
    </row>
    <row r="3" spans="1:10" x14ac:dyDescent="0.3">
      <c r="A3" s="106"/>
      <c r="B3" s="106"/>
      <c r="C3" s="106"/>
    </row>
    <row r="4" spans="1:10" x14ac:dyDescent="0.3">
      <c r="A4" s="108"/>
      <c r="B4" s="106"/>
      <c r="C4" s="106"/>
      <c r="D4" s="109"/>
    </row>
    <row r="5" spans="1:10" x14ac:dyDescent="0.3">
      <c r="A5" s="107" t="s">
        <v>193</v>
      </c>
      <c r="B5" s="106"/>
      <c r="C5" s="106"/>
      <c r="D5" s="109"/>
      <c r="E5" s="271" t="str">
        <f t="array" ref="E5:I5">'Capex - Network Projects'!$H$6:$L$6</f>
        <v>2014/15</v>
      </c>
      <c r="F5" s="271" t="str">
        <v>2015/16</v>
      </c>
      <c r="G5" s="271" t="str">
        <v>2016/17</v>
      </c>
      <c r="H5" s="271" t="str">
        <v>2017/18</v>
      </c>
      <c r="I5" s="271" t="str">
        <v>2018/19</v>
      </c>
      <c r="J5" s="144" t="s">
        <v>102</v>
      </c>
    </row>
    <row r="6" spans="1:10" x14ac:dyDescent="0.3">
      <c r="A6" s="110" t="s">
        <v>170</v>
      </c>
      <c r="B6" s="106"/>
      <c r="C6" s="106"/>
      <c r="D6" s="109"/>
      <c r="E6" s="423"/>
      <c r="F6" s="145"/>
      <c r="G6" s="272"/>
      <c r="H6" s="145"/>
      <c r="I6" s="272"/>
      <c r="J6" s="146"/>
    </row>
    <row r="7" spans="1:10" x14ac:dyDescent="0.3">
      <c r="A7" s="109"/>
      <c r="B7" s="106"/>
      <c r="C7" s="106"/>
      <c r="D7" s="109"/>
      <c r="E7" s="424"/>
      <c r="F7" s="147"/>
      <c r="G7" s="147"/>
      <c r="H7" s="147"/>
      <c r="I7" s="147"/>
      <c r="J7" s="147"/>
    </row>
    <row r="8" spans="1:10" x14ac:dyDescent="0.3">
      <c r="A8" s="412" t="s">
        <v>171</v>
      </c>
      <c r="B8" s="148"/>
      <c r="C8" s="149"/>
      <c r="D8" s="109"/>
      <c r="E8" s="207">
        <f>'Asset Class Summary'!E88</f>
        <v>4418172.2429557955</v>
      </c>
      <c r="F8" s="203">
        <f>'Asset Class Summary'!F88</f>
        <v>7680862.5125399577</v>
      </c>
      <c r="G8" s="203">
        <f>'Asset Class Summary'!G88</f>
        <v>7762720.907036907</v>
      </c>
      <c r="H8" s="203">
        <f>'Asset Class Summary'!H88</f>
        <v>8865635.2596802507</v>
      </c>
      <c r="I8" s="203">
        <f>'Asset Class Summary'!I88</f>
        <v>10314928.964887982</v>
      </c>
      <c r="J8" s="204">
        <f t="shared" ref="J8:J20" si="0">SUM(E8:I8)</f>
        <v>39042319.887100898</v>
      </c>
    </row>
    <row r="9" spans="1:10" x14ac:dyDescent="0.3">
      <c r="A9" s="412" t="s">
        <v>172</v>
      </c>
      <c r="B9" s="148"/>
      <c r="C9" s="149"/>
      <c r="D9" s="150"/>
      <c r="E9" s="205">
        <f>'Asset Class Summary'!E89</f>
        <v>2820342.8904244858</v>
      </c>
      <c r="F9" s="205">
        <f>'Asset Class Summary'!F89</f>
        <v>4756783.6116447998</v>
      </c>
      <c r="G9" s="205">
        <f>'Asset Class Summary'!G89</f>
        <v>4079956.4670202825</v>
      </c>
      <c r="H9" s="205">
        <f>'Asset Class Summary'!H89</f>
        <v>5744763.5056617316</v>
      </c>
      <c r="I9" s="205">
        <f>'Asset Class Summary'!I89</f>
        <v>6898302.7625625888</v>
      </c>
      <c r="J9" s="206">
        <f t="shared" si="0"/>
        <v>24300149.237313889</v>
      </c>
    </row>
    <row r="10" spans="1:10" x14ac:dyDescent="0.3">
      <c r="A10" s="412" t="s">
        <v>173</v>
      </c>
      <c r="B10" s="148"/>
      <c r="C10" s="149"/>
      <c r="D10" s="109"/>
      <c r="E10" s="207">
        <f>'Asset Class Summary'!E90</f>
        <v>546953.32592991658</v>
      </c>
      <c r="F10" s="207">
        <f>'Asset Class Summary'!F90</f>
        <v>1055863.4230061313</v>
      </c>
      <c r="G10" s="207">
        <f>'Asset Class Summary'!G90</f>
        <v>1030281.2919902562</v>
      </c>
      <c r="H10" s="207">
        <f>'Asset Class Summary'!H90</f>
        <v>1204094.9451461069</v>
      </c>
      <c r="I10" s="207">
        <f>'Asset Class Summary'!I90</f>
        <v>1377927.1383606235</v>
      </c>
      <c r="J10" s="208">
        <f t="shared" si="0"/>
        <v>5215120.1244330341</v>
      </c>
    </row>
    <row r="11" spans="1:10" x14ac:dyDescent="0.3">
      <c r="A11" s="413" t="s">
        <v>174</v>
      </c>
      <c r="B11" s="151"/>
      <c r="C11" s="152"/>
      <c r="D11" s="109"/>
      <c r="E11" s="205">
        <f>'Asset Class Summary'!E91</f>
        <v>7572836.18373363</v>
      </c>
      <c r="F11" s="205">
        <f>'Asset Class Summary'!F91</f>
        <v>7142145.2836055569</v>
      </c>
      <c r="G11" s="205">
        <f>'Asset Class Summary'!G91</f>
        <v>6391393.3094063969</v>
      </c>
      <c r="H11" s="205">
        <f>'Asset Class Summary'!H91</f>
        <v>4238942.3809959739</v>
      </c>
      <c r="I11" s="205">
        <f>'Asset Class Summary'!I91</f>
        <v>2378414.9149989188</v>
      </c>
      <c r="J11" s="206">
        <f t="shared" si="0"/>
        <v>27723732.072740477</v>
      </c>
    </row>
    <row r="12" spans="1:10" x14ac:dyDescent="0.3">
      <c r="A12" s="413" t="s">
        <v>175</v>
      </c>
      <c r="B12" s="151"/>
      <c r="C12" s="152"/>
      <c r="D12" s="109"/>
      <c r="E12" s="207">
        <f>'Asset Class Summary'!E92</f>
        <v>13468751.55477489</v>
      </c>
      <c r="F12" s="207">
        <f>'Asset Class Summary'!F92</f>
        <v>20554920.808424462</v>
      </c>
      <c r="G12" s="207">
        <f>'Asset Class Summary'!G92</f>
        <v>12993852.73296251</v>
      </c>
      <c r="H12" s="207">
        <f>'Asset Class Summary'!H92</f>
        <v>10297373.210010277</v>
      </c>
      <c r="I12" s="207">
        <f>'Asset Class Summary'!I92</f>
        <v>4945712.2561500492</v>
      </c>
      <c r="J12" s="208">
        <f t="shared" si="0"/>
        <v>62260610.562322192</v>
      </c>
    </row>
    <row r="13" spans="1:10" x14ac:dyDescent="0.3">
      <c r="A13" s="413" t="s">
        <v>176</v>
      </c>
      <c r="B13" s="151"/>
      <c r="C13" s="152"/>
      <c r="D13" s="109"/>
      <c r="E13" s="205">
        <f>'Asset Class Summary'!E93</f>
        <v>2476556.3960936135</v>
      </c>
      <c r="F13" s="205">
        <f>'Asset Class Summary'!F93</f>
        <v>2011694.2797973508</v>
      </c>
      <c r="G13" s="205">
        <f>'Asset Class Summary'!G93</f>
        <v>2123640.614958283</v>
      </c>
      <c r="H13" s="205">
        <f>'Asset Class Summary'!H93</f>
        <v>1705460.2044236118</v>
      </c>
      <c r="I13" s="205">
        <f>'Asset Class Summary'!I93</f>
        <v>1419812.2450389685</v>
      </c>
      <c r="J13" s="206">
        <f t="shared" si="0"/>
        <v>9737163.7403118275</v>
      </c>
    </row>
    <row r="14" spans="1:10" x14ac:dyDescent="0.3">
      <c r="A14" s="414" t="s">
        <v>177</v>
      </c>
      <c r="B14" s="153"/>
      <c r="C14" s="154"/>
      <c r="D14" s="109"/>
      <c r="E14" s="207">
        <f>'Asset Class Summary'!E94</f>
        <v>5981907.1934687458</v>
      </c>
      <c r="F14" s="207">
        <f>'Asset Class Summary'!F94</f>
        <v>8201633.7967378329</v>
      </c>
      <c r="G14" s="207">
        <f>'Asset Class Summary'!G94</f>
        <v>10800059.474104267</v>
      </c>
      <c r="H14" s="207">
        <f>'Asset Class Summary'!H94</f>
        <v>7799221.7224363638</v>
      </c>
      <c r="I14" s="207">
        <f>'Asset Class Summary'!I94</f>
        <v>8329610.8214658126</v>
      </c>
      <c r="J14" s="208">
        <f t="shared" si="0"/>
        <v>41112433.008213028</v>
      </c>
    </row>
    <row r="15" spans="1:10" x14ac:dyDescent="0.3">
      <c r="A15" s="414" t="s">
        <v>232</v>
      </c>
      <c r="B15" s="153"/>
      <c r="C15" s="154"/>
      <c r="D15" s="109"/>
      <c r="E15" s="209">
        <f>'Asset Class Summary'!E95</f>
        <v>0</v>
      </c>
      <c r="F15" s="210">
        <f>'Asset Class Summary'!F95</f>
        <v>0</v>
      </c>
      <c r="G15" s="211">
        <f>'Asset Class Summary'!G95</f>
        <v>0</v>
      </c>
      <c r="H15" s="210">
        <f>'Asset Class Summary'!H95</f>
        <v>0</v>
      </c>
      <c r="I15" s="210">
        <f>'Asset Class Summary'!I95</f>
        <v>0</v>
      </c>
      <c r="J15" s="212">
        <f t="shared" si="0"/>
        <v>0</v>
      </c>
    </row>
    <row r="16" spans="1:10" x14ac:dyDescent="0.3">
      <c r="A16" s="415" t="s">
        <v>178</v>
      </c>
      <c r="B16" s="155"/>
      <c r="C16" s="156"/>
      <c r="D16" s="109"/>
      <c r="E16" s="207">
        <f>'Asset Class Summary'!E96</f>
        <v>1425643.5059760956</v>
      </c>
      <c r="F16" s="207">
        <f>'Asset Class Summary'!F96</f>
        <v>4274464.188247011</v>
      </c>
      <c r="G16" s="207">
        <f>'Asset Class Summary'!G96</f>
        <v>3067222.0468127485</v>
      </c>
      <c r="H16" s="207">
        <f>'Asset Class Summary'!H96</f>
        <v>1655956.71812749</v>
      </c>
      <c r="I16" s="207">
        <f>'Asset Class Summary'!I96</f>
        <v>1902432.2609561752</v>
      </c>
      <c r="J16" s="208">
        <f t="shared" si="0"/>
        <v>12325718.720119521</v>
      </c>
    </row>
    <row r="17" spans="1:10" x14ac:dyDescent="0.3">
      <c r="A17" s="415" t="s">
        <v>233</v>
      </c>
      <c r="B17" s="155"/>
      <c r="C17" s="156"/>
      <c r="D17" s="109"/>
      <c r="E17" s="209">
        <f>'Asset Class Summary'!E97</f>
        <v>0</v>
      </c>
      <c r="F17" s="210">
        <f>'Asset Class Summary'!F97</f>
        <v>629701.1952191235</v>
      </c>
      <c r="G17" s="211">
        <f>'Asset Class Summary'!G97</f>
        <v>0</v>
      </c>
      <c r="H17" s="210">
        <f>'Asset Class Summary'!H97</f>
        <v>0</v>
      </c>
      <c r="I17" s="210">
        <f>'Asset Class Summary'!I97</f>
        <v>629701.1952191235</v>
      </c>
      <c r="J17" s="212">
        <f t="shared" si="0"/>
        <v>1259402.390438247</v>
      </c>
    </row>
    <row r="18" spans="1:10" x14ac:dyDescent="0.3">
      <c r="A18" s="416" t="s">
        <v>179</v>
      </c>
      <c r="B18" s="157"/>
      <c r="C18" s="158"/>
      <c r="D18" s="109"/>
      <c r="E18" s="207">
        <f>'Asset Class Summary'!E98</f>
        <v>188682.70916334662</v>
      </c>
      <c r="F18" s="207">
        <f>'Asset Class Summary'!F98</f>
        <v>762987.94820717117</v>
      </c>
      <c r="G18" s="207">
        <f>'Asset Class Summary'!G98</f>
        <v>323246.61354581674</v>
      </c>
      <c r="H18" s="207">
        <f>'Asset Class Summary'!H98</f>
        <v>0</v>
      </c>
      <c r="I18" s="207">
        <f>'Asset Class Summary'!I98</f>
        <v>0</v>
      </c>
      <c r="J18" s="208">
        <f t="shared" si="0"/>
        <v>1274917.2709163344</v>
      </c>
    </row>
    <row r="19" spans="1:10" x14ac:dyDescent="0.3">
      <c r="A19" s="416" t="s">
        <v>234</v>
      </c>
      <c r="B19" s="157"/>
      <c r="C19" s="158"/>
      <c r="D19" s="109"/>
      <c r="E19" s="209">
        <f>'Asset Class Summary'!E99</f>
        <v>1481942.4039840638</v>
      </c>
      <c r="F19" s="210">
        <f>'Asset Class Summary'!F99</f>
        <v>1136610.6573705177</v>
      </c>
      <c r="G19" s="211">
        <f>'Asset Class Summary'!G99</f>
        <v>767973.08266932273</v>
      </c>
      <c r="H19" s="210">
        <f>'Asset Class Summary'!H99</f>
        <v>352999.99501992029</v>
      </c>
      <c r="I19" s="210">
        <f>'Asset Class Summary'!I99</f>
        <v>915375.63745019911</v>
      </c>
      <c r="J19" s="212">
        <f t="shared" si="0"/>
        <v>4654901.7764940234</v>
      </c>
    </row>
    <row r="20" spans="1:10" x14ac:dyDescent="0.3">
      <c r="A20" s="416" t="s">
        <v>235</v>
      </c>
      <c r="B20" s="157"/>
      <c r="C20" s="158"/>
      <c r="D20" s="109"/>
      <c r="E20" s="207">
        <f>'Asset Class Summary'!E100</f>
        <v>5460709.877646504</v>
      </c>
      <c r="F20" s="207">
        <f>'Asset Class Summary'!F100</f>
        <v>5372188.2110930299</v>
      </c>
      <c r="G20" s="207">
        <f>'Asset Class Summary'!G100</f>
        <v>4902985.6285444712</v>
      </c>
      <c r="H20" s="207">
        <f>'Asset Class Summary'!H100</f>
        <v>5485058.3814711198</v>
      </c>
      <c r="I20" s="207">
        <f>'Asset Class Summary'!I100</f>
        <v>2993738.3128186865</v>
      </c>
      <c r="J20" s="208">
        <f t="shared" si="0"/>
        <v>24214680.411573812</v>
      </c>
    </row>
    <row r="21" spans="1:10" ht="15" x14ac:dyDescent="0.25">
      <c r="A21" s="425" t="s">
        <v>259</v>
      </c>
      <c r="B21" s="421"/>
      <c r="C21" s="422"/>
      <c r="E21" s="209">
        <f>'Asset Class Summary'!E101</f>
        <v>114306.35986907064</v>
      </c>
      <c r="F21" s="210">
        <f>'Asset Class Summary'!F101</f>
        <v>32934.188779907767</v>
      </c>
      <c r="G21" s="211">
        <f>'Asset Class Summary'!G101</f>
        <v>176374.59355903309</v>
      </c>
      <c r="H21" s="210">
        <f>'Asset Class Summary'!H101</f>
        <v>73519.450055529858</v>
      </c>
      <c r="I21" s="210">
        <f>'Asset Class Summary'!I101</f>
        <v>49764.25565738052</v>
      </c>
      <c r="J21" s="212">
        <f t="shared" ref="J21:J26" si="1">SUM(E21:I21)</f>
        <v>446898.84792092181</v>
      </c>
    </row>
    <row r="22" spans="1:10" ht="15" x14ac:dyDescent="0.25">
      <c r="A22" s="425" t="s">
        <v>260</v>
      </c>
      <c r="B22" s="421"/>
      <c r="C22" s="422"/>
      <c r="E22" s="207">
        <f>'Asset Class Summary'!E102</f>
        <v>1347617.3251553089</v>
      </c>
      <c r="F22" s="207">
        <f>'Asset Class Summary'!F102</f>
        <v>1112745.0220297785</v>
      </c>
      <c r="G22" s="207">
        <f>'Asset Class Summary'!G102</f>
        <v>4242901.6740634656</v>
      </c>
      <c r="H22" s="207">
        <f>'Asset Class Summary'!H102</f>
        <v>4815315.9954871051</v>
      </c>
      <c r="I22" s="207">
        <f>'Asset Class Summary'!I102</f>
        <v>1546060.2606244339</v>
      </c>
      <c r="J22" s="208">
        <f t="shared" si="1"/>
        <v>13064640.277360093</v>
      </c>
    </row>
    <row r="23" spans="1:10" ht="15" x14ac:dyDescent="0.25">
      <c r="A23" s="425" t="s">
        <v>261</v>
      </c>
      <c r="B23" s="421"/>
      <c r="C23" s="422"/>
      <c r="E23" s="209">
        <f>'Asset Class Summary'!E103</f>
        <v>1904093.9201424324</v>
      </c>
      <c r="F23" s="210">
        <f>'Asset Class Summary'!F103</f>
        <v>947866.11576722143</v>
      </c>
      <c r="G23" s="211">
        <f>'Asset Class Summary'!G103</f>
        <v>713687.14550396078</v>
      </c>
      <c r="H23" s="210">
        <f>'Asset Class Summary'!H103</f>
        <v>1032555.5862123007</v>
      </c>
      <c r="I23" s="210">
        <f>'Asset Class Summary'!I103</f>
        <v>1019847.2789966008</v>
      </c>
      <c r="J23" s="212">
        <f t="shared" si="1"/>
        <v>5618050.0466225157</v>
      </c>
    </row>
    <row r="24" spans="1:10" ht="15" x14ac:dyDescent="0.25">
      <c r="A24" s="420" t="s">
        <v>180</v>
      </c>
      <c r="B24" s="464"/>
      <c r="C24" s="465"/>
      <c r="E24" s="207">
        <f>'Asset Class Summary'!E104</f>
        <v>1799308.6959303499</v>
      </c>
      <c r="F24" s="207">
        <f>'Asset Class Summary'!F104</f>
        <v>425166.27969099826</v>
      </c>
      <c r="G24" s="207">
        <f>'Asset Class Summary'!G104</f>
        <v>496018.04411575402</v>
      </c>
      <c r="H24" s="207">
        <f>'Asset Class Summary'!H104</f>
        <v>419508.58467944217</v>
      </c>
      <c r="I24" s="207">
        <f>'Asset Class Summary'!I104</f>
        <v>551040.65221163514</v>
      </c>
      <c r="J24" s="208">
        <f t="shared" si="1"/>
        <v>3691042.256628179</v>
      </c>
    </row>
    <row r="25" spans="1:10" ht="15" x14ac:dyDescent="0.25">
      <c r="A25" s="425"/>
      <c r="B25" s="421"/>
      <c r="C25" s="422"/>
      <c r="E25" s="209">
        <f>'Asset Class Summary'!E105</f>
        <v>0</v>
      </c>
      <c r="F25" s="210">
        <f>'Asset Class Summary'!F105</f>
        <v>0</v>
      </c>
      <c r="G25" s="211">
        <f>'Asset Class Summary'!G105</f>
        <v>0</v>
      </c>
      <c r="H25" s="210">
        <f>'Asset Class Summary'!H105</f>
        <v>0</v>
      </c>
      <c r="I25" s="210">
        <f>'Asset Class Summary'!I105</f>
        <v>0</v>
      </c>
      <c r="J25" s="212">
        <f t="shared" si="1"/>
        <v>0</v>
      </c>
    </row>
    <row r="26" spans="1:10" ht="15" x14ac:dyDescent="0.25">
      <c r="A26" s="425"/>
      <c r="B26" s="421"/>
      <c r="C26" s="422"/>
      <c r="E26" s="207">
        <f>'Asset Class Summary'!E106</f>
        <v>0</v>
      </c>
      <c r="F26" s="207">
        <f>'Asset Class Summary'!F106</f>
        <v>0</v>
      </c>
      <c r="G26" s="207">
        <f>'Asset Class Summary'!G106</f>
        <v>0</v>
      </c>
      <c r="H26" s="207">
        <f>'Asset Class Summary'!H106</f>
        <v>0</v>
      </c>
      <c r="I26" s="207">
        <f>'Asset Class Summary'!I106</f>
        <v>0</v>
      </c>
      <c r="J26" s="208">
        <f t="shared" si="1"/>
        <v>0</v>
      </c>
    </row>
    <row r="27" spans="1:10" ht="15" x14ac:dyDescent="0.25">
      <c r="A27" s="425"/>
      <c r="B27" s="421"/>
      <c r="C27" s="422"/>
      <c r="E27" s="209">
        <f>'Asset Class Summary'!E107</f>
        <v>0</v>
      </c>
      <c r="F27" s="210">
        <f>'Asset Class Summary'!F107</f>
        <v>0</v>
      </c>
      <c r="G27" s="211">
        <f>'Asset Class Summary'!G107</f>
        <v>0</v>
      </c>
      <c r="H27" s="210">
        <f>'Asset Class Summary'!H107</f>
        <v>0</v>
      </c>
      <c r="I27" s="210">
        <f>'Asset Class Summary'!I107</f>
        <v>0</v>
      </c>
      <c r="J27" s="212">
        <f t="shared" ref="J27:J31" si="2">SUM(E27:I27)</f>
        <v>0</v>
      </c>
    </row>
    <row r="28" spans="1:10" ht="15" x14ac:dyDescent="0.25">
      <c r="A28" s="425"/>
      <c r="B28" s="421"/>
      <c r="C28" s="422"/>
      <c r="E28" s="207">
        <f>'Asset Class Summary'!E108</f>
        <v>0</v>
      </c>
      <c r="F28" s="207">
        <f>'Asset Class Summary'!F108</f>
        <v>0</v>
      </c>
      <c r="G28" s="207">
        <f>'Asset Class Summary'!G108</f>
        <v>0</v>
      </c>
      <c r="H28" s="207">
        <f>'Asset Class Summary'!H108</f>
        <v>0</v>
      </c>
      <c r="I28" s="207">
        <f>'Asset Class Summary'!I108</f>
        <v>0</v>
      </c>
      <c r="J28" s="208">
        <f t="shared" si="2"/>
        <v>0</v>
      </c>
    </row>
    <row r="29" spans="1:10" ht="15" x14ac:dyDescent="0.25">
      <c r="A29" s="425"/>
      <c r="B29" s="421"/>
      <c r="C29" s="422"/>
      <c r="E29" s="209">
        <f>'Asset Class Summary'!E109</f>
        <v>0</v>
      </c>
      <c r="F29" s="210">
        <f>'Asset Class Summary'!F109</f>
        <v>0</v>
      </c>
      <c r="G29" s="211">
        <f>'Asset Class Summary'!G109</f>
        <v>0</v>
      </c>
      <c r="H29" s="210">
        <f>'Asset Class Summary'!H109</f>
        <v>0</v>
      </c>
      <c r="I29" s="210">
        <f>'Asset Class Summary'!I109</f>
        <v>0</v>
      </c>
      <c r="J29" s="212">
        <f t="shared" si="2"/>
        <v>0</v>
      </c>
    </row>
    <row r="30" spans="1:10" x14ac:dyDescent="0.3">
      <c r="A30" s="425"/>
      <c r="B30" s="421"/>
      <c r="C30" s="422"/>
      <c r="E30" s="207">
        <f>'Asset Class Summary'!E110</f>
        <v>0</v>
      </c>
      <c r="F30" s="207">
        <f>'Asset Class Summary'!F110</f>
        <v>0</v>
      </c>
      <c r="G30" s="207">
        <f>'Asset Class Summary'!G110</f>
        <v>0</v>
      </c>
      <c r="H30" s="207">
        <f>'Asset Class Summary'!H110</f>
        <v>0</v>
      </c>
      <c r="I30" s="207">
        <f>'Asset Class Summary'!I110</f>
        <v>0</v>
      </c>
      <c r="J30" s="208">
        <f t="shared" si="2"/>
        <v>0</v>
      </c>
    </row>
    <row r="31" spans="1:10" x14ac:dyDescent="0.3">
      <c r="A31" s="417"/>
      <c r="B31" s="418"/>
      <c r="C31" s="419"/>
      <c r="D31" s="109"/>
      <c r="E31" s="213">
        <f>'Asset Class Summary'!E111</f>
        <v>0</v>
      </c>
      <c r="F31" s="214">
        <f>'Asset Class Summary'!F111</f>
        <v>0</v>
      </c>
      <c r="G31" s="215">
        <f>'Asset Class Summary'!G111</f>
        <v>0</v>
      </c>
      <c r="H31" s="214">
        <f>'Asset Class Summary'!H111</f>
        <v>0</v>
      </c>
      <c r="I31" s="214">
        <f>'Asset Class Summary'!I111</f>
        <v>0</v>
      </c>
      <c r="J31" s="216">
        <f t="shared" si="2"/>
        <v>0</v>
      </c>
    </row>
    <row r="32" spans="1:10" x14ac:dyDescent="0.3">
      <c r="A32" s="109"/>
      <c r="B32" s="109"/>
      <c r="C32" s="109"/>
      <c r="D32" s="109"/>
      <c r="E32" s="217"/>
      <c r="F32" s="217"/>
      <c r="G32" s="217"/>
      <c r="H32" s="217"/>
      <c r="I32" s="217"/>
      <c r="J32" s="218"/>
    </row>
    <row r="33" spans="1:10" x14ac:dyDescent="0.3">
      <c r="A33" s="159" t="s">
        <v>181</v>
      </c>
      <c r="B33" s="160"/>
      <c r="C33" s="160"/>
      <c r="D33" s="109"/>
      <c r="E33" s="219">
        <f t="shared" ref="E33:J33" si="3">SUM(E6:E31)</f>
        <v>51007824.585248254</v>
      </c>
      <c r="F33" s="219">
        <f t="shared" si="3"/>
        <v>66098567.522160843</v>
      </c>
      <c r="G33" s="219">
        <f t="shared" si="3"/>
        <v>59872313.62629348</v>
      </c>
      <c r="H33" s="219">
        <f t="shared" si="3"/>
        <v>53690405.939407222</v>
      </c>
      <c r="I33" s="219">
        <f t="shared" si="3"/>
        <v>45272668.957399175</v>
      </c>
      <c r="J33" s="220">
        <f t="shared" si="3"/>
        <v>275941780.63050908</v>
      </c>
    </row>
  </sheetData>
  <conditionalFormatting sqref="E5:G5">
    <cfRule type="expression" dxfId="6" priority="3" stopIfTrue="1">
      <formula>ISBLANK(E5)</formula>
    </cfRule>
  </conditionalFormatting>
  <conditionalFormatting sqref="E5:G5">
    <cfRule type="expression" dxfId="5" priority="2" stopIfTrue="1">
      <formula>ISBLANK(E5)</formula>
    </cfRule>
  </conditionalFormatting>
  <conditionalFormatting sqref="E5:G5">
    <cfRule type="expression" dxfId="4" priority="1" stopIfTrue="1">
      <formula>ISBLANK(E5)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10"/>
  <sheetViews>
    <sheetView topLeftCell="C43" workbookViewId="0">
      <selection activeCell="H74" sqref="H74:L74"/>
    </sheetView>
  </sheetViews>
  <sheetFormatPr defaultRowHeight="15" customHeight="1" x14ac:dyDescent="0.3"/>
  <cols>
    <col min="1" max="1" width="3.5546875" style="104" bestFit="1" customWidth="1"/>
    <col min="2" max="2" width="5.5546875" style="104" bestFit="1" customWidth="1"/>
    <col min="3" max="3" width="14.5546875" customWidth="1"/>
    <col min="4" max="4" width="55" customWidth="1"/>
    <col min="5" max="5" width="18.44140625" style="167" customWidth="1"/>
    <col min="6" max="6" width="14.5546875" style="167" customWidth="1"/>
    <col min="7" max="7" width="12.5546875" customWidth="1"/>
    <col min="8" max="13" width="10" style="167" customWidth="1"/>
    <col min="14" max="14" width="15.6640625" customWidth="1"/>
    <col min="15" max="15" width="78.6640625" bestFit="1" customWidth="1"/>
    <col min="16" max="16" width="18.6640625" customWidth="1"/>
    <col min="17" max="17" width="18.6640625" bestFit="1" customWidth="1"/>
    <col min="18" max="18" width="37.6640625" bestFit="1" customWidth="1"/>
    <col min="19" max="19" width="50.6640625" customWidth="1"/>
    <col min="25" max="25" width="16.6640625" bestFit="1" customWidth="1"/>
  </cols>
  <sheetData>
    <row r="1" spans="1:18" ht="15" customHeight="1" x14ac:dyDescent="0.4">
      <c r="C1" s="105" t="s">
        <v>98</v>
      </c>
      <c r="D1" s="105"/>
      <c r="L1" s="168"/>
      <c r="O1" s="106"/>
    </row>
    <row r="2" spans="1:18" ht="15" customHeight="1" x14ac:dyDescent="0.3">
      <c r="G2" s="109"/>
    </row>
    <row r="3" spans="1:18" ht="15" customHeight="1" x14ac:dyDescent="0.3">
      <c r="C3" s="107" t="s">
        <v>193</v>
      </c>
      <c r="D3" s="108"/>
      <c r="G3" s="109"/>
    </row>
    <row r="4" spans="1:18" ht="15" customHeight="1" x14ac:dyDescent="0.3">
      <c r="E4" s="114"/>
      <c r="G4" s="109"/>
      <c r="H4" s="607" t="s">
        <v>99</v>
      </c>
      <c r="I4" s="608"/>
      <c r="J4" s="608"/>
      <c r="K4" s="608"/>
      <c r="L4" s="608"/>
      <c r="M4" s="609"/>
    </row>
    <row r="5" spans="1:18" ht="15" customHeight="1" x14ac:dyDescent="0.3">
      <c r="F5" s="343" t="s">
        <v>206</v>
      </c>
      <c r="G5" s="111"/>
      <c r="H5" s="610"/>
      <c r="I5" s="611"/>
      <c r="J5" s="611"/>
      <c r="K5" s="611"/>
      <c r="L5" s="611"/>
      <c r="M5" s="612"/>
      <c r="N5" s="109"/>
      <c r="O5" s="613" t="s">
        <v>103</v>
      </c>
      <c r="P5" s="613" t="s">
        <v>104</v>
      </c>
      <c r="Q5" s="613" t="s">
        <v>105</v>
      </c>
      <c r="R5" s="613" t="s">
        <v>106</v>
      </c>
    </row>
    <row r="6" spans="1:18" ht="15" customHeight="1" x14ac:dyDescent="0.3">
      <c r="C6" s="107" t="s">
        <v>100</v>
      </c>
      <c r="D6" s="112" t="s">
        <v>101</v>
      </c>
      <c r="E6" s="114" t="s">
        <v>16</v>
      </c>
      <c r="F6" s="113" t="s">
        <v>207</v>
      </c>
      <c r="H6" s="115" t="str">
        <f t="array" ref="H6:L6">'Input Data Sheet'!S3:W3</f>
        <v>2014/15</v>
      </c>
      <c r="I6" s="115" t="str">
        <v>2015/16</v>
      </c>
      <c r="J6" s="115" t="str">
        <v>2016/17</v>
      </c>
      <c r="K6" s="115" t="str">
        <v>2017/18</v>
      </c>
      <c r="L6" s="115" t="str">
        <v>2018/19</v>
      </c>
      <c r="M6" s="116" t="s">
        <v>102</v>
      </c>
      <c r="O6" s="614"/>
      <c r="P6" s="614" t="s">
        <v>104</v>
      </c>
      <c r="Q6" s="614" t="s">
        <v>105</v>
      </c>
      <c r="R6" s="614" t="s">
        <v>106</v>
      </c>
    </row>
    <row r="7" spans="1:18" ht="15" customHeight="1" x14ac:dyDescent="0.3">
      <c r="D7" s="112"/>
      <c r="E7" s="117"/>
      <c r="F7" s="344"/>
      <c r="H7" s="169"/>
      <c r="I7" s="169"/>
      <c r="J7" s="169"/>
      <c r="K7" s="169"/>
      <c r="L7" s="169"/>
      <c r="M7" s="169"/>
    </row>
    <row r="8" spans="1:18" ht="15" customHeight="1" x14ac:dyDescent="0.3">
      <c r="C8" s="118"/>
      <c r="D8" s="119"/>
      <c r="E8" s="176"/>
      <c r="F8" s="345"/>
      <c r="H8" s="170"/>
      <c r="I8" s="170"/>
      <c r="J8" s="170"/>
      <c r="K8" s="170"/>
      <c r="L8" s="170"/>
      <c r="M8" s="171"/>
      <c r="N8" s="121"/>
      <c r="O8" s="122"/>
      <c r="P8" s="123"/>
      <c r="Q8" s="123"/>
      <c r="R8" s="123"/>
    </row>
    <row r="9" spans="1:18" ht="15" customHeight="1" x14ac:dyDescent="0.3">
      <c r="A9" s="104">
        <f t="array" ref="A9:A105">IF(ISERROR(MATCH('Cost+CPI'!$C$4:$C$100,Parameters!$E$66:$E$75,0)),999,ROW()-ROW(A5))</f>
        <v>4</v>
      </c>
      <c r="B9" s="104">
        <f t="array" ref="B9:B105">SMALL($A$9:$A$105,ROW()-ROW(B8))</f>
        <v>4</v>
      </c>
      <c r="C9" s="124" t="str">
        <f>IF($B9=999,"",INDEX('Cost+CPI'!A:A,$B9))</f>
        <v>ND0826</v>
      </c>
      <c r="D9" s="125" t="str">
        <f>IF($B9=999,"",INDEX('Cost+CPI'!B:B,$B9))</f>
        <v>Avoca Substation 110 kV Redevelopment</v>
      </c>
      <c r="E9" s="349" t="str">
        <f>IF($B9=999,"",INDEX('Cost+CPI'!C:C,$B9))</f>
        <v>Asset Renewal</v>
      </c>
      <c r="F9" s="346" t="str">
        <f>IF($B9=999,"",INDEX('Cost+CPI'!D:D,$B9))</f>
        <v>2014/15</v>
      </c>
      <c r="H9" s="170">
        <f>IF(ISERR($B9),0,INDEX('Cost+CPI'!R:R,$B9))</f>
        <v>282736</v>
      </c>
      <c r="I9" s="170">
        <f>IF(ISERR($B9),0,INDEX('Cost+CPI'!S:S,$B9))</f>
        <v>0</v>
      </c>
      <c r="J9" s="170">
        <f>IF(ISERR($B9),0,INDEX('Cost+CPI'!T:T,$B9))</f>
        <v>0</v>
      </c>
      <c r="K9" s="170">
        <f>IF(ISERR($B9),0,INDEX('Cost+CPI'!U:U,$B9))</f>
        <v>0</v>
      </c>
      <c r="L9" s="170">
        <f>IF(ISERR($B9),0,INDEX('Cost+CPI'!V:V,$B9))</f>
        <v>0</v>
      </c>
      <c r="M9" s="171">
        <f t="shared" ref="M9:M72" si="0">SUM(H9:L9)</f>
        <v>282736</v>
      </c>
      <c r="N9" s="121"/>
      <c r="O9" s="270" t="s">
        <v>108</v>
      </c>
      <c r="P9" s="121"/>
      <c r="Q9" s="121"/>
      <c r="R9" s="121"/>
    </row>
    <row r="10" spans="1:18" ht="15" customHeight="1" x14ac:dyDescent="0.3">
      <c r="A10" s="104">
        <v>5</v>
      </c>
      <c r="B10" s="104">
        <v>5</v>
      </c>
      <c r="C10" s="124" t="str">
        <f>IF($B10=999,"",INDEX('Cost+CPI'!A:A,$B10))</f>
        <v>ND1306</v>
      </c>
      <c r="D10" s="125" t="str">
        <f>IF($B10=999,"",INDEX('Cost+CPI'!B:B,$B10))</f>
        <v>Bridgewater 110 kV transmission line security augmentation</v>
      </c>
      <c r="E10" s="349" t="str">
        <f>IF($B10=999,"",INDEX('Cost+CPI'!C:C,$B10))</f>
        <v>Augmentation</v>
      </c>
      <c r="F10" s="346" t="str">
        <f>IF($B10=999,"",INDEX('Cost+CPI'!D:D,$B10))</f>
        <v>2016/17</v>
      </c>
      <c r="H10" s="170">
        <f>IF(ISERR($B10),0,INDEX('Cost+CPI'!R:R,$B10))</f>
        <v>741.83894840248195</v>
      </c>
      <c r="I10" s="170">
        <f>IF(ISERR($B10),0,INDEX('Cost+CPI'!S:S,$B10))</f>
        <v>373394.9730434267</v>
      </c>
      <c r="J10" s="170">
        <f>IF(ISERR($B10),0,INDEX('Cost+CPI'!T:T,$B10))</f>
        <v>1262214.8601014449</v>
      </c>
      <c r="K10" s="170">
        <f>IF(ISERR($B10),0,INDEX('Cost+CPI'!U:U,$B10))</f>
        <v>0</v>
      </c>
      <c r="L10" s="170">
        <f>IF(ISERR($B10),0,INDEX('Cost+CPI'!V:V,$B10))</f>
        <v>0</v>
      </c>
      <c r="M10" s="171">
        <f t="shared" si="0"/>
        <v>1636351.6720932741</v>
      </c>
      <c r="N10" s="121"/>
      <c r="O10" s="270" t="s">
        <v>110</v>
      </c>
      <c r="P10" s="121"/>
      <c r="Q10" s="121"/>
      <c r="R10" s="121"/>
    </row>
    <row r="11" spans="1:18" ht="15" customHeight="1" x14ac:dyDescent="0.3">
      <c r="A11" s="104">
        <v>6</v>
      </c>
      <c r="B11" s="104">
        <v>6</v>
      </c>
      <c r="C11" s="124" t="str">
        <f>IF($B11=999,"",INDEX('Cost+CPI'!A:A,$B11))</f>
        <v>ND0908</v>
      </c>
      <c r="D11" s="125" t="str">
        <f>IF($B11=999,"",INDEX('Cost+CPI'!B:B,$B11))</f>
        <v>Burnie Substation 110 kV redevelopment</v>
      </c>
      <c r="E11" s="349" t="str">
        <f>IF($B11=999,"",INDEX('Cost+CPI'!C:C,$B11))</f>
        <v>Asset Renewal</v>
      </c>
      <c r="F11" s="346" t="str">
        <f>IF($B11=999,"",INDEX('Cost+CPI'!D:D,$B11))</f>
        <v>2014/15</v>
      </c>
      <c r="H11" s="170">
        <f>IF(ISERR($B11),0,INDEX('Cost+CPI'!R:R,$B11))</f>
        <v>29000</v>
      </c>
      <c r="I11" s="170">
        <f>IF(ISERR($B11),0,INDEX('Cost+CPI'!S:S,$B11))</f>
        <v>0</v>
      </c>
      <c r="J11" s="170">
        <f>IF(ISERR($B11),0,INDEX('Cost+CPI'!T:T,$B11))</f>
        <v>0</v>
      </c>
      <c r="K11" s="170">
        <f>IF(ISERR($B11),0,INDEX('Cost+CPI'!U:U,$B11))</f>
        <v>0</v>
      </c>
      <c r="L11" s="170">
        <f>IF(ISERR($B11),0,INDEX('Cost+CPI'!V:V,$B11))</f>
        <v>0</v>
      </c>
      <c r="M11" s="171">
        <f t="shared" si="0"/>
        <v>29000</v>
      </c>
      <c r="N11" s="121"/>
      <c r="O11" s="270" t="s">
        <v>112</v>
      </c>
      <c r="P11" s="121"/>
      <c r="Q11" s="121"/>
      <c r="R11" s="121"/>
    </row>
    <row r="12" spans="1:18" ht="15" customHeight="1" x14ac:dyDescent="0.3">
      <c r="A12" s="104">
        <v>7</v>
      </c>
      <c r="B12" s="104">
        <v>7</v>
      </c>
      <c r="C12" s="124" t="str">
        <f>IF($B12=999,"",INDEX('Cost+CPI'!A:A,$B12))</f>
        <v>ND1307</v>
      </c>
      <c r="D12" s="125" t="str">
        <f>IF($B12=999,"",INDEX('Cost+CPI'!B:B,$B12))</f>
        <v>Condition Based Risk Management System (Stage 2)</v>
      </c>
      <c r="E12" s="349" t="str">
        <f>IF($B12=999,"",INDEX('Cost+CPI'!C:C,$B12))</f>
        <v>Operational Support Systems</v>
      </c>
      <c r="F12" s="346" t="str">
        <f>IF($B12=999,"",INDEX('Cost+CPI'!D:D,$B12))</f>
        <v>2018/19</v>
      </c>
      <c r="H12" s="170">
        <f>IF(ISERR($B12),0,INDEX('Cost+CPI'!R:R,$B12))</f>
        <v>0</v>
      </c>
      <c r="I12" s="170">
        <f>IF(ISERR($B12),0,INDEX('Cost+CPI'!S:S,$B12))</f>
        <v>0</v>
      </c>
      <c r="J12" s="170">
        <f>IF(ISERR($B12),0,INDEX('Cost+CPI'!T:T,$B12))</f>
        <v>0</v>
      </c>
      <c r="K12" s="170">
        <f>IF(ISERR($B12),0,INDEX('Cost+CPI'!U:U,$B12))</f>
        <v>0</v>
      </c>
      <c r="L12" s="170">
        <f>IF(ISERR($B12),0,INDEX('Cost+CPI'!V:V,$B12))</f>
        <v>476841.23007968126</v>
      </c>
      <c r="M12" s="171">
        <f t="shared" si="0"/>
        <v>476841.23007968126</v>
      </c>
      <c r="N12" s="121"/>
      <c r="O12" s="270" t="s">
        <v>113</v>
      </c>
      <c r="P12" s="121"/>
      <c r="Q12" s="121"/>
      <c r="R12" s="121"/>
    </row>
    <row r="13" spans="1:18" ht="15" customHeight="1" x14ac:dyDescent="0.3">
      <c r="A13" s="104">
        <v>8</v>
      </c>
      <c r="B13" s="104">
        <v>8</v>
      </c>
      <c r="C13" s="124" t="str">
        <f>IF($B13=999,"",INDEX('Cost+CPI'!A:A,$B13))</f>
        <v>TBA1</v>
      </c>
      <c r="D13" s="125" t="str">
        <f>IF($B13=999,"",INDEX('Cost+CPI'!B:B,$B13))</f>
        <v>Consumer engagement management system</v>
      </c>
      <c r="E13" s="349" t="str">
        <f>IF($B13=999,"",INDEX('Cost+CPI'!C:C,$B13))</f>
        <v>Operational Support Systems</v>
      </c>
      <c r="F13" s="346" t="str">
        <f>IF($B13=999,"",INDEX('Cost+CPI'!D:D,$B13))</f>
        <v>2017/18</v>
      </c>
      <c r="H13" s="170">
        <f>IF(ISERR($B13),0,INDEX('Cost+CPI'!R:R,$B13))</f>
        <v>162672.80876494022</v>
      </c>
      <c r="I13" s="170">
        <f>IF(ISERR($B13),0,INDEX('Cost+CPI'!S:S,$B13))</f>
        <v>503760.95617529878</v>
      </c>
      <c r="J13" s="170">
        <f>IF(ISERR($B13),0,INDEX('Cost+CPI'!T:T,$B13))</f>
        <v>278118.02788844617</v>
      </c>
      <c r="K13" s="170">
        <f>IF(ISERR($B13),0,INDEX('Cost+CPI'!U:U,$B13))</f>
        <v>83960.159362549792</v>
      </c>
      <c r="L13" s="170">
        <f>IF(ISERR($B13),0,INDEX('Cost+CPI'!V:V,$B13))</f>
        <v>0</v>
      </c>
      <c r="M13" s="171">
        <f t="shared" si="0"/>
        <v>1028511.9521912349</v>
      </c>
      <c r="N13" s="121"/>
      <c r="O13" s="270" t="s">
        <v>115</v>
      </c>
      <c r="P13" s="121"/>
      <c r="Q13" s="121"/>
      <c r="R13" s="121"/>
    </row>
    <row r="14" spans="1:18" ht="15" customHeight="1" x14ac:dyDescent="0.3">
      <c r="A14" s="104">
        <v>9</v>
      </c>
      <c r="B14" s="104">
        <v>9</v>
      </c>
      <c r="C14" s="124" t="str">
        <f>IF($B14=999,"",INDEX('Cost+CPI'!A:A,$B14))</f>
        <v>ND0733</v>
      </c>
      <c r="D14" s="125" t="str">
        <f>IF($B14=999,"",INDEX('Cost+CPI'!B:B,$B14))</f>
        <v>Creek Road Substation 110 kV redevelopment</v>
      </c>
      <c r="E14" s="349" t="str">
        <f>IF($B14=999,"",INDEX('Cost+CPI'!C:C,$B14))</f>
        <v>Asset Renewal</v>
      </c>
      <c r="F14" s="346" t="str">
        <f>IF($B14=999,"",INDEX('Cost+CPI'!D:D,$B14))</f>
        <v>2014/15</v>
      </c>
      <c r="H14" s="170">
        <f>IF(ISERR($B14),0,INDEX('Cost+CPI'!R:R,$B14))</f>
        <v>1010598</v>
      </c>
      <c r="I14" s="170">
        <f>IF(ISERR($B14),0,INDEX('Cost+CPI'!S:S,$B14))</f>
        <v>0</v>
      </c>
      <c r="J14" s="170">
        <f>IF(ISERR($B14),0,INDEX('Cost+CPI'!T:T,$B14))</f>
        <v>0</v>
      </c>
      <c r="K14" s="170">
        <f>IF(ISERR($B14),0,INDEX('Cost+CPI'!U:U,$B14))</f>
        <v>0</v>
      </c>
      <c r="L14" s="170">
        <f>IF(ISERR($B14),0,INDEX('Cost+CPI'!V:V,$B14))</f>
        <v>0</v>
      </c>
      <c r="M14" s="171">
        <f t="shared" si="0"/>
        <v>1010598</v>
      </c>
      <c r="N14" s="121"/>
      <c r="O14" s="270" t="s">
        <v>116</v>
      </c>
      <c r="P14" s="121"/>
      <c r="Q14" s="121"/>
      <c r="R14" s="121"/>
    </row>
    <row r="15" spans="1:18" ht="15" customHeight="1" x14ac:dyDescent="0.3">
      <c r="A15" s="104">
        <v>10</v>
      </c>
      <c r="B15" s="104">
        <v>10</v>
      </c>
      <c r="C15" s="124" t="str">
        <f>IF($B15=999,"",INDEX('Cost+CPI'!A:A,$B15))</f>
        <v>TBA3</v>
      </c>
      <c r="D15" s="125" t="str">
        <f>IF($B15=999,"",INDEX('Cost+CPI'!B:B,$B15))</f>
        <v>Derwent Bridge transmission line redevelopment</v>
      </c>
      <c r="E15" s="349" t="str">
        <f>IF($B15=999,"",INDEX('Cost+CPI'!C:C,$B15))</f>
        <v>Asset Renewal</v>
      </c>
      <c r="F15" s="346" t="str">
        <f>IF($B15=999,"",INDEX('Cost+CPI'!D:D,$B15))</f>
        <v>2016/17</v>
      </c>
      <c r="H15" s="170">
        <f>IF(ISERR($B15),0,INDEX('Cost+CPI'!R:R,$B15))</f>
        <v>440260.50350295665</v>
      </c>
      <c r="I15" s="170">
        <f>IF(ISERR($B15),0,INDEX('Cost+CPI'!S:S,$B15))</f>
        <v>670079.27112810779</v>
      </c>
      <c r="J15" s="170">
        <f>IF(ISERR($B15),0,INDEX('Cost+CPI'!T:T,$B15))</f>
        <v>0</v>
      </c>
      <c r="K15" s="170">
        <f>IF(ISERR($B15),0,INDEX('Cost+CPI'!U:U,$B15))</f>
        <v>0</v>
      </c>
      <c r="L15" s="170">
        <f>IF(ISERR($B15),0,INDEX('Cost+CPI'!V:V,$B15))</f>
        <v>0</v>
      </c>
      <c r="M15" s="171">
        <f t="shared" si="0"/>
        <v>1110339.7746310644</v>
      </c>
      <c r="N15" s="121"/>
      <c r="O15" s="270" t="s">
        <v>117</v>
      </c>
      <c r="P15" s="121"/>
      <c r="Q15" s="121"/>
      <c r="R15" s="121"/>
    </row>
    <row r="16" spans="1:18" ht="15" customHeight="1" x14ac:dyDescent="0.3">
      <c r="A16" s="104">
        <v>11</v>
      </c>
      <c r="B16" s="104">
        <v>11</v>
      </c>
      <c r="C16" s="124" t="str">
        <f>IF($B16=999,"",INDEX('Cost+CPI'!A:A,$B16))</f>
        <v>ND1211</v>
      </c>
      <c r="D16" s="125" t="str">
        <f>IF($B16=999,"",INDEX('Cost+CPI'!B:B,$B16))</f>
        <v>Enterprise Asset Management system</v>
      </c>
      <c r="E16" s="349" t="str">
        <f>IF($B16=999,"",INDEX('Cost+CPI'!C:C,$B16))</f>
        <v>Operational Support Systems</v>
      </c>
      <c r="F16" s="346" t="str">
        <f>IF($B16=999,"",INDEX('Cost+CPI'!D:D,$B16))</f>
        <v>2018/19</v>
      </c>
      <c r="H16" s="170">
        <f>IF(ISERR($B16),0,INDEX('Cost+CPI'!R:R,$B16))</f>
        <v>314850.59760956175</v>
      </c>
      <c r="I16" s="170">
        <f>IF(ISERR($B16),0,INDEX('Cost+CPI'!S:S,$B16))</f>
        <v>3261327.4402390434</v>
      </c>
      <c r="J16" s="170">
        <f>IF(ISERR($B16),0,INDEX('Cost+CPI'!T:T,$B16))</f>
        <v>1279342.9282868525</v>
      </c>
      <c r="K16" s="170">
        <f>IF(ISERR($B16),0,INDEX('Cost+CPI'!U:U,$B16))</f>
        <v>590344.87051792827</v>
      </c>
      <c r="L16" s="170">
        <f>IF(ISERR($B16),0,INDEX('Cost+CPI'!V:V,$B16))</f>
        <v>787126.49402390432</v>
      </c>
      <c r="M16" s="171">
        <f t="shared" si="0"/>
        <v>6232992.3306772904</v>
      </c>
      <c r="N16" s="121"/>
      <c r="O16" s="270" t="s">
        <v>118</v>
      </c>
      <c r="P16" s="121"/>
      <c r="Q16" s="121"/>
      <c r="R16" s="121"/>
    </row>
    <row r="17" spans="1:18" ht="15" customHeight="1" x14ac:dyDescent="0.3">
      <c r="A17" s="104">
        <v>999</v>
      </c>
      <c r="B17" s="104">
        <v>13</v>
      </c>
      <c r="C17" s="124" t="str">
        <f>IF($B17=999,"",INDEX('Cost+CPI'!A:A,$B17))</f>
        <v>ND1116</v>
      </c>
      <c r="D17" s="125" t="str">
        <f>IF($B17=999,"",INDEX('Cost+CPI'!B:B,$B17))</f>
        <v>Fault Level Mitigation Program</v>
      </c>
      <c r="E17" s="349" t="str">
        <f>IF($B17=999,"",INDEX('Cost+CPI'!C:C,$B17))</f>
        <v>Connection</v>
      </c>
      <c r="F17" s="346" t="str">
        <f>IF($B17=999,"",INDEX('Cost+CPI'!D:D,$B17))</f>
        <v>2016/17</v>
      </c>
      <c r="H17" s="170">
        <f>IF(ISERR($B17),0,INDEX('Cost+CPI'!R:R,$B17))</f>
        <v>418127.15228872979</v>
      </c>
      <c r="I17" s="170">
        <f>IF(ISERR($B17),0,INDEX('Cost+CPI'!S:S,$B17))</f>
        <v>2880569.8179680691</v>
      </c>
      <c r="J17" s="170">
        <f>IF(ISERR($B17),0,INDEX('Cost+CPI'!T:T,$B17))</f>
        <v>59216.791729066012</v>
      </c>
      <c r="K17" s="170">
        <f>IF(ISERR($B17),0,INDEX('Cost+CPI'!U:U,$B17))</f>
        <v>0</v>
      </c>
      <c r="L17" s="170">
        <f>IF(ISERR($B17),0,INDEX('Cost+CPI'!V:V,$B17))</f>
        <v>0</v>
      </c>
      <c r="M17" s="171">
        <f t="shared" si="0"/>
        <v>3357913.761985865</v>
      </c>
      <c r="N17" s="121"/>
      <c r="O17" s="270" t="s">
        <v>119</v>
      </c>
      <c r="P17" s="121"/>
      <c r="Q17" s="121"/>
      <c r="R17" s="121"/>
    </row>
    <row r="18" spans="1:18" ht="15" customHeight="1" x14ac:dyDescent="0.3">
      <c r="A18" s="104">
        <v>13</v>
      </c>
      <c r="B18" s="104">
        <v>15</v>
      </c>
      <c r="C18" s="124" t="str">
        <f>IF($B18=999,"",INDEX('Cost+CPI'!A:A,$B18))</f>
        <v>ND1240</v>
      </c>
      <c r="D18" s="125" t="str">
        <f>IF($B18=999,"",INDEX('Cost+CPI'!B:B,$B18))</f>
        <v>Geographical Information System renewal and data collection tools</v>
      </c>
      <c r="E18" s="349" t="str">
        <f>IF($B18=999,"",INDEX('Cost+CPI'!C:C,$B18))</f>
        <v>Operational Support Systems</v>
      </c>
      <c r="F18" s="346" t="str">
        <f>IF($B18=999,"",INDEX('Cost+CPI'!D:D,$B18))</f>
        <v>2018/19</v>
      </c>
      <c r="H18" s="170">
        <f>IF(ISERR($B18),0,INDEX('Cost+CPI'!R:R,$B18))</f>
        <v>98956.695025920882</v>
      </c>
      <c r="I18" s="170">
        <f>IF(ISERR($B18),0,INDEX('Cost+CPI'!S:S,$B18))</f>
        <v>103706.61638716508</v>
      </c>
      <c r="J18" s="170">
        <f>IF(ISERR($B18),0,INDEX('Cost+CPI'!T:T,$B18))</f>
        <v>108788.19115894457</v>
      </c>
      <c r="K18" s="170">
        <f>IF(ISERR($B18),0,INDEX('Cost+CPI'!U:U,$B18))</f>
        <v>114281.98186765959</v>
      </c>
      <c r="L18" s="170">
        <f>IF(ISERR($B18),0,INDEX('Cost+CPI'!V:V,$B18))</f>
        <v>120167.49034825343</v>
      </c>
      <c r="M18" s="171">
        <f t="shared" si="0"/>
        <v>545900.97478794353</v>
      </c>
      <c r="N18" s="121"/>
      <c r="O18" s="270" t="s">
        <v>120</v>
      </c>
      <c r="P18" s="121"/>
      <c r="Q18" s="121"/>
      <c r="R18" s="121"/>
    </row>
    <row r="19" spans="1:18" ht="15" customHeight="1" x14ac:dyDescent="0.3">
      <c r="A19" s="104">
        <v>999</v>
      </c>
      <c r="B19" s="104">
        <v>16</v>
      </c>
      <c r="C19" s="124" t="str">
        <f>IF($B19=999,"",INDEX('Cost+CPI'!A:A,$B19))</f>
        <v>ND0937</v>
      </c>
      <c r="D19" s="125" t="str">
        <f>IF($B19=999,"",INDEX('Cost+CPI'!B:B,$B19))</f>
        <v>George Town Substation 110 kV redevelopment</v>
      </c>
      <c r="E19" s="349" t="str">
        <f>IF($B19=999,"",INDEX('Cost+CPI'!C:C,$B19))</f>
        <v>Asset Renewal</v>
      </c>
      <c r="F19" s="346" t="str">
        <f>IF($B19=999,"",INDEX('Cost+CPI'!D:D,$B19))</f>
        <v>2014/15</v>
      </c>
      <c r="H19" s="170">
        <f>IF(ISERR($B19),0,INDEX('Cost+CPI'!R:R,$B19))</f>
        <v>6194297</v>
      </c>
      <c r="I19" s="170">
        <f>IF(ISERR($B19),0,INDEX('Cost+CPI'!S:S,$B19))</f>
        <v>0</v>
      </c>
      <c r="J19" s="170">
        <f>IF(ISERR($B19),0,INDEX('Cost+CPI'!T:T,$B19))</f>
        <v>0</v>
      </c>
      <c r="K19" s="170">
        <f>IF(ISERR($B19),0,INDEX('Cost+CPI'!U:U,$B19))</f>
        <v>0</v>
      </c>
      <c r="L19" s="170">
        <f>IF(ISERR($B19),0,INDEX('Cost+CPI'!V:V,$B19))</f>
        <v>0</v>
      </c>
      <c r="M19" s="171">
        <f t="shared" si="0"/>
        <v>6194297</v>
      </c>
      <c r="N19" s="121"/>
      <c r="O19" s="270" t="s">
        <v>121</v>
      </c>
      <c r="P19" s="121"/>
      <c r="Q19" s="121"/>
      <c r="R19" s="121"/>
    </row>
    <row r="20" spans="1:18" ht="15" customHeight="1" x14ac:dyDescent="0.25">
      <c r="A20" s="104">
        <v>15</v>
      </c>
      <c r="B20" s="104">
        <v>17</v>
      </c>
      <c r="C20" s="124" t="str">
        <f>IF($B20=999,"",INDEX('Cost+CPI'!A:A,$B20))</f>
        <v>ND1214</v>
      </c>
      <c r="D20" s="125" t="str">
        <f>IF($B20=999,"",INDEX('Cost+CPI'!B:B,$B20))</f>
        <v>High Voltage switchgear refurbishment program</v>
      </c>
      <c r="E20" s="349" t="str">
        <f>IF($B20=999,"",INDEX('Cost+CPI'!C:C,$B20))</f>
        <v>Asset Renewal</v>
      </c>
      <c r="F20" s="346" t="str">
        <f>IF($B20=999,"",INDEX('Cost+CPI'!D:D,$B20))</f>
        <v>2018/19</v>
      </c>
      <c r="H20" s="170">
        <f>IF(ISERR($B20),0,INDEX('Cost+CPI'!R:R,$B20))</f>
        <v>0</v>
      </c>
      <c r="I20" s="170">
        <f>IF(ISERR($B20),0,INDEX('Cost+CPI'!S:S,$B20))</f>
        <v>0</v>
      </c>
      <c r="J20" s="170">
        <f>IF(ISERR($B20),0,INDEX('Cost+CPI'!T:T,$B20))</f>
        <v>351247.1463845899</v>
      </c>
      <c r="K20" s="170">
        <f>IF(ISERR($B20),0,INDEX('Cost+CPI'!U:U,$B20))</f>
        <v>1584505.6843912427</v>
      </c>
      <c r="L20" s="170">
        <f>IF(ISERR($B20),0,INDEX('Cost+CPI'!V:V,$B20))</f>
        <v>706511.3669739106</v>
      </c>
      <c r="M20" s="171">
        <f t="shared" si="0"/>
        <v>2642264.1977497432</v>
      </c>
      <c r="N20" s="121"/>
      <c r="O20" s="270" t="s">
        <v>119</v>
      </c>
      <c r="P20" s="121"/>
      <c r="Q20" s="121"/>
      <c r="R20" s="121"/>
    </row>
    <row r="21" spans="1:18" ht="15" customHeight="1" x14ac:dyDescent="0.25">
      <c r="A21" s="104">
        <v>16</v>
      </c>
      <c r="B21" s="104">
        <v>18</v>
      </c>
      <c r="C21" s="124" t="str">
        <f>IF($B21=999,"",INDEX('Cost+CPI'!A:A,$B21))</f>
        <v>ND1215</v>
      </c>
      <c r="D21" s="125" t="str">
        <f>IF($B21=999,"",INDEX('Cost+CPI'!B:B,$B21))</f>
        <v>HV Feeder protection renewal program</v>
      </c>
      <c r="E21" s="349" t="str">
        <f>IF($B21=999,"",INDEX('Cost+CPI'!C:C,$B21))</f>
        <v>Asset Renewal</v>
      </c>
      <c r="F21" s="346" t="str">
        <f>IF($B21=999,"",INDEX('Cost+CPI'!D:D,$B21))</f>
        <v>2019/20</v>
      </c>
      <c r="H21" s="170">
        <f>IF(ISERR($B21),0,INDEX('Cost+CPI'!R:R,$B21))</f>
        <v>0</v>
      </c>
      <c r="I21" s="170">
        <f>IF(ISERR($B21),0,INDEX('Cost+CPI'!S:S,$B21))</f>
        <v>0</v>
      </c>
      <c r="J21" s="170">
        <f>IF(ISERR($B21),0,INDEX('Cost+CPI'!T:T,$B21))</f>
        <v>0</v>
      </c>
      <c r="K21" s="170">
        <f>IF(ISERR($B21),0,INDEX('Cost+CPI'!U:U,$B21))</f>
        <v>344678.57983607048</v>
      </c>
      <c r="L21" s="170">
        <f>IF(ISERR($B21),0,INDEX('Cost+CPI'!V:V,$B21))</f>
        <v>2304472.1353653357</v>
      </c>
      <c r="M21" s="171">
        <f t="shared" si="0"/>
        <v>2649150.7152014063</v>
      </c>
      <c r="N21" s="121"/>
      <c r="O21" s="270" t="s">
        <v>122</v>
      </c>
      <c r="P21" s="121"/>
      <c r="Q21" s="121"/>
      <c r="R21" s="121"/>
    </row>
    <row r="22" spans="1:18" ht="15" customHeight="1" x14ac:dyDescent="0.25">
      <c r="A22" s="104">
        <v>17</v>
      </c>
      <c r="B22" s="104">
        <v>20</v>
      </c>
      <c r="C22" s="124" t="str">
        <f>IF($B22=999,"",INDEX('Cost+CPI'!A:A,$B22))</f>
        <v>ND1205-2</v>
      </c>
      <c r="D22" s="125" t="str">
        <f>IF($B22=999,"",INDEX('Cost+CPI'!B:B,$B22))</f>
        <v>Information Technology applications program</v>
      </c>
      <c r="E22" s="349" t="str">
        <f>IF($B22=999,"",INDEX('Cost+CPI'!C:C,$B22))</f>
        <v>Operational Support Systems</v>
      </c>
      <c r="F22" s="346" t="str">
        <f>IF($B22=999,"",INDEX('Cost+CPI'!D:D,$B22))</f>
        <v>2018/19</v>
      </c>
      <c r="H22" s="170">
        <f>IF(ISERR($B22),0,INDEX('Cost+CPI'!R:R,$B22))</f>
        <v>1382058.1080478085</v>
      </c>
      <c r="I22" s="170">
        <f>IF(ISERR($B22),0,INDEX('Cost+CPI'!S:S,$B22))</f>
        <v>490501.96780876489</v>
      </c>
      <c r="J22" s="170">
        <f>IF(ISERR($B22),0,INDEX('Cost+CPI'!T:T,$B22))</f>
        <v>847728.93705179275</v>
      </c>
      <c r="K22" s="170">
        <f>IF(ISERR($B22),0,INDEX('Cost+CPI'!U:U,$B22))</f>
        <v>1661645.4387250994</v>
      </c>
      <c r="L22" s="170">
        <f>IF(ISERR($B22),0,INDEX('Cost+CPI'!V:V,$B22))</f>
        <v>626416.67378486053</v>
      </c>
      <c r="M22" s="171">
        <f t="shared" si="0"/>
        <v>5008351.1254183259</v>
      </c>
      <c r="N22" s="121"/>
      <c r="O22" s="270" t="s">
        <v>119</v>
      </c>
      <c r="P22" s="121"/>
      <c r="Q22" s="121"/>
      <c r="R22" s="121"/>
    </row>
    <row r="23" spans="1:18" ht="15" customHeight="1" x14ac:dyDescent="0.25">
      <c r="A23" s="104">
        <v>18</v>
      </c>
      <c r="B23" s="104">
        <v>22</v>
      </c>
      <c r="C23" s="124" t="str">
        <f>IF($B23=999,"",INDEX('Cost+CPI'!A:A,$B23))</f>
        <v>ND1206-2</v>
      </c>
      <c r="D23" s="125" t="str">
        <f>IF($B23=999,"",INDEX('Cost+CPI'!B:B,$B23))</f>
        <v>Information Technology desktop program</v>
      </c>
      <c r="E23" s="349" t="str">
        <f>IF($B23=999,"",INDEX('Cost+CPI'!C:C,$B23))</f>
        <v>Operational Support Systems</v>
      </c>
      <c r="F23" s="346" t="str">
        <f>IF($B23=999,"",INDEX('Cost+CPI'!D:D,$B23))</f>
        <v>2018/19</v>
      </c>
      <c r="H23" s="170">
        <f>IF(ISERR($B23),0,INDEX('Cost+CPI'!R:R,$B23))</f>
        <v>395231.5773585657</v>
      </c>
      <c r="I23" s="170">
        <f>IF(ISERR($B23),0,INDEX('Cost+CPI'!S:S,$B23))</f>
        <v>504219.75646613544</v>
      </c>
      <c r="J23" s="170">
        <f>IF(ISERR($B23),0,INDEX('Cost+CPI'!T:T,$B23))</f>
        <v>408282.51245019917</v>
      </c>
      <c r="K23" s="170">
        <f>IF(ISERR($B23),0,INDEX('Cost+CPI'!U:U,$B23))</f>
        <v>474380.86156972108</v>
      </c>
      <c r="L23" s="170">
        <f>IF(ISERR($B23),0,INDEX('Cost+CPI'!V:V,$B23))</f>
        <v>327307.47259362548</v>
      </c>
      <c r="M23" s="171">
        <f t="shared" si="0"/>
        <v>2109422.1804382466</v>
      </c>
      <c r="N23" s="121"/>
      <c r="O23" s="270" t="s">
        <v>123</v>
      </c>
      <c r="P23" s="121"/>
      <c r="Q23" s="121"/>
      <c r="R23" s="121"/>
    </row>
    <row r="24" spans="1:18" ht="15" customHeight="1" x14ac:dyDescent="0.25">
      <c r="A24" s="104">
        <v>999</v>
      </c>
      <c r="B24" s="104">
        <v>24</v>
      </c>
      <c r="C24" s="124" t="str">
        <f>IF($B24=999,"",INDEX('Cost+CPI'!A:A,$B24))</f>
        <v>ND1207-2</v>
      </c>
      <c r="D24" s="125" t="str">
        <f>IF($B24=999,"",INDEX('Cost+CPI'!B:B,$B24))</f>
        <v>Information Technology infrastructure program</v>
      </c>
      <c r="E24" s="349" t="str">
        <f>IF($B24=999,"",INDEX('Cost+CPI'!C:C,$B24))</f>
        <v>Operational Support Systems</v>
      </c>
      <c r="F24" s="346" t="str">
        <f>IF($B24=999,"",INDEX('Cost+CPI'!D:D,$B24))</f>
        <v>2018/19</v>
      </c>
      <c r="H24" s="170">
        <f>IF(ISERR($B24),0,INDEX('Cost+CPI'!R:R,$B24))</f>
        <v>469377.88557370508</v>
      </c>
      <c r="I24" s="170">
        <f>IF(ISERR($B24),0,INDEX('Cost+CPI'!S:S,$B24))</f>
        <v>2367229.2802350596</v>
      </c>
      <c r="J24" s="170">
        <f>IF(ISERR($B24),0,INDEX('Cost+CPI'!T:T,$B24))</f>
        <v>1038892.8702549799</v>
      </c>
      <c r="K24" s="170">
        <f>IF(ISERR($B24),0,INDEX('Cost+CPI'!U:U,$B24))</f>
        <v>278899.82291235059</v>
      </c>
      <c r="L24" s="170">
        <f>IF(ISERR($B24),0,INDEX('Cost+CPI'!V:V,$B24))</f>
        <v>330678.64091235062</v>
      </c>
      <c r="M24" s="171">
        <f t="shared" si="0"/>
        <v>4485078.4998884462</v>
      </c>
      <c r="N24" s="121"/>
      <c r="O24" s="270" t="s">
        <v>118</v>
      </c>
      <c r="P24" s="121"/>
      <c r="Q24" s="121"/>
      <c r="R24" s="121"/>
    </row>
    <row r="25" spans="1:18" ht="15" customHeight="1" x14ac:dyDescent="0.25">
      <c r="A25" s="104">
        <v>20</v>
      </c>
      <c r="B25" s="104">
        <v>26</v>
      </c>
      <c r="C25" s="124" t="str">
        <f>IF($B25=999,"",INDEX('Cost+CPI'!A:A,$B25))</f>
        <v>ND1260-2</v>
      </c>
      <c r="D25" s="125" t="str">
        <f>IF($B25=999,"",INDEX('Cost+CPI'!B:B,$B25))</f>
        <v>Information Technology security system program</v>
      </c>
      <c r="E25" s="349" t="str">
        <f>IF($B25=999,"",INDEX('Cost+CPI'!C:C,$B25))</f>
        <v>Operational Support Systems</v>
      </c>
      <c r="F25" s="346" t="str">
        <f>IF($B25=999,"",INDEX('Cost+CPI'!D:D,$B25))</f>
        <v>2018/19</v>
      </c>
      <c r="H25" s="170">
        <f>IF(ISERR($B25),0,INDEX('Cost+CPI'!R:R,$B25))</f>
        <v>417650.19931075693</v>
      </c>
      <c r="I25" s="170">
        <f>IF(ISERR($B25),0,INDEX('Cost+CPI'!S:S,$B25))</f>
        <v>153523.92207968124</v>
      </c>
      <c r="J25" s="170">
        <f>IF(ISERR($B25),0,INDEX('Cost+CPI'!T:T,$B25))</f>
        <v>551022.92750199197</v>
      </c>
      <c r="K25" s="170">
        <f>IF(ISERR($B25),0,INDEX('Cost+CPI'!U:U,$B25))</f>
        <v>301854.44652191229</v>
      </c>
      <c r="L25" s="170">
        <f>IF(ISERR($B25),0,INDEX('Cost+CPI'!V:V,$B25))</f>
        <v>108512.12500398405</v>
      </c>
      <c r="M25" s="171">
        <f t="shared" si="0"/>
        <v>1532563.6204183262</v>
      </c>
      <c r="N25" s="121"/>
      <c r="O25" s="270" t="s">
        <v>124</v>
      </c>
      <c r="P25" s="121"/>
      <c r="Q25" s="121"/>
      <c r="R25" s="121"/>
    </row>
    <row r="26" spans="1:18" ht="15" customHeight="1" x14ac:dyDescent="0.25">
      <c r="A26" s="104">
        <v>999</v>
      </c>
      <c r="B26" s="104">
        <v>27</v>
      </c>
      <c r="C26" s="124" t="str">
        <f>IF($B26=999,"",INDEX('Cost+CPI'!A:A,$B26))</f>
        <v>ND1062</v>
      </c>
      <c r="D26" s="125" t="str">
        <f>IF($B26=999,"",INDEX('Cost+CPI'!B:B,$B26))</f>
        <v>Insourcing Drawing Management</v>
      </c>
      <c r="E26" s="349" t="str">
        <f>IF($B26=999,"",INDEX('Cost+CPI'!C:C,$B26))</f>
        <v>Operational Support Systems</v>
      </c>
      <c r="F26" s="346" t="str">
        <f>IF($B26=999,"",INDEX('Cost+CPI'!D:D,$B26))</f>
        <v>2014/15</v>
      </c>
      <c r="H26" s="170">
        <f>IF(ISERR($B26),0,INDEX('Cost+CPI'!R:R,$B26))</f>
        <v>530000</v>
      </c>
      <c r="I26" s="170">
        <f>IF(ISERR($B26),0,INDEX('Cost+CPI'!S:S,$B26))</f>
        <v>0</v>
      </c>
      <c r="J26" s="170">
        <f>IF(ISERR($B26),0,INDEX('Cost+CPI'!T:T,$B26))</f>
        <v>0</v>
      </c>
      <c r="K26" s="170">
        <f>IF(ISERR($B26),0,INDEX('Cost+CPI'!U:U,$B26))</f>
        <v>0</v>
      </c>
      <c r="L26" s="170">
        <f>IF(ISERR($B26),0,INDEX('Cost+CPI'!V:V,$B26))</f>
        <v>0</v>
      </c>
      <c r="M26" s="171">
        <f t="shared" si="0"/>
        <v>530000</v>
      </c>
      <c r="N26" s="121"/>
      <c r="O26" s="270" t="s">
        <v>110</v>
      </c>
      <c r="P26" s="121"/>
      <c r="Q26" s="121"/>
      <c r="R26" s="121"/>
    </row>
    <row r="27" spans="1:18" ht="15" customHeight="1" x14ac:dyDescent="0.25">
      <c r="A27" s="104">
        <v>22</v>
      </c>
      <c r="B27" s="104">
        <v>28</v>
      </c>
      <c r="C27" s="124" t="str">
        <f>IF($B27=999,"",INDEX('Cost+CPI'!A:A,$B27))</f>
        <v>ND0948</v>
      </c>
      <c r="D27" s="125" t="str">
        <f>IF($B27=999,"",INDEX('Cost+CPI'!B:B,$B27))</f>
        <v>Lindisfarne Substation transformer T2 and T3 replacement</v>
      </c>
      <c r="E27" s="349" t="str">
        <f>IF($B27=999,"",INDEX('Cost+CPI'!C:C,$B27))</f>
        <v>Asset Renewal</v>
      </c>
      <c r="F27" s="346" t="str">
        <f>IF($B27=999,"",INDEX('Cost+CPI'!D:D,$B27))</f>
        <v>2018/19</v>
      </c>
      <c r="H27" s="170">
        <f>IF(ISERR($B27),0,INDEX('Cost+CPI'!R:R,$B27))</f>
        <v>0</v>
      </c>
      <c r="I27" s="170">
        <f>IF(ISERR($B27),0,INDEX('Cost+CPI'!S:S,$B27))</f>
        <v>0</v>
      </c>
      <c r="J27" s="170">
        <f>IF(ISERR($B27),0,INDEX('Cost+CPI'!T:T,$B27))</f>
        <v>56124.425540093274</v>
      </c>
      <c r="K27" s="170">
        <f>IF(ISERR($B27),0,INDEX('Cost+CPI'!U:U,$B27))</f>
        <v>4757297.9957344783</v>
      </c>
      <c r="L27" s="170">
        <f>IF(ISERR($B27),0,INDEX('Cost+CPI'!V:V,$B27))</f>
        <v>1752161.3330448887</v>
      </c>
      <c r="M27" s="171">
        <f t="shared" si="0"/>
        <v>6565583.7543194601</v>
      </c>
      <c r="N27" s="121"/>
      <c r="O27" s="270" t="s">
        <v>110</v>
      </c>
      <c r="P27" s="121"/>
      <c r="Q27" s="121"/>
      <c r="R27" s="121"/>
    </row>
    <row r="28" spans="1:18" ht="15" customHeight="1" x14ac:dyDescent="0.25">
      <c r="A28" s="104">
        <v>999</v>
      </c>
      <c r="B28" s="104">
        <v>29</v>
      </c>
      <c r="C28" s="124" t="str">
        <f>IF($B28=999,"",INDEX('Cost+CPI'!A:A,$B28))</f>
        <v>ND0949</v>
      </c>
      <c r="D28" s="125" t="str">
        <f>IF($B28=999,"",INDEX('Cost+CPI'!B:B,$B28))</f>
        <v>Meadowbank Substation 110 kV redevelopment</v>
      </c>
      <c r="E28" s="349" t="str">
        <f>IF($B28=999,"",INDEX('Cost+CPI'!C:C,$B28))</f>
        <v>Asset Renewal</v>
      </c>
      <c r="F28" s="346" t="str">
        <f>IF($B28=999,"",INDEX('Cost+CPI'!D:D,$B28))</f>
        <v>2014/15</v>
      </c>
      <c r="H28" s="170">
        <f>IF(ISERR($B28),0,INDEX('Cost+CPI'!R:R,$B28))</f>
        <v>4296429</v>
      </c>
      <c r="I28" s="170">
        <f>IF(ISERR($B28),0,INDEX('Cost+CPI'!S:S,$B28))</f>
        <v>0</v>
      </c>
      <c r="J28" s="170">
        <f>IF(ISERR($B28),0,INDEX('Cost+CPI'!T:T,$B28))</f>
        <v>0</v>
      </c>
      <c r="K28" s="170">
        <f>IF(ISERR($B28),0,INDEX('Cost+CPI'!U:U,$B28))</f>
        <v>0</v>
      </c>
      <c r="L28" s="170">
        <f>IF(ISERR($B28),0,INDEX('Cost+CPI'!V:V,$B28))</f>
        <v>0</v>
      </c>
      <c r="M28" s="171">
        <f t="shared" si="0"/>
        <v>4296429</v>
      </c>
      <c r="N28" s="121"/>
      <c r="O28" s="270" t="s">
        <v>125</v>
      </c>
      <c r="P28" s="121"/>
      <c r="Q28" s="121"/>
      <c r="R28" s="121"/>
    </row>
    <row r="29" spans="1:18" ht="15" customHeight="1" x14ac:dyDescent="0.25">
      <c r="A29" s="104">
        <v>24</v>
      </c>
      <c r="B29" s="104">
        <v>30</v>
      </c>
      <c r="C29" s="124" t="str">
        <f>IF($B29=999,"",INDEX('Cost+CPI'!A:A,$B29))</f>
        <v>ND1232</v>
      </c>
      <c r="D29" s="125" t="str">
        <f>IF($B29=999,"",INDEX('Cost+CPI'!B:B,$B29))</f>
        <v>Network Modelling Enhancement program</v>
      </c>
      <c r="E29" s="349" t="str">
        <f>IF($B29=999,"",INDEX('Cost+CPI'!C:C,$B29))</f>
        <v>Operational Support Systems</v>
      </c>
      <c r="F29" s="346" t="str">
        <f>IF($B29=999,"",INDEX('Cost+CPI'!D:D,$B29))</f>
        <v>2018/19</v>
      </c>
      <c r="H29" s="170">
        <f>IF(ISERR($B29),0,INDEX('Cost+CPI'!R:R,$B29))</f>
        <v>339408.94422310754</v>
      </c>
      <c r="I29" s="170">
        <f>IF(ISERR($B29),0,INDEX('Cost+CPI'!S:S,$B29))</f>
        <v>105055.14940239044</v>
      </c>
      <c r="J29" s="170">
        <f>IF(ISERR($B29),0,INDEX('Cost+CPI'!T:T,$B29))</f>
        <v>234353.79482071713</v>
      </c>
      <c r="K29" s="170">
        <f>IF(ISERR($B29),0,INDEX('Cost+CPI'!U:U,$B29))</f>
        <v>105055.14940239044</v>
      </c>
      <c r="L29" s="170">
        <f>IF(ISERR($B29),0,INDEX('Cost+CPI'!V:V,$B29))</f>
        <v>24243.496015936253</v>
      </c>
      <c r="M29" s="171">
        <f t="shared" si="0"/>
        <v>808116.53386454179</v>
      </c>
      <c r="N29" s="121"/>
      <c r="O29" s="270" t="s">
        <v>126</v>
      </c>
      <c r="P29" s="121"/>
      <c r="Q29" s="121"/>
      <c r="R29" s="121"/>
    </row>
    <row r="30" spans="1:18" ht="15" customHeight="1" x14ac:dyDescent="0.25">
      <c r="A30" s="104">
        <v>999</v>
      </c>
      <c r="B30" s="104">
        <v>31</v>
      </c>
      <c r="C30" s="124" t="str">
        <f>IF($B30=999,"",INDEX('Cost+CPI'!A:A,$B30))</f>
        <v>ND1233</v>
      </c>
      <c r="D30" s="125" t="str">
        <f>IF($B30=999,"",INDEX('Cost+CPI'!B:B,$B30))</f>
        <v>Network Operations and Control System enhancement program</v>
      </c>
      <c r="E30" s="349" t="str">
        <f>IF($B30=999,"",INDEX('Cost+CPI'!C:C,$B30))</f>
        <v>Operational Support Systems</v>
      </c>
      <c r="F30" s="346" t="str">
        <f>IF($B30=999,"",INDEX('Cost+CPI'!D:D,$B30))</f>
        <v>2018/19</v>
      </c>
      <c r="H30" s="170">
        <f>IF(ISERR($B30),0,INDEX('Cost+CPI'!R:R,$B30))</f>
        <v>608711.15537848603</v>
      </c>
      <c r="I30" s="170">
        <f>IF(ISERR($B30),0,INDEX('Cost+CPI'!S:S,$B30))</f>
        <v>404320.64243027888</v>
      </c>
      <c r="J30" s="170">
        <f>IF(ISERR($B30),0,INDEX('Cost+CPI'!T:T,$B30))</f>
        <v>1275407.295816733</v>
      </c>
      <c r="K30" s="170">
        <f>IF(ISERR($B30),0,INDEX('Cost+CPI'!U:U,$B30))</f>
        <v>876596.53884462151</v>
      </c>
      <c r="L30" s="170">
        <f>IF(ISERR($B30),0,INDEX('Cost+CPI'!V:V,$B30))</f>
        <v>614221.04083665332</v>
      </c>
      <c r="M30" s="171">
        <f t="shared" si="0"/>
        <v>3779256.673306773</v>
      </c>
      <c r="N30" s="121"/>
      <c r="O30" s="270" t="s">
        <v>127</v>
      </c>
      <c r="P30" s="121"/>
      <c r="Q30" s="121"/>
      <c r="R30" s="121"/>
    </row>
    <row r="31" spans="1:18" ht="15" customHeight="1" x14ac:dyDescent="0.25">
      <c r="A31" s="104">
        <v>26</v>
      </c>
      <c r="B31" s="104">
        <v>32</v>
      </c>
      <c r="C31" s="124" t="str">
        <f>IF($B31=999,"",INDEX('Cost+CPI'!A:A,$B31))</f>
        <v>ND1219</v>
      </c>
      <c r="D31" s="125" t="str">
        <f>IF($B31=999,"",INDEX('Cost+CPI'!B:B,$B31))</f>
        <v>Newton - Queenstown Security Augmentation</v>
      </c>
      <c r="E31" s="349" t="str">
        <f>IF($B31=999,"",INDEX('Cost+CPI'!C:C,$B31))</f>
        <v>Augmentation</v>
      </c>
      <c r="F31" s="346" t="str">
        <f>IF($B31=999,"",INDEX('Cost+CPI'!D:D,$B31))</f>
        <v>2016/17</v>
      </c>
      <c r="H31" s="170">
        <f>IF(ISERR($B31),0,INDEX('Cost+CPI'!R:R,$B31))</f>
        <v>375384.90375931113</v>
      </c>
      <c r="I31" s="170">
        <f>IF(ISERR($B31),0,INDEX('Cost+CPI'!S:S,$B31))</f>
        <v>4324738.8616354028</v>
      </c>
      <c r="J31" s="170">
        <f>IF(ISERR($B31),0,INDEX('Cost+CPI'!T:T,$B31))</f>
        <v>9400144.1170506235</v>
      </c>
      <c r="K31" s="170">
        <f>IF(ISERR($B31),0,INDEX('Cost+CPI'!U:U,$B31))</f>
        <v>0</v>
      </c>
      <c r="L31" s="170">
        <f>IF(ISERR($B31),0,INDEX('Cost+CPI'!V:V,$B31))</f>
        <v>0</v>
      </c>
      <c r="M31" s="171">
        <f t="shared" si="0"/>
        <v>14100267.882445337</v>
      </c>
      <c r="N31" s="121"/>
      <c r="O31" s="270" t="s">
        <v>117</v>
      </c>
      <c r="P31" s="121"/>
      <c r="Q31" s="121"/>
      <c r="R31" s="121"/>
    </row>
    <row r="32" spans="1:18" ht="15" customHeight="1" x14ac:dyDescent="0.25">
      <c r="A32" s="104">
        <v>27</v>
      </c>
      <c r="B32" s="104">
        <v>33</v>
      </c>
      <c r="C32" s="124" t="str">
        <f>IF($B32=999,"",INDEX('Cost+CPI'!A:A,$B32))</f>
        <v>ND1220</v>
      </c>
      <c r="D32" s="125" t="str">
        <f>IF($B32=999,"",INDEX('Cost+CPI'!B:B,$B32))</f>
        <v>North Hobart Substation 11 kV connection point</v>
      </c>
      <c r="E32" s="349" t="str">
        <f>IF($B32=999,"",INDEX('Cost+CPI'!C:C,$B32))</f>
        <v>Connection</v>
      </c>
      <c r="F32" s="346" t="str">
        <f>IF($B32=999,"",INDEX('Cost+CPI'!D:D,$B32))</f>
        <v>2016/17</v>
      </c>
      <c r="H32" s="170">
        <f>IF(ISERR($B32),0,INDEX('Cost+CPI'!R:R,$B32))</f>
        <v>632020.69971694471</v>
      </c>
      <c r="I32" s="170">
        <f>IF(ISERR($B32),0,INDEX('Cost+CPI'!S:S,$B32))</f>
        <v>2844762.5095917666</v>
      </c>
      <c r="J32" s="170">
        <f>IF(ISERR($B32),0,INDEX('Cost+CPI'!T:T,$B32))</f>
        <v>1270717.1688543872</v>
      </c>
      <c r="K32" s="170">
        <f>IF(ISERR($B32),0,INDEX('Cost+CPI'!U:U,$B32))</f>
        <v>0</v>
      </c>
      <c r="L32" s="170">
        <f>IF(ISERR($B32),0,INDEX('Cost+CPI'!V:V,$B32))</f>
        <v>0</v>
      </c>
      <c r="M32" s="171">
        <f t="shared" si="0"/>
        <v>4747500.3781630984</v>
      </c>
      <c r="N32" s="121"/>
      <c r="O32" s="270" t="s">
        <v>128</v>
      </c>
      <c r="P32" s="121"/>
      <c r="Q32" s="121"/>
      <c r="R32" s="121"/>
    </row>
    <row r="33" spans="1:18" ht="15" customHeight="1" x14ac:dyDescent="0.25">
      <c r="A33" s="104">
        <v>28</v>
      </c>
      <c r="B33" s="104">
        <v>34</v>
      </c>
      <c r="C33" s="124" t="str">
        <f>IF($B33=999,"",INDEX('Cost+CPI'!A:A,$B33))</f>
        <v>ND1031</v>
      </c>
      <c r="D33" s="125" t="str">
        <f>IF($B33=999,"",INDEX('Cost+CPI'!B:B,$B33))</f>
        <v>Northern OPGW Program</v>
      </c>
      <c r="E33" s="349" t="str">
        <f>IF($B33=999,"",INDEX('Cost+CPI'!C:C,$B33))</f>
        <v>Asset Renewal</v>
      </c>
      <c r="F33" s="346" t="str">
        <f>IF($B33=999,"",INDEX('Cost+CPI'!D:D,$B33))</f>
        <v>2014/15</v>
      </c>
      <c r="H33" s="170">
        <f>IF(ISERR($B33),0,INDEX('Cost+CPI'!R:R,$B33))</f>
        <v>137000</v>
      </c>
      <c r="I33" s="170">
        <f>IF(ISERR($B33),0,INDEX('Cost+CPI'!S:S,$B33))</f>
        <v>0</v>
      </c>
      <c r="J33" s="170">
        <f>IF(ISERR($B33),0,INDEX('Cost+CPI'!T:T,$B33))</f>
        <v>0</v>
      </c>
      <c r="K33" s="170">
        <f>IF(ISERR($B33),0,INDEX('Cost+CPI'!U:U,$B33))</f>
        <v>0</v>
      </c>
      <c r="L33" s="170">
        <f>IF(ISERR($B33),0,INDEX('Cost+CPI'!V:V,$B33))</f>
        <v>0</v>
      </c>
      <c r="M33" s="171">
        <f t="shared" si="0"/>
        <v>137000</v>
      </c>
      <c r="N33" s="121"/>
      <c r="O33" s="270" t="s">
        <v>119</v>
      </c>
      <c r="P33" s="121"/>
      <c r="Q33" s="121"/>
      <c r="R33" s="121"/>
    </row>
    <row r="34" spans="1:18" ht="15" customHeight="1" x14ac:dyDescent="0.25">
      <c r="A34" s="104">
        <v>29</v>
      </c>
      <c r="B34" s="104">
        <v>39</v>
      </c>
      <c r="C34" s="124" t="str">
        <f>IF($B34=999,"",INDEX('Cost+CPI'!A:A,$B34))</f>
        <v>ND1253</v>
      </c>
      <c r="D34" s="125" t="str">
        <f>IF($B34=999,"",INDEX('Cost+CPI'!B:B,$B34))</f>
        <v>Port Latta Substation structure renewal</v>
      </c>
      <c r="E34" s="349" t="str">
        <f>IF($B34=999,"",INDEX('Cost+CPI'!C:C,$B34))</f>
        <v>Asset Renewal</v>
      </c>
      <c r="F34" s="346" t="str">
        <f>IF($B34=999,"",INDEX('Cost+CPI'!D:D,$B34))</f>
        <v>2014/15</v>
      </c>
      <c r="H34" s="170">
        <f>IF(ISERR($B34),0,INDEX('Cost+CPI'!R:R,$B34))</f>
        <v>1572144.1137126251</v>
      </c>
      <c r="I34" s="170">
        <f>IF(ISERR($B34),0,INDEX('Cost+CPI'!S:S,$B34))</f>
        <v>0</v>
      </c>
      <c r="J34" s="170">
        <f>IF(ISERR($B34),0,INDEX('Cost+CPI'!T:T,$B34))</f>
        <v>0</v>
      </c>
      <c r="K34" s="170">
        <f>IF(ISERR($B34),0,INDEX('Cost+CPI'!U:U,$B34))</f>
        <v>0</v>
      </c>
      <c r="L34" s="170">
        <f>IF(ISERR($B34),0,INDEX('Cost+CPI'!V:V,$B34))</f>
        <v>0</v>
      </c>
      <c r="M34" s="171">
        <f t="shared" si="0"/>
        <v>1572144.1137126251</v>
      </c>
      <c r="N34" s="121"/>
      <c r="O34" s="270" t="s">
        <v>129</v>
      </c>
      <c r="P34" s="121"/>
      <c r="Q34" s="121"/>
      <c r="R34" s="121"/>
    </row>
    <row r="35" spans="1:18" ht="15" customHeight="1" x14ac:dyDescent="0.25">
      <c r="A35" s="104">
        <v>30</v>
      </c>
      <c r="B35" s="104">
        <v>40</v>
      </c>
      <c r="C35" s="124" t="str">
        <f>IF($B35=999,"",INDEX('Cost+CPI'!A:A,$B35))</f>
        <v>ND0958</v>
      </c>
      <c r="D35" s="125" t="str">
        <f>IF($B35=999,"",INDEX('Cost+CPI'!B:B,$B35))</f>
        <v>Queenstown Substation Transformer T1 replacement</v>
      </c>
      <c r="E35" s="349" t="str">
        <f>IF($B35=999,"",INDEX('Cost+CPI'!C:C,$B35))</f>
        <v>Asset Renewal</v>
      </c>
      <c r="F35" s="346" t="str">
        <f>IF($B35=999,"",INDEX('Cost+CPI'!D:D,$B35))</f>
        <v>2014/15</v>
      </c>
      <c r="H35" s="170">
        <f>IF(ISERR($B35),0,INDEX('Cost+CPI'!R:R,$B35))</f>
        <v>15000</v>
      </c>
      <c r="I35" s="170">
        <f>IF(ISERR($B35),0,INDEX('Cost+CPI'!S:S,$B35))</f>
        <v>0</v>
      </c>
      <c r="J35" s="170">
        <f>IF(ISERR($B35),0,INDEX('Cost+CPI'!T:T,$B35))</f>
        <v>0</v>
      </c>
      <c r="K35" s="170">
        <f>IF(ISERR($B35),0,INDEX('Cost+CPI'!U:U,$B35))</f>
        <v>0</v>
      </c>
      <c r="L35" s="170">
        <f>IF(ISERR($B35),0,INDEX('Cost+CPI'!V:V,$B35))</f>
        <v>0</v>
      </c>
      <c r="M35" s="171">
        <f t="shared" si="0"/>
        <v>15000</v>
      </c>
      <c r="N35" s="121"/>
      <c r="O35" s="270" t="s">
        <v>130</v>
      </c>
      <c r="P35" s="121"/>
      <c r="Q35" s="121"/>
      <c r="R35" s="121"/>
    </row>
    <row r="36" spans="1:18" ht="15" customHeight="1" x14ac:dyDescent="0.25">
      <c r="A36" s="104">
        <v>31</v>
      </c>
      <c r="B36" s="104">
        <v>41</v>
      </c>
      <c r="C36" s="124" t="str">
        <f>IF($B36=999,"",INDEX('Cost+CPI'!A:A,$B36))</f>
        <v>ND1254</v>
      </c>
      <c r="D36" s="125" t="str">
        <f>IF($B36=999,"",INDEX('Cost+CPI'!B:B,$B36))</f>
        <v>Railton Substation 110 kV post insulator and busbar renewal</v>
      </c>
      <c r="E36" s="349" t="str">
        <f>IF($B36=999,"",INDEX('Cost+CPI'!C:C,$B36))</f>
        <v>Asset Renewal</v>
      </c>
      <c r="F36" s="346" t="str">
        <f>IF($B36=999,"",INDEX('Cost+CPI'!D:D,$B36))</f>
        <v>2015/16</v>
      </c>
      <c r="H36" s="170">
        <f>IF(ISERR($B36),0,INDEX('Cost+CPI'!R:R,$B36))</f>
        <v>649184.40654542448</v>
      </c>
      <c r="I36" s="170">
        <f>IF(ISERR($B36),0,INDEX('Cost+CPI'!S:S,$B36))</f>
        <v>289172.23499591759</v>
      </c>
      <c r="J36" s="170">
        <f>IF(ISERR($B36),0,INDEX('Cost+CPI'!T:T,$B36))</f>
        <v>0</v>
      </c>
      <c r="K36" s="170">
        <f>IF(ISERR($B36),0,INDEX('Cost+CPI'!U:U,$B36))</f>
        <v>0</v>
      </c>
      <c r="L36" s="170">
        <f>IF(ISERR($B36),0,INDEX('Cost+CPI'!V:V,$B36))</f>
        <v>0</v>
      </c>
      <c r="M36" s="171">
        <f t="shared" si="0"/>
        <v>938356.64154134202</v>
      </c>
      <c r="N36" s="121"/>
      <c r="O36" s="270" t="s">
        <v>131</v>
      </c>
      <c r="P36" s="121"/>
      <c r="Q36" s="121"/>
      <c r="R36" s="121"/>
    </row>
    <row r="37" spans="1:18" ht="15" customHeight="1" x14ac:dyDescent="0.25">
      <c r="A37" s="104">
        <v>32</v>
      </c>
      <c r="B37" s="104">
        <v>42</v>
      </c>
      <c r="C37" s="124" t="str">
        <f>IF($B37=999,"",INDEX('Cost+CPI'!A:A,$B37))</f>
        <v>ND1308</v>
      </c>
      <c r="D37" s="125" t="str">
        <f>IF($B37=999,"",INDEX('Cost+CPI'!B:B,$B37))</f>
        <v>Reyrolle Type LMT Switchgear renewal program</v>
      </c>
      <c r="E37" s="349" t="str">
        <f>IF($B37=999,"",INDEX('Cost+CPI'!C:C,$B37))</f>
        <v>Asset Renewal</v>
      </c>
      <c r="F37" s="346" t="str">
        <f>IF($B37=999,"",INDEX('Cost+CPI'!D:D,$B37))</f>
        <v>2016/17</v>
      </c>
      <c r="H37" s="170">
        <f>IF(ISERR($B37),0,INDEX('Cost+CPI'!R:R,$B37))</f>
        <v>482234.44349967514</v>
      </c>
      <c r="I37" s="170">
        <f>IF(ISERR($B37),0,INDEX('Cost+CPI'!S:S,$B37))</f>
        <v>2170562.6486946815</v>
      </c>
      <c r="J37" s="170">
        <f>IF(ISERR($B37),0,INDEX('Cost+CPI'!T:T,$B37))</f>
        <v>969561.14664776879</v>
      </c>
      <c r="K37" s="170">
        <f>IF(ISERR($B37),0,INDEX('Cost+CPI'!U:U,$B37))</f>
        <v>0</v>
      </c>
      <c r="L37" s="170">
        <f>IF(ISERR($B37),0,INDEX('Cost+CPI'!V:V,$B37))</f>
        <v>0</v>
      </c>
      <c r="M37" s="171">
        <f t="shared" si="0"/>
        <v>3622358.2388421251</v>
      </c>
      <c r="N37" s="121"/>
      <c r="O37" s="270" t="s">
        <v>132</v>
      </c>
      <c r="P37" s="121"/>
      <c r="Q37" s="121"/>
      <c r="R37" s="121"/>
    </row>
    <row r="38" spans="1:18" ht="15" customHeight="1" x14ac:dyDescent="0.25">
      <c r="A38" s="104">
        <v>33</v>
      </c>
      <c r="B38" s="104">
        <v>43</v>
      </c>
      <c r="C38" s="124" t="str">
        <f>IF($B38=999,"",INDEX('Cost+CPI'!A:A,$B38))</f>
        <v>ND1313</v>
      </c>
      <c r="D38" s="125" t="str">
        <f>IF($B38=999,"",INDEX('Cost+CPI'!B:B,$B38))</f>
        <v>Rosebery Substation transformer capacity augmentation</v>
      </c>
      <c r="E38" s="349" t="str">
        <f>IF($B38=999,"",INDEX('Cost+CPI'!C:C,$B38))</f>
        <v>Connection</v>
      </c>
      <c r="F38" s="346" t="str">
        <f>IF($B38=999,"",INDEX('Cost+CPI'!D:D,$B38))</f>
        <v>2016/17</v>
      </c>
      <c r="H38" s="170">
        <f>IF(ISERR($B38),0,INDEX('Cost+CPI'!R:R,$B38))</f>
        <v>697941.4295393388</v>
      </c>
      <c r="I38" s="170">
        <f>IF(ISERR($B38),0,INDEX('Cost+CPI'!S:S,$B38))</f>
        <v>5317931.0105185257</v>
      </c>
      <c r="J38" s="170">
        <f>IF(ISERR($B38),0,INDEX('Cost+CPI'!T:T,$B38))</f>
        <v>118719.99734495928</v>
      </c>
      <c r="K38" s="170">
        <f>IF(ISERR($B38),0,INDEX('Cost+CPI'!U:U,$B38))</f>
        <v>0</v>
      </c>
      <c r="L38" s="170">
        <f>IF(ISERR($B38),0,INDEX('Cost+CPI'!V:V,$B38))</f>
        <v>0</v>
      </c>
      <c r="M38" s="171">
        <f t="shared" si="0"/>
        <v>6134592.4374028239</v>
      </c>
      <c r="N38" s="121"/>
      <c r="O38" s="270" t="s">
        <v>115</v>
      </c>
      <c r="P38" s="121"/>
      <c r="Q38" s="121"/>
      <c r="R38" s="121"/>
    </row>
    <row r="39" spans="1:18" ht="15" customHeight="1" x14ac:dyDescent="0.25">
      <c r="A39" s="104">
        <v>34</v>
      </c>
      <c r="B39" s="104">
        <v>44</v>
      </c>
      <c r="C39" s="124" t="str">
        <f>IF($B39=999,"",INDEX('Cost+CPI'!A:A,$B39))</f>
        <v>ND1224</v>
      </c>
      <c r="D39" s="125" t="str">
        <f>IF($B39=999,"",INDEX('Cost+CPI'!B:B,$B39))</f>
        <v>SCADA System renewal program</v>
      </c>
      <c r="E39" s="349" t="str">
        <f>IF($B39=999,"",INDEX('Cost+CPI'!C:C,$B39))</f>
        <v>Asset Renewal</v>
      </c>
      <c r="F39" s="346" t="str">
        <f>IF($B39=999,"",INDEX('Cost+CPI'!D:D,$B39))</f>
        <v>2016/17</v>
      </c>
      <c r="H39" s="170">
        <f>IF(ISERR($B39),0,INDEX('Cost+CPI'!R:R,$B39))</f>
        <v>464967.62110064912</v>
      </c>
      <c r="I39" s="170">
        <f>IF(ISERR($B39),0,INDEX('Cost+CPI'!S:S,$B39))</f>
        <v>3100112.9008011497</v>
      </c>
      <c r="J39" s="170">
        <f>IF(ISERR($B39),0,INDEX('Cost+CPI'!T:T,$B39))</f>
        <v>36473.032265219917</v>
      </c>
      <c r="K39" s="170">
        <f>IF(ISERR($B39),0,INDEX('Cost+CPI'!U:U,$B39))</f>
        <v>0</v>
      </c>
      <c r="L39" s="170">
        <f>IF(ISERR($B39),0,INDEX('Cost+CPI'!V:V,$B39))</f>
        <v>0</v>
      </c>
      <c r="M39" s="171">
        <f t="shared" si="0"/>
        <v>3601553.5541670187</v>
      </c>
      <c r="N39" s="121"/>
      <c r="O39" s="270" t="s">
        <v>130</v>
      </c>
      <c r="P39" s="121"/>
      <c r="Q39" s="121"/>
      <c r="R39" s="121"/>
    </row>
    <row r="40" spans="1:18" ht="15" customHeight="1" x14ac:dyDescent="0.25">
      <c r="A40" s="104">
        <v>999</v>
      </c>
      <c r="B40" s="104">
        <v>45</v>
      </c>
      <c r="C40" s="124" t="str">
        <f>IF($B40=999,"",INDEX('Cost+CPI'!A:A,$B40))</f>
        <v>ND1192</v>
      </c>
      <c r="D40" s="125" t="str">
        <f>IF($B40=999,"",INDEX('Cost+CPI'!B:B,$B40))</f>
        <v>Smart Transmission Grid Development program</v>
      </c>
      <c r="E40" s="349" t="str">
        <f>IF($B40=999,"",INDEX('Cost+CPI'!C:C,$B40))</f>
        <v>Operational Support Systems</v>
      </c>
      <c r="F40" s="346" t="str">
        <f>IF($B40=999,"",INDEX('Cost+CPI'!D:D,$B40))</f>
        <v>2018/19</v>
      </c>
      <c r="H40" s="170">
        <f>IF(ISERR($B40),0,INDEX('Cost+CPI'!R:R,$B40))</f>
        <v>314850.59760956175</v>
      </c>
      <c r="I40" s="170">
        <f>IF(ISERR($B40),0,INDEX('Cost+CPI'!S:S,$B40))</f>
        <v>314850.59760956175</v>
      </c>
      <c r="J40" s="170">
        <f>IF(ISERR($B40),0,INDEX('Cost+CPI'!T:T,$B40))</f>
        <v>314850.59760956175</v>
      </c>
      <c r="K40" s="170">
        <f>IF(ISERR($B40),0,INDEX('Cost+CPI'!U:U,$B40))</f>
        <v>314850.59760956175</v>
      </c>
      <c r="L40" s="170">
        <f>IF(ISERR($B40),0,INDEX('Cost+CPI'!V:V,$B40))</f>
        <v>314850.59760956175</v>
      </c>
      <c r="M40" s="171">
        <f t="shared" si="0"/>
        <v>1574252.9880478089</v>
      </c>
      <c r="N40" s="121"/>
      <c r="O40" s="270" t="s">
        <v>133</v>
      </c>
      <c r="P40" s="121"/>
      <c r="Q40" s="121"/>
      <c r="R40" s="121"/>
    </row>
    <row r="41" spans="1:18" ht="15" customHeight="1" x14ac:dyDescent="0.25">
      <c r="A41" s="104">
        <v>999</v>
      </c>
      <c r="B41" s="104">
        <v>46</v>
      </c>
      <c r="C41" s="124" t="str">
        <f>IF($B41=999,"",INDEX('Cost+CPI'!A:A,$B41))</f>
        <v>ND1312</v>
      </c>
      <c r="D41" s="125" t="str">
        <f>IF($B41=999,"",INDEX('Cost+CPI'!B:B,$B41))</f>
        <v>Southern transmission system rationalisation program</v>
      </c>
      <c r="E41" s="349" t="str">
        <f>IF($B41=999,"",INDEX('Cost+CPI'!C:C,$B41))</f>
        <v>Asset Renewal</v>
      </c>
      <c r="F41" s="346" t="str">
        <f>IF($B41=999,"",INDEX('Cost+CPI'!D:D,$B41))</f>
        <v>2020/21</v>
      </c>
      <c r="H41" s="170">
        <f>IF(ISERR($B41),0,INDEX('Cost+CPI'!R:R,$B41))</f>
        <v>0</v>
      </c>
      <c r="I41" s="170">
        <f>IF(ISERR($B41),0,INDEX('Cost+CPI'!S:S,$B41))</f>
        <v>0</v>
      </c>
      <c r="J41" s="170">
        <f>IF(ISERR($B41),0,INDEX('Cost+CPI'!T:T,$B41))</f>
        <v>0</v>
      </c>
      <c r="K41" s="170">
        <f>IF(ISERR($B41),0,INDEX('Cost+CPI'!U:U,$B41))</f>
        <v>0</v>
      </c>
      <c r="L41" s="170">
        <f>IF(ISERR($B41),0,INDEX('Cost+CPI'!V:V,$B41))</f>
        <v>2841051.3835665779</v>
      </c>
      <c r="M41" s="171">
        <f t="shared" si="0"/>
        <v>2841051.3835665779</v>
      </c>
      <c r="N41" s="121"/>
      <c r="O41" s="270" t="s">
        <v>134</v>
      </c>
      <c r="P41" s="121"/>
      <c r="Q41" s="121"/>
      <c r="R41" s="121"/>
    </row>
    <row r="42" spans="1:18" ht="15" customHeight="1" x14ac:dyDescent="0.25">
      <c r="A42" s="104">
        <v>999</v>
      </c>
      <c r="B42" s="104">
        <v>47</v>
      </c>
      <c r="C42" s="124" t="str">
        <f>IF($B42=999,"",INDEX('Cost+CPI'!A:A,$B42))</f>
        <v>ND0941</v>
      </c>
      <c r="D42" s="125" t="str">
        <f>IF($B42=999,"",INDEX('Cost+CPI'!B:B,$B42))</f>
        <v>St Marys Substation transformer capacity augmentation</v>
      </c>
      <c r="E42" s="349" t="str">
        <f>IF($B42=999,"",INDEX('Cost+CPI'!C:C,$B42))</f>
        <v>Connection</v>
      </c>
      <c r="F42" s="346" t="str">
        <f>IF($B42=999,"",INDEX('Cost+CPI'!D:D,$B42))</f>
        <v>2017/18</v>
      </c>
      <c r="H42" s="170">
        <f>IF(ISERR($B42),0,INDEX('Cost+CPI'!R:R,$B42))</f>
        <v>0</v>
      </c>
      <c r="I42" s="170">
        <f>IF(ISERR($B42),0,INDEX('Cost+CPI'!S:S,$B42))</f>
        <v>219256.4438206873</v>
      </c>
      <c r="J42" s="170">
        <f>IF(ISERR($B42),0,INDEX('Cost+CPI'!T:T,$B42))</f>
        <v>2369137.7207605466</v>
      </c>
      <c r="K42" s="170">
        <f>IF(ISERR($B42),0,INDEX('Cost+CPI'!U:U,$B42))</f>
        <v>1088384.4952660031</v>
      </c>
      <c r="L42" s="170">
        <f>IF(ISERR($B42),0,INDEX('Cost+CPI'!V:V,$B42))</f>
        <v>0</v>
      </c>
      <c r="M42" s="171">
        <f t="shared" si="0"/>
        <v>3676778.6598472372</v>
      </c>
      <c r="N42" s="121"/>
      <c r="O42" s="270" t="s">
        <v>135</v>
      </c>
      <c r="P42" s="121"/>
      <c r="Q42" s="121"/>
      <c r="R42" s="121"/>
    </row>
    <row r="43" spans="1:18" ht="15" customHeight="1" x14ac:dyDescent="0.25">
      <c r="A43" s="104">
        <v>999</v>
      </c>
      <c r="B43" s="104">
        <v>48</v>
      </c>
      <c r="C43" s="124" t="str">
        <f>IF($B43=999,"",INDEX('Cost+CPI'!A:A,$B43))</f>
        <v>ND1261</v>
      </c>
      <c r="D43" s="125" t="str">
        <f>IF($B43=999,"",INDEX('Cost+CPI'!B:B,$B43))</f>
        <v>Strategic Easement and Land Acquisition</v>
      </c>
      <c r="E43" s="349" t="str">
        <f>IF($B43=999,"",INDEX('Cost+CPI'!C:C,$B43))</f>
        <v>Physical Security / Compliance</v>
      </c>
      <c r="F43" s="346" t="str">
        <f>IF($B43=999,"",INDEX('Cost+CPI'!D:D,$B43))</f>
        <v>2018/19</v>
      </c>
      <c r="H43" s="170">
        <f>IF(ISERR($B43),0,INDEX('Cost+CPI'!R:R,$B43))</f>
        <v>363252.21523505094</v>
      </c>
      <c r="I43" s="170">
        <f>IF(ISERR($B43),0,INDEX('Cost+CPI'!S:S,$B43))</f>
        <v>380688.3215663333</v>
      </c>
      <c r="J43" s="170">
        <f>IF(ISERR($B43),0,INDEX('Cost+CPI'!T:T,$B43))</f>
        <v>399341.86787007691</v>
      </c>
      <c r="K43" s="170">
        <f>IF(ISERR($B43),0,INDEX('Cost+CPI'!U:U,$B43))</f>
        <v>419508.58467944217</v>
      </c>
      <c r="L43" s="170">
        <f>IF(ISERR($B43),0,INDEX('Cost+CPI'!V:V,$B43))</f>
        <v>441113.2269201756</v>
      </c>
      <c r="M43" s="171">
        <f t="shared" si="0"/>
        <v>2003904.2162710791</v>
      </c>
      <c r="N43" s="121"/>
      <c r="O43" s="270" t="s">
        <v>136</v>
      </c>
      <c r="P43" s="121"/>
      <c r="Q43" s="121"/>
      <c r="R43" s="121"/>
    </row>
    <row r="44" spans="1:18" ht="15" customHeight="1" x14ac:dyDescent="0.25">
      <c r="A44" s="104">
        <v>39</v>
      </c>
      <c r="B44" s="104">
        <v>49</v>
      </c>
      <c r="C44" s="124" t="str">
        <f>IF($B44=999,"",INDEX('Cost+CPI'!A:A,$B44))</f>
        <v>ND1341</v>
      </c>
      <c r="D44" s="125" t="str">
        <f>IF($B44=999,"",INDEX('Cost+CPI'!B:B,$B44))</f>
        <v>Strategic spare 110/22/11 kV 17/25 MVA supply transformer</v>
      </c>
      <c r="E44" s="349" t="str">
        <f>IF($B44=999,"",INDEX('Cost+CPI'!C:C,$B44))</f>
        <v>Inventory / Spares</v>
      </c>
      <c r="F44" s="346" t="str">
        <f>IF($B44=999,"",INDEX('Cost+CPI'!D:D,$B44))</f>
        <v>2016/17</v>
      </c>
      <c r="H44" s="170">
        <f>IF(ISERR($B44),0,INDEX('Cost+CPI'!R:R,$B44))</f>
        <v>199645.7617433409</v>
      </c>
      <c r="I44" s="170">
        <f>IF(ISERR($B44),0,INDEX('Cost+CPI'!S:S,$B44))</f>
        <v>1391357.4374719604</v>
      </c>
      <c r="J44" s="170">
        <f>IF(ISERR($B44),0,INDEX('Cost+CPI'!T:T,$B44))</f>
        <v>28751.420715678982</v>
      </c>
      <c r="K44" s="170">
        <f>IF(ISERR($B44),0,INDEX('Cost+CPI'!U:U,$B44))</f>
        <v>0</v>
      </c>
      <c r="L44" s="170">
        <f>IF(ISERR($B44),0,INDEX('Cost+CPI'!V:V,$B44))</f>
        <v>0</v>
      </c>
      <c r="M44" s="171">
        <f t="shared" si="0"/>
        <v>1619754.6199309803</v>
      </c>
      <c r="N44" s="121"/>
      <c r="O44" s="270" t="s">
        <v>123</v>
      </c>
      <c r="P44" s="121"/>
      <c r="Q44" s="121"/>
      <c r="R44" s="121"/>
    </row>
    <row r="45" spans="1:18" ht="15" customHeight="1" x14ac:dyDescent="0.25">
      <c r="A45" s="104">
        <v>40</v>
      </c>
      <c r="B45" s="104">
        <v>50</v>
      </c>
      <c r="C45" s="124" t="str">
        <f>IF($B45=999,"",INDEX('Cost+CPI'!A:A,$B45))</f>
        <v>ND1342</v>
      </c>
      <c r="D45" s="125" t="str">
        <f>IF($B45=999,"",INDEX('Cost+CPI'!B:B,$B45))</f>
        <v>Strategic spare 110/33/22/11 kV 30/60 MVA supply transformer</v>
      </c>
      <c r="E45" s="349" t="str">
        <f>IF($B45=999,"",INDEX('Cost+CPI'!C:C,$B45))</f>
        <v>Inventory / Spares</v>
      </c>
      <c r="F45" s="346" t="str">
        <f>IF($B45=999,"",INDEX('Cost+CPI'!D:D,$B45))</f>
        <v>2016/17</v>
      </c>
      <c r="H45" s="170">
        <f>IF(ISERR($B45),0,INDEX('Cost+CPI'!R:R,$B45))</f>
        <v>309374.13962109393</v>
      </c>
      <c r="I45" s="170">
        <f>IF(ISERR($B45),0,INDEX('Cost+CPI'!S:S,$B45))</f>
        <v>1884901.6458883511</v>
      </c>
      <c r="J45" s="170">
        <f>IF(ISERR($B45),0,INDEX('Cost+CPI'!T:T,$B45))</f>
        <v>33674.655324055959</v>
      </c>
      <c r="K45" s="170">
        <f>IF(ISERR($B45),0,INDEX('Cost+CPI'!U:U,$B45))</f>
        <v>0</v>
      </c>
      <c r="L45" s="170">
        <f>IF(ISERR($B45),0,INDEX('Cost+CPI'!V:V,$B45))</f>
        <v>0</v>
      </c>
      <c r="M45" s="171">
        <f t="shared" si="0"/>
        <v>2227950.4408335011</v>
      </c>
      <c r="N45" s="121"/>
      <c r="O45" s="270" t="s">
        <v>117</v>
      </c>
      <c r="P45" s="121"/>
      <c r="Q45" s="121"/>
      <c r="R45" s="121"/>
    </row>
    <row r="46" spans="1:18" ht="15" customHeight="1" x14ac:dyDescent="0.25">
      <c r="A46" s="104">
        <v>41</v>
      </c>
      <c r="B46" s="104">
        <v>51</v>
      </c>
      <c r="C46" s="124" t="str">
        <f>IF($B46=999,"",INDEX('Cost+CPI'!A:A,$B46))</f>
        <v>ND1340</v>
      </c>
      <c r="D46" s="125" t="str">
        <f>IF($B46=999,"",INDEX('Cost+CPI'!B:B,$B46))</f>
        <v>Strategic spare 33 kV switchgear</v>
      </c>
      <c r="E46" s="349" t="str">
        <f>IF($B46=999,"",INDEX('Cost+CPI'!C:C,$B46))</f>
        <v>Inventory / Spares</v>
      </c>
      <c r="F46" s="346" t="str">
        <f>IF($B46=999,"",INDEX('Cost+CPI'!D:D,$B46))</f>
        <v>2015/16</v>
      </c>
      <c r="H46" s="170">
        <f>IF(ISERR($B46),0,INDEX('Cost+CPI'!R:R,$B46))</f>
        <v>249802.73382665537</v>
      </c>
      <c r="I46" s="170">
        <f>IF(ISERR($B46),0,INDEX('Cost+CPI'!S:S,$B46))</f>
        <v>473553.01354819792</v>
      </c>
      <c r="J46" s="170">
        <f>IF(ISERR($B46),0,INDEX('Cost+CPI'!T:T,$B46))</f>
        <v>0</v>
      </c>
      <c r="K46" s="170">
        <f>IF(ISERR($B46),0,INDEX('Cost+CPI'!U:U,$B46))</f>
        <v>0</v>
      </c>
      <c r="L46" s="170">
        <f>IF(ISERR($B46),0,INDEX('Cost+CPI'!V:V,$B46))</f>
        <v>0</v>
      </c>
      <c r="M46" s="171">
        <f t="shared" si="0"/>
        <v>723355.74737485335</v>
      </c>
      <c r="N46" s="121"/>
      <c r="O46" s="270" t="s">
        <v>137</v>
      </c>
      <c r="P46" s="121"/>
      <c r="Q46" s="121"/>
      <c r="R46" s="121"/>
    </row>
    <row r="47" spans="1:18" ht="15" customHeight="1" x14ac:dyDescent="0.25">
      <c r="A47" s="104">
        <v>42</v>
      </c>
      <c r="B47" s="104">
        <v>52</v>
      </c>
      <c r="C47" s="124" t="str">
        <f>IF($B47=999,"",INDEX('Cost+CPI'!A:A,$B47))</f>
        <v>ND1118</v>
      </c>
      <c r="D47" s="125" t="str">
        <f>IF($B47=999,"",INDEX('Cost+CPI'!B:B,$B47))</f>
        <v>Strategic spare dual secondary winding 110/11-6.6 kV 45-45 MVA supply transformer</v>
      </c>
      <c r="E47" s="349" t="str">
        <f>IF($B47=999,"",INDEX('Cost+CPI'!C:C,$B47))</f>
        <v>Inventory / Spares</v>
      </c>
      <c r="F47" s="346" t="str">
        <f>IF($B47=999,"",INDEX('Cost+CPI'!D:D,$B47))</f>
        <v>2016/17</v>
      </c>
      <c r="H47" s="170">
        <f>IF(ISERR($B47),0,INDEX('Cost+CPI'!R:R,$B47))</f>
        <v>348045.9070737306</v>
      </c>
      <c r="I47" s="170">
        <f>IF(ISERR($B47),0,INDEX('Cost+CPI'!S:S,$B47))</f>
        <v>2032682.3962316688</v>
      </c>
      <c r="J47" s="170">
        <f>IF(ISERR($B47),0,INDEX('Cost+CPI'!T:T,$B47))</f>
        <v>126279.95746520985</v>
      </c>
      <c r="K47" s="170">
        <f>IF(ISERR($B47),0,INDEX('Cost+CPI'!U:U,$B47))</f>
        <v>0</v>
      </c>
      <c r="L47" s="170">
        <f>IF(ISERR($B47),0,INDEX('Cost+CPI'!V:V,$B47))</f>
        <v>0</v>
      </c>
      <c r="M47" s="171">
        <f t="shared" si="0"/>
        <v>2507008.2607706096</v>
      </c>
      <c r="N47" s="121"/>
      <c r="O47" s="270" t="s">
        <v>137</v>
      </c>
      <c r="P47" s="121"/>
      <c r="Q47" s="121"/>
      <c r="R47" s="121"/>
    </row>
    <row r="48" spans="1:18" ht="15" customHeight="1" x14ac:dyDescent="0.25">
      <c r="A48" s="104">
        <v>43</v>
      </c>
      <c r="B48" s="104">
        <v>53</v>
      </c>
      <c r="C48" s="124" t="str">
        <f>IF($B48=999,"",INDEX('Cost+CPI'!A:A,$B48))</f>
        <v>ND1343</v>
      </c>
      <c r="D48" s="125" t="str">
        <f>IF($B48=999,"",INDEX('Cost+CPI'!B:B,$B48))</f>
        <v>Strategic spare mobile 110/33/22/11 kV substation</v>
      </c>
      <c r="E48" s="349" t="str">
        <f>IF($B48=999,"",INDEX('Cost+CPI'!C:C,$B48))</f>
        <v>Inventory / Spares</v>
      </c>
      <c r="F48" s="346" t="str">
        <f>IF($B48=999,"",INDEX('Cost+CPI'!D:D,$B48))</f>
        <v>2016/17</v>
      </c>
      <c r="H48" s="170">
        <f>IF(ISERR($B48),0,INDEX('Cost+CPI'!R:R,$B48))</f>
        <v>280949.77672715182</v>
      </c>
      <c r="I48" s="170">
        <f>IF(ISERR($B48),0,INDEX('Cost+CPI'!S:S,$B48))</f>
        <v>2732559.0626307577</v>
      </c>
      <c r="J48" s="170">
        <f>IF(ISERR($B48),0,INDEX('Cost+CPI'!T:T,$B48))</f>
        <v>4093513.0706929401</v>
      </c>
      <c r="K48" s="170">
        <f>IF(ISERR($B48),0,INDEX('Cost+CPI'!U:U,$B48))</f>
        <v>0</v>
      </c>
      <c r="L48" s="170">
        <f>IF(ISERR($B48),0,INDEX('Cost+CPI'!V:V,$B48))</f>
        <v>0</v>
      </c>
      <c r="M48" s="171">
        <f t="shared" si="0"/>
        <v>7107021.9100508504</v>
      </c>
      <c r="N48" s="121"/>
      <c r="O48" s="270" t="s">
        <v>123</v>
      </c>
      <c r="P48" s="121"/>
      <c r="Q48" s="121"/>
      <c r="R48" s="121"/>
    </row>
    <row r="49" spans="1:18" ht="15" customHeight="1" x14ac:dyDescent="0.25">
      <c r="A49" s="104">
        <v>44</v>
      </c>
      <c r="B49" s="104">
        <v>54</v>
      </c>
      <c r="C49" s="124" t="str">
        <f>IF($B49=999,"",INDEX('Cost+CPI'!A:A,$B49))</f>
        <v>ND1204</v>
      </c>
      <c r="D49" s="125" t="str">
        <f>IF($B49=999,"",INDEX('Cost+CPI'!B:B,$B49))</f>
        <v>Substation AC distribution system renewal program</v>
      </c>
      <c r="E49" s="349" t="str">
        <f>IF($B49=999,"",INDEX('Cost+CPI'!C:C,$B49))</f>
        <v>Asset Renewal</v>
      </c>
      <c r="F49" s="346" t="str">
        <f>IF($B49=999,"",INDEX('Cost+CPI'!D:D,$B49))</f>
        <v>2017/18</v>
      </c>
      <c r="H49" s="170">
        <f>IF(ISERR($B49),0,INDEX('Cost+CPI'!R:R,$B49))</f>
        <v>0</v>
      </c>
      <c r="I49" s="170">
        <f>IF(ISERR($B49),0,INDEX('Cost+CPI'!S:S,$B49))</f>
        <v>0</v>
      </c>
      <c r="J49" s="170">
        <f>IF(ISERR($B49),0,INDEX('Cost+CPI'!T:T,$B49))</f>
        <v>194728.42155805629</v>
      </c>
      <c r="K49" s="170">
        <f>IF(ISERR($B49),0,INDEX('Cost+CPI'!U:U,$B49))</f>
        <v>923600.4739040141</v>
      </c>
      <c r="L49" s="170">
        <f>IF(ISERR($B49),0,INDEX('Cost+CPI'!V:V,$B49))</f>
        <v>1280077.0325497696</v>
      </c>
      <c r="M49" s="171">
        <f t="shared" si="0"/>
        <v>2398405.9280118402</v>
      </c>
      <c r="N49" s="121"/>
      <c r="O49" s="270" t="s">
        <v>138</v>
      </c>
      <c r="P49" s="121"/>
      <c r="Q49" s="121"/>
      <c r="R49" s="121"/>
    </row>
    <row r="50" spans="1:18" ht="15" customHeight="1" x14ac:dyDescent="0.25">
      <c r="A50" s="104">
        <v>45</v>
      </c>
      <c r="B50" s="104">
        <v>55</v>
      </c>
      <c r="C50" s="124" t="str">
        <f>IF($B50=999,"",INDEX('Cost+CPI'!A:A,$B50))</f>
        <v>ND0989</v>
      </c>
      <c r="D50" s="125" t="str">
        <f>IF($B50=999,"",INDEX('Cost+CPI'!B:B,$B50))</f>
        <v>Substation AC supply replacement program</v>
      </c>
      <c r="E50" s="349" t="str">
        <f>IF($B50=999,"",INDEX('Cost+CPI'!C:C,$B50))</f>
        <v>Asset Renewal</v>
      </c>
      <c r="F50" s="346" t="str">
        <f>IF($B50=999,"",INDEX('Cost+CPI'!D:D,$B50))</f>
        <v>2014/15</v>
      </c>
      <c r="H50" s="170">
        <f>IF(ISERR($B50),0,INDEX('Cost+CPI'!R:R,$B50))</f>
        <v>340000</v>
      </c>
      <c r="I50" s="170">
        <f>IF(ISERR($B50),0,INDEX('Cost+CPI'!S:S,$B50))</f>
        <v>0</v>
      </c>
      <c r="J50" s="170">
        <f>IF(ISERR($B50),0,INDEX('Cost+CPI'!T:T,$B50))</f>
        <v>0</v>
      </c>
      <c r="K50" s="170">
        <f>IF(ISERR($B50),0,INDEX('Cost+CPI'!U:U,$B50))</f>
        <v>0</v>
      </c>
      <c r="L50" s="170">
        <f>IF(ISERR($B50),0,INDEX('Cost+CPI'!V:V,$B50))</f>
        <v>0</v>
      </c>
      <c r="M50" s="171">
        <f t="shared" si="0"/>
        <v>340000</v>
      </c>
      <c r="N50" s="121"/>
      <c r="O50" s="270" t="s">
        <v>139</v>
      </c>
      <c r="P50" s="121"/>
      <c r="Q50" s="121"/>
      <c r="R50" s="121"/>
    </row>
    <row r="51" spans="1:18" ht="15" customHeight="1" x14ac:dyDescent="0.25">
      <c r="A51" s="104">
        <v>46</v>
      </c>
      <c r="B51" s="104">
        <v>56</v>
      </c>
      <c r="C51" s="124" t="str">
        <f>IF($B51=999,"",INDEX('Cost+CPI'!A:A,$B51))</f>
        <v>ND1002</v>
      </c>
      <c r="D51" s="125" t="str">
        <f>IF($B51=999,"",INDEX('Cost+CPI'!B:B,$B51))</f>
        <v>Substation condition based monitoring program</v>
      </c>
      <c r="E51" s="349" t="str">
        <f>IF($B51=999,"",INDEX('Cost+CPI'!C:C,$B51))</f>
        <v>Operational Support Systems</v>
      </c>
      <c r="F51" s="346" t="str">
        <f>IF($B51=999,"",INDEX('Cost+CPI'!D:D,$B51))</f>
        <v>2018/19</v>
      </c>
      <c r="H51" s="170">
        <f>IF(ISERR($B51),0,INDEX('Cost+CPI'!R:R,$B51))</f>
        <v>327175.26200305304</v>
      </c>
      <c r="I51" s="170">
        <f>IF(ISERR($B51),0,INDEX('Cost+CPI'!S:S,$B51))</f>
        <v>330593.61323176086</v>
      </c>
      <c r="J51" s="170">
        <f>IF(ISERR($B51),0,INDEX('Cost+CPI'!T:T,$B51))</f>
        <v>334437.37543333642</v>
      </c>
      <c r="K51" s="170">
        <f>IF(ISERR($B51),0,INDEX('Cost+CPI'!U:U,$B51))</f>
        <v>338051.22012138844</v>
      </c>
      <c r="L51" s="170">
        <f>IF(ISERR($B51),0,INDEX('Cost+CPI'!V:V,$B51))</f>
        <v>341187.58482103038</v>
      </c>
      <c r="M51" s="171">
        <f t="shared" si="0"/>
        <v>1671445.0556105692</v>
      </c>
      <c r="N51" s="121"/>
      <c r="O51" s="270" t="s">
        <v>119</v>
      </c>
      <c r="P51" s="121"/>
      <c r="Q51" s="121"/>
      <c r="R51" s="121"/>
    </row>
    <row r="52" spans="1:18" ht="15" customHeight="1" x14ac:dyDescent="0.25">
      <c r="A52" s="104">
        <v>47</v>
      </c>
      <c r="B52" s="104">
        <v>57</v>
      </c>
      <c r="C52" s="124" t="str">
        <f>IF($B52=999,"",INDEX('Cost+CPI'!A:A,$B52))</f>
        <v>ND0981</v>
      </c>
      <c r="D52" s="125" t="str">
        <f>IF($B52=999,"",INDEX('Cost+CPI'!B:B,$B52))</f>
        <v>Substation DC distribution system renewal program</v>
      </c>
      <c r="E52" s="349" t="str">
        <f>IF($B52=999,"",INDEX('Cost+CPI'!C:C,$B52))</f>
        <v>Asset Renewal</v>
      </c>
      <c r="F52" s="346" t="str">
        <f>IF($B52=999,"",INDEX('Cost+CPI'!D:D,$B52))</f>
        <v>2018/19</v>
      </c>
      <c r="H52" s="170">
        <f>IF(ISERR($B52),0,INDEX('Cost+CPI'!R:R,$B52))</f>
        <v>0</v>
      </c>
      <c r="I52" s="170">
        <f>IF(ISERR($B52),0,INDEX('Cost+CPI'!S:S,$B52))</f>
        <v>0</v>
      </c>
      <c r="J52" s="170">
        <f>IF(ISERR($B52),0,INDEX('Cost+CPI'!T:T,$B52))</f>
        <v>501333.91374315543</v>
      </c>
      <c r="K52" s="170">
        <f>IF(ISERR($B52),0,INDEX('Cost+CPI'!U:U,$B52))</f>
        <v>2261561.1403349955</v>
      </c>
      <c r="L52" s="170">
        <f>IF(ISERR($B52),0,INDEX('Cost+CPI'!V:V,$B52))</f>
        <v>1008402.204838602</v>
      </c>
      <c r="M52" s="171">
        <f t="shared" si="0"/>
        <v>3771297.2589167529</v>
      </c>
      <c r="N52" s="121"/>
      <c r="O52" s="270" t="s">
        <v>115</v>
      </c>
      <c r="P52" s="121"/>
      <c r="Q52" s="121"/>
      <c r="R52" s="121"/>
    </row>
    <row r="53" spans="1:18" ht="15" customHeight="1" x14ac:dyDescent="0.25">
      <c r="A53" s="104">
        <v>48</v>
      </c>
      <c r="B53" s="104">
        <v>58</v>
      </c>
      <c r="C53" s="124" t="str">
        <f>IF($B53=999,"",INDEX('Cost+CPI'!A:A,$B53))</f>
        <v>ND1259</v>
      </c>
      <c r="D53" s="125" t="str">
        <f>IF($B53=999,"",INDEX('Cost+CPI'!B:B,$B53))</f>
        <v>Substation Disconnector and Earth Switch renewal program</v>
      </c>
      <c r="E53" s="349" t="str">
        <f>IF($B53=999,"",INDEX('Cost+CPI'!C:C,$B53))</f>
        <v>Asset Renewal</v>
      </c>
      <c r="F53" s="346" t="str">
        <f>IF($B53=999,"",INDEX('Cost+CPI'!D:D,$B53))</f>
        <v>2017/18</v>
      </c>
      <c r="H53" s="170">
        <f>IF(ISERR($B53),0,INDEX('Cost+CPI'!R:R,$B53))</f>
        <v>0</v>
      </c>
      <c r="I53" s="170">
        <f>IF(ISERR($B53),0,INDEX('Cost+CPI'!S:S,$B53))</f>
        <v>1153512.3330411396</v>
      </c>
      <c r="J53" s="170">
        <f>IF(ISERR($B53),0,INDEX('Cost+CPI'!T:T,$B53))</f>
        <v>5206553.0587193808</v>
      </c>
      <c r="K53" s="170">
        <f>IF(ISERR($B53),0,INDEX('Cost+CPI'!U:U,$B53))</f>
        <v>2324375.8036167831</v>
      </c>
      <c r="L53" s="170">
        <f>IF(ISERR($B53),0,INDEX('Cost+CPI'!V:V,$B53))</f>
        <v>0</v>
      </c>
      <c r="M53" s="171">
        <f t="shared" si="0"/>
        <v>8684441.1953773033</v>
      </c>
      <c r="N53" s="121"/>
      <c r="O53" s="270" t="s">
        <v>140</v>
      </c>
      <c r="P53" s="121"/>
      <c r="Q53" s="121"/>
      <c r="R53" s="121"/>
    </row>
    <row r="54" spans="1:18" ht="15" customHeight="1" x14ac:dyDescent="0.25">
      <c r="A54" s="104">
        <v>49</v>
      </c>
      <c r="B54" s="104">
        <v>59</v>
      </c>
      <c r="C54" s="124" t="str">
        <f>IF($B54=999,"",INDEX('Cost+CPI'!A:A,$B54))</f>
        <v>ND1209</v>
      </c>
      <c r="D54" s="125" t="str">
        <f>IF($B54=999,"",INDEX('Cost+CPI'!B:B,$B54))</f>
        <v>Substation EHV Bus Bar protection renewal program</v>
      </c>
      <c r="E54" s="349" t="str">
        <f>IF($B54=999,"",INDEX('Cost+CPI'!C:C,$B54))</f>
        <v>Asset Renewal</v>
      </c>
      <c r="F54" s="346" t="str">
        <f>IF($B54=999,"",INDEX('Cost+CPI'!D:D,$B54))</f>
        <v>2019/20</v>
      </c>
      <c r="H54" s="170">
        <f>IF(ISERR($B54),0,INDEX('Cost+CPI'!R:R,$B54))</f>
        <v>0</v>
      </c>
      <c r="I54" s="170">
        <f>IF(ISERR($B54),0,INDEX('Cost+CPI'!S:S,$B54))</f>
        <v>0</v>
      </c>
      <c r="J54" s="170">
        <f>IF(ISERR($B54),0,INDEX('Cost+CPI'!T:T,$B54))</f>
        <v>0</v>
      </c>
      <c r="K54" s="170">
        <f>IF(ISERR($B54),0,INDEX('Cost+CPI'!U:U,$B54))</f>
        <v>553809.44124323607</v>
      </c>
      <c r="L54" s="170">
        <f>IF(ISERR($B54),0,INDEX('Cost+CPI'!V:V,$B54))</f>
        <v>3702689.1397423251</v>
      </c>
      <c r="M54" s="171">
        <f t="shared" si="0"/>
        <v>4256498.580985561</v>
      </c>
      <c r="N54" s="121"/>
      <c r="O54" s="270" t="s">
        <v>130</v>
      </c>
      <c r="P54" s="121"/>
      <c r="Q54" s="121"/>
      <c r="R54" s="121"/>
    </row>
    <row r="55" spans="1:18" ht="15" customHeight="1" x14ac:dyDescent="0.25">
      <c r="A55" s="104">
        <v>50</v>
      </c>
      <c r="B55" s="104">
        <v>60</v>
      </c>
      <c r="C55" s="124" t="str">
        <f>IF($B55=999,"",INDEX('Cost+CPI'!A:A,$B55))</f>
        <v>ND1098</v>
      </c>
      <c r="D55" s="125" t="str">
        <f>IF($B55=999,"",INDEX('Cost+CPI'!B:B,$B55))</f>
        <v>Substation fire suppression renewal program</v>
      </c>
      <c r="E55" s="349" t="str">
        <f>IF($B55=999,"",INDEX('Cost+CPI'!C:C,$B55))</f>
        <v>Physical Security / Compliance</v>
      </c>
      <c r="F55" s="346" t="str">
        <f>IF($B55=999,"",INDEX('Cost+CPI'!D:D,$B55))</f>
        <v>2018/19</v>
      </c>
      <c r="H55" s="170">
        <f>IF(ISERR($B55),0,INDEX('Cost+CPI'!R:R,$B55))</f>
        <v>916119.72052995779</v>
      </c>
      <c r="I55" s="170">
        <f>IF(ISERR($B55),0,INDEX('Cost+CPI'!S:S,$B55))</f>
        <v>925252.81258263579</v>
      </c>
      <c r="J55" s="170">
        <f>IF(ISERR($B55),0,INDEX('Cost+CPI'!T:T,$B55))</f>
        <v>937091.84613707475</v>
      </c>
      <c r="K55" s="170">
        <f>IF(ISERR($B55),0,INDEX('Cost+CPI'!U:U,$B55))</f>
        <v>948543.06139000261</v>
      </c>
      <c r="L55" s="170">
        <f>IF(ISERR($B55),0,INDEX('Cost+CPI'!V:V,$B55))</f>
        <v>958961.91603983694</v>
      </c>
      <c r="M55" s="171">
        <f t="shared" si="0"/>
        <v>4685969.3566795075</v>
      </c>
      <c r="N55" s="121"/>
      <c r="O55" s="270" t="s">
        <v>119</v>
      </c>
      <c r="P55" s="121"/>
      <c r="Q55" s="121"/>
      <c r="R55" s="121"/>
    </row>
    <row r="56" spans="1:18" ht="15" customHeight="1" x14ac:dyDescent="0.25">
      <c r="A56" s="104">
        <v>51</v>
      </c>
      <c r="B56" s="104">
        <v>61</v>
      </c>
      <c r="C56" s="124" t="str">
        <f>IF($B56=999,"",INDEX('Cost+CPI'!A:A,$B56))</f>
        <v>ND1339</v>
      </c>
      <c r="D56" s="125" t="str">
        <f>IF($B56=999,"",INDEX('Cost+CPI'!B:B,$B56))</f>
        <v>Substation HV switchgear replacement program</v>
      </c>
      <c r="E56" s="349" t="str">
        <f>IF($B56=999,"",INDEX('Cost+CPI'!C:C,$B56))</f>
        <v>Asset Renewal</v>
      </c>
      <c r="F56" s="346" t="str">
        <f>IF($B56=999,"",INDEX('Cost+CPI'!D:D,$B56))</f>
        <v>2016/17</v>
      </c>
      <c r="H56" s="170">
        <f>IF(ISERR($B56),0,INDEX('Cost+CPI'!R:R,$B56))</f>
        <v>526739.41439434455</v>
      </c>
      <c r="I56" s="170">
        <f>IF(ISERR($B56),0,INDEX('Cost+CPI'!S:S,$B56))</f>
        <v>2370886.4528231537</v>
      </c>
      <c r="J56" s="170">
        <f>IF(ISERR($B56),0,INDEX('Cost+CPI'!T:T,$B56))</f>
        <v>1059042.8247377756</v>
      </c>
      <c r="K56" s="170">
        <f>IF(ISERR($B56),0,INDEX('Cost+CPI'!U:U,$B56))</f>
        <v>0</v>
      </c>
      <c r="L56" s="170">
        <f>IF(ISERR($B56),0,INDEX('Cost+CPI'!V:V,$B56))</f>
        <v>0</v>
      </c>
      <c r="M56" s="171">
        <f t="shared" si="0"/>
        <v>3956668.691955274</v>
      </c>
      <c r="N56" s="121"/>
      <c r="O56" s="270" t="s">
        <v>113</v>
      </c>
      <c r="P56" s="121"/>
      <c r="Q56" s="121"/>
      <c r="R56" s="121"/>
    </row>
    <row r="57" spans="1:18" ht="15" customHeight="1" x14ac:dyDescent="0.25">
      <c r="A57" s="104">
        <v>52</v>
      </c>
      <c r="B57" s="104">
        <v>62</v>
      </c>
      <c r="C57" s="124" t="str">
        <f>IF($B57=999,"",INDEX('Cost+CPI'!A:A,$B57))</f>
        <v>ND1309</v>
      </c>
      <c r="D57" s="125" t="str">
        <f>IF($B57=999,"",INDEX('Cost+CPI'!B:B,$B57))</f>
        <v>Substation Lightning Protection enhancement program</v>
      </c>
      <c r="E57" s="349" t="str">
        <f>IF($B57=999,"",INDEX('Cost+CPI'!C:C,$B57))</f>
        <v>Asset Renewal</v>
      </c>
      <c r="F57" s="346" t="str">
        <f>IF($B57=999,"",INDEX('Cost+CPI'!D:D,$B57))</f>
        <v>2018/19</v>
      </c>
      <c r="H57" s="170">
        <f>IF(ISERR($B57),0,INDEX('Cost+CPI'!R:R,$B57))</f>
        <v>0</v>
      </c>
      <c r="I57" s="170">
        <f>IF(ISERR($B57),0,INDEX('Cost+CPI'!S:S,$B57))</f>
        <v>0</v>
      </c>
      <c r="J57" s="170">
        <f>IF(ISERR($B57),0,INDEX('Cost+CPI'!T:T,$B57))</f>
        <v>379737.03532459232</v>
      </c>
      <c r="K57" s="170">
        <f>IF(ISERR($B57),0,INDEX('Cost+CPI'!U:U,$B57))</f>
        <v>1713026.3242545605</v>
      </c>
      <c r="L57" s="170">
        <f>IF(ISERR($B57),0,INDEX('Cost+CPI'!V:V,$B57))</f>
        <v>763816.68566045887</v>
      </c>
      <c r="M57" s="171">
        <f t="shared" si="0"/>
        <v>2856580.0452396115</v>
      </c>
      <c r="N57" s="121"/>
      <c r="O57" s="270" t="s">
        <v>115</v>
      </c>
      <c r="P57" s="121"/>
      <c r="Q57" s="121"/>
      <c r="R57" s="121"/>
    </row>
    <row r="58" spans="1:18" ht="15" customHeight="1" x14ac:dyDescent="0.25">
      <c r="A58" s="104">
        <v>53</v>
      </c>
      <c r="B58" s="104">
        <v>63</v>
      </c>
      <c r="C58" s="124" t="str">
        <f>IF($B58=999,"",INDEX('Cost+CPI'!A:A,$B58))</f>
        <v>ND1226</v>
      </c>
      <c r="D58" s="125" t="str">
        <f>IF($B58=999,"",INDEX('Cost+CPI'!B:B,$B58))</f>
        <v>Substation Power transformer refurbishment program</v>
      </c>
      <c r="E58" s="349" t="str">
        <f>IF($B58=999,"",INDEX('Cost+CPI'!C:C,$B58))</f>
        <v>Asset Renewal</v>
      </c>
      <c r="F58" s="346" t="str">
        <f>IF($B58=999,"",INDEX('Cost+CPI'!D:D,$B58))</f>
        <v>2016/17</v>
      </c>
      <c r="H58" s="170">
        <f>IF(ISERR($B58),0,INDEX('Cost+CPI'!R:R,$B58))</f>
        <v>197830.39848834998</v>
      </c>
      <c r="I58" s="170">
        <f>IF(ISERR($B58),0,INDEX('Cost+CPI'!S:S,$B58))</f>
        <v>1205307.6070850212</v>
      </c>
      <c r="J58" s="170">
        <f>IF(ISERR($B58),0,INDEX('Cost+CPI'!T:T,$B58))</f>
        <v>21533.819591222986</v>
      </c>
      <c r="K58" s="170">
        <f>IF(ISERR($B58),0,INDEX('Cost+CPI'!U:U,$B58))</f>
        <v>0</v>
      </c>
      <c r="L58" s="170">
        <f>IF(ISERR($B58),0,INDEX('Cost+CPI'!V:V,$B58))</f>
        <v>0</v>
      </c>
      <c r="M58" s="171">
        <f t="shared" si="0"/>
        <v>1424671.8251645942</v>
      </c>
      <c r="N58" s="121"/>
      <c r="O58" s="270" t="s">
        <v>141</v>
      </c>
      <c r="P58" s="121"/>
      <c r="Q58" s="121"/>
      <c r="R58" s="121"/>
    </row>
    <row r="59" spans="1:18" ht="15" customHeight="1" x14ac:dyDescent="0.25">
      <c r="A59" s="104">
        <v>54</v>
      </c>
      <c r="B59" s="104">
        <v>64</v>
      </c>
      <c r="C59" s="124" t="str">
        <f>IF($B59=999,"",INDEX('Cost+CPI'!A:A,$B59))</f>
        <v>ND1256</v>
      </c>
      <c r="D59" s="125" t="str">
        <f>IF($B59=999,"",INDEX('Cost+CPI'!B:B,$B59))</f>
        <v>Substation site infrastructure program</v>
      </c>
      <c r="E59" s="349" t="str">
        <f>IF($B59=999,"",INDEX('Cost+CPI'!C:C,$B59))</f>
        <v>Asset Renewal</v>
      </c>
      <c r="F59" s="346" t="str">
        <f>IF($B59=999,"",INDEX('Cost+CPI'!D:D,$B59))</f>
        <v>2015/16</v>
      </c>
      <c r="H59" s="170">
        <f>IF(ISERR($B59),0,INDEX('Cost+CPI'!R:R,$B59))</f>
        <v>1311253.2361202021</v>
      </c>
      <c r="I59" s="170">
        <f>IF(ISERR($B59),0,INDEX('Cost+CPI'!S:S,$B59))</f>
        <v>2493356.0177892949</v>
      </c>
      <c r="J59" s="170">
        <f>IF(ISERR($B59),0,INDEX('Cost+CPI'!T:T,$B59))</f>
        <v>0</v>
      </c>
      <c r="K59" s="170">
        <f>IF(ISERR($B59),0,INDEX('Cost+CPI'!U:U,$B59))</f>
        <v>0</v>
      </c>
      <c r="L59" s="170">
        <f>IF(ISERR($B59),0,INDEX('Cost+CPI'!V:V,$B59))</f>
        <v>0</v>
      </c>
      <c r="M59" s="171">
        <f t="shared" si="0"/>
        <v>3804609.2539094971</v>
      </c>
      <c r="N59" s="121"/>
      <c r="O59" s="270" t="s">
        <v>119</v>
      </c>
      <c r="P59" s="121"/>
      <c r="Q59" s="121"/>
      <c r="R59" s="121"/>
    </row>
    <row r="60" spans="1:18" ht="15" customHeight="1" x14ac:dyDescent="0.25">
      <c r="A60" s="104">
        <v>55</v>
      </c>
      <c r="B60" s="104">
        <v>65</v>
      </c>
      <c r="C60" s="124" t="str">
        <f>IF($B60=999,"",INDEX('Cost+CPI'!A:A,$B60))</f>
        <v>ND0990</v>
      </c>
      <c r="D60" s="125" t="str">
        <f>IF($B60=999,"",INDEX('Cost+CPI'!B:B,$B60))</f>
        <v>Substation VESDA and fire suppression program</v>
      </c>
      <c r="E60" s="349" t="str">
        <f>IF($B60=999,"",INDEX('Cost+CPI'!C:C,$B60))</f>
        <v>Asset Renewal</v>
      </c>
      <c r="F60" s="346" t="str">
        <f>IF($B60=999,"",INDEX('Cost+CPI'!D:D,$B60))</f>
        <v>2014/15</v>
      </c>
      <c r="H60" s="170">
        <f>IF(ISERR($B60),0,INDEX('Cost+CPI'!R:R,$B60))</f>
        <v>2575000</v>
      </c>
      <c r="I60" s="170">
        <f>IF(ISERR($B60),0,INDEX('Cost+CPI'!S:S,$B60))</f>
        <v>0</v>
      </c>
      <c r="J60" s="170">
        <f>IF(ISERR($B60),0,INDEX('Cost+CPI'!T:T,$B60))</f>
        <v>0</v>
      </c>
      <c r="K60" s="170">
        <f>IF(ISERR($B60),0,INDEX('Cost+CPI'!U:U,$B60))</f>
        <v>0</v>
      </c>
      <c r="L60" s="170">
        <f>IF(ISERR($B60),0,INDEX('Cost+CPI'!V:V,$B60))</f>
        <v>0</v>
      </c>
      <c r="M60" s="171">
        <f t="shared" si="0"/>
        <v>2575000</v>
      </c>
      <c r="N60" s="121"/>
      <c r="O60" s="270" t="s">
        <v>142</v>
      </c>
      <c r="P60" s="121"/>
      <c r="Q60" s="121"/>
      <c r="R60" s="121"/>
    </row>
    <row r="61" spans="1:18" ht="15" customHeight="1" x14ac:dyDescent="0.25">
      <c r="A61" s="104">
        <v>56</v>
      </c>
      <c r="B61" s="104">
        <v>66</v>
      </c>
      <c r="C61" s="124" t="str">
        <f>IF($B61=999,"",INDEX('Cost+CPI'!A:A,$B61))</f>
        <v>ND1227</v>
      </c>
      <c r="D61" s="125" t="str">
        <f>IF($B61=999,"",INDEX('Cost+CPI'!B:B,$B61))</f>
        <v>Telecommunications bearer system program</v>
      </c>
      <c r="E61" s="349" t="str">
        <f>IF($B61=999,"",INDEX('Cost+CPI'!C:C,$B61))</f>
        <v>Asset Renewal</v>
      </c>
      <c r="F61" s="346" t="str">
        <f>IF($B61=999,"",INDEX('Cost+CPI'!D:D,$B61))</f>
        <v>2018/19</v>
      </c>
      <c r="H61" s="170">
        <f>IF(ISERR($B61),0,INDEX('Cost+CPI'!R:R,$B61))</f>
        <v>886027.35527878348</v>
      </c>
      <c r="I61" s="170">
        <f>IF(ISERR($B61),0,INDEX('Cost+CPI'!S:S,$B61))</f>
        <v>695129.27270584519</v>
      </c>
      <c r="J61" s="170">
        <f>IF(ISERR($B61),0,INDEX('Cost+CPI'!T:T,$B61))</f>
        <v>1170598.3886952817</v>
      </c>
      <c r="K61" s="170">
        <f>IF(ISERR($B61),0,INDEX('Cost+CPI'!U:U,$B61))</f>
        <v>909309.43323286704</v>
      </c>
      <c r="L61" s="170">
        <f>IF(ISERR($B61),0,INDEX('Cost+CPI'!V:V,$B61))</f>
        <v>480934.79886568955</v>
      </c>
      <c r="M61" s="171">
        <f t="shared" si="0"/>
        <v>4141999.2487784666</v>
      </c>
      <c r="N61" s="121"/>
      <c r="O61" s="270" t="s">
        <v>119</v>
      </c>
      <c r="P61" s="121"/>
      <c r="Q61" s="121"/>
      <c r="R61" s="121"/>
    </row>
    <row r="62" spans="1:18" ht="15" customHeight="1" x14ac:dyDescent="0.25">
      <c r="A62" s="104">
        <v>57</v>
      </c>
      <c r="B62" s="104">
        <v>67</v>
      </c>
      <c r="C62" s="124" t="str">
        <f>IF($B62=999,"",INDEX('Cost+CPI'!A:A,$B62))</f>
        <v>ND1228</v>
      </c>
      <c r="D62" s="125" t="str">
        <f>IF($B62=999,"",INDEX('Cost+CPI'!B:B,$B62))</f>
        <v>Telecommunications ethernet system program</v>
      </c>
      <c r="E62" s="349" t="str">
        <f>IF($B62=999,"",INDEX('Cost+CPI'!C:C,$B62))</f>
        <v>Asset Renewal</v>
      </c>
      <c r="F62" s="346" t="str">
        <f>IF($B62=999,"",INDEX('Cost+CPI'!D:D,$B62))</f>
        <v>2018/19</v>
      </c>
      <c r="H62" s="170">
        <f>IF(ISERR($B62),0,INDEX('Cost+CPI'!R:R,$B62))</f>
        <v>1813169.9079980343</v>
      </c>
      <c r="I62" s="170">
        <f>IF(ISERR($B62),0,INDEX('Cost+CPI'!S:S,$B62))</f>
        <v>517483.65624416276</v>
      </c>
      <c r="J62" s="170">
        <f>IF(ISERR($B62),0,INDEX('Cost+CPI'!T:T,$B62))</f>
        <v>275860.47184786783</v>
      </c>
      <c r="K62" s="170">
        <f>IF(ISERR($B62),0,INDEX('Cost+CPI'!U:U,$B62))</f>
        <v>380680.2631459994</v>
      </c>
      <c r="L62" s="170">
        <f>IF(ISERR($B62),0,INDEX('Cost+CPI'!V:V,$B62))</f>
        <v>875408.92672539782</v>
      </c>
      <c r="M62" s="171">
        <f t="shared" si="0"/>
        <v>3862603.2259614621</v>
      </c>
      <c r="N62" s="121"/>
      <c r="O62" s="270" t="s">
        <v>143</v>
      </c>
      <c r="P62" s="121"/>
      <c r="Q62" s="121"/>
      <c r="R62" s="121"/>
    </row>
    <row r="63" spans="1:18" ht="15" customHeight="1" x14ac:dyDescent="0.25">
      <c r="A63" s="104">
        <v>58</v>
      </c>
      <c r="B63" s="104">
        <v>68</v>
      </c>
      <c r="C63" s="124" t="str">
        <f>IF($B63=999,"",INDEX('Cost+CPI'!A:A,$B63))</f>
        <v>ND1229</v>
      </c>
      <c r="D63" s="125" t="str">
        <f>IF($B63=999,"",INDEX('Cost+CPI'!B:B,$B63))</f>
        <v>Telecommunications multiplexer system program</v>
      </c>
      <c r="E63" s="349" t="str">
        <f>IF($B63=999,"",INDEX('Cost+CPI'!C:C,$B63))</f>
        <v>Asset Renewal</v>
      </c>
      <c r="F63" s="346" t="str">
        <f>IF($B63=999,"",INDEX('Cost+CPI'!D:D,$B63))</f>
        <v>2018/19</v>
      </c>
      <c r="H63" s="170">
        <f>IF(ISERR($B63),0,INDEX('Cost+CPI'!R:R,$B63))</f>
        <v>0</v>
      </c>
      <c r="I63" s="170">
        <f>IF(ISERR($B63),0,INDEX('Cost+CPI'!S:S,$B63))</f>
        <v>107640.23680132229</v>
      </c>
      <c r="J63" s="170">
        <f>IF(ISERR($B63),0,INDEX('Cost+CPI'!T:T,$B63))</f>
        <v>2308531.1264032722</v>
      </c>
      <c r="K63" s="170">
        <f>IF(ISERR($B63),0,INDEX('Cost+CPI'!U:U,$B63))</f>
        <v>3334305.2744304324</v>
      </c>
      <c r="L63" s="170">
        <f>IF(ISERR($B63),0,INDEX('Cost+CPI'!V:V,$B63))</f>
        <v>860023.67754981236</v>
      </c>
      <c r="M63" s="171">
        <f t="shared" si="0"/>
        <v>6610500.3151848381</v>
      </c>
      <c r="N63" s="121"/>
      <c r="O63" s="270" t="s">
        <v>121</v>
      </c>
      <c r="P63" s="121"/>
      <c r="Q63" s="121"/>
      <c r="R63" s="121"/>
    </row>
    <row r="64" spans="1:18" ht="15" customHeight="1" x14ac:dyDescent="0.25">
      <c r="A64" s="104">
        <v>59</v>
      </c>
      <c r="B64" s="104">
        <v>69</v>
      </c>
      <c r="C64" s="124" t="str">
        <f>IF($B64=999,"",INDEX('Cost+CPI'!A:A,$B64))</f>
        <v>ND1234</v>
      </c>
      <c r="D64" s="125" t="str">
        <f>IF($B64=999,"",INDEX('Cost+CPI'!B:B,$B64))</f>
        <v>Telecommunications Network Operation and Control System enhancement program</v>
      </c>
      <c r="E64" s="349" t="str">
        <f>IF($B64=999,"",INDEX('Cost+CPI'!C:C,$B64))</f>
        <v>Operational Support Systems</v>
      </c>
      <c r="F64" s="346" t="str">
        <f>IF($B64=999,"",INDEX('Cost+CPI'!D:D,$B64))</f>
        <v>2018/19</v>
      </c>
      <c r="H64" s="170">
        <f>IF(ISERR($B64),0,INDEX('Cost+CPI'!R:R,$B64))</f>
        <v>0</v>
      </c>
      <c r="I64" s="170">
        <f>IF(ISERR($B64),0,INDEX('Cost+CPI'!S:S,$B64))</f>
        <v>629701.1952191235</v>
      </c>
      <c r="J64" s="170">
        <f>IF(ISERR($B64),0,INDEX('Cost+CPI'!T:T,$B64))</f>
        <v>0</v>
      </c>
      <c r="K64" s="170">
        <f>IF(ISERR($B64),0,INDEX('Cost+CPI'!U:U,$B64))</f>
        <v>0</v>
      </c>
      <c r="L64" s="170">
        <f>IF(ISERR($B64),0,INDEX('Cost+CPI'!V:V,$B64))</f>
        <v>629701.1952191235</v>
      </c>
      <c r="M64" s="171">
        <f t="shared" si="0"/>
        <v>1259402.390438247</v>
      </c>
      <c r="N64" s="121"/>
      <c r="O64" s="270" t="s">
        <v>144</v>
      </c>
      <c r="P64" s="121"/>
      <c r="Q64" s="121"/>
      <c r="R64" s="121"/>
    </row>
    <row r="65" spans="1:18" ht="15" customHeight="1" x14ac:dyDescent="0.25">
      <c r="A65" s="104">
        <v>60</v>
      </c>
      <c r="B65" s="104">
        <v>70</v>
      </c>
      <c r="C65" s="124" t="str">
        <f>IF($B65=999,"",INDEX('Cost+CPI'!A:A,$B65))</f>
        <v>ND1230</v>
      </c>
      <c r="D65" s="125" t="str">
        <f>IF($B65=999,"",INDEX('Cost+CPI'!B:B,$B65))</f>
        <v>Telecommunications site infrastructure program</v>
      </c>
      <c r="E65" s="349" t="str">
        <f>IF($B65=999,"",INDEX('Cost+CPI'!C:C,$B65))</f>
        <v>Asset Renewal</v>
      </c>
      <c r="F65" s="346" t="str">
        <f>IF($B65=999,"",INDEX('Cost+CPI'!D:D,$B65))</f>
        <v>2018/19</v>
      </c>
      <c r="H65" s="170">
        <f>IF(ISERR($B65),0,INDEX('Cost+CPI'!R:R,$B65))</f>
        <v>488543.94802847638</v>
      </c>
      <c r="I65" s="170">
        <f>IF(ISERR($B65),0,INDEX('Cost+CPI'!S:S,$B65))</f>
        <v>140760.3096632676</v>
      </c>
      <c r="J65" s="170">
        <f>IF(ISERR($B65),0,INDEX('Cost+CPI'!T:T,$B65))</f>
        <v>753822.80013067892</v>
      </c>
      <c r="K65" s="170">
        <f>IF(ISERR($B65),0,INDEX('Cost+CPI'!U:U,$B65))</f>
        <v>314221.20718524954</v>
      </c>
      <c r="L65" s="170">
        <f>IF(ISERR($B65),0,INDEX('Cost+CPI'!V:V,$B65))</f>
        <v>212691.80435281747</v>
      </c>
      <c r="M65" s="171">
        <f t="shared" si="0"/>
        <v>1910040.06936049</v>
      </c>
      <c r="N65" s="121"/>
      <c r="O65" s="270" t="s">
        <v>145</v>
      </c>
      <c r="P65" s="121"/>
      <c r="Q65" s="121"/>
      <c r="R65" s="121"/>
    </row>
    <row r="66" spans="1:18" ht="15" customHeight="1" x14ac:dyDescent="0.25">
      <c r="A66" s="104">
        <v>61</v>
      </c>
      <c r="B66" s="104">
        <v>71</v>
      </c>
      <c r="C66" s="124" t="str">
        <f>IF($B66=999,"",INDEX('Cost+CPI'!A:A,$B66))</f>
        <v>ND1231</v>
      </c>
      <c r="D66" s="125" t="str">
        <f>IF($B66=999,"",INDEX('Cost+CPI'!B:B,$B66))</f>
        <v>Telecommunications telephone system program</v>
      </c>
      <c r="E66" s="349" t="str">
        <f>IF($B66=999,"",INDEX('Cost+CPI'!C:C,$B66))</f>
        <v>Asset Renewal</v>
      </c>
      <c r="F66" s="346" t="str">
        <f>IF($B66=999,"",INDEX('Cost+CPI'!D:D,$B66))</f>
        <v>2017/18</v>
      </c>
      <c r="H66" s="170">
        <f>IF(ISERR($B66),0,INDEX('Cost+CPI'!R:R,$B66))</f>
        <v>0</v>
      </c>
      <c r="I66" s="170">
        <f>IF(ISERR($B66),0,INDEX('Cost+CPI'!S:S,$B66))</f>
        <v>452479.28521039023</v>
      </c>
      <c r="J66" s="170">
        <f>IF(ISERR($B66),0,INDEX('Cost+CPI'!T:T,$B66))</f>
        <v>441794.41716529976</v>
      </c>
      <c r="K66" s="170">
        <f>IF(ISERR($B66),0,INDEX('Cost+CPI'!U:U,$B66))</f>
        <v>798290.17448336747</v>
      </c>
      <c r="L66" s="170">
        <f>IF(ISERR($B66),0,INDEX('Cost+CPI'!V:V,$B66))</f>
        <v>0</v>
      </c>
      <c r="M66" s="171">
        <f t="shared" si="0"/>
        <v>1692563.8768590575</v>
      </c>
      <c r="N66" s="121"/>
      <c r="O66" s="270" t="s">
        <v>146</v>
      </c>
      <c r="P66" s="121"/>
      <c r="Q66" s="121"/>
      <c r="R66" s="121"/>
    </row>
    <row r="67" spans="1:18" ht="15" customHeight="1" x14ac:dyDescent="0.25">
      <c r="A67" s="104">
        <v>62</v>
      </c>
      <c r="B67" s="104">
        <v>72</v>
      </c>
      <c r="C67" s="124" t="str">
        <f>IF($B67=999,"",INDEX('Cost+CPI'!A:A,$B67))</f>
        <v>ND1310</v>
      </c>
      <c r="D67" s="125" t="str">
        <f>IF($B67=999,"",INDEX('Cost+CPI'!B:B,$B67))</f>
        <v>Test equipment</v>
      </c>
      <c r="E67" s="349" t="str">
        <f>IF($B67=999,"",INDEX('Cost+CPI'!C:C,$B67))</f>
        <v>Inventory / Spares</v>
      </c>
      <c r="F67" s="346" t="str">
        <f>IF($B67=999,"",INDEX('Cost+CPI'!D:D,$B67))</f>
        <v>2018/19</v>
      </c>
      <c r="H67" s="170">
        <f>IF(ISERR($B67),0,INDEX('Cost+CPI'!R:R,$B67))</f>
        <v>178274.84452016905</v>
      </c>
      <c r="I67" s="170">
        <f>IF(ISERR($B67),0,INDEX('Cost+CPI'!S:S,$B67))</f>
        <v>180052.12376565638</v>
      </c>
      <c r="J67" s="170">
        <f>IF(ISERR($B67),0,INDEX('Cost+CPI'!T:T,$B67))</f>
        <v>182355.97316316277</v>
      </c>
      <c r="K67" s="170">
        <f>IF(ISERR($B67),0,INDEX('Cost+CPI'!U:U,$B67))</f>
        <v>184584.35398832583</v>
      </c>
      <c r="L67" s="170">
        <f>IF(ISERR($B67),0,INDEX('Cost+CPI'!V:V,$B67))</f>
        <v>186611.83975372664</v>
      </c>
      <c r="M67" s="171">
        <f t="shared" si="0"/>
        <v>911879.13519104058</v>
      </c>
      <c r="N67" s="121"/>
      <c r="O67" s="270" t="s">
        <v>147</v>
      </c>
      <c r="P67" s="121"/>
      <c r="Q67" s="121"/>
      <c r="R67" s="121"/>
    </row>
    <row r="68" spans="1:18" ht="15" customHeight="1" x14ac:dyDescent="0.25">
      <c r="A68" s="104">
        <v>63</v>
      </c>
      <c r="B68" s="104">
        <v>73</v>
      </c>
      <c r="C68" s="124" t="str">
        <f>IF($B68=999,"",INDEX('Cost+CPI'!A:A,$B68))</f>
        <v>ND1235</v>
      </c>
      <c r="D68" s="125" t="str">
        <f>IF($B68=999,"",INDEX('Cost+CPI'!B:B,$B68))</f>
        <v>Transformer protection renewal program</v>
      </c>
      <c r="E68" s="349" t="str">
        <f>IF($B68=999,"",INDEX('Cost+CPI'!C:C,$B68))</f>
        <v>Asset Renewal</v>
      </c>
      <c r="F68" s="346" t="str">
        <f>IF($B68=999,"",INDEX('Cost+CPI'!D:D,$B68))</f>
        <v>2017/18</v>
      </c>
      <c r="H68" s="170">
        <f>IF(ISERR($B68),0,INDEX('Cost+CPI'!R:R,$B68))</f>
        <v>0</v>
      </c>
      <c r="I68" s="170">
        <f>IF(ISERR($B68),0,INDEX('Cost+CPI'!S:S,$B68))</f>
        <v>833502.16619059106</v>
      </c>
      <c r="J68" s="170">
        <f>IF(ISERR($B68),0,INDEX('Cost+CPI'!T:T,$B68))</f>
        <v>5578899.1843647221</v>
      </c>
      <c r="K68" s="170">
        <f>IF(ISERR($B68),0,INDEX('Cost+CPI'!U:U,$B68))</f>
        <v>65605.999087811884</v>
      </c>
      <c r="L68" s="170">
        <f>IF(ISERR($B68),0,INDEX('Cost+CPI'!V:V,$B68))</f>
        <v>0</v>
      </c>
      <c r="M68" s="171">
        <f t="shared" si="0"/>
        <v>6478007.3496431243</v>
      </c>
      <c r="N68" s="121"/>
      <c r="O68" s="270" t="s">
        <v>115</v>
      </c>
      <c r="P68" s="121"/>
      <c r="Q68" s="121"/>
      <c r="R68" s="121"/>
    </row>
    <row r="69" spans="1:18" ht="15" customHeight="1" x14ac:dyDescent="0.25">
      <c r="A69" s="104">
        <v>64</v>
      </c>
      <c r="B69" s="104">
        <v>74</v>
      </c>
      <c r="C69" s="124" t="str">
        <f>IF($B69=999,"",INDEX('Cost+CPI'!A:A,$B69))</f>
        <v>ND0925</v>
      </c>
      <c r="D69" s="125" t="str">
        <f>IF($B69=999,"",INDEX('Cost+CPI'!B:B,$B69))</f>
        <v>Transmission line access track renewal program</v>
      </c>
      <c r="E69" s="349" t="str">
        <f>IF($B69=999,"",INDEX('Cost+CPI'!C:C,$B69))</f>
        <v>Physical Security / Compliance</v>
      </c>
      <c r="F69" s="346" t="str">
        <f>IF($B69=999,"",INDEX('Cost+CPI'!D:D,$B69))</f>
        <v>2018/19</v>
      </c>
      <c r="H69" s="170">
        <f>IF(ISERR($B69),0,INDEX('Cost+CPI'!R:R,$B69))</f>
        <v>817524.67662972864</v>
      </c>
      <c r="I69" s="170">
        <f>IF(ISERR($B69),0,INDEX('Cost+CPI'!S:S,$B69))</f>
        <v>827850.97888100438</v>
      </c>
      <c r="J69" s="170">
        <f>IF(ISERR($B69),0,INDEX('Cost+CPI'!T:T,$B69))</f>
        <v>839222.06572596671</v>
      </c>
      <c r="K69" s="170">
        <f>IF(ISERR($B69),0,INDEX('Cost+CPI'!U:U,$B69))</f>
        <v>850045.34745182551</v>
      </c>
      <c r="L69" s="170">
        <f>IF(ISERR($B69),0,INDEX('Cost+CPI'!V:V,$B69))</f>
        <v>859479.67066575214</v>
      </c>
      <c r="M69" s="171">
        <f t="shared" si="0"/>
        <v>4194122.7393542775</v>
      </c>
      <c r="N69" s="121"/>
      <c r="O69" s="270" t="s">
        <v>148</v>
      </c>
      <c r="P69" s="121"/>
      <c r="Q69" s="121"/>
      <c r="R69" s="121"/>
    </row>
    <row r="70" spans="1:18" ht="15" customHeight="1" x14ac:dyDescent="0.25">
      <c r="A70" s="104">
        <v>65</v>
      </c>
      <c r="B70" s="104">
        <v>75</v>
      </c>
      <c r="C70" s="124" t="str">
        <f>IF($B70=999,"",INDEX('Cost+CPI'!A:A,$B70))</f>
        <v>ND1244</v>
      </c>
      <c r="D70" s="125" t="str">
        <f>IF($B70=999,"",INDEX('Cost+CPI'!B:B,$B70))</f>
        <v>Transmission line access track security system compliance program</v>
      </c>
      <c r="E70" s="349" t="str">
        <f>IF($B70=999,"",INDEX('Cost+CPI'!C:C,$B70))</f>
        <v>Physical Security / Compliance</v>
      </c>
      <c r="F70" s="346" t="str">
        <f>IF($B70=999,"",INDEX('Cost+CPI'!D:D,$B70))</f>
        <v>2018/19</v>
      </c>
      <c r="H70" s="170">
        <f>IF(ISERR($B70),0,INDEX('Cost+CPI'!R:R,$B70))</f>
        <v>67268.161514386258</v>
      </c>
      <c r="I70" s="170">
        <f>IF(ISERR($B70),0,INDEX('Cost+CPI'!S:S,$B70))</f>
        <v>153265.13515196627</v>
      </c>
      <c r="J70" s="170">
        <f>IF(ISERR($B70),0,INDEX('Cost+CPI'!T:T,$B70))</f>
        <v>155370.33428390863</v>
      </c>
      <c r="K70" s="170">
        <f>IF(ISERR($B70),0,INDEX('Cost+CPI'!U:U,$B70))</f>
        <v>157374.11489034549</v>
      </c>
      <c r="L70" s="170">
        <f>IF(ISERR($B70),0,INDEX('Cost+CPI'!V:V,$B70))</f>
        <v>159120.7490785472</v>
      </c>
      <c r="M70" s="171">
        <f t="shared" si="0"/>
        <v>692398.49491915386</v>
      </c>
      <c r="N70" s="121"/>
      <c r="O70" s="270" t="s">
        <v>115</v>
      </c>
      <c r="P70" s="121"/>
      <c r="Q70" s="121"/>
      <c r="R70" s="121"/>
    </row>
    <row r="71" spans="1:18" ht="15" customHeight="1" x14ac:dyDescent="0.3">
      <c r="A71" s="104">
        <v>66</v>
      </c>
      <c r="B71" s="104">
        <v>76</v>
      </c>
      <c r="C71" s="124" t="str">
        <f>IF($B71=999,"",INDEX('Cost+CPI'!A:A,$B71))</f>
        <v>ND1238</v>
      </c>
      <c r="D71" s="125" t="str">
        <f>IF($B71=999,"",INDEX('Cost+CPI'!B:B,$B71))</f>
        <v>Transmission line anode renewal program</v>
      </c>
      <c r="E71" s="349" t="str">
        <f>IF($B71=999,"",INDEX('Cost+CPI'!C:C,$B71))</f>
        <v>Asset Renewal</v>
      </c>
      <c r="F71" s="346" t="str">
        <f>IF($B71=999,"",INDEX('Cost+CPI'!D:D,$B71))</f>
        <v>2018/19</v>
      </c>
      <c r="H71" s="170">
        <f>IF(ISERR($B71),0,INDEX('Cost+CPI'!R:R,$B71))</f>
        <v>389883.93578390183</v>
      </c>
      <c r="I71" s="170">
        <f>IF(ISERR($B71),0,INDEX('Cost+CPI'!S:S,$B71))</f>
        <v>919346.32057844044</v>
      </c>
      <c r="J71" s="170">
        <f>IF(ISERR($B71),0,INDEX('Cost+CPI'!T:T,$B71))</f>
        <v>964393.85208538768</v>
      </c>
      <c r="K71" s="170">
        <f>IF(ISERR($B71),0,INDEX('Cost+CPI'!U:U,$B71))</f>
        <v>1013095.6268615461</v>
      </c>
      <c r="L71" s="170">
        <f>IF(ISERR($B71),0,INDEX('Cost+CPI'!V:V,$B71))</f>
        <v>1065269.931210336</v>
      </c>
      <c r="M71" s="171">
        <f t="shared" si="0"/>
        <v>4351989.6665196121</v>
      </c>
      <c r="N71" s="121"/>
      <c r="O71" s="270" t="s">
        <v>149</v>
      </c>
      <c r="P71" s="121"/>
      <c r="Q71" s="121"/>
      <c r="R71" s="121"/>
    </row>
    <row r="72" spans="1:18" ht="15" customHeight="1" x14ac:dyDescent="0.3">
      <c r="A72" s="104">
        <v>67</v>
      </c>
      <c r="B72" s="104">
        <v>77</v>
      </c>
      <c r="C72" s="124" t="str">
        <f>IF($B72=999,"",INDEX('Cost+CPI'!A:A,$B72))</f>
        <v>ND0928</v>
      </c>
      <c r="D72" s="125" t="str">
        <f>IF($B72=999,"",INDEX('Cost+CPI'!B:B,$B72))</f>
        <v>Transmission line conductor assembly renewal program</v>
      </c>
      <c r="E72" s="349" t="str">
        <f>IF($B72=999,"",INDEX('Cost+CPI'!C:C,$B72))</f>
        <v>Asset Renewal</v>
      </c>
      <c r="F72" s="346" t="str">
        <f>IF($B72=999,"",INDEX('Cost+CPI'!D:D,$B72))</f>
        <v>2018/19</v>
      </c>
      <c r="H72" s="170">
        <f>IF(ISERR($B72),0,INDEX('Cost+CPI'!R:R,$B72))</f>
        <v>473611.49046334258</v>
      </c>
      <c r="I72" s="170">
        <f>IF(ISERR($B72),0,INDEX('Cost+CPI'!S:S,$B72))</f>
        <v>1079085.9666926437</v>
      </c>
      <c r="J72" s="170">
        <f>IF(ISERR($B72),0,INDEX('Cost+CPI'!T:T,$B72))</f>
        <v>1093907.9341160897</v>
      </c>
      <c r="K72" s="170">
        <f>IF(ISERR($B72),0,INDEX('Cost+CPI'!U:U,$B72))</f>
        <v>1108015.849334988</v>
      </c>
      <c r="L72" s="170">
        <f>IF(ISERR($B72),0,INDEX('Cost+CPI'!V:V,$B72))</f>
        <v>1120313.2869718338</v>
      </c>
      <c r="M72" s="171">
        <f t="shared" si="0"/>
        <v>4874934.5275788978</v>
      </c>
      <c r="N72" s="121"/>
      <c r="O72" s="270" t="s">
        <v>113</v>
      </c>
      <c r="P72" s="121"/>
      <c r="Q72" s="121"/>
      <c r="R72" s="121"/>
    </row>
    <row r="73" spans="1:18" ht="15" customHeight="1" x14ac:dyDescent="0.3">
      <c r="A73" s="104">
        <v>68</v>
      </c>
      <c r="B73" s="104">
        <v>78</v>
      </c>
      <c r="C73" s="124" t="str">
        <f>IF($B73=999,"",INDEX('Cost+CPI'!A:A,$B73))</f>
        <v>ND1239</v>
      </c>
      <c r="D73" s="125" t="str">
        <f>IF($B73=999,"",INDEX('Cost+CPI'!B:B,$B73))</f>
        <v>Transmission line fall arrest system installation program</v>
      </c>
      <c r="E73" s="349" t="str">
        <f>IF($B73=999,"",INDEX('Cost+CPI'!C:C,$B73))</f>
        <v>Physical Security / Compliance</v>
      </c>
      <c r="F73" s="346" t="str">
        <f>IF($B73=999,"",INDEX('Cost+CPI'!D:D,$B73))</f>
        <v>2018/19</v>
      </c>
      <c r="H73" s="170">
        <f>IF(ISERR($B73),0,INDEX('Cost+CPI'!R:R,$B73))</f>
        <v>93795.286632467309</v>
      </c>
      <c r="I73" s="170">
        <f>IF(ISERR($B73),0,INDEX('Cost+CPI'!S:S,$B73))</f>
        <v>213705.07174137802</v>
      </c>
      <c r="J73" s="170">
        <f>IF(ISERR($B73),0,INDEX('Cost+CPI'!T:T,$B73))</f>
        <v>216640.45382338605</v>
      </c>
      <c r="K73" s="170">
        <f>IF(ISERR($B73),0,INDEX('Cost+CPI'!U:U,$B73))</f>
        <v>219434.4230964891</v>
      </c>
      <c r="L73" s="170">
        <f>IF(ISERR($B73),0,INDEX('Cost+CPI'!V:V,$B73))</f>
        <v>221869.84054564009</v>
      </c>
      <c r="M73" s="171">
        <f t="shared" ref="M73:M105" si="1">SUM(H73:L73)</f>
        <v>965445.07583936059</v>
      </c>
      <c r="N73" s="121"/>
      <c r="O73" s="270" t="s">
        <v>150</v>
      </c>
      <c r="P73" s="121"/>
      <c r="Q73" s="121"/>
      <c r="R73" s="121"/>
    </row>
    <row r="74" spans="1:18" ht="15" customHeight="1" x14ac:dyDescent="0.3">
      <c r="A74" s="104">
        <v>69</v>
      </c>
      <c r="B74" s="104">
        <v>79</v>
      </c>
      <c r="C74" s="124" t="str">
        <f>IF($B74=999,"",INDEX('Cost+CPI'!A:A,$B74))</f>
        <v>ND0929</v>
      </c>
      <c r="D74" s="125" t="str">
        <f>IF($B74=999,"",INDEX('Cost+CPI'!B:B,$B74))</f>
        <v>Transmission line foundation renewal program</v>
      </c>
      <c r="E74" s="349" t="str">
        <f>IF($B74=999,"",INDEX('Cost+CPI'!C:C,$B74))</f>
        <v>Asset Renewal</v>
      </c>
      <c r="F74" s="346" t="str">
        <f>IF($B74=999,"",INDEX('Cost+CPI'!D:D,$B74))</f>
        <v>2018/19</v>
      </c>
      <c r="H74" s="170">
        <f>IF(ISERR($B74),0,INDEX('Cost+CPI'!R:R,$B74))</f>
        <v>485379.72751884215</v>
      </c>
      <c r="I74" s="170">
        <f>IF(ISERR($B74),0,INDEX('Cost+CPI'!S:S,$B74))</f>
        <v>1105898.9552180665</v>
      </c>
      <c r="J74" s="170">
        <f>IF(ISERR($B74),0,INDEX('Cost+CPI'!T:T,$B74))</f>
        <v>1121089.216970895</v>
      </c>
      <c r="K74" s="170">
        <f>IF(ISERR($B74),0,INDEX('Cost+CPI'!U:U,$B74))</f>
        <v>1135547.6838423565</v>
      </c>
      <c r="L74" s="170">
        <f>IF(ISERR($B74),0,INDEX('Cost+CPI'!V:V,$B74))</f>
        <v>1148150.686618984</v>
      </c>
      <c r="M74" s="171">
        <f t="shared" si="1"/>
        <v>4996066.2701691436</v>
      </c>
      <c r="N74" s="121"/>
      <c r="O74" s="270" t="s">
        <v>129</v>
      </c>
      <c r="P74" s="121"/>
      <c r="Q74" s="121"/>
      <c r="R74" s="121"/>
    </row>
    <row r="75" spans="1:18" ht="15" customHeight="1" x14ac:dyDescent="0.3">
      <c r="A75" s="104">
        <v>70</v>
      </c>
      <c r="B75" s="104">
        <v>80</v>
      </c>
      <c r="C75" s="124" t="str">
        <f>IF($B75=999,"",INDEX('Cost+CPI'!A:A,$B75))</f>
        <v>ND0924</v>
      </c>
      <c r="D75" s="125" t="str">
        <f>IF($B75=999,"",INDEX('Cost+CPI'!B:B,$B75))</f>
        <v>Transmission line insulator assembly renewal program</v>
      </c>
      <c r="E75" s="349" t="str">
        <f>IF($B75=999,"",INDEX('Cost+CPI'!C:C,$B75))</f>
        <v>Asset Renewal</v>
      </c>
      <c r="F75" s="346" t="str">
        <f>IF($B75=999,"",INDEX('Cost+CPI'!D:D,$B75))</f>
        <v>2018/19</v>
      </c>
      <c r="H75" s="170">
        <f>IF(ISERR($B75),0,INDEX('Cost+CPI'!R:R,$B75))</f>
        <v>1287075.1755111313</v>
      </c>
      <c r="I75" s="170">
        <f>IF(ISERR($B75),0,INDEX('Cost+CPI'!S:S,$B75))</f>
        <v>2932498.0240951967</v>
      </c>
      <c r="J75" s="170">
        <f>IF(ISERR($B75),0,INDEX('Cost+CPI'!T:T,$B75))</f>
        <v>2972777.8456516564</v>
      </c>
      <c r="K75" s="170">
        <f>IF(ISERR($B75),0,INDEX('Cost+CPI'!U:U,$B75))</f>
        <v>3011117.1761410735</v>
      </c>
      <c r="L75" s="170">
        <f>IF(ISERR($B75),0,INDEX('Cost+CPI'!V:V,$B75))</f>
        <v>3044536.3963742987</v>
      </c>
      <c r="M75" s="171">
        <f t="shared" si="1"/>
        <v>13248004.617773356</v>
      </c>
      <c r="N75" s="121"/>
      <c r="O75" s="270" t="s">
        <v>151</v>
      </c>
      <c r="P75" s="121"/>
      <c r="Q75" s="121"/>
      <c r="R75" s="121"/>
    </row>
    <row r="76" spans="1:18" ht="15" customHeight="1" x14ac:dyDescent="0.3">
      <c r="A76" s="104">
        <v>71</v>
      </c>
      <c r="B76" s="104">
        <v>81</v>
      </c>
      <c r="C76" s="124" t="str">
        <f>IF($B76=999,"",INDEX('Cost+CPI'!A:A,$B76))</f>
        <v>ND1242</v>
      </c>
      <c r="D76" s="125" t="str">
        <f>IF($B76=999,"",INDEX('Cost+CPI'!B:B,$B76))</f>
        <v>Transmission line K-pole renewal program</v>
      </c>
      <c r="E76" s="349" t="str">
        <f>IF($B76=999,"",INDEX('Cost+CPI'!C:C,$B76))</f>
        <v>Asset Renewal</v>
      </c>
      <c r="F76" s="346" t="str">
        <f>IF($B76=999,"",INDEX('Cost+CPI'!D:D,$B76))</f>
        <v>2015/16</v>
      </c>
      <c r="H76" s="170">
        <f>IF(ISERR($B76),0,INDEX('Cost+CPI'!R:R,$B76))</f>
        <v>2791836.9531750591</v>
      </c>
      <c r="I76" s="170">
        <f>IF(ISERR($B76),0,INDEX('Cost+CPI'!S:S,$B76))</f>
        <v>3056026.1804538053</v>
      </c>
      <c r="J76" s="170">
        <f>IF(ISERR($B76),0,INDEX('Cost+CPI'!T:T,$B76))</f>
        <v>0</v>
      </c>
      <c r="K76" s="170">
        <f>IF(ISERR($B76),0,INDEX('Cost+CPI'!U:U,$B76))</f>
        <v>0</v>
      </c>
      <c r="L76" s="170">
        <f>IF(ISERR($B76),0,INDEX('Cost+CPI'!V:V,$B76))</f>
        <v>0</v>
      </c>
      <c r="M76" s="171">
        <f t="shared" si="1"/>
        <v>5847863.1336288638</v>
      </c>
      <c r="N76" s="121"/>
      <c r="O76" s="270" t="s">
        <v>152</v>
      </c>
      <c r="P76" s="121"/>
      <c r="Q76" s="121"/>
      <c r="R76" s="121"/>
    </row>
    <row r="77" spans="1:18" ht="15" customHeight="1" x14ac:dyDescent="0.3">
      <c r="A77" s="104">
        <v>72</v>
      </c>
      <c r="B77" s="104">
        <v>82</v>
      </c>
      <c r="C77" s="124" t="str">
        <f>IF($B77=999,"",INDEX('Cost+CPI'!A:A,$B77))</f>
        <v>ND1243</v>
      </c>
      <c r="D77" s="125" t="str">
        <f>IF($B77=999,"",INDEX('Cost+CPI'!B:B,$B77))</f>
        <v>Transmission line light detection and ranging program</v>
      </c>
      <c r="E77" s="349" t="str">
        <f>IF($B77=999,"",INDEX('Cost+CPI'!C:C,$B77))</f>
        <v>Operational Support Systems</v>
      </c>
      <c r="F77" s="346" t="str">
        <f>IF($B77=999,"",INDEX('Cost+CPI'!D:D,$B77))</f>
        <v>2014/15</v>
      </c>
      <c r="H77" s="170">
        <f>IF(ISERR($B77),0,INDEX('Cost+CPI'!R:R,$B77))</f>
        <v>1504694.9323191922</v>
      </c>
      <c r="I77" s="170">
        <f>IF(ISERR($B77),0,INDEX('Cost+CPI'!S:S,$B77))</f>
        <v>0</v>
      </c>
      <c r="J77" s="170">
        <f>IF(ISERR($B77),0,INDEX('Cost+CPI'!T:T,$B77))</f>
        <v>0</v>
      </c>
      <c r="K77" s="170">
        <f>IF(ISERR($B77),0,INDEX('Cost+CPI'!U:U,$B77))</f>
        <v>0</v>
      </c>
      <c r="L77" s="170">
        <f>IF(ISERR($B77),0,INDEX('Cost+CPI'!V:V,$B77))</f>
        <v>0</v>
      </c>
      <c r="M77" s="171">
        <f t="shared" si="1"/>
        <v>1504694.9323191922</v>
      </c>
      <c r="N77" s="121"/>
      <c r="O77" s="270" t="s">
        <v>138</v>
      </c>
      <c r="P77" s="121"/>
      <c r="Q77" s="121"/>
      <c r="R77" s="121"/>
    </row>
    <row r="78" spans="1:18" ht="15" customHeight="1" x14ac:dyDescent="0.3">
      <c r="A78" s="104">
        <v>73</v>
      </c>
      <c r="B78" s="104">
        <v>83</v>
      </c>
      <c r="C78" s="124" t="str">
        <f>IF($B78=999,"",INDEX('Cost+CPI'!A:A,$B78))</f>
        <v>ND1236</v>
      </c>
      <c r="D78" s="125" t="str">
        <f>IF($B78=999,"",INDEX('Cost+CPI'!B:B,$B78))</f>
        <v>Transmission line protection renewal program</v>
      </c>
      <c r="E78" s="349" t="str">
        <f>IF($B78=999,"",INDEX('Cost+CPI'!C:C,$B78))</f>
        <v>Asset Renewal</v>
      </c>
      <c r="F78" s="346" t="str">
        <f>IF($B78=999,"",INDEX('Cost+CPI'!D:D,$B78))</f>
        <v>2018/19</v>
      </c>
      <c r="H78" s="170">
        <f>IF(ISERR($B78),0,INDEX('Cost+CPI'!R:R,$B78))</f>
        <v>0</v>
      </c>
      <c r="I78" s="170">
        <f>IF(ISERR($B78),0,INDEX('Cost+CPI'!S:S,$B78))</f>
        <v>0</v>
      </c>
      <c r="J78" s="170">
        <f>IF(ISERR($B78),0,INDEX('Cost+CPI'!T:T,$B78))</f>
        <v>543976.83630552387</v>
      </c>
      <c r="K78" s="170">
        <f>IF(ISERR($B78),0,INDEX('Cost+CPI'!U:U,$B78))</f>
        <v>3815602.6454139845</v>
      </c>
      <c r="L78" s="170">
        <f>IF(ISERR($B78),0,INDEX('Cost+CPI'!V:V,$B78))</f>
        <v>46989.642495291831</v>
      </c>
      <c r="M78" s="171">
        <f t="shared" si="1"/>
        <v>4406569.124214801</v>
      </c>
      <c r="N78" s="121"/>
      <c r="O78" s="270" t="s">
        <v>153</v>
      </c>
      <c r="P78" s="121"/>
      <c r="Q78" s="121"/>
      <c r="R78" s="121"/>
    </row>
    <row r="79" spans="1:18" ht="15" customHeight="1" x14ac:dyDescent="0.3">
      <c r="A79" s="104">
        <v>74</v>
      </c>
      <c r="B79" s="104">
        <v>84</v>
      </c>
      <c r="C79" s="124" t="str">
        <f>IF($B79=999,"",INDEX('Cost+CPI'!A:A,$B79))</f>
        <v>ND0822</v>
      </c>
      <c r="D79" s="125" t="str">
        <f>IF($B79=999,"",INDEX('Cost+CPI'!B:B,$B79))</f>
        <v>Transmission line signage compliance program</v>
      </c>
      <c r="E79" s="349" t="str">
        <f>IF($B79=999,"",INDEX('Cost+CPI'!C:C,$B79))</f>
        <v>Physical Security / Compliance</v>
      </c>
      <c r="F79" s="346" t="str">
        <f>IF($B79=999,"",INDEX('Cost+CPI'!D:D,$B79))</f>
        <v>2018/19</v>
      </c>
      <c r="H79" s="170">
        <f>IF(ISERR($B79),0,INDEX('Cost+CPI'!R:R,$B79))</f>
        <v>177618.79829842853</v>
      </c>
      <c r="I79" s="170">
        <f>IF(ISERR($B79),0,INDEX('Cost+CPI'!S:S,$B79))</f>
        <v>404690.25039307063</v>
      </c>
      <c r="J79" s="170">
        <f>IF(ISERR($B79),0,INDEX('Cost+CPI'!T:T,$B79))</f>
        <v>410248.94163089379</v>
      </c>
      <c r="K79" s="170">
        <f>IF(ISERR($B79),0,INDEX('Cost+CPI'!U:U,$B79))</f>
        <v>415539.84144674346</v>
      </c>
      <c r="L79" s="170">
        <f>IF(ISERR($B79),0,INDEX('Cost+CPI'!V:V,$B79))</f>
        <v>420151.75678070111</v>
      </c>
      <c r="M79" s="171">
        <f t="shared" si="1"/>
        <v>1828249.5885498375</v>
      </c>
      <c r="N79" s="121"/>
      <c r="O79" s="270" t="s">
        <v>115</v>
      </c>
      <c r="P79" s="121"/>
      <c r="Q79" s="121"/>
      <c r="R79" s="121"/>
    </row>
    <row r="80" spans="1:18" ht="15" customHeight="1" x14ac:dyDescent="0.3">
      <c r="A80" s="104">
        <v>75</v>
      </c>
      <c r="B80" s="104">
        <v>85</v>
      </c>
      <c r="C80" s="124" t="str">
        <f>IF($B80=999,"",INDEX('Cost+CPI'!A:A,$B80))</f>
        <v>ND1268</v>
      </c>
      <c r="D80" s="125" t="str">
        <f>IF($B80=999,"",INDEX('Cost+CPI'!B:B,$B80))</f>
        <v>Transmission line support assembly refurbishment program</v>
      </c>
      <c r="E80" s="349" t="str">
        <f>IF($B80=999,"",INDEX('Cost+CPI'!C:C,$B80))</f>
        <v>Asset Renewal</v>
      </c>
      <c r="F80" s="346" t="str">
        <f>IF($B80=999,"",INDEX('Cost+CPI'!D:D,$B80))</f>
        <v>2018/19</v>
      </c>
      <c r="H80" s="170">
        <f>IF(ISERR($B80),0,INDEX('Cost+CPI'!R:R,$B80))</f>
        <v>247884.11175606266</v>
      </c>
      <c r="I80" s="170">
        <f>IF(ISERR($B80),0,INDEX('Cost+CPI'!S:S,$B80))</f>
        <v>564784.15694760613</v>
      </c>
      <c r="J80" s="170">
        <f>IF(ISERR($B80),0,INDEX('Cost+CPI'!T:T,$B80))</f>
        <v>572541.84505953058</v>
      </c>
      <c r="K80" s="170">
        <f>IF(ISERR($B80),0,INDEX('Cost+CPI'!U:U,$B80))</f>
        <v>579925.80449291575</v>
      </c>
      <c r="L80" s="170">
        <f>IF(ISERR($B80),0,INDEX('Cost+CPI'!V:V,$B80))</f>
        <v>586362.17579485115</v>
      </c>
      <c r="M80" s="171">
        <f t="shared" si="1"/>
        <v>2551498.0940509662</v>
      </c>
      <c r="N80" s="121"/>
      <c r="O80" s="270" t="s">
        <v>154</v>
      </c>
      <c r="P80" s="121"/>
      <c r="Q80" s="121"/>
      <c r="R80" s="121"/>
    </row>
    <row r="81" spans="1:18" ht="15" customHeight="1" x14ac:dyDescent="0.3">
      <c r="A81" s="104">
        <v>76</v>
      </c>
      <c r="B81" s="104">
        <v>86</v>
      </c>
      <c r="C81" s="124" t="str">
        <f>IF($B81=999,"",INDEX('Cost+CPI'!A:A,$B81))</f>
        <v>ND0926</v>
      </c>
      <c r="D81" s="125" t="str">
        <f>IF($B81=999,"",INDEX('Cost+CPI'!B:B,$B81))</f>
        <v>Transmission line support assembly renewal program</v>
      </c>
      <c r="E81" s="349" t="str">
        <f>IF($B81=999,"",INDEX('Cost+CPI'!C:C,$B81))</f>
        <v>Asset Renewal</v>
      </c>
      <c r="F81" s="346" t="str">
        <f>IF($B81=999,"",INDEX('Cost+CPI'!D:D,$B81))</f>
        <v>2018/19</v>
      </c>
      <c r="H81" s="170">
        <f>IF(ISERR($B81),0,INDEX('Cost+CPI'!R:R,$B81))</f>
        <v>221109.28995152077</v>
      </c>
      <c r="I81" s="170">
        <f>IF(ISERR($B81),0,INDEX('Cost+CPI'!S:S,$B81))</f>
        <v>503779.86323481757</v>
      </c>
      <c r="J81" s="170">
        <f>IF(ISERR($B81),0,INDEX('Cost+CPI'!T:T,$B81))</f>
        <v>510699.61657415592</v>
      </c>
      <c r="K81" s="170">
        <f>IF(ISERR($B81),0,INDEX('Cost+CPI'!U:U,$B81))</f>
        <v>517286.00896445685</v>
      </c>
      <c r="L81" s="170">
        <f>IF(ISERR($B81),0,INDEX('Cost+CPI'!V:V,$B81))</f>
        <v>523027.16550068441</v>
      </c>
      <c r="M81" s="171">
        <f t="shared" si="1"/>
        <v>2275901.9442256354</v>
      </c>
      <c r="N81" s="121"/>
      <c r="O81" s="270" t="s">
        <v>155</v>
      </c>
      <c r="P81" s="121"/>
      <c r="Q81" s="121"/>
      <c r="R81" s="121"/>
    </row>
    <row r="82" spans="1:18" ht="15" customHeight="1" x14ac:dyDescent="0.3">
      <c r="A82" s="104">
        <v>77</v>
      </c>
      <c r="B82" s="104">
        <v>87</v>
      </c>
      <c r="C82" s="124" t="str">
        <f>IF($B82=999,"",INDEX('Cost+CPI'!A:A,$B82))</f>
        <v>ND0966</v>
      </c>
      <c r="D82" s="125" t="str">
        <f>IF($B82=999,"",INDEX('Cost+CPI'!B:B,$B82))</f>
        <v>Transmission line wood pole renewal program</v>
      </c>
      <c r="E82" s="349" t="str">
        <f>IF($B82=999,"",INDEX('Cost+CPI'!C:C,$B82))</f>
        <v>Asset Renewal</v>
      </c>
      <c r="F82" s="346" t="str">
        <f>IF($B82=999,"",INDEX('Cost+CPI'!D:D,$B82))</f>
        <v>2017/18</v>
      </c>
      <c r="H82" s="170">
        <f>IF(ISERR($B82),0,INDEX('Cost+CPI'!R:R,$B82))</f>
        <v>0</v>
      </c>
      <c r="I82" s="170">
        <f>IF(ISERR($B82),0,INDEX('Cost+CPI'!S:S,$B82))</f>
        <v>0</v>
      </c>
      <c r="J82" s="170">
        <f>IF(ISERR($B82),0,INDEX('Cost+CPI'!T:T,$B82))</f>
        <v>1193318.8197132868</v>
      </c>
      <c r="K82" s="170">
        <f>IF(ISERR($B82),0,INDEX('Cost+CPI'!U:U,$B82))</f>
        <v>1306584.6616474334</v>
      </c>
      <c r="L82" s="170">
        <f>IF(ISERR($B82),0,INDEX('Cost+CPI'!V:V,$B82))</f>
        <v>0</v>
      </c>
      <c r="M82" s="171">
        <f t="shared" si="1"/>
        <v>2499903.4813607205</v>
      </c>
      <c r="N82" s="121"/>
      <c r="O82" s="270" t="s">
        <v>157</v>
      </c>
      <c r="P82" s="121"/>
      <c r="Q82" s="121"/>
      <c r="R82" s="121"/>
    </row>
    <row r="83" spans="1:18" ht="15" customHeight="1" x14ac:dyDescent="0.3">
      <c r="A83" s="104">
        <v>78</v>
      </c>
      <c r="B83" s="104">
        <v>89</v>
      </c>
      <c r="C83" s="124" t="str">
        <f>IF($B83=999,"",INDEX('Cost+CPI'!A:A,$B83))</f>
        <v>ND0709</v>
      </c>
      <c r="D83" s="125" t="str">
        <f>IF($B83=999,"",INDEX('Cost+CPI'!B:B,$B83))</f>
        <v>Tungatinah Substation 110 kV redevelopment</v>
      </c>
      <c r="E83" s="349" t="str">
        <f>IF($B83=999,"",INDEX('Cost+CPI'!C:C,$B83))</f>
        <v>Asset Renewal</v>
      </c>
      <c r="F83" s="346" t="str">
        <f>IF($B83=999,"",INDEX('Cost+CPI'!D:D,$B83))</f>
        <v>2014/15</v>
      </c>
      <c r="H83" s="170">
        <f>IF(ISERR($B83),0,INDEX('Cost+CPI'!R:R,$B83))</f>
        <v>4093564</v>
      </c>
      <c r="I83" s="170">
        <f>IF(ISERR($B83),0,INDEX('Cost+CPI'!S:S,$B83))</f>
        <v>0</v>
      </c>
      <c r="J83" s="170">
        <f>IF(ISERR($B83),0,INDEX('Cost+CPI'!T:T,$B83))</f>
        <v>0</v>
      </c>
      <c r="K83" s="170">
        <f>IF(ISERR($B83),0,INDEX('Cost+CPI'!U:U,$B83))</f>
        <v>0</v>
      </c>
      <c r="L83" s="170">
        <f>IF(ISERR($B83),0,INDEX('Cost+CPI'!V:V,$B83))</f>
        <v>0</v>
      </c>
      <c r="M83" s="171">
        <f t="shared" si="1"/>
        <v>4093564</v>
      </c>
      <c r="N83" s="121"/>
      <c r="O83" s="270" t="s">
        <v>118</v>
      </c>
      <c r="P83" s="121"/>
      <c r="Q83" s="121"/>
      <c r="R83" s="121"/>
    </row>
    <row r="84" spans="1:18" ht="15" customHeight="1" x14ac:dyDescent="0.3">
      <c r="A84" s="104">
        <v>79</v>
      </c>
      <c r="B84" s="104">
        <v>90</v>
      </c>
      <c r="C84" s="124" t="str">
        <f>IF($B84=999,"",INDEX('Cost+CPI'!A:A,$B84))</f>
        <v>ND1114</v>
      </c>
      <c r="D84" s="125" t="str">
        <f>IF($B84=999,"",INDEX('Cost+CPI'!B:B,$B84))</f>
        <v>Waddamana - Palmerston 220 kV Security Augmentation</v>
      </c>
      <c r="E84" s="349" t="str">
        <f>IF($B84=999,"",INDEX('Cost+CPI'!C:C,$B84))</f>
        <v>Augmentation</v>
      </c>
      <c r="F84" s="346" t="str">
        <f>IF($B84=999,"",INDEX('Cost+CPI'!D:D,$B84))</f>
        <v>2018/19</v>
      </c>
      <c r="H84" s="170">
        <f>IF(ISERR($B84),0,INDEX('Cost+CPI'!R:R,$B84))</f>
        <v>0</v>
      </c>
      <c r="I84" s="170">
        <f>IF(ISERR($B84),0,INDEX('Cost+CPI'!S:S,$B84))</f>
        <v>0</v>
      </c>
      <c r="J84" s="170">
        <f>IF(ISERR($B84),0,INDEX('Cost+CPI'!T:T,$B84))</f>
        <v>629696.86801471247</v>
      </c>
      <c r="K84" s="170">
        <f>IF(ISERR($B84),0,INDEX('Cost+CPI'!U:U,$B84))</f>
        <v>9160533.1372579001</v>
      </c>
      <c r="L84" s="170">
        <f>IF(ISERR($B84),0,INDEX('Cost+CPI'!V:V,$B84))</f>
        <v>11261222.824793108</v>
      </c>
      <c r="M84" s="171">
        <f t="shared" si="1"/>
        <v>21051452.83006572</v>
      </c>
      <c r="N84" s="121"/>
      <c r="O84" s="270" t="s">
        <v>118</v>
      </c>
      <c r="P84" s="121"/>
      <c r="Q84" s="121"/>
      <c r="R84" s="121"/>
    </row>
    <row r="85" spans="1:18" ht="15" customHeight="1" x14ac:dyDescent="0.3">
      <c r="A85" s="104">
        <v>80</v>
      </c>
      <c r="B85" s="104">
        <v>91</v>
      </c>
      <c r="C85" s="124" t="str">
        <f>IF($B85=999,"",INDEX('Cost+CPI'!A:A,$B85))</f>
        <v>ND0730</v>
      </c>
      <c r="D85" s="125" t="str">
        <f>IF($B85=999,"",INDEX('Cost+CPI'!B:B,$B85))</f>
        <v>Wesley Vale 11 kV to 22 kV conversion</v>
      </c>
      <c r="E85" s="349" t="str">
        <f>IF($B85=999,"",INDEX('Cost+CPI'!C:C,$B85))</f>
        <v>Connection</v>
      </c>
      <c r="F85" s="346" t="str">
        <f>IF($B85=999,"",INDEX('Cost+CPI'!D:D,$B85))</f>
        <v>2014/15</v>
      </c>
      <c r="H85" s="170">
        <f>IF(ISERR($B85),0,INDEX('Cost+CPI'!R:R,$B85))</f>
        <v>1117500.4003727539</v>
      </c>
      <c r="I85" s="170">
        <f>IF(ISERR($B85),0,INDEX('Cost+CPI'!S:S,$B85))</f>
        <v>0</v>
      </c>
      <c r="J85" s="170">
        <f>IF(ISERR($B85),0,INDEX('Cost+CPI'!T:T,$B85))</f>
        <v>0</v>
      </c>
      <c r="K85" s="170">
        <f>IF(ISERR($B85),0,INDEX('Cost+CPI'!U:U,$B85))</f>
        <v>0</v>
      </c>
      <c r="L85" s="170">
        <f>IF(ISERR($B85),0,INDEX('Cost+CPI'!V:V,$B85))</f>
        <v>0</v>
      </c>
      <c r="M85" s="171">
        <f t="shared" si="1"/>
        <v>1117500.4003727539</v>
      </c>
      <c r="N85" s="121"/>
      <c r="O85" s="270" t="s">
        <v>118</v>
      </c>
      <c r="P85" s="121"/>
      <c r="Q85" s="121"/>
      <c r="R85" s="121"/>
    </row>
    <row r="86" spans="1:18" ht="15" customHeight="1" x14ac:dyDescent="0.3">
      <c r="A86" s="104">
        <v>81</v>
      </c>
      <c r="B86" s="104">
        <v>92</v>
      </c>
      <c r="C86" s="124" t="str">
        <f>IF($B86=999,"",INDEX('Cost+CPI'!A:A,$B86))</f>
        <v>ND1001</v>
      </c>
      <c r="D86" s="125" t="str">
        <f>IF($B86=999,"",INDEX('Cost+CPI'!B:B,$B86))</f>
        <v>Strategic easement acquisition</v>
      </c>
      <c r="E86" s="349" t="str">
        <f>IF($B86=999,"",INDEX('Cost+CPI'!C:C,$B86))</f>
        <v>Land and Easements</v>
      </c>
      <c r="F86" s="346" t="str">
        <f>IF($B86=999,"",INDEX('Cost+CPI'!D:D,$B86))</f>
        <v>2013/14</v>
      </c>
      <c r="H86" s="170">
        <f>IF(ISERR($B86),0,INDEX('Cost+CPI'!R:R,$B86))</f>
        <v>0</v>
      </c>
      <c r="I86" s="170">
        <f>IF(ISERR($B86),0,INDEX('Cost+CPI'!S:S,$B86))</f>
        <v>0</v>
      </c>
      <c r="J86" s="170">
        <f>IF(ISERR($B86),0,INDEX('Cost+CPI'!T:T,$B86))</f>
        <v>0</v>
      </c>
      <c r="K86" s="170">
        <f>IF(ISERR($B86),0,INDEX('Cost+CPI'!U:U,$B86))</f>
        <v>0</v>
      </c>
      <c r="L86" s="170">
        <f>IF(ISERR($B86),0,INDEX('Cost+CPI'!V:V,$B86))</f>
        <v>0</v>
      </c>
      <c r="M86" s="171">
        <f t="shared" si="1"/>
        <v>0</v>
      </c>
      <c r="N86" s="121"/>
      <c r="O86" s="270" t="s">
        <v>118</v>
      </c>
      <c r="P86" s="121"/>
      <c r="Q86" s="121"/>
      <c r="R86" s="121"/>
    </row>
    <row r="87" spans="1:18" ht="15" customHeight="1" x14ac:dyDescent="0.3">
      <c r="A87" s="104">
        <v>82</v>
      </c>
      <c r="B87" s="104">
        <v>999</v>
      </c>
      <c r="C87" s="124" t="str">
        <f>IF($B87=999,"",INDEX('Cost+CPI'!A:A,$B87))</f>
        <v/>
      </c>
      <c r="D87" s="125" t="str">
        <f>IF($B87=999,"",INDEX('Cost+CPI'!B:B,$B87))</f>
        <v/>
      </c>
      <c r="E87" s="349" t="str">
        <f>IF($B87=999,"",INDEX('Cost+CPI'!C:C,$B87))</f>
        <v/>
      </c>
      <c r="F87" s="346" t="str">
        <f>IF($B87=999,"",INDEX('Cost+CPI'!D:D,$B87))</f>
        <v/>
      </c>
      <c r="H87" s="170">
        <f>IF(ISERR($B87),0,INDEX('Cost+CPI'!R:R,$B87))</f>
        <v>0</v>
      </c>
      <c r="I87" s="170">
        <f>IF(ISERR($B87),0,INDEX('Cost+CPI'!S:S,$B87))</f>
        <v>0</v>
      </c>
      <c r="J87" s="170">
        <f>IF(ISERR($B87),0,INDEX('Cost+CPI'!T:T,$B87))</f>
        <v>0</v>
      </c>
      <c r="K87" s="170">
        <f>IF(ISERR($B87),0,INDEX('Cost+CPI'!U:U,$B87))</f>
        <v>0</v>
      </c>
      <c r="L87" s="170">
        <f>IF(ISERR($B87),0,INDEX('Cost+CPI'!V:V,$B87))</f>
        <v>0</v>
      </c>
      <c r="M87" s="171">
        <f t="shared" si="1"/>
        <v>0</v>
      </c>
      <c r="N87" s="121"/>
      <c r="O87" s="270" t="s">
        <v>118</v>
      </c>
      <c r="P87" s="121"/>
      <c r="Q87" s="121"/>
      <c r="R87" s="121"/>
    </row>
    <row r="88" spans="1:18" ht="15" customHeight="1" x14ac:dyDescent="0.3">
      <c r="A88" s="104">
        <v>83</v>
      </c>
      <c r="B88" s="104">
        <v>999</v>
      </c>
      <c r="C88" s="124" t="str">
        <f>IF($B88=999,"",INDEX('Cost+CPI'!A:A,$B88))</f>
        <v/>
      </c>
      <c r="D88" s="125" t="str">
        <f>IF($B88=999,"",INDEX('Cost+CPI'!B:B,$B88))</f>
        <v/>
      </c>
      <c r="E88" s="349" t="str">
        <f>IF($B88=999,"",INDEX('Cost+CPI'!C:C,$B88))</f>
        <v/>
      </c>
      <c r="F88" s="346" t="str">
        <f>IF($B88=999,"",INDEX('Cost+CPI'!D:D,$B88))</f>
        <v/>
      </c>
      <c r="H88" s="170">
        <f>IF(ISERR($B88),0,INDEX('Cost+CPI'!R:R,$B88))</f>
        <v>0</v>
      </c>
      <c r="I88" s="170">
        <f>IF(ISERR($B88),0,INDEX('Cost+CPI'!S:S,$B88))</f>
        <v>0</v>
      </c>
      <c r="J88" s="170">
        <f>IF(ISERR($B88),0,INDEX('Cost+CPI'!T:T,$B88))</f>
        <v>0</v>
      </c>
      <c r="K88" s="170">
        <f>IF(ISERR($B88),0,INDEX('Cost+CPI'!U:U,$B88))</f>
        <v>0</v>
      </c>
      <c r="L88" s="170">
        <f>IF(ISERR($B88),0,INDEX('Cost+CPI'!V:V,$B88))</f>
        <v>0</v>
      </c>
      <c r="M88" s="171">
        <f t="shared" si="1"/>
        <v>0</v>
      </c>
      <c r="N88" s="121"/>
      <c r="O88" s="270" t="s">
        <v>158</v>
      </c>
      <c r="P88" s="121"/>
      <c r="Q88" s="121"/>
      <c r="R88" s="121"/>
    </row>
    <row r="89" spans="1:18" ht="15" customHeight="1" x14ac:dyDescent="0.3">
      <c r="A89" s="104">
        <v>84</v>
      </c>
      <c r="B89" s="104">
        <v>999</v>
      </c>
      <c r="C89" s="124" t="str">
        <f>IF($B89=999,"",INDEX('Cost+CPI'!A:A,$B89))</f>
        <v/>
      </c>
      <c r="D89" s="125" t="str">
        <f>IF($B89=999,"",INDEX('Cost+CPI'!B:B,$B89))</f>
        <v/>
      </c>
      <c r="E89" s="349" t="str">
        <f>IF($B89=999,"",INDEX('Cost+CPI'!C:C,$B89))</f>
        <v/>
      </c>
      <c r="F89" s="346" t="str">
        <f>IF($B89=999,"",INDEX('Cost+CPI'!D:D,$B89))</f>
        <v/>
      </c>
      <c r="H89" s="170">
        <f>IF(ISERR($B89),0,INDEX('Cost+CPI'!R:R,$B89))</f>
        <v>0</v>
      </c>
      <c r="I89" s="170">
        <f>IF(ISERR($B89),0,INDEX('Cost+CPI'!S:S,$B89))</f>
        <v>0</v>
      </c>
      <c r="J89" s="170">
        <f>IF(ISERR($B89),0,INDEX('Cost+CPI'!T:T,$B89))</f>
        <v>0</v>
      </c>
      <c r="K89" s="170">
        <f>IF(ISERR($B89),0,INDEX('Cost+CPI'!U:U,$B89))</f>
        <v>0</v>
      </c>
      <c r="L89" s="170">
        <f>IF(ISERR($B89),0,INDEX('Cost+CPI'!V:V,$B89))</f>
        <v>0</v>
      </c>
      <c r="M89" s="171">
        <f t="shared" si="1"/>
        <v>0</v>
      </c>
      <c r="N89" s="121"/>
      <c r="O89" s="270" t="s">
        <v>159</v>
      </c>
      <c r="P89" s="121"/>
      <c r="Q89" s="121"/>
      <c r="R89" s="121"/>
    </row>
    <row r="90" spans="1:18" ht="15" customHeight="1" x14ac:dyDescent="0.3">
      <c r="A90" s="104">
        <v>85</v>
      </c>
      <c r="B90" s="104">
        <v>999</v>
      </c>
      <c r="C90" s="124" t="str">
        <f>IF($B90=999,"",INDEX('Cost+CPI'!A:A,$B90))</f>
        <v/>
      </c>
      <c r="D90" s="125" t="str">
        <f>IF($B90=999,"",INDEX('Cost+CPI'!B:B,$B90))</f>
        <v/>
      </c>
      <c r="E90" s="349" t="str">
        <f>IF($B90=999,"",INDEX('Cost+CPI'!C:C,$B90))</f>
        <v/>
      </c>
      <c r="F90" s="346" t="str">
        <f>IF($B90=999,"",INDEX('Cost+CPI'!D:D,$B90))</f>
        <v/>
      </c>
      <c r="H90" s="170">
        <f>IF(ISERR($B90),0,INDEX('Cost+CPI'!R:R,$B90))</f>
        <v>0</v>
      </c>
      <c r="I90" s="170">
        <f>IF(ISERR($B90),0,INDEX('Cost+CPI'!S:S,$B90))</f>
        <v>0</v>
      </c>
      <c r="J90" s="170">
        <f>IF(ISERR($B90),0,INDEX('Cost+CPI'!T:T,$B90))</f>
        <v>0</v>
      </c>
      <c r="K90" s="170">
        <f>IF(ISERR($B90),0,INDEX('Cost+CPI'!U:U,$B90))</f>
        <v>0</v>
      </c>
      <c r="L90" s="170">
        <f>IF(ISERR($B90),0,INDEX('Cost+CPI'!V:V,$B90))</f>
        <v>0</v>
      </c>
      <c r="M90" s="171">
        <f t="shared" si="1"/>
        <v>0</v>
      </c>
      <c r="N90" s="121"/>
      <c r="O90" s="270" t="s">
        <v>159</v>
      </c>
      <c r="P90" s="121"/>
      <c r="Q90" s="121"/>
      <c r="R90" s="121"/>
    </row>
    <row r="91" spans="1:18" ht="15" customHeight="1" x14ac:dyDescent="0.3">
      <c r="A91" s="104">
        <v>86</v>
      </c>
      <c r="B91" s="104">
        <v>999</v>
      </c>
      <c r="C91" s="124" t="str">
        <f>IF($B91=999,"",INDEX('Cost+CPI'!A:A,$B91))</f>
        <v/>
      </c>
      <c r="D91" s="125" t="str">
        <f>IF($B91=999,"",INDEX('Cost+CPI'!B:B,$B91))</f>
        <v/>
      </c>
      <c r="E91" s="349" t="str">
        <f>IF($B91=999,"",INDEX('Cost+CPI'!C:C,$B91))</f>
        <v/>
      </c>
      <c r="F91" s="346" t="str">
        <f>IF($B91=999,"",INDEX('Cost+CPI'!D:D,$B91))</f>
        <v/>
      </c>
      <c r="H91" s="170">
        <f>IF(ISERR($B91),0,INDEX('Cost+CPI'!R:R,$B91))</f>
        <v>0</v>
      </c>
      <c r="I91" s="170">
        <f>IF(ISERR($B91),0,INDEX('Cost+CPI'!S:S,$B91))</f>
        <v>0</v>
      </c>
      <c r="J91" s="170">
        <f>IF(ISERR($B91),0,INDEX('Cost+CPI'!T:T,$B91))</f>
        <v>0</v>
      </c>
      <c r="K91" s="170">
        <f>IF(ISERR($B91),0,INDEX('Cost+CPI'!U:U,$B91))</f>
        <v>0</v>
      </c>
      <c r="L91" s="170">
        <f>IF(ISERR($B91),0,INDEX('Cost+CPI'!V:V,$B91))</f>
        <v>0</v>
      </c>
      <c r="M91" s="171">
        <f t="shared" si="1"/>
        <v>0</v>
      </c>
      <c r="N91" s="121"/>
      <c r="O91" s="270" t="s">
        <v>119</v>
      </c>
      <c r="P91" s="121"/>
      <c r="Q91" s="121"/>
      <c r="R91" s="121"/>
    </row>
    <row r="92" spans="1:18" ht="15" customHeight="1" x14ac:dyDescent="0.3">
      <c r="A92" s="104">
        <v>87</v>
      </c>
      <c r="B92" s="104">
        <v>999</v>
      </c>
      <c r="C92" s="124" t="str">
        <f>IF($B92=999,"",INDEX('Cost+CPI'!A:A,$B92))</f>
        <v/>
      </c>
      <c r="D92" s="125" t="str">
        <f>IF($B92=999,"",INDEX('Cost+CPI'!B:B,$B92))</f>
        <v/>
      </c>
      <c r="E92" s="349" t="str">
        <f>IF($B92=999,"",INDEX('Cost+CPI'!C:C,$B92))</f>
        <v/>
      </c>
      <c r="F92" s="346" t="str">
        <f>IF($B92=999,"",INDEX('Cost+CPI'!D:D,$B92))</f>
        <v/>
      </c>
      <c r="H92" s="170">
        <f>IF(ISERR($B92),0,INDEX('Cost+CPI'!R:R,$B92))</f>
        <v>0</v>
      </c>
      <c r="I92" s="170">
        <f>IF(ISERR($B92),0,INDEX('Cost+CPI'!S:S,$B92))</f>
        <v>0</v>
      </c>
      <c r="J92" s="170">
        <f>IF(ISERR($B92),0,INDEX('Cost+CPI'!T:T,$B92))</f>
        <v>0</v>
      </c>
      <c r="K92" s="170">
        <f>IF(ISERR($B92),0,INDEX('Cost+CPI'!U:U,$B92))</f>
        <v>0</v>
      </c>
      <c r="L92" s="170">
        <f>IF(ISERR($B92),0,INDEX('Cost+CPI'!V:V,$B92))</f>
        <v>0</v>
      </c>
      <c r="M92" s="171">
        <f t="shared" si="1"/>
        <v>0</v>
      </c>
      <c r="N92" s="121"/>
      <c r="O92" s="270" t="s">
        <v>119</v>
      </c>
      <c r="P92" s="121"/>
      <c r="Q92" s="121"/>
      <c r="R92" s="121"/>
    </row>
    <row r="93" spans="1:18" ht="15" customHeight="1" x14ac:dyDescent="0.3">
      <c r="A93" s="104">
        <v>999</v>
      </c>
      <c r="B93" s="104">
        <v>999</v>
      </c>
      <c r="C93" s="124" t="str">
        <f>IF($B93=999,"",INDEX('Cost+CPI'!A:A,$B93))</f>
        <v/>
      </c>
      <c r="D93" s="125" t="str">
        <f>IF($B93=999,"",INDEX('Cost+CPI'!B:B,$B93))</f>
        <v/>
      </c>
      <c r="E93" s="349" t="str">
        <f>IF($B93=999,"",INDEX('Cost+CPI'!C:C,$B93))</f>
        <v/>
      </c>
      <c r="F93" s="346" t="str">
        <f>IF($B93=999,"",INDEX('Cost+CPI'!D:D,$B93))</f>
        <v/>
      </c>
      <c r="H93" s="170">
        <f>IF(ISERR($B93),0,INDEX('Cost+CPI'!R:R,$B93))</f>
        <v>0</v>
      </c>
      <c r="I93" s="170">
        <f>IF(ISERR($B93),0,INDEX('Cost+CPI'!S:S,$B93))</f>
        <v>0</v>
      </c>
      <c r="J93" s="170">
        <f>IF(ISERR($B93),0,INDEX('Cost+CPI'!T:T,$B93))</f>
        <v>0</v>
      </c>
      <c r="K93" s="170">
        <f>IF(ISERR($B93),0,INDEX('Cost+CPI'!U:U,$B93))</f>
        <v>0</v>
      </c>
      <c r="L93" s="170">
        <f>IF(ISERR($B93),0,INDEX('Cost+CPI'!V:V,$B93))</f>
        <v>0</v>
      </c>
      <c r="M93" s="171">
        <f t="shared" si="1"/>
        <v>0</v>
      </c>
      <c r="N93" s="121"/>
      <c r="O93" s="270" t="s">
        <v>119</v>
      </c>
      <c r="P93" s="121"/>
      <c r="Q93" s="121"/>
      <c r="R93" s="121"/>
    </row>
    <row r="94" spans="1:18" ht="15" customHeight="1" x14ac:dyDescent="0.3">
      <c r="A94" s="104">
        <v>89</v>
      </c>
      <c r="B94" s="104">
        <v>999</v>
      </c>
      <c r="C94" s="124" t="str">
        <f>IF($B94=999,"",INDEX('Cost+CPI'!A:A,$B94))</f>
        <v/>
      </c>
      <c r="D94" s="125" t="str">
        <f>IF($B94=999,"",INDEX('Cost+CPI'!B:B,$B94))</f>
        <v/>
      </c>
      <c r="E94" s="349" t="str">
        <f>IF($B94=999,"",INDEX('Cost+CPI'!C:C,$B94))</f>
        <v/>
      </c>
      <c r="F94" s="346" t="str">
        <f>IF($B94=999,"",INDEX('Cost+CPI'!D:D,$B94))</f>
        <v/>
      </c>
      <c r="H94" s="170">
        <f>IF(ISERR($B94),0,INDEX('Cost+CPI'!R:R,$B94))</f>
        <v>0</v>
      </c>
      <c r="I94" s="170">
        <f>IF(ISERR($B94),0,INDEX('Cost+CPI'!S:S,$B94))</f>
        <v>0</v>
      </c>
      <c r="J94" s="170">
        <f>IF(ISERR($B94),0,INDEX('Cost+CPI'!T:T,$B94))</f>
        <v>0</v>
      </c>
      <c r="K94" s="170">
        <f>IF(ISERR($B94),0,INDEX('Cost+CPI'!U:U,$B94))</f>
        <v>0</v>
      </c>
      <c r="L94" s="170">
        <f>IF(ISERR($B94),0,INDEX('Cost+CPI'!V:V,$B94))</f>
        <v>0</v>
      </c>
      <c r="M94" s="171">
        <f t="shared" si="1"/>
        <v>0</v>
      </c>
      <c r="N94" s="121"/>
      <c r="O94" s="270" t="s">
        <v>160</v>
      </c>
      <c r="P94" s="121"/>
      <c r="Q94" s="121"/>
      <c r="R94" s="121"/>
    </row>
    <row r="95" spans="1:18" ht="15" customHeight="1" x14ac:dyDescent="0.3">
      <c r="A95" s="104">
        <v>90</v>
      </c>
      <c r="B95" s="104">
        <v>999</v>
      </c>
      <c r="C95" s="124" t="str">
        <f>IF($B95=999,"",INDEX('Cost+CPI'!A:A,$B95))</f>
        <v/>
      </c>
      <c r="D95" s="125" t="str">
        <f>IF($B95=999,"",INDEX('Cost+CPI'!B:B,$B95))</f>
        <v/>
      </c>
      <c r="E95" s="349" t="str">
        <f>IF($B95=999,"",INDEX('Cost+CPI'!C:C,$B95))</f>
        <v/>
      </c>
      <c r="F95" s="346" t="str">
        <f>IF($B95=999,"",INDEX('Cost+CPI'!D:D,$B95))</f>
        <v/>
      </c>
      <c r="H95" s="170">
        <f>IF(ISERR($B95),0,INDEX('Cost+CPI'!R:R,$B95))</f>
        <v>0</v>
      </c>
      <c r="I95" s="170">
        <f>IF(ISERR($B95),0,INDEX('Cost+CPI'!S:S,$B95))</f>
        <v>0</v>
      </c>
      <c r="J95" s="170">
        <f>IF(ISERR($B95),0,INDEX('Cost+CPI'!T:T,$B95))</f>
        <v>0</v>
      </c>
      <c r="K95" s="170">
        <f>IF(ISERR($B95),0,INDEX('Cost+CPI'!U:U,$B95))</f>
        <v>0</v>
      </c>
      <c r="L95" s="170">
        <f>IF(ISERR($B95),0,INDEX('Cost+CPI'!V:V,$B95))</f>
        <v>0</v>
      </c>
      <c r="M95" s="171">
        <f t="shared" si="1"/>
        <v>0</v>
      </c>
      <c r="N95" s="121"/>
      <c r="O95" s="270" t="s">
        <v>160</v>
      </c>
      <c r="P95" s="121"/>
      <c r="Q95" s="121"/>
      <c r="R95" s="121"/>
    </row>
    <row r="96" spans="1:18" ht="15" customHeight="1" x14ac:dyDescent="0.3">
      <c r="A96" s="104">
        <v>91</v>
      </c>
      <c r="B96" s="104">
        <v>999</v>
      </c>
      <c r="C96" s="124" t="str">
        <f>IF($B96=999,"",INDEX('Cost+CPI'!A:A,$B96))</f>
        <v/>
      </c>
      <c r="D96" s="125" t="str">
        <f>IF($B96=999,"",INDEX('Cost+CPI'!B:B,$B96))</f>
        <v/>
      </c>
      <c r="E96" s="349" t="str">
        <f>IF($B96=999,"",INDEX('Cost+CPI'!C:C,$B96))</f>
        <v/>
      </c>
      <c r="F96" s="346" t="str">
        <f>IF($B96=999,"",INDEX('Cost+CPI'!D:D,$B96))</f>
        <v/>
      </c>
      <c r="H96" s="170">
        <f>IF(ISERR($B96),0,INDEX('Cost+CPI'!R:R,$B96))</f>
        <v>0</v>
      </c>
      <c r="I96" s="170">
        <f>IF(ISERR($B96),0,INDEX('Cost+CPI'!S:S,$B96))</f>
        <v>0</v>
      </c>
      <c r="J96" s="170">
        <f>IF(ISERR($B96),0,INDEX('Cost+CPI'!T:T,$B96))</f>
        <v>0</v>
      </c>
      <c r="K96" s="170">
        <f>IF(ISERR($B96),0,INDEX('Cost+CPI'!U:U,$B96))</f>
        <v>0</v>
      </c>
      <c r="L96" s="170">
        <f>IF(ISERR($B96),0,INDEX('Cost+CPI'!V:V,$B96))</f>
        <v>0</v>
      </c>
      <c r="M96" s="171">
        <f t="shared" si="1"/>
        <v>0</v>
      </c>
      <c r="N96" s="121"/>
      <c r="O96" s="270" t="s">
        <v>161</v>
      </c>
      <c r="P96" s="121"/>
      <c r="Q96" s="121"/>
      <c r="R96" s="121"/>
    </row>
    <row r="97" spans="1:18" ht="15" customHeight="1" x14ac:dyDescent="0.3">
      <c r="A97" s="104">
        <v>92</v>
      </c>
      <c r="B97" s="104">
        <v>999</v>
      </c>
      <c r="C97" s="124" t="str">
        <f>IF($B97=999,"",INDEX('Cost+CPI'!A:A,$B97))</f>
        <v/>
      </c>
      <c r="D97" s="125" t="str">
        <f>IF($B97=999,"",INDEX('Cost+CPI'!B:B,$B97))</f>
        <v/>
      </c>
      <c r="E97" s="349" t="str">
        <f>IF($B97=999,"",INDEX('Cost+CPI'!C:C,$B97))</f>
        <v/>
      </c>
      <c r="F97" s="346" t="str">
        <f>IF($B97=999,"",INDEX('Cost+CPI'!D:D,$B97))</f>
        <v/>
      </c>
      <c r="H97" s="170">
        <f>IF(ISERR($B97),0,INDEX('Cost+CPI'!R:R,$B97))</f>
        <v>0</v>
      </c>
      <c r="I97" s="170">
        <f>IF(ISERR($B97),0,INDEX('Cost+CPI'!S:S,$B97))</f>
        <v>0</v>
      </c>
      <c r="J97" s="170">
        <f>IF(ISERR($B97),0,INDEX('Cost+CPI'!T:T,$B97))</f>
        <v>0</v>
      </c>
      <c r="K97" s="170">
        <f>IF(ISERR($B97),0,INDEX('Cost+CPI'!U:U,$B97))</f>
        <v>0</v>
      </c>
      <c r="L97" s="170">
        <f>IF(ISERR($B97),0,INDEX('Cost+CPI'!V:V,$B97))</f>
        <v>0</v>
      </c>
      <c r="M97" s="171">
        <f t="shared" si="1"/>
        <v>0</v>
      </c>
      <c r="N97" s="121"/>
      <c r="O97" s="270" t="s">
        <v>162</v>
      </c>
      <c r="P97" s="121"/>
      <c r="Q97" s="121"/>
      <c r="R97" s="121"/>
    </row>
    <row r="98" spans="1:18" ht="15" customHeight="1" x14ac:dyDescent="0.3">
      <c r="A98" s="104">
        <v>999</v>
      </c>
      <c r="B98" s="104">
        <v>999</v>
      </c>
      <c r="C98" s="124" t="str">
        <f>IF($B98=999,"",INDEX('Cost+CPI'!A:A,$B98))</f>
        <v/>
      </c>
      <c r="D98" s="125" t="str">
        <f>IF($B98=999,"",INDEX('Cost+CPI'!B:B,$B98))</f>
        <v/>
      </c>
      <c r="E98" s="349" t="str">
        <f>IF($B98=999,"",INDEX('Cost+CPI'!C:C,$B98))</f>
        <v/>
      </c>
      <c r="F98" s="346" t="str">
        <f>IF($B98=999,"",INDEX('Cost+CPI'!D:D,$B98))</f>
        <v/>
      </c>
      <c r="H98" s="170">
        <f>IF(ISERR($B98),0,INDEX('Cost+CPI'!R:R,$B98))</f>
        <v>0</v>
      </c>
      <c r="I98" s="170">
        <f>IF(ISERR($B98),0,INDEX('Cost+CPI'!S:S,$B98))</f>
        <v>0</v>
      </c>
      <c r="J98" s="170">
        <f>IF(ISERR($B98),0,INDEX('Cost+CPI'!T:T,$B98))</f>
        <v>0</v>
      </c>
      <c r="K98" s="170">
        <f>IF(ISERR($B98),0,INDEX('Cost+CPI'!U:U,$B98))</f>
        <v>0</v>
      </c>
      <c r="L98" s="170">
        <f>IF(ISERR($B98),0,INDEX('Cost+CPI'!V:V,$B98))</f>
        <v>0</v>
      </c>
      <c r="M98" s="171">
        <f t="shared" si="1"/>
        <v>0</v>
      </c>
      <c r="N98" s="121"/>
      <c r="O98" s="270" t="s">
        <v>163</v>
      </c>
      <c r="P98" s="121"/>
      <c r="Q98" s="121"/>
      <c r="R98" s="121"/>
    </row>
    <row r="99" spans="1:18" ht="15" customHeight="1" x14ac:dyDescent="0.3">
      <c r="A99" s="104">
        <v>999</v>
      </c>
      <c r="B99" s="104">
        <v>999</v>
      </c>
      <c r="C99" s="124" t="str">
        <f>IF($B99=999,"",INDEX('Cost+CPI'!A:A,$B99))</f>
        <v/>
      </c>
      <c r="D99" s="125" t="str">
        <f>IF($B99=999,"",INDEX('Cost+CPI'!B:B,$B99))</f>
        <v/>
      </c>
      <c r="E99" s="349" t="str">
        <f>IF($B99=999,"",INDEX('Cost+CPI'!C:C,$B99))</f>
        <v/>
      </c>
      <c r="F99" s="346" t="str">
        <f>IF($B99=999,"",INDEX('Cost+CPI'!D:D,$B99))</f>
        <v/>
      </c>
      <c r="H99" s="170">
        <f>IF(ISERR($B99),0,INDEX('Cost+CPI'!R:R,$B99))</f>
        <v>0</v>
      </c>
      <c r="I99" s="170">
        <f>IF(ISERR($B99),0,INDEX('Cost+CPI'!S:S,$B99))</f>
        <v>0</v>
      </c>
      <c r="J99" s="170">
        <f>IF(ISERR($B99),0,INDEX('Cost+CPI'!T:T,$B99))</f>
        <v>0</v>
      </c>
      <c r="K99" s="170">
        <f>IF(ISERR($B99),0,INDEX('Cost+CPI'!U:U,$B99))</f>
        <v>0</v>
      </c>
      <c r="L99" s="170">
        <f>IF(ISERR($B99),0,INDEX('Cost+CPI'!V:V,$B99))</f>
        <v>0</v>
      </c>
      <c r="M99" s="171">
        <f t="shared" si="1"/>
        <v>0</v>
      </c>
      <c r="N99" s="121"/>
      <c r="O99" s="270" t="s">
        <v>163</v>
      </c>
      <c r="P99" s="121"/>
      <c r="Q99" s="121"/>
      <c r="R99" s="121"/>
    </row>
    <row r="100" spans="1:18" ht="15" customHeight="1" x14ac:dyDescent="0.3">
      <c r="A100" s="104">
        <v>999</v>
      </c>
      <c r="B100" s="104">
        <v>999</v>
      </c>
      <c r="C100" s="124" t="str">
        <f>IF($B100=999,"",INDEX('Cost+CPI'!A:A,$B100))</f>
        <v/>
      </c>
      <c r="D100" s="125" t="str">
        <f>IF($B100=999,"",INDEX('Cost+CPI'!B:B,$B100))</f>
        <v/>
      </c>
      <c r="E100" s="349" t="str">
        <f>IF($B100=999,"",INDEX('Cost+CPI'!C:C,$B100))</f>
        <v/>
      </c>
      <c r="F100" s="346" t="str">
        <f>IF($B100=999,"",INDEX('Cost+CPI'!D:D,$B100))</f>
        <v/>
      </c>
      <c r="H100" s="170">
        <f>IF(ISERR($B100),0,INDEX('Cost+CPI'!R:R,$B100))</f>
        <v>0</v>
      </c>
      <c r="I100" s="170">
        <f>IF(ISERR($B100),0,INDEX('Cost+CPI'!S:S,$B100))</f>
        <v>0</v>
      </c>
      <c r="J100" s="170">
        <f>IF(ISERR($B100),0,INDEX('Cost+CPI'!T:T,$B100))</f>
        <v>0</v>
      </c>
      <c r="K100" s="170">
        <f>IF(ISERR($B100),0,INDEX('Cost+CPI'!U:U,$B100))</f>
        <v>0</v>
      </c>
      <c r="L100" s="170">
        <f>IF(ISERR($B100),0,INDEX('Cost+CPI'!V:V,$B100))</f>
        <v>0</v>
      </c>
      <c r="M100" s="171">
        <f t="shared" si="1"/>
        <v>0</v>
      </c>
      <c r="N100" s="121"/>
      <c r="O100" s="270" t="s">
        <v>163</v>
      </c>
      <c r="P100" s="121"/>
      <c r="Q100" s="121"/>
      <c r="R100" s="121"/>
    </row>
    <row r="101" spans="1:18" ht="15" customHeight="1" x14ac:dyDescent="0.3">
      <c r="A101" s="104">
        <v>999</v>
      </c>
      <c r="B101" s="104">
        <v>999</v>
      </c>
      <c r="C101" s="124" t="str">
        <f>IF($B101=999,"",INDEX('Cost+CPI'!A:A,$B101))</f>
        <v/>
      </c>
      <c r="D101" s="125" t="str">
        <f>IF($B101=999,"",INDEX('Cost+CPI'!B:B,$B101))</f>
        <v/>
      </c>
      <c r="E101" s="349" t="str">
        <f>IF($B101=999,"",INDEX('Cost+CPI'!C:C,$B101))</f>
        <v/>
      </c>
      <c r="F101" s="346" t="str">
        <f>IF($B101=999,"",INDEX('Cost+CPI'!D:D,$B101))</f>
        <v/>
      </c>
      <c r="H101" s="170">
        <f>IF(ISERR($B101),0,INDEX('Cost+CPI'!R:R,$B101))</f>
        <v>0</v>
      </c>
      <c r="I101" s="170">
        <f>IF(ISERR($B101),0,INDEX('Cost+CPI'!S:S,$B101))</f>
        <v>0</v>
      </c>
      <c r="J101" s="170">
        <f>IF(ISERR($B101),0,INDEX('Cost+CPI'!T:T,$B101))</f>
        <v>0</v>
      </c>
      <c r="K101" s="170">
        <f>IF(ISERR($B101),0,INDEX('Cost+CPI'!U:U,$B101))</f>
        <v>0</v>
      </c>
      <c r="L101" s="170">
        <f>IF(ISERR($B101),0,INDEX('Cost+CPI'!V:V,$B101))</f>
        <v>0</v>
      </c>
      <c r="M101" s="171">
        <f t="shared" si="1"/>
        <v>0</v>
      </c>
      <c r="N101" s="121"/>
      <c r="O101" s="270" t="s">
        <v>163</v>
      </c>
      <c r="P101" s="121"/>
      <c r="Q101" s="121"/>
      <c r="R101" s="121"/>
    </row>
    <row r="102" spans="1:18" ht="15" customHeight="1" x14ac:dyDescent="0.3">
      <c r="A102" s="104">
        <v>999</v>
      </c>
      <c r="B102" s="104">
        <v>999</v>
      </c>
      <c r="C102" s="124" t="str">
        <f>IF($B102=999,"",INDEX('Cost+CPI'!A:A,$B102))</f>
        <v/>
      </c>
      <c r="D102" s="125" t="str">
        <f>IF($B102=999,"",INDEX('Cost+CPI'!B:B,$B102))</f>
        <v/>
      </c>
      <c r="E102" s="349" t="str">
        <f>IF($B102=999,"",INDEX('Cost+CPI'!C:C,$B102))</f>
        <v/>
      </c>
      <c r="F102" s="346" t="str">
        <f>IF($B102=999,"",INDEX('Cost+CPI'!D:D,$B102))</f>
        <v/>
      </c>
      <c r="H102" s="170">
        <f>IF(ISERR($B102),0,INDEX('Cost+CPI'!R:R,$B102))</f>
        <v>0</v>
      </c>
      <c r="I102" s="170">
        <f>IF(ISERR($B102),0,INDEX('Cost+CPI'!S:S,$B102))</f>
        <v>0</v>
      </c>
      <c r="J102" s="170">
        <f>IF(ISERR($B102),0,INDEX('Cost+CPI'!T:T,$B102))</f>
        <v>0</v>
      </c>
      <c r="K102" s="170">
        <f>IF(ISERR($B102),0,INDEX('Cost+CPI'!U:U,$B102))</f>
        <v>0</v>
      </c>
      <c r="L102" s="170">
        <f>IF(ISERR($B102),0,INDEX('Cost+CPI'!V:V,$B102))</f>
        <v>0</v>
      </c>
      <c r="M102" s="171">
        <f t="shared" si="1"/>
        <v>0</v>
      </c>
      <c r="N102" s="121"/>
      <c r="O102" s="270" t="s">
        <v>163</v>
      </c>
      <c r="P102" s="121"/>
      <c r="Q102" s="121"/>
      <c r="R102" s="121"/>
    </row>
    <row r="103" spans="1:18" ht="15" customHeight="1" x14ac:dyDescent="0.3">
      <c r="A103" s="104">
        <v>999</v>
      </c>
      <c r="B103" s="104">
        <v>999</v>
      </c>
      <c r="C103" s="124" t="str">
        <f>IF($B103=999,"",INDEX('Cost+CPI'!A:A,$B103))</f>
        <v/>
      </c>
      <c r="D103" s="125" t="str">
        <f>IF($B103=999,"",INDEX('Cost+CPI'!B:B,$B103))</f>
        <v/>
      </c>
      <c r="E103" s="349" t="str">
        <f>IF($B103=999,"",INDEX('Cost+CPI'!C:C,$B103))</f>
        <v/>
      </c>
      <c r="F103" s="346" t="str">
        <f>IF($B103=999,"",INDEX('Cost+CPI'!D:D,$B103))</f>
        <v/>
      </c>
      <c r="H103" s="170">
        <f>IF(ISERR($B103),0,INDEX('Cost+CPI'!R:R,$B103))</f>
        <v>0</v>
      </c>
      <c r="I103" s="170">
        <f>IF(ISERR($B103),0,INDEX('Cost+CPI'!S:S,$B103))</f>
        <v>0</v>
      </c>
      <c r="J103" s="170">
        <f>IF(ISERR($B103),0,INDEX('Cost+CPI'!T:T,$B103))</f>
        <v>0</v>
      </c>
      <c r="K103" s="170">
        <f>IF(ISERR($B103),0,INDEX('Cost+CPI'!U:U,$B103))</f>
        <v>0</v>
      </c>
      <c r="L103" s="170">
        <f>IF(ISERR($B103),0,INDEX('Cost+CPI'!V:V,$B103))</f>
        <v>0</v>
      </c>
      <c r="M103" s="171">
        <f t="shared" si="1"/>
        <v>0</v>
      </c>
      <c r="N103" s="121"/>
      <c r="O103" s="270" t="s">
        <v>164</v>
      </c>
      <c r="P103" s="121"/>
      <c r="Q103" s="121"/>
      <c r="R103" s="121"/>
    </row>
    <row r="104" spans="1:18" ht="15" customHeight="1" x14ac:dyDescent="0.3">
      <c r="A104" s="104">
        <v>999</v>
      </c>
      <c r="B104" s="104">
        <v>999</v>
      </c>
      <c r="C104" s="124" t="str">
        <f>IF($B104=999,"",INDEX('Cost+CPI'!A:A,$B104))</f>
        <v/>
      </c>
      <c r="D104" s="125" t="str">
        <f>IF($B104=999,"",INDEX('Cost+CPI'!B:B,$B104))</f>
        <v/>
      </c>
      <c r="E104" s="349" t="str">
        <f>IF($B104=999,"",INDEX('Cost+CPI'!C:C,$B104))</f>
        <v/>
      </c>
      <c r="F104" s="346" t="str">
        <f>IF($B104=999,"",INDEX('Cost+CPI'!D:D,$B104))</f>
        <v/>
      </c>
      <c r="H104" s="170">
        <f>IF(ISERR($B104),0,INDEX('Cost+CPI'!R:R,$B104))</f>
        <v>0</v>
      </c>
      <c r="I104" s="170">
        <f>IF(ISERR($B104),0,INDEX('Cost+CPI'!S:S,$B104))</f>
        <v>0</v>
      </c>
      <c r="J104" s="170">
        <f>IF(ISERR($B104),0,INDEX('Cost+CPI'!T:T,$B104))</f>
        <v>0</v>
      </c>
      <c r="K104" s="170">
        <f>IF(ISERR($B104),0,INDEX('Cost+CPI'!U:U,$B104))</f>
        <v>0</v>
      </c>
      <c r="L104" s="170">
        <f>IF(ISERR($B104),0,INDEX('Cost+CPI'!V:V,$B104))</f>
        <v>0</v>
      </c>
      <c r="M104" s="171">
        <f t="shared" si="1"/>
        <v>0</v>
      </c>
      <c r="N104" s="121"/>
      <c r="O104" s="270" t="s">
        <v>118</v>
      </c>
      <c r="P104" s="121"/>
      <c r="Q104" s="121"/>
      <c r="R104" s="121"/>
    </row>
    <row r="105" spans="1:18" ht="15" customHeight="1" x14ac:dyDescent="0.3">
      <c r="A105" s="104">
        <v>999</v>
      </c>
      <c r="B105" s="104">
        <v>999</v>
      </c>
      <c r="C105" s="124" t="str">
        <f>IF($B105=999,"",INDEX('Cost+CPI'!A:A,$B105))</f>
        <v/>
      </c>
      <c r="D105" s="125" t="str">
        <f>IF($B105=999,"",INDEX('Cost+CPI'!B:B,$B105))</f>
        <v/>
      </c>
      <c r="E105" s="349" t="str">
        <f>IF($B105=999,"",INDEX('Cost+CPI'!C:C,$B105))</f>
        <v/>
      </c>
      <c r="F105" s="346" t="str">
        <f>IF($B105=999,"",INDEX('Cost+CPI'!D:D,$B105))</f>
        <v/>
      </c>
      <c r="H105" s="170">
        <f>IF(ISERR($B105),0,INDEX('Cost+CPI'!R:R,$B105))</f>
        <v>0</v>
      </c>
      <c r="I105" s="170">
        <f>IF(ISERR($B105),0,INDEX('Cost+CPI'!S:S,$B105))</f>
        <v>0</v>
      </c>
      <c r="J105" s="170">
        <f>IF(ISERR($B105),0,INDEX('Cost+CPI'!T:T,$B105))</f>
        <v>0</v>
      </c>
      <c r="K105" s="170">
        <f>IF(ISERR($B105),0,INDEX('Cost+CPI'!U:U,$B105))</f>
        <v>0</v>
      </c>
      <c r="L105" s="170">
        <f>IF(ISERR($B105),0,INDEX('Cost+CPI'!V:V,$B105))</f>
        <v>0</v>
      </c>
      <c r="M105" s="171">
        <f t="shared" si="1"/>
        <v>0</v>
      </c>
      <c r="N105" s="121"/>
      <c r="O105" s="270" t="s">
        <v>115</v>
      </c>
      <c r="P105" s="121"/>
      <c r="Q105" s="121"/>
      <c r="R105" s="121"/>
    </row>
    <row r="106" spans="1:18" ht="15" customHeight="1" x14ac:dyDescent="0.3">
      <c r="C106" s="126"/>
      <c r="D106" s="127"/>
      <c r="E106" s="177"/>
      <c r="F106" s="347"/>
      <c r="H106" s="172"/>
      <c r="I106" s="172"/>
      <c r="J106" s="172"/>
      <c r="K106" s="172"/>
      <c r="L106" s="172"/>
      <c r="M106" s="172"/>
      <c r="N106" s="121"/>
      <c r="O106" s="129"/>
      <c r="P106" s="130"/>
      <c r="Q106" s="130"/>
      <c r="R106" s="130"/>
    </row>
    <row r="107" spans="1:18" ht="15" customHeight="1" x14ac:dyDescent="0.3">
      <c r="C107" s="131"/>
      <c r="D107" s="131"/>
      <c r="E107" s="178"/>
      <c r="F107" s="178"/>
      <c r="H107" s="173"/>
      <c r="I107" s="173"/>
      <c r="J107" s="173"/>
      <c r="K107" s="173"/>
      <c r="L107" s="173"/>
      <c r="M107" s="173"/>
      <c r="O107" s="131"/>
      <c r="P107" s="131"/>
      <c r="Q107" s="131"/>
    </row>
    <row r="108" spans="1:18" ht="15" customHeight="1" x14ac:dyDescent="0.3">
      <c r="G108" t="s">
        <v>165</v>
      </c>
      <c r="H108" s="174">
        <f>SUM(H8:H106)</f>
        <v>47811787.243031681</v>
      </c>
      <c r="I108" s="174">
        <f>SUM(I8:I106)</f>
        <v>63091406.864109747</v>
      </c>
      <c r="J108" s="174">
        <f>SUM(J8:J106)</f>
        <v>57482110.748557173</v>
      </c>
      <c r="K108" s="174">
        <f>SUM(K8:K106)</f>
        <v>51336311.698502108</v>
      </c>
      <c r="L108" s="174">
        <f>SUM(L8:L106)</f>
        <v>43532675.64002832</v>
      </c>
      <c r="M108" s="175">
        <f>SUM(H108:L108)</f>
        <v>263254292.19422904</v>
      </c>
    </row>
    <row r="110" spans="1:18" ht="15" customHeight="1" x14ac:dyDescent="0.3">
      <c r="M110" s="173"/>
    </row>
  </sheetData>
  <protectedRanges>
    <protectedRange sqref="O8:R106" name="Range1"/>
  </protectedRanges>
  <mergeCells count="5">
    <mergeCell ref="H4:M5"/>
    <mergeCell ref="O5:O6"/>
    <mergeCell ref="P5:P6"/>
    <mergeCell ref="Q5:Q6"/>
    <mergeCell ref="R5:R6"/>
  </mergeCells>
  <conditionalFormatting sqref="E107:E177 F110:F177 F107 H107:L108 H6:J6 H106:K106">
    <cfRule type="expression" dxfId="3" priority="2" stopIfTrue="1">
      <formula>ISBLANK(E6)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05"/>
  <sheetViews>
    <sheetView workbookViewId="0">
      <selection activeCell="B1" sqref="B1"/>
    </sheetView>
  </sheetViews>
  <sheetFormatPr defaultRowHeight="15" customHeight="1" x14ac:dyDescent="0.3"/>
  <cols>
    <col min="1" max="1" width="3.5546875" style="104" bestFit="1" customWidth="1"/>
    <col min="2" max="2" width="4.109375" style="104" bestFit="1" customWidth="1"/>
    <col min="3" max="3" width="11.6640625" customWidth="1"/>
    <col min="4" max="4" width="41.109375" customWidth="1"/>
    <col min="5" max="5" width="24.44140625" style="167" customWidth="1"/>
    <col min="6" max="6" width="15.6640625" customWidth="1"/>
    <col min="7" max="7" width="12.5546875" customWidth="1"/>
    <col min="8" max="13" width="10" style="167" customWidth="1"/>
    <col min="14" max="14" width="15.6640625" customWidth="1"/>
    <col min="15" max="15" width="46.44140625" style="133" customWidth="1"/>
    <col min="16" max="16" width="14.6640625" customWidth="1"/>
    <col min="17" max="17" width="74" customWidth="1"/>
    <col min="18" max="18" width="5.6640625" customWidth="1"/>
    <col min="19" max="19" width="20.6640625" customWidth="1"/>
    <col min="20" max="20" width="5.6640625" style="131" customWidth="1"/>
    <col min="21" max="21" width="20.6640625" customWidth="1"/>
    <col min="22" max="22" width="5.6640625" style="106" customWidth="1"/>
    <col min="23" max="23" width="20.6640625" customWidth="1"/>
    <col min="24" max="24" width="5.6640625" style="106" customWidth="1"/>
    <col min="25" max="25" width="20.6640625" customWidth="1"/>
    <col min="26" max="26" width="5.6640625" customWidth="1"/>
    <col min="27" max="27" width="40.6640625" customWidth="1"/>
    <col min="28" max="32" width="10.6640625" customWidth="1"/>
    <col min="33" max="34" width="10.109375" customWidth="1"/>
    <col min="35" max="35" width="12.33203125" customWidth="1"/>
    <col min="36" max="36" width="12" customWidth="1"/>
    <col min="37" max="37" width="16.33203125" bestFit="1" customWidth="1"/>
    <col min="38" max="40" width="12" customWidth="1"/>
    <col min="41" max="41" width="9.44140625" bestFit="1" customWidth="1"/>
    <col min="42" max="42" width="12.5546875" customWidth="1"/>
  </cols>
  <sheetData>
    <row r="1" spans="1:46" ht="15" customHeight="1" x14ac:dyDescent="0.4">
      <c r="C1" s="105" t="s">
        <v>166</v>
      </c>
      <c r="D1" s="105"/>
      <c r="L1" s="168"/>
      <c r="P1" s="106"/>
    </row>
    <row r="2" spans="1:46" ht="15" customHeight="1" x14ac:dyDescent="0.3">
      <c r="G2" s="109"/>
      <c r="Z2" s="136"/>
      <c r="AG2" s="136"/>
      <c r="AN2" s="136"/>
      <c r="AT2" s="137"/>
    </row>
    <row r="3" spans="1:46" ht="15" customHeight="1" x14ac:dyDescent="0.3">
      <c r="C3" s="107" t="s">
        <v>193</v>
      </c>
      <c r="D3" s="108"/>
      <c r="G3" s="109"/>
      <c r="Z3" s="109"/>
      <c r="AG3" s="109"/>
      <c r="AN3" s="109"/>
      <c r="AT3" s="109"/>
    </row>
    <row r="4" spans="1:46" ht="15" customHeight="1" x14ac:dyDescent="0.3">
      <c r="E4" s="114"/>
      <c r="G4" s="109"/>
      <c r="H4" s="607" t="s">
        <v>99</v>
      </c>
      <c r="I4" s="608"/>
      <c r="J4" s="608"/>
      <c r="K4" s="608"/>
      <c r="L4" s="608"/>
      <c r="M4" s="609"/>
      <c r="R4" s="131"/>
      <c r="T4" s="106"/>
      <c r="X4" s="109"/>
      <c r="AE4" s="109"/>
      <c r="AL4" s="109"/>
      <c r="AR4" s="109"/>
    </row>
    <row r="5" spans="1:46" ht="15" customHeight="1" x14ac:dyDescent="0.3">
      <c r="F5" s="343" t="s">
        <v>206</v>
      </c>
      <c r="G5" s="111"/>
      <c r="H5" s="610"/>
      <c r="I5" s="611"/>
      <c r="J5" s="611"/>
      <c r="K5" s="611"/>
      <c r="L5" s="611"/>
      <c r="M5" s="612"/>
      <c r="N5" s="109"/>
      <c r="R5" s="131"/>
      <c r="T5" s="106"/>
      <c r="X5" s="109"/>
      <c r="AE5" s="109"/>
      <c r="AL5" s="109"/>
      <c r="AR5" s="109"/>
    </row>
    <row r="6" spans="1:46" ht="15" customHeight="1" x14ac:dyDescent="0.3">
      <c r="C6" s="107" t="s">
        <v>100</v>
      </c>
      <c r="D6" s="112" t="s">
        <v>101</v>
      </c>
      <c r="E6" s="114" t="s">
        <v>16</v>
      </c>
      <c r="F6" s="113" t="s">
        <v>207</v>
      </c>
      <c r="H6" s="115" t="str">
        <f t="array" ref="H6:L6">'Capex - Network Projects'!$H$6:$L$6</f>
        <v>2014/15</v>
      </c>
      <c r="I6" s="115" t="str">
        <v>2015/16</v>
      </c>
      <c r="J6" s="115" t="str">
        <v>2016/17</v>
      </c>
      <c r="K6" s="115" t="str">
        <v>2017/18</v>
      </c>
      <c r="L6" s="115" t="str">
        <v>2018/19</v>
      </c>
      <c r="M6" s="116" t="s">
        <v>102</v>
      </c>
      <c r="O6" s="138" t="s">
        <v>103</v>
      </c>
      <c r="P6" s="139" t="s">
        <v>167</v>
      </c>
      <c r="T6"/>
      <c r="V6"/>
      <c r="X6"/>
    </row>
    <row r="7" spans="1:46" ht="15" customHeight="1" x14ac:dyDescent="0.3">
      <c r="D7" s="112"/>
      <c r="E7" s="117"/>
      <c r="F7" s="344"/>
      <c r="H7" s="169"/>
      <c r="I7" s="169"/>
      <c r="J7" s="169"/>
      <c r="K7" s="169"/>
      <c r="L7" s="169"/>
      <c r="M7" s="169"/>
      <c r="T7"/>
      <c r="V7"/>
      <c r="X7"/>
    </row>
    <row r="8" spans="1:46" ht="15" customHeight="1" x14ac:dyDescent="0.3">
      <c r="C8" s="118"/>
      <c r="D8" s="119"/>
      <c r="E8" s="348"/>
      <c r="F8" s="345"/>
      <c r="H8" s="170"/>
      <c r="I8" s="170"/>
      <c r="J8" s="170"/>
      <c r="K8" s="170"/>
      <c r="L8" s="170"/>
      <c r="M8" s="171"/>
      <c r="N8" s="121"/>
      <c r="O8" s="140"/>
      <c r="P8" s="123"/>
      <c r="T8"/>
      <c r="V8"/>
      <c r="X8"/>
    </row>
    <row r="9" spans="1:46" ht="15" customHeight="1" x14ac:dyDescent="0.3">
      <c r="A9" s="104">
        <f t="array" ref="A9:A105">IF(ISERROR(MATCH('Cost+CPI'!$C$4:$C$100,Parameters!$I$66:$I$75,0)),999,ROW()-ROW(A5))</f>
        <v>999</v>
      </c>
      <c r="B9" s="104">
        <f t="array" ref="B9:B105">SMALL($A$9:$A$205,ROW()-ROW(B8))</f>
        <v>12</v>
      </c>
      <c r="C9" s="124" t="str">
        <f>IF($B9=999,"",INDEX('Cost+CPI'!A:A,$B9))</f>
        <v>TBA2</v>
      </c>
      <c r="D9" s="125" t="str">
        <f>IF($B9=999,"",INDEX('Cost+CPI'!B:B,$B9))</f>
        <v>Facilities Access Control System</v>
      </c>
      <c r="E9" s="349" t="str">
        <f>IF($B9=999,"",INDEX('Cost+CPI'!C:C,$B9))</f>
        <v>Business support</v>
      </c>
      <c r="F9" s="346" t="str">
        <f>IF($B9=999,"",INDEX('Cost+CPI'!D:D,$B9))</f>
        <v>2014/15</v>
      </c>
      <c r="H9" s="170">
        <f>IF(ISERR($B9),0,INDEX('Cost+CPI'!R:R,$B9))</f>
        <v>166113.0762948207</v>
      </c>
      <c r="I9" s="170">
        <f>IF(ISERR($B9),0,INDEX('Cost+CPI'!S:S,$B9))</f>
        <v>0</v>
      </c>
      <c r="J9" s="170">
        <f>IF(ISERR($B9),0,INDEX('Cost+CPI'!T:T,$B9))</f>
        <v>0</v>
      </c>
      <c r="K9" s="170">
        <f>IF(ISERR($B9),0,INDEX('Cost+CPI'!U:U,$B9))</f>
        <v>0</v>
      </c>
      <c r="L9" s="170">
        <f>IF(ISERR($B9),0,INDEX('Cost+CPI'!V:V,$B9))</f>
        <v>0</v>
      </c>
      <c r="M9" s="171">
        <f>SUM(H9:L9)</f>
        <v>166113.0762948207</v>
      </c>
      <c r="N9" s="120"/>
      <c r="O9" s="270"/>
      <c r="P9" s="121"/>
      <c r="T9"/>
      <c r="V9"/>
      <c r="X9"/>
    </row>
    <row r="10" spans="1:46" ht="15" customHeight="1" x14ac:dyDescent="0.3">
      <c r="A10" s="104">
        <v>999</v>
      </c>
      <c r="B10" s="104">
        <v>14</v>
      </c>
      <c r="C10" s="124" t="str">
        <f>IF($B10=999,"",INDEX('Cost+CPI'!A:A,$B10))</f>
        <v>ND0789</v>
      </c>
      <c r="D10" s="125" t="str">
        <f>IF($B10=999,"",INDEX('Cost+CPI'!B:B,$B10))</f>
        <v>Fleet Vehicle Procurement program</v>
      </c>
      <c r="E10" s="349" t="str">
        <f>IF($B10=999,"",INDEX('Cost+CPI'!C:C,$B10))</f>
        <v>Business support</v>
      </c>
      <c r="F10" s="346" t="str">
        <f>IF($B10=999,"",INDEX('Cost+CPI'!D:D,$B10))</f>
        <v>2018/19</v>
      </c>
      <c r="H10" s="170">
        <f>IF(ISERR($B10),0,INDEX('Cost+CPI'!R:R,$B10))</f>
        <v>671681.27490039833</v>
      </c>
      <c r="I10" s="170">
        <f>IF(ISERR($B10),0,INDEX('Cost+CPI'!S:S,$B10))</f>
        <v>1004373.4063745019</v>
      </c>
      <c r="J10" s="170">
        <f>IF(ISERR($B10),0,INDEX('Cost+CPI'!T:T,$B10))</f>
        <v>629701.1952191235</v>
      </c>
      <c r="K10" s="170">
        <f>IF(ISERR($B10),0,INDEX('Cost+CPI'!U:U,$B10))</f>
        <v>209900.3984063745</v>
      </c>
      <c r="L10" s="170">
        <f>IF(ISERR($B10),0,INDEX('Cost+CPI'!V:V,$B10))</f>
        <v>797621.51394422306</v>
      </c>
      <c r="M10" s="171">
        <f t="shared" ref="M10:M33" si="0">SUM(H10:L10)</f>
        <v>3313277.7888446213</v>
      </c>
      <c r="N10" s="120"/>
      <c r="O10" s="270"/>
      <c r="P10" s="121"/>
      <c r="T10"/>
      <c r="V10"/>
      <c r="X10"/>
    </row>
    <row r="11" spans="1:46" ht="15" customHeight="1" x14ac:dyDescent="0.3">
      <c r="A11" s="104">
        <v>999</v>
      </c>
      <c r="B11" s="104">
        <v>19</v>
      </c>
      <c r="C11" s="124" t="str">
        <f>IF($B11=999,"",INDEX('Cost+CPI'!A:A,$B11))</f>
        <v>ND1205-1</v>
      </c>
      <c r="D11" s="125" t="str">
        <f>IF($B11=999,"",INDEX('Cost+CPI'!B:B,$B11))</f>
        <v>Information Technology applications program</v>
      </c>
      <c r="E11" s="349" t="str">
        <f>IF($B11=999,"",INDEX('Cost+CPI'!C:C,$B11))</f>
        <v>Information Technology</v>
      </c>
      <c r="F11" s="346" t="str">
        <f>IF($B11=999,"",INDEX('Cost+CPI'!D:D,$B11))</f>
        <v>2018/19</v>
      </c>
      <c r="H11" s="170">
        <f>IF(ISERR($B11),0,INDEX('Cost+CPI'!R:R,$B11))</f>
        <v>1497229.6170517928</v>
      </c>
      <c r="I11" s="170">
        <f>IF(ISERR($B11),0,INDEX('Cost+CPI'!S:S,$B11))</f>
        <v>531377.13179282867</v>
      </c>
      <c r="J11" s="170">
        <f>IF(ISERR($B11),0,INDEX('Cost+CPI'!T:T,$B11))</f>
        <v>918373.01513944217</v>
      </c>
      <c r="K11" s="170">
        <f>IF(ISERR($B11),0,INDEX('Cost+CPI'!U:U,$B11))</f>
        <v>1800115.8919521912</v>
      </c>
      <c r="L11" s="170">
        <f>IF(ISERR($B11),0,INDEX('Cost+CPI'!V:V,$B11))</f>
        <v>678618.06326693215</v>
      </c>
      <c r="M11" s="171">
        <f t="shared" si="0"/>
        <v>5425713.7192031872</v>
      </c>
      <c r="N11" s="120"/>
      <c r="O11" s="270"/>
      <c r="P11" s="121"/>
      <c r="T11"/>
      <c r="V11"/>
      <c r="X11"/>
    </row>
    <row r="12" spans="1:46" ht="15" customHeight="1" x14ac:dyDescent="0.3">
      <c r="A12" s="104">
        <v>999</v>
      </c>
      <c r="B12" s="104">
        <v>21</v>
      </c>
      <c r="C12" s="124" t="str">
        <f>IF($B12=999,"",INDEX('Cost+CPI'!A:A,$B12))</f>
        <v>ND1206-1</v>
      </c>
      <c r="D12" s="125" t="str">
        <f>IF($B12=999,"",INDEX('Cost+CPI'!B:B,$B12))</f>
        <v>Information Technology desktop program</v>
      </c>
      <c r="E12" s="349" t="str">
        <f>IF($B12=999,"",INDEX('Cost+CPI'!C:C,$B12))</f>
        <v>Information Technology</v>
      </c>
      <c r="F12" s="346" t="str">
        <f>IF($B12=999,"",INDEX('Cost+CPI'!D:D,$B12))</f>
        <v>2018/19</v>
      </c>
      <c r="H12" s="170">
        <f>IF(ISERR($B12),0,INDEX('Cost+CPI'!R:R,$B12))</f>
        <v>75282.205211155393</v>
      </c>
      <c r="I12" s="170">
        <f>IF(ISERR($B12),0,INDEX('Cost+CPI'!S:S,$B12))</f>
        <v>96041.858374502001</v>
      </c>
      <c r="J12" s="170">
        <f>IF(ISERR($B12),0,INDEX('Cost+CPI'!T:T,$B12))</f>
        <v>77768.097609561752</v>
      </c>
      <c r="K12" s="170">
        <f>IF(ISERR($B12),0,INDEX('Cost+CPI'!U:U,$B12))</f>
        <v>90358.259346613529</v>
      </c>
      <c r="L12" s="170">
        <f>IF(ISERR($B12),0,INDEX('Cost+CPI'!V:V,$B12))</f>
        <v>62344.280494023908</v>
      </c>
      <c r="M12" s="171">
        <f t="shared" si="0"/>
        <v>401794.70103585662</v>
      </c>
      <c r="N12" s="120"/>
      <c r="O12" s="270"/>
      <c r="P12" s="121"/>
      <c r="T12"/>
      <c r="V12"/>
      <c r="X12"/>
    </row>
    <row r="13" spans="1:46" ht="15" customHeight="1" x14ac:dyDescent="0.3">
      <c r="A13" s="104">
        <v>999</v>
      </c>
      <c r="B13" s="104">
        <v>23</v>
      </c>
      <c r="C13" s="124" t="str">
        <f>IF($B13=999,"",INDEX('Cost+CPI'!A:A,$B13))</f>
        <v>ND1207-1</v>
      </c>
      <c r="D13" s="125" t="str">
        <f>IF($B13=999,"",INDEX('Cost+CPI'!B:B,$B13))</f>
        <v>Information Technology infrastructure program</v>
      </c>
      <c r="E13" s="349" t="str">
        <f>IF($B13=999,"",INDEX('Cost+CPI'!C:C,$B13))</f>
        <v>Information Technology</v>
      </c>
      <c r="F13" s="346" t="str">
        <f>IF($B13=999,"",INDEX('Cost+CPI'!D:D,$B13))</f>
        <v>2018/19</v>
      </c>
      <c r="H13" s="170">
        <f>IF(ISERR($B13),0,INDEX('Cost+CPI'!R:R,$B13))</f>
        <v>89405.311537848596</v>
      </c>
      <c r="I13" s="170">
        <f>IF(ISERR($B13),0,INDEX('Cost+CPI'!S:S,$B13))</f>
        <v>450900.81528286857</v>
      </c>
      <c r="J13" s="170">
        <f>IF(ISERR($B13),0,INDEX('Cost+CPI'!T:T,$B13))</f>
        <v>197884.35623904382</v>
      </c>
      <c r="K13" s="170">
        <f>IF(ISERR($B13),0,INDEX('Cost+CPI'!U:U,$B13))</f>
        <v>53123.775792828681</v>
      </c>
      <c r="L13" s="170">
        <f>IF(ISERR($B13),0,INDEX('Cost+CPI'!V:V,$B13))</f>
        <v>62986.407792828686</v>
      </c>
      <c r="M13" s="171">
        <f t="shared" si="0"/>
        <v>854300.66664541815</v>
      </c>
      <c r="N13" s="120"/>
      <c r="O13" s="270"/>
      <c r="P13" s="121"/>
      <c r="T13"/>
      <c r="V13"/>
      <c r="X13"/>
    </row>
    <row r="14" spans="1:46" ht="15" customHeight="1" x14ac:dyDescent="0.3">
      <c r="A14" s="104">
        <v>999</v>
      </c>
      <c r="B14" s="104">
        <v>25</v>
      </c>
      <c r="C14" s="124" t="str">
        <f>IF($B14=999,"",INDEX('Cost+CPI'!A:A,$B14))</f>
        <v>ND1260-1</v>
      </c>
      <c r="D14" s="125" t="str">
        <f>IF($B14=999,"",INDEX('Cost+CPI'!B:B,$B14))</f>
        <v>Information Technology security system program</v>
      </c>
      <c r="E14" s="349" t="str">
        <f>IF($B14=999,"",INDEX('Cost+CPI'!C:C,$B14))</f>
        <v>Information Technology</v>
      </c>
      <c r="F14" s="346" t="str">
        <f>IF($B14=999,"",INDEX('Cost+CPI'!D:D,$B14))</f>
        <v>2018/19</v>
      </c>
      <c r="H14" s="170">
        <f>IF(ISERR($B14),0,INDEX('Cost+CPI'!R:R,$B14))</f>
        <v>79552.418916334645</v>
      </c>
      <c r="I14" s="170">
        <f>IF(ISERR($B14),0,INDEX('Cost+CPI'!S:S,$B14))</f>
        <v>29242.651824701195</v>
      </c>
      <c r="J14" s="170">
        <f>IF(ISERR($B14),0,INDEX('Cost+CPI'!T:T,$B14))</f>
        <v>104956.74809561753</v>
      </c>
      <c r="K14" s="170">
        <f>IF(ISERR($B14),0,INDEX('Cost+CPI'!U:U,$B14))</f>
        <v>57496.085051792827</v>
      </c>
      <c r="L14" s="170">
        <f>IF(ISERR($B14),0,INDEX('Cost+CPI'!V:V,$B14))</f>
        <v>20668.976191235055</v>
      </c>
      <c r="M14" s="171">
        <f t="shared" si="0"/>
        <v>291916.88007968129</v>
      </c>
      <c r="N14" s="120"/>
      <c r="O14" s="270"/>
      <c r="P14" s="121"/>
      <c r="T14"/>
      <c r="V14"/>
      <c r="X14"/>
    </row>
    <row r="15" spans="1:46" ht="15" customHeight="1" x14ac:dyDescent="0.3">
      <c r="A15" s="104">
        <v>999</v>
      </c>
      <c r="B15" s="104">
        <v>35</v>
      </c>
      <c r="C15" s="124" t="str">
        <f>IF($B15=999,"",INDEX('Cost+CPI'!A:A,$B15))</f>
        <v>ND0790</v>
      </c>
      <c r="D15" s="125" t="str">
        <f>IF($B15=999,"",INDEX('Cost+CPI'!B:B,$B15))</f>
        <v>Office equipment and minor assets</v>
      </c>
      <c r="E15" s="349" t="str">
        <f>IF($B15=999,"",INDEX('Cost+CPI'!C:C,$B15))</f>
        <v>Business support</v>
      </c>
      <c r="F15" s="346" t="str">
        <f>IF($B15=999,"",INDEX('Cost+CPI'!D:D,$B15))</f>
        <v>2018/19</v>
      </c>
      <c r="H15" s="170">
        <f>IF(ISERR($B15),0,INDEX('Cost+CPI'!R:R,$B15))</f>
        <v>83960.159362549792</v>
      </c>
      <c r="I15" s="170">
        <f>IF(ISERR($B15),0,INDEX('Cost+CPI'!S:S,$B15))</f>
        <v>83960.159362549792</v>
      </c>
      <c r="J15" s="170">
        <f>IF(ISERR($B15),0,INDEX('Cost+CPI'!T:T,$B15))</f>
        <v>83960.159362549792</v>
      </c>
      <c r="K15" s="170">
        <f>IF(ISERR($B15),0,INDEX('Cost+CPI'!U:U,$B15))</f>
        <v>83960.159362549792</v>
      </c>
      <c r="L15" s="170">
        <f>IF(ISERR($B15),0,INDEX('Cost+CPI'!V:V,$B15))</f>
        <v>83960.159362549792</v>
      </c>
      <c r="M15" s="171">
        <f t="shared" si="0"/>
        <v>419800.79681274894</v>
      </c>
      <c r="N15" s="120"/>
      <c r="O15" s="270"/>
      <c r="P15" s="121"/>
      <c r="T15"/>
      <c r="V15"/>
      <c r="X15"/>
    </row>
    <row r="16" spans="1:46" ht="15" customHeight="1" x14ac:dyDescent="0.3">
      <c r="A16" s="104">
        <v>999</v>
      </c>
      <c r="B16" s="104">
        <v>36</v>
      </c>
      <c r="C16" s="124" t="str">
        <f>IF($B16=999,"",INDEX('Cost+CPI'!A:A,$B16))</f>
        <v>ND1348</v>
      </c>
      <c r="D16" s="125" t="str">
        <f>IF($B16=999,"",INDEX('Cost+CPI'!B:B,$B16))</f>
        <v>Operations Building accommodation expansion</v>
      </c>
      <c r="E16" s="349" t="str">
        <f>IF($B16=999,"",INDEX('Cost+CPI'!C:C,$B16))</f>
        <v>Business Support</v>
      </c>
      <c r="F16" s="346" t="str">
        <f>IF($B16=999,"",INDEX('Cost+CPI'!D:D,$B16))</f>
        <v>2014/15</v>
      </c>
      <c r="H16" s="170">
        <f>IF(ISERR($B16),0,INDEX('Cost+CPI'!R:R,$B16))</f>
        <v>254850</v>
      </c>
      <c r="I16" s="170">
        <f>IF(ISERR($B16),0,INDEX('Cost+CPI'!S:S,$B16))</f>
        <v>0</v>
      </c>
      <c r="J16" s="170">
        <f>IF(ISERR($B16),0,INDEX('Cost+CPI'!T:T,$B16))</f>
        <v>0</v>
      </c>
      <c r="K16" s="170">
        <f>IF(ISERR($B16),0,INDEX('Cost+CPI'!U:U,$B16))</f>
        <v>0</v>
      </c>
      <c r="L16" s="170">
        <f>IF(ISERR($B16),0,INDEX('Cost+CPI'!V:V,$B16))</f>
        <v>0</v>
      </c>
      <c r="M16" s="171">
        <f t="shared" si="0"/>
        <v>254850</v>
      </c>
      <c r="N16" s="120"/>
      <c r="O16" s="270"/>
      <c r="P16" s="121"/>
      <c r="T16"/>
      <c r="V16"/>
      <c r="X16"/>
    </row>
    <row r="17" spans="1:36" ht="15" customHeight="1" x14ac:dyDescent="0.3">
      <c r="A17" s="104">
        <v>12</v>
      </c>
      <c r="B17" s="104">
        <v>37</v>
      </c>
      <c r="C17" s="124" t="str">
        <f>IF($B17=999,"",INDEX('Cost+CPI'!A:A,$B17))</f>
        <v>ND1221</v>
      </c>
      <c r="D17" s="125" t="str">
        <f>IF($B17=999,"",INDEX('Cost+CPI'!B:B,$B17))</f>
        <v>Operations Building air conditioning renewal</v>
      </c>
      <c r="E17" s="349" t="str">
        <f>IF($B17=999,"",INDEX('Cost+CPI'!C:C,$B17))</f>
        <v>Business support</v>
      </c>
      <c r="F17" s="346" t="str">
        <f>IF($B17=999,"",INDEX('Cost+CPI'!D:D,$B17))</f>
        <v>2018/19</v>
      </c>
      <c r="H17" s="170">
        <f>IF(ISERR($B17),0,INDEX('Cost+CPI'!R:R,$B17))</f>
        <v>167762.89342629482</v>
      </c>
      <c r="I17" s="170">
        <f>IF(ISERR($B17),0,INDEX('Cost+CPI'!S:S,$B17))</f>
        <v>48277.091633466131</v>
      </c>
      <c r="J17" s="170">
        <f>IF(ISERR($B17),0,INDEX('Cost+CPI'!T:T,$B17))</f>
        <v>54311.728087649397</v>
      </c>
      <c r="K17" s="170">
        <f>IF(ISERR($B17),0,INDEX('Cost+CPI'!U:U,$B17))</f>
        <v>59139.437250996016</v>
      </c>
      <c r="L17" s="170">
        <f>IF(ISERR($B17),0,INDEX('Cost+CPI'!V:V,$B17))</f>
        <v>33793.964143426296</v>
      </c>
      <c r="M17" s="171">
        <f t="shared" si="0"/>
        <v>363285.11454183265</v>
      </c>
      <c r="N17" s="120"/>
      <c r="O17" s="270"/>
      <c r="P17" s="121"/>
      <c r="T17"/>
      <c r="V17"/>
      <c r="X17"/>
    </row>
    <row r="18" spans="1:36" ht="15" customHeight="1" x14ac:dyDescent="0.3">
      <c r="A18" s="104">
        <v>999</v>
      </c>
      <c r="B18" s="104">
        <v>38</v>
      </c>
      <c r="C18" s="124" t="str">
        <f>IF($B18=999,"",INDEX('Cost+CPI'!A:A,$B18))</f>
        <v>ND1275</v>
      </c>
      <c r="D18" s="125" t="str">
        <f>IF($B18=999,"",INDEX('Cost+CPI'!B:B,$B18))</f>
        <v>Operations Building compliance program</v>
      </c>
      <c r="E18" s="349" t="str">
        <f>IF($B18=999,"",INDEX('Cost+CPI'!C:C,$B18))</f>
        <v>Business support</v>
      </c>
      <c r="F18" s="346" t="str">
        <f>IF($B18=999,"",INDEX('Cost+CPI'!D:D,$B18))</f>
        <v>2015/16</v>
      </c>
      <c r="H18" s="170">
        <f>IF(ISERR($B18),0,INDEX('Cost+CPI'!R:R,$B18))</f>
        <v>110197.7091633466</v>
      </c>
      <c r="I18" s="170">
        <f>IF(ISERR($B18),0,INDEX('Cost+CPI'!S:S,$B18))</f>
        <v>624453.68525896408</v>
      </c>
      <c r="J18" s="170">
        <f>IF(ISERR($B18),0,INDEX('Cost+CPI'!T:T,$B18))</f>
        <v>0</v>
      </c>
      <c r="K18" s="170">
        <f>IF(ISERR($B18),0,INDEX('Cost+CPI'!U:U,$B18))</f>
        <v>0</v>
      </c>
      <c r="L18" s="170">
        <f>IF(ISERR($B18),0,INDEX('Cost+CPI'!V:V,$B18))</f>
        <v>0</v>
      </c>
      <c r="M18" s="171">
        <f t="shared" si="0"/>
        <v>734651.39442231064</v>
      </c>
      <c r="N18" s="120"/>
      <c r="O18" s="270"/>
      <c r="P18" s="121"/>
      <c r="T18"/>
      <c r="V18"/>
      <c r="X18"/>
    </row>
    <row r="19" spans="1:36" ht="15" customHeight="1" x14ac:dyDescent="0.3">
      <c r="A19" s="104">
        <v>14</v>
      </c>
      <c r="B19" s="104">
        <v>88</v>
      </c>
      <c r="C19" s="124" t="str">
        <f>IF($B19=999,"",INDEX('Cost+CPI'!A:A,$B19))</f>
        <v>ND1311</v>
      </c>
      <c r="D19" s="125" t="str">
        <f>IF($B19=999,"",INDEX('Cost+CPI'!B:B,$B19))</f>
        <v>Trevallyn Office Building compliance program</v>
      </c>
      <c r="E19" s="349" t="str">
        <f>IF($B19=999,"",INDEX('Cost+CPI'!C:C,$B19))</f>
        <v>Business support</v>
      </c>
      <c r="F19" s="346" t="str">
        <f>IF($B19=999,"",INDEX('Cost+CPI'!D:D,$B19))</f>
        <v>2016/17</v>
      </c>
      <c r="H19" s="170">
        <f>IF(ISERR($B19),0,INDEX('Cost+CPI'!R:R,$B19))</f>
        <v>0</v>
      </c>
      <c r="I19" s="170">
        <f>IF(ISERR($B19),0,INDEX('Cost+CPI'!S:S,$B19))</f>
        <v>138534.26294820715</v>
      </c>
      <c r="J19" s="170">
        <f>IF(ISERR($B19),0,INDEX('Cost+CPI'!T:T,$B19))</f>
        <v>323246.61354581674</v>
      </c>
      <c r="K19" s="170">
        <f>IF(ISERR($B19),0,INDEX('Cost+CPI'!U:U,$B19))</f>
        <v>0</v>
      </c>
      <c r="L19" s="170">
        <f>IF(ISERR($B19),0,INDEX('Cost+CPI'!V:V,$B19))</f>
        <v>0</v>
      </c>
      <c r="M19" s="171">
        <f t="shared" si="0"/>
        <v>461780.87649402389</v>
      </c>
      <c r="N19" s="120"/>
      <c r="O19" s="270"/>
      <c r="P19" s="121"/>
      <c r="T19"/>
      <c r="V19"/>
      <c r="X19"/>
    </row>
    <row r="20" spans="1:36" ht="15" customHeight="1" x14ac:dyDescent="0.25">
      <c r="A20" s="104">
        <v>999</v>
      </c>
      <c r="B20" s="104">
        <v>999</v>
      </c>
      <c r="C20" s="124" t="str">
        <f>IF($B20=999,"",INDEX('Cost+CPI'!A:A,$B20))</f>
        <v/>
      </c>
      <c r="D20" s="125" t="str">
        <f>IF($B20=999,"",INDEX('Cost+CPI'!B:B,$B20))</f>
        <v/>
      </c>
      <c r="E20" s="349" t="str">
        <f>IF($B20=999,"",INDEX('Cost+CPI'!C:C,$B20))</f>
        <v/>
      </c>
      <c r="F20" s="346" t="str">
        <f>IF($B20=999,"",INDEX('Cost+CPI'!D:D,$B20))</f>
        <v/>
      </c>
      <c r="H20" s="170">
        <f>IF(ISERR($B20),0,INDEX('Cost+CPI'!R:R,$B20))</f>
        <v>0</v>
      </c>
      <c r="I20" s="170">
        <f>IF(ISERR($B20),0,INDEX('Cost+CPI'!S:S,$B20))</f>
        <v>0</v>
      </c>
      <c r="J20" s="170">
        <f>IF(ISERR($B20),0,INDEX('Cost+CPI'!T:T,$B20))</f>
        <v>0</v>
      </c>
      <c r="K20" s="170">
        <f>IF(ISERR($B20),0,INDEX('Cost+CPI'!U:U,$B20))</f>
        <v>0</v>
      </c>
      <c r="L20" s="170">
        <f>IF(ISERR($B20),0,INDEX('Cost+CPI'!V:V,$B20))</f>
        <v>0</v>
      </c>
      <c r="M20" s="171">
        <f t="shared" si="0"/>
        <v>0</v>
      </c>
      <c r="N20" s="120"/>
      <c r="O20" s="270"/>
      <c r="P20" s="121"/>
      <c r="T20"/>
      <c r="V20"/>
      <c r="X20"/>
    </row>
    <row r="21" spans="1:36" ht="15" customHeight="1" x14ac:dyDescent="0.25">
      <c r="A21" s="104">
        <v>999</v>
      </c>
      <c r="B21" s="104">
        <v>999</v>
      </c>
      <c r="C21" s="124" t="str">
        <f>IF($B21=999,"",INDEX('Cost+CPI'!A:A,$B21))</f>
        <v/>
      </c>
      <c r="D21" s="125" t="str">
        <f>IF($B21=999,"",INDEX('Cost+CPI'!B:B,$B21))</f>
        <v/>
      </c>
      <c r="E21" s="349" t="str">
        <f>IF($B21=999,"",INDEX('Cost+CPI'!C:C,$B21))</f>
        <v/>
      </c>
      <c r="F21" s="346" t="str">
        <f>IF($B21=999,"",INDEX('Cost+CPI'!D:D,$B21))</f>
        <v/>
      </c>
      <c r="H21" s="170">
        <f>IF(ISERR($B21),0,INDEX('Cost+CPI'!R:R,$B21))</f>
        <v>0</v>
      </c>
      <c r="I21" s="170">
        <f>IF(ISERR($B21),0,INDEX('Cost+CPI'!S:S,$B21))</f>
        <v>0</v>
      </c>
      <c r="J21" s="170">
        <f>IF(ISERR($B21),0,INDEX('Cost+CPI'!T:T,$B21))</f>
        <v>0</v>
      </c>
      <c r="K21" s="170">
        <f>IF(ISERR($B21),0,INDEX('Cost+CPI'!U:U,$B21))</f>
        <v>0</v>
      </c>
      <c r="L21" s="170">
        <f>IF(ISERR($B21),0,INDEX('Cost+CPI'!V:V,$B21))</f>
        <v>0</v>
      </c>
      <c r="M21" s="171">
        <f t="shared" si="0"/>
        <v>0</v>
      </c>
      <c r="N21" s="120"/>
      <c r="O21" s="270"/>
      <c r="P21" s="121"/>
      <c r="T21"/>
      <c r="V21"/>
      <c r="X21"/>
    </row>
    <row r="22" spans="1:36" ht="15" customHeight="1" x14ac:dyDescent="0.25">
      <c r="A22" s="104">
        <v>999</v>
      </c>
      <c r="B22" s="104">
        <v>999</v>
      </c>
      <c r="C22" s="124" t="str">
        <f>IF($B22=999,"",INDEX('Cost+CPI'!A:A,$B22))</f>
        <v/>
      </c>
      <c r="D22" s="125" t="str">
        <f>IF($B22=999,"",INDEX('Cost+CPI'!B:B,$B22))</f>
        <v/>
      </c>
      <c r="E22" s="349" t="str">
        <f>IF($B22=999,"",INDEX('Cost+CPI'!C:C,$B22))</f>
        <v/>
      </c>
      <c r="F22" s="346" t="str">
        <f>IF($B22=999,"",INDEX('Cost+CPI'!D:D,$B22))</f>
        <v/>
      </c>
      <c r="H22" s="170">
        <f>IF(ISERR($B22),0,INDEX('Cost+CPI'!R:R,$B22))</f>
        <v>0</v>
      </c>
      <c r="I22" s="170">
        <f>IF(ISERR($B22),0,INDEX('Cost+CPI'!S:S,$B22))</f>
        <v>0</v>
      </c>
      <c r="J22" s="170">
        <f>IF(ISERR($B22),0,INDEX('Cost+CPI'!T:T,$B22))</f>
        <v>0</v>
      </c>
      <c r="K22" s="170">
        <f>IF(ISERR($B22),0,INDEX('Cost+CPI'!U:U,$B22))</f>
        <v>0</v>
      </c>
      <c r="L22" s="170">
        <f>IF(ISERR($B22),0,INDEX('Cost+CPI'!V:V,$B22))</f>
        <v>0</v>
      </c>
      <c r="M22" s="171">
        <f t="shared" si="0"/>
        <v>0</v>
      </c>
      <c r="N22" s="120"/>
      <c r="O22" s="270"/>
      <c r="P22" s="121"/>
      <c r="T22"/>
      <c r="V22"/>
      <c r="X22"/>
      <c r="AJ22" s="135"/>
    </row>
    <row r="23" spans="1:36" ht="15" customHeight="1" x14ac:dyDescent="0.25">
      <c r="A23" s="104">
        <v>999</v>
      </c>
      <c r="B23" s="104">
        <v>999</v>
      </c>
      <c r="C23" s="124" t="str">
        <f>IF($B23=999,"",INDEX('Cost+CPI'!A:A,$B23))</f>
        <v/>
      </c>
      <c r="D23" s="125" t="str">
        <f>IF($B23=999,"",INDEX('Cost+CPI'!B:B,$B23))</f>
        <v/>
      </c>
      <c r="E23" s="349" t="str">
        <f>IF($B23=999,"",INDEX('Cost+CPI'!C:C,$B23))</f>
        <v/>
      </c>
      <c r="F23" s="346" t="str">
        <f>IF($B23=999,"",INDEX('Cost+CPI'!D:D,$B23))</f>
        <v/>
      </c>
      <c r="H23" s="170">
        <f>IF(ISERR($B23),0,INDEX('Cost+CPI'!R:R,$B23))</f>
        <v>0</v>
      </c>
      <c r="I23" s="170">
        <f>IF(ISERR($B23),0,INDEX('Cost+CPI'!S:S,$B23))</f>
        <v>0</v>
      </c>
      <c r="J23" s="170">
        <f>IF(ISERR($B23),0,INDEX('Cost+CPI'!T:T,$B23))</f>
        <v>0</v>
      </c>
      <c r="K23" s="170">
        <f>IF(ISERR($B23),0,INDEX('Cost+CPI'!U:U,$B23))</f>
        <v>0</v>
      </c>
      <c r="L23" s="170">
        <f>IF(ISERR($B23),0,INDEX('Cost+CPI'!V:V,$B23))</f>
        <v>0</v>
      </c>
      <c r="M23" s="171">
        <f t="shared" si="0"/>
        <v>0</v>
      </c>
      <c r="N23" s="120"/>
      <c r="O23" s="270"/>
      <c r="P23" s="121"/>
      <c r="T23"/>
      <c r="V23"/>
      <c r="X23"/>
      <c r="AJ23" s="135"/>
    </row>
    <row r="24" spans="1:36" s="106" customFormat="1" ht="15" customHeight="1" x14ac:dyDescent="0.25">
      <c r="A24" s="104">
        <v>19</v>
      </c>
      <c r="B24" s="104">
        <v>999</v>
      </c>
      <c r="C24" s="124" t="str">
        <f>IF($B24=999,"",INDEX('Cost+CPI'!A:A,$B24))</f>
        <v/>
      </c>
      <c r="D24" s="125" t="str">
        <f>IF($B24=999,"",INDEX('Cost+CPI'!B:B,$B24))</f>
        <v/>
      </c>
      <c r="E24" s="349" t="str">
        <f>IF($B24=999,"",INDEX('Cost+CPI'!C:C,$B24))</f>
        <v/>
      </c>
      <c r="F24" s="346" t="str">
        <f>IF($B24=999,"",INDEX('Cost+CPI'!D:D,$B24))</f>
        <v/>
      </c>
      <c r="G24"/>
      <c r="H24" s="170">
        <f>IF(ISERR($B24),0,INDEX('Cost+CPI'!R:R,$B24))</f>
        <v>0</v>
      </c>
      <c r="I24" s="170">
        <f>IF(ISERR($B24),0,INDEX('Cost+CPI'!S:S,$B24))</f>
        <v>0</v>
      </c>
      <c r="J24" s="170">
        <f>IF(ISERR($B24),0,INDEX('Cost+CPI'!T:T,$B24))</f>
        <v>0</v>
      </c>
      <c r="K24" s="170">
        <f>IF(ISERR($B24),0,INDEX('Cost+CPI'!U:U,$B24))</f>
        <v>0</v>
      </c>
      <c r="L24" s="170">
        <f>IF(ISERR($B24),0,INDEX('Cost+CPI'!V:V,$B24))</f>
        <v>0</v>
      </c>
      <c r="M24" s="171">
        <f t="shared" si="0"/>
        <v>0</v>
      </c>
      <c r="N24" s="120"/>
      <c r="O24" s="270"/>
      <c r="P24" s="121"/>
      <c r="AJ24" s="109"/>
    </row>
    <row r="25" spans="1:36" s="106" customFormat="1" ht="15" customHeight="1" x14ac:dyDescent="0.25">
      <c r="A25" s="104">
        <v>999</v>
      </c>
      <c r="B25" s="104">
        <v>999</v>
      </c>
      <c r="C25" s="124" t="str">
        <f>IF($B25=999,"",INDEX('Cost+CPI'!A:A,$B25))</f>
        <v/>
      </c>
      <c r="D25" s="125" t="str">
        <f>IF($B25=999,"",INDEX('Cost+CPI'!B:B,$B25))</f>
        <v/>
      </c>
      <c r="E25" s="349" t="str">
        <f>IF($B25=999,"",INDEX('Cost+CPI'!C:C,$B25))</f>
        <v/>
      </c>
      <c r="F25" s="346" t="str">
        <f>IF($B25=999,"",INDEX('Cost+CPI'!D:D,$B25))</f>
        <v/>
      </c>
      <c r="G25"/>
      <c r="H25" s="170">
        <f>IF(ISERR($B25),0,INDEX('Cost+CPI'!R:R,$B25))</f>
        <v>0</v>
      </c>
      <c r="I25" s="170">
        <f>IF(ISERR($B25),0,INDEX('Cost+CPI'!S:S,$B25))</f>
        <v>0</v>
      </c>
      <c r="J25" s="170">
        <f>IF(ISERR($B25),0,INDEX('Cost+CPI'!T:T,$B25))</f>
        <v>0</v>
      </c>
      <c r="K25" s="170">
        <f>IF(ISERR($B25),0,INDEX('Cost+CPI'!U:U,$B25))</f>
        <v>0</v>
      </c>
      <c r="L25" s="170">
        <f>IF(ISERR($B25),0,INDEX('Cost+CPI'!V:V,$B25))</f>
        <v>0</v>
      </c>
      <c r="M25" s="171">
        <f t="shared" si="0"/>
        <v>0</v>
      </c>
      <c r="N25" s="120"/>
      <c r="O25" s="270"/>
      <c r="P25" s="121"/>
      <c r="AJ25" s="109"/>
    </row>
    <row r="26" spans="1:36" ht="15" customHeight="1" x14ac:dyDescent="0.25">
      <c r="A26" s="104">
        <v>21</v>
      </c>
      <c r="B26" s="104">
        <v>999</v>
      </c>
      <c r="C26" s="124" t="str">
        <f>IF($B26=999,"",INDEX('Cost+CPI'!A:A,$B26))</f>
        <v/>
      </c>
      <c r="D26" s="125" t="str">
        <f>IF($B26=999,"",INDEX('Cost+CPI'!B:B,$B26))</f>
        <v/>
      </c>
      <c r="E26" s="349" t="str">
        <f>IF($B26=999,"",INDEX('Cost+CPI'!C:C,$B26))</f>
        <v/>
      </c>
      <c r="F26" s="346" t="str">
        <f>IF($B26=999,"",INDEX('Cost+CPI'!D:D,$B26))</f>
        <v/>
      </c>
      <c r="H26" s="170">
        <f>IF(ISERR($B26),0,INDEX('Cost+CPI'!R:R,$B26))</f>
        <v>0</v>
      </c>
      <c r="I26" s="170">
        <f>IF(ISERR($B26),0,INDEX('Cost+CPI'!S:S,$B26))</f>
        <v>0</v>
      </c>
      <c r="J26" s="170">
        <f>IF(ISERR($B26),0,INDEX('Cost+CPI'!T:T,$B26))</f>
        <v>0</v>
      </c>
      <c r="K26" s="170">
        <f>IF(ISERR($B26),0,INDEX('Cost+CPI'!U:U,$B26))</f>
        <v>0</v>
      </c>
      <c r="L26" s="170">
        <f>IF(ISERR($B26),0,INDEX('Cost+CPI'!V:V,$B26))</f>
        <v>0</v>
      </c>
      <c r="M26" s="171">
        <f t="shared" si="0"/>
        <v>0</v>
      </c>
      <c r="N26" s="120"/>
      <c r="O26" s="270"/>
      <c r="P26" s="121"/>
      <c r="T26"/>
      <c r="V26"/>
      <c r="X26"/>
    </row>
    <row r="27" spans="1:36" ht="15" customHeight="1" x14ac:dyDescent="0.25">
      <c r="A27" s="104">
        <v>999</v>
      </c>
      <c r="B27" s="104">
        <v>999</v>
      </c>
      <c r="C27" s="124" t="str">
        <f>IF($B27=999,"",INDEX('Cost+CPI'!A:A,$B27))</f>
        <v/>
      </c>
      <c r="D27" s="125" t="str">
        <f>IF($B27=999,"",INDEX('Cost+CPI'!B:B,$B27))</f>
        <v/>
      </c>
      <c r="E27" s="349" t="str">
        <f>IF($B27=999,"",INDEX('Cost+CPI'!C:C,$B27))</f>
        <v/>
      </c>
      <c r="F27" s="346" t="str">
        <f>IF($B27=999,"",INDEX('Cost+CPI'!D:D,$B27))</f>
        <v/>
      </c>
      <c r="H27" s="170">
        <f>IF(ISERR($B27),0,INDEX('Cost+CPI'!R:R,$B27))</f>
        <v>0</v>
      </c>
      <c r="I27" s="170">
        <f>IF(ISERR($B27),0,INDEX('Cost+CPI'!S:S,$B27))</f>
        <v>0</v>
      </c>
      <c r="J27" s="170">
        <f>IF(ISERR($B27),0,INDEX('Cost+CPI'!T:T,$B27))</f>
        <v>0</v>
      </c>
      <c r="K27" s="170">
        <f>IF(ISERR($B27),0,INDEX('Cost+CPI'!U:U,$B27))</f>
        <v>0</v>
      </c>
      <c r="L27" s="170">
        <f>IF(ISERR($B27),0,INDEX('Cost+CPI'!V:V,$B27))</f>
        <v>0</v>
      </c>
      <c r="M27" s="171">
        <f t="shared" si="0"/>
        <v>0</v>
      </c>
      <c r="N27" s="121"/>
      <c r="O27" s="141"/>
      <c r="P27" s="121"/>
      <c r="T27"/>
      <c r="V27"/>
      <c r="X27"/>
      <c r="AJ27" s="135"/>
    </row>
    <row r="28" spans="1:36" ht="15" customHeight="1" x14ac:dyDescent="0.25">
      <c r="A28" s="104">
        <v>23</v>
      </c>
      <c r="B28" s="104">
        <v>999</v>
      </c>
      <c r="C28" s="124" t="str">
        <f>IF($B28=999,"",INDEX('Cost+CPI'!A:A,$B28))</f>
        <v/>
      </c>
      <c r="D28" s="125" t="str">
        <f>IF($B28=999,"",INDEX('Cost+CPI'!B:B,$B28))</f>
        <v/>
      </c>
      <c r="E28" s="349" t="str">
        <f>IF($B28=999,"",INDEX('Cost+CPI'!C:C,$B28))</f>
        <v/>
      </c>
      <c r="F28" s="346" t="str">
        <f>IF($B28=999,"",INDEX('Cost+CPI'!D:D,$B28))</f>
        <v/>
      </c>
      <c r="H28" s="170">
        <f>IF(ISERR($B28),0,INDEX('Cost+CPI'!R:R,$B28))</f>
        <v>0</v>
      </c>
      <c r="I28" s="170">
        <f>IF(ISERR($B28),0,INDEX('Cost+CPI'!S:S,$B28))</f>
        <v>0</v>
      </c>
      <c r="J28" s="170">
        <f>IF(ISERR($B28),0,INDEX('Cost+CPI'!T:T,$B28))</f>
        <v>0</v>
      </c>
      <c r="K28" s="170">
        <f>IF(ISERR($B28),0,INDEX('Cost+CPI'!U:U,$B28))</f>
        <v>0</v>
      </c>
      <c r="L28" s="170">
        <f>IF(ISERR($B28),0,INDEX('Cost+CPI'!V:V,$B28))</f>
        <v>0</v>
      </c>
      <c r="M28" s="171">
        <f t="shared" si="0"/>
        <v>0</v>
      </c>
      <c r="N28" s="121"/>
      <c r="O28" s="141"/>
      <c r="P28" s="121"/>
      <c r="T28"/>
      <c r="V28"/>
      <c r="X28"/>
      <c r="AJ28" s="135"/>
    </row>
    <row r="29" spans="1:36" s="106" customFormat="1" ht="15" customHeight="1" x14ac:dyDescent="0.3">
      <c r="A29" s="104">
        <v>999</v>
      </c>
      <c r="B29" s="104">
        <v>999</v>
      </c>
      <c r="C29" s="124" t="str">
        <f>IF($B29=999,"",INDEX('Cost+CPI'!A:A,$B29))</f>
        <v/>
      </c>
      <c r="D29" s="125" t="str">
        <f>IF($B29=999,"",INDEX('Cost+CPI'!B:B,$B29))</f>
        <v/>
      </c>
      <c r="E29" s="349" t="str">
        <f>IF($B29=999,"",INDEX('Cost+CPI'!C:C,$B29))</f>
        <v/>
      </c>
      <c r="F29" s="346" t="str">
        <f>IF($B29=999,"",INDEX('Cost+CPI'!D:D,$B29))</f>
        <v/>
      </c>
      <c r="G29"/>
      <c r="H29" s="170">
        <f>IF(ISERR($B29),0,INDEX('Cost+CPI'!R:R,$B29))</f>
        <v>0</v>
      </c>
      <c r="I29" s="170">
        <f>IF(ISERR($B29),0,INDEX('Cost+CPI'!S:S,$B29))</f>
        <v>0</v>
      </c>
      <c r="J29" s="170">
        <f>IF(ISERR($B29),0,INDEX('Cost+CPI'!T:T,$B29))</f>
        <v>0</v>
      </c>
      <c r="K29" s="170">
        <f>IF(ISERR($B29),0,INDEX('Cost+CPI'!U:U,$B29))</f>
        <v>0</v>
      </c>
      <c r="L29" s="170">
        <f>IF(ISERR($B29),0,INDEX('Cost+CPI'!V:V,$B29))</f>
        <v>0</v>
      </c>
      <c r="M29" s="171">
        <f t="shared" si="0"/>
        <v>0</v>
      </c>
      <c r="N29" s="142"/>
      <c r="O29" s="141"/>
      <c r="P29" s="121"/>
      <c r="AJ29" s="109"/>
    </row>
    <row r="30" spans="1:36" s="106" customFormat="1" ht="15" customHeight="1" x14ac:dyDescent="0.3">
      <c r="A30" s="104">
        <v>25</v>
      </c>
      <c r="B30" s="104">
        <v>999</v>
      </c>
      <c r="C30" s="124" t="str">
        <f>IF($B30=999,"",INDEX('Cost+CPI'!A:A,$B30))</f>
        <v/>
      </c>
      <c r="D30" s="125" t="str">
        <f>IF($B30=999,"",INDEX('Cost+CPI'!B:B,$B30))</f>
        <v/>
      </c>
      <c r="E30" s="349" t="str">
        <f>IF($B30=999,"",INDEX('Cost+CPI'!C:C,$B30))</f>
        <v/>
      </c>
      <c r="F30" s="346" t="str">
        <f>IF($B30=999,"",INDEX('Cost+CPI'!D:D,$B30))</f>
        <v/>
      </c>
      <c r="G30"/>
      <c r="H30" s="170">
        <f>IF(ISERR($B30),0,INDEX('Cost+CPI'!R:R,$B30))</f>
        <v>0</v>
      </c>
      <c r="I30" s="170">
        <f>IF(ISERR($B30),0,INDEX('Cost+CPI'!S:S,$B30))</f>
        <v>0</v>
      </c>
      <c r="J30" s="170">
        <f>IF(ISERR($B30),0,INDEX('Cost+CPI'!T:T,$B30))</f>
        <v>0</v>
      </c>
      <c r="K30" s="170">
        <f>IF(ISERR($B30),0,INDEX('Cost+CPI'!U:U,$B30))</f>
        <v>0</v>
      </c>
      <c r="L30" s="170">
        <f>IF(ISERR($B30),0,INDEX('Cost+CPI'!V:V,$B30))</f>
        <v>0</v>
      </c>
      <c r="M30" s="171">
        <f t="shared" si="0"/>
        <v>0</v>
      </c>
      <c r="N30" s="142"/>
      <c r="O30" s="141"/>
      <c r="P30" s="121"/>
      <c r="AJ30" s="109"/>
    </row>
    <row r="31" spans="1:36" ht="15" customHeight="1" x14ac:dyDescent="0.3">
      <c r="A31" s="104">
        <v>999</v>
      </c>
      <c r="B31" s="104">
        <v>999</v>
      </c>
      <c r="C31" s="124" t="str">
        <f>IF($B31=999,"",INDEX('Cost+CPI'!A:A,$B31))</f>
        <v/>
      </c>
      <c r="D31" s="125" t="str">
        <f>IF($B31=999,"",INDEX('Cost+CPI'!B:B,$B31))</f>
        <v/>
      </c>
      <c r="E31" s="349" t="str">
        <f>IF($B31=999,"",INDEX('Cost+CPI'!C:C,$B31))</f>
        <v/>
      </c>
      <c r="F31" s="346" t="str">
        <f>IF($B31=999,"",INDEX('Cost+CPI'!D:D,$B31))</f>
        <v/>
      </c>
      <c r="H31" s="170">
        <f>IF(ISERR($B31),0,INDEX('Cost+CPI'!R:R,$B31))</f>
        <v>0</v>
      </c>
      <c r="I31" s="170">
        <f>IF(ISERR($B31),0,INDEX('Cost+CPI'!S:S,$B31))</f>
        <v>0</v>
      </c>
      <c r="J31" s="170">
        <f>IF(ISERR($B31),0,INDEX('Cost+CPI'!T:T,$B31))</f>
        <v>0</v>
      </c>
      <c r="K31" s="170">
        <f>IF(ISERR($B31),0,INDEX('Cost+CPI'!U:U,$B31))</f>
        <v>0</v>
      </c>
      <c r="L31" s="170">
        <f>IF(ISERR($B31),0,INDEX('Cost+CPI'!V:V,$B31))</f>
        <v>0</v>
      </c>
      <c r="M31" s="171">
        <f t="shared" si="0"/>
        <v>0</v>
      </c>
      <c r="N31" s="121"/>
      <c r="O31" s="141"/>
      <c r="P31" s="121"/>
      <c r="T31"/>
      <c r="V31"/>
      <c r="X31"/>
      <c r="AJ31" s="135"/>
    </row>
    <row r="32" spans="1:36" s="106" customFormat="1" ht="15" customHeight="1" x14ac:dyDescent="0.3">
      <c r="A32" s="104">
        <v>999</v>
      </c>
      <c r="B32" s="104">
        <v>999</v>
      </c>
      <c r="C32" s="124" t="str">
        <f>IF($B32=999,"",INDEX('Cost+CPI'!A:A,$B32))</f>
        <v/>
      </c>
      <c r="D32" s="125" t="str">
        <f>IF($B32=999,"",INDEX('Cost+CPI'!B:B,$B32))</f>
        <v/>
      </c>
      <c r="E32" s="349" t="str">
        <f>IF($B32=999,"",INDEX('Cost+CPI'!C:C,$B32))</f>
        <v/>
      </c>
      <c r="F32" s="346" t="str">
        <f>IF($B32=999,"",INDEX('Cost+CPI'!D:D,$B32))</f>
        <v/>
      </c>
      <c r="G32"/>
      <c r="H32" s="170">
        <f>IF(ISERR($B32),0,INDEX('Cost+CPI'!R:R,$B32))</f>
        <v>0</v>
      </c>
      <c r="I32" s="170">
        <f>IF(ISERR($B32),0,INDEX('Cost+CPI'!S:S,$B32))</f>
        <v>0</v>
      </c>
      <c r="J32" s="170">
        <f>IF(ISERR($B32),0,INDEX('Cost+CPI'!T:T,$B32))</f>
        <v>0</v>
      </c>
      <c r="K32" s="170">
        <f>IF(ISERR($B32),0,INDEX('Cost+CPI'!U:U,$B32))</f>
        <v>0</v>
      </c>
      <c r="L32" s="170">
        <f>IF(ISERR($B32),0,INDEX('Cost+CPI'!V:V,$B32))</f>
        <v>0</v>
      </c>
      <c r="M32" s="171">
        <f t="shared" si="0"/>
        <v>0</v>
      </c>
      <c r="N32" s="142"/>
      <c r="O32" s="141"/>
      <c r="P32" s="121"/>
      <c r="AJ32" s="109"/>
    </row>
    <row r="33" spans="1:24" ht="15" customHeight="1" x14ac:dyDescent="0.3">
      <c r="A33" s="104">
        <v>999</v>
      </c>
      <c r="B33" s="104">
        <v>999</v>
      </c>
      <c r="C33" s="124" t="str">
        <f>IF($B33=999,"",INDEX('Cost+CPI'!A:A,$B33))</f>
        <v/>
      </c>
      <c r="D33" s="125" t="str">
        <f>IF($B33=999,"",INDEX('Cost+CPI'!B:B,$B33))</f>
        <v/>
      </c>
      <c r="E33" s="349" t="str">
        <f>IF($B33=999,"",INDEX('Cost+CPI'!C:C,$B33))</f>
        <v/>
      </c>
      <c r="F33" s="346" t="str">
        <f>IF($B33=999,"",INDEX('Cost+CPI'!D:D,$B33))</f>
        <v/>
      </c>
      <c r="H33" s="170">
        <f>IF(ISERR($B33),0,INDEX('Cost+CPI'!R:R,$B33))</f>
        <v>0</v>
      </c>
      <c r="I33" s="170">
        <f>IF(ISERR($B33),0,INDEX('Cost+CPI'!S:S,$B33))</f>
        <v>0</v>
      </c>
      <c r="J33" s="170">
        <f>IF(ISERR($B33),0,INDEX('Cost+CPI'!T:T,$B33))</f>
        <v>0</v>
      </c>
      <c r="K33" s="170">
        <f>IF(ISERR($B33),0,INDEX('Cost+CPI'!U:U,$B33))</f>
        <v>0</v>
      </c>
      <c r="L33" s="170">
        <f>IF(ISERR($B33),0,INDEX('Cost+CPI'!V:V,$B33))</f>
        <v>0</v>
      </c>
      <c r="M33" s="171">
        <f t="shared" si="0"/>
        <v>0</v>
      </c>
      <c r="N33" s="121"/>
      <c r="O33" s="141"/>
      <c r="P33" s="121"/>
      <c r="T33"/>
      <c r="V33"/>
      <c r="X33"/>
    </row>
    <row r="34" spans="1:24" ht="15" customHeight="1" x14ac:dyDescent="0.3">
      <c r="A34" s="104">
        <v>999</v>
      </c>
      <c r="B34" s="104">
        <v>999</v>
      </c>
      <c r="C34" s="126"/>
      <c r="D34" s="127"/>
      <c r="E34" s="350"/>
      <c r="F34" s="128"/>
      <c r="H34" s="172"/>
      <c r="I34" s="172"/>
      <c r="J34" s="172"/>
      <c r="K34" s="172"/>
      <c r="L34" s="172"/>
      <c r="M34" s="172"/>
      <c r="N34" s="121"/>
      <c r="O34" s="143"/>
      <c r="P34" s="130"/>
      <c r="T34"/>
      <c r="V34"/>
      <c r="X34"/>
    </row>
    <row r="35" spans="1:24" ht="15" customHeight="1" x14ac:dyDescent="0.3">
      <c r="A35" s="104">
        <v>999</v>
      </c>
      <c r="B35" s="104">
        <v>999</v>
      </c>
      <c r="C35" s="131"/>
      <c r="D35" s="131"/>
      <c r="E35" s="178"/>
      <c r="F35" s="131"/>
      <c r="H35" s="173"/>
      <c r="I35" s="173"/>
      <c r="J35" s="173"/>
      <c r="K35" s="173"/>
      <c r="L35" s="173"/>
      <c r="M35" s="173"/>
      <c r="O35"/>
      <c r="P35" s="131"/>
      <c r="Q35" s="131"/>
    </row>
    <row r="36" spans="1:24" ht="15" customHeight="1" x14ac:dyDescent="0.3">
      <c r="A36" s="104">
        <v>999</v>
      </c>
      <c r="B36" s="104">
        <v>999</v>
      </c>
      <c r="G36" t="s">
        <v>165</v>
      </c>
      <c r="H36" s="174">
        <f t="shared" ref="H36:M36" si="1">SUM(H8:H33)</f>
        <v>3196034.6658645426</v>
      </c>
      <c r="I36" s="174">
        <f t="shared" si="1"/>
        <v>3007161.0628525894</v>
      </c>
      <c r="J36" s="174">
        <f t="shared" si="1"/>
        <v>2390201.9132988052</v>
      </c>
      <c r="K36" s="174">
        <f t="shared" si="1"/>
        <v>2354094.0071633467</v>
      </c>
      <c r="L36" s="174">
        <f t="shared" si="1"/>
        <v>1739993.3651952189</v>
      </c>
      <c r="M36" s="175">
        <f t="shared" si="1"/>
        <v>12687485.014374502</v>
      </c>
    </row>
    <row r="37" spans="1:24" ht="15" customHeight="1" x14ac:dyDescent="0.3">
      <c r="A37" s="104">
        <v>999</v>
      </c>
      <c r="B37" s="104">
        <v>999</v>
      </c>
      <c r="C37" s="131"/>
      <c r="D37" s="131"/>
      <c r="E37" s="178"/>
      <c r="F37" s="131"/>
      <c r="H37" s="173"/>
      <c r="I37" s="173"/>
      <c r="J37" s="173"/>
      <c r="K37" s="173"/>
      <c r="L37" s="173"/>
      <c r="M37" s="173"/>
    </row>
    <row r="38" spans="1:24" ht="15" customHeight="1" x14ac:dyDescent="0.3">
      <c r="A38" s="104">
        <v>999</v>
      </c>
      <c r="B38" s="104">
        <v>999</v>
      </c>
      <c r="E38"/>
      <c r="H38"/>
      <c r="I38"/>
      <c r="J38"/>
      <c r="K38"/>
      <c r="L38"/>
      <c r="M38"/>
      <c r="O38"/>
      <c r="T38"/>
      <c r="V38"/>
      <c r="X38"/>
    </row>
    <row r="39" spans="1:24" ht="15" customHeight="1" x14ac:dyDescent="0.3">
      <c r="A39" s="104">
        <v>999</v>
      </c>
      <c r="B39" s="104">
        <v>999</v>
      </c>
      <c r="M39" s="173"/>
    </row>
    <row r="40" spans="1:24" ht="15" customHeight="1" x14ac:dyDescent="0.3">
      <c r="A40" s="104">
        <v>35</v>
      </c>
      <c r="B40" s="104">
        <v>999</v>
      </c>
    </row>
    <row r="41" spans="1:24" ht="15" customHeight="1" x14ac:dyDescent="0.3">
      <c r="A41" s="104">
        <v>36</v>
      </c>
      <c r="B41" s="104">
        <v>999</v>
      </c>
    </row>
    <row r="42" spans="1:24" ht="15" customHeight="1" x14ac:dyDescent="0.3">
      <c r="A42" s="104">
        <v>37</v>
      </c>
      <c r="B42" s="104">
        <v>999</v>
      </c>
    </row>
    <row r="43" spans="1:24" ht="15" customHeight="1" x14ac:dyDescent="0.3">
      <c r="A43" s="104">
        <v>38</v>
      </c>
      <c r="B43" s="104">
        <v>999</v>
      </c>
    </row>
    <row r="44" spans="1:24" ht="15" customHeight="1" x14ac:dyDescent="0.3">
      <c r="A44" s="104">
        <v>999</v>
      </c>
      <c r="B44" s="104">
        <v>999</v>
      </c>
    </row>
    <row r="45" spans="1:24" ht="15" customHeight="1" x14ac:dyDescent="0.3">
      <c r="A45" s="104">
        <v>999</v>
      </c>
      <c r="B45" s="104">
        <v>999</v>
      </c>
    </row>
    <row r="46" spans="1:24" ht="15" customHeight="1" x14ac:dyDescent="0.3">
      <c r="A46" s="104">
        <v>999</v>
      </c>
      <c r="B46" s="104">
        <v>999</v>
      </c>
    </row>
    <row r="47" spans="1:24" ht="15" customHeight="1" x14ac:dyDescent="0.3">
      <c r="A47" s="104">
        <v>999</v>
      </c>
      <c r="B47" s="104">
        <v>999</v>
      </c>
    </row>
    <row r="48" spans="1:24" ht="15" customHeight="1" x14ac:dyDescent="0.3">
      <c r="A48" s="104">
        <v>999</v>
      </c>
      <c r="B48" s="104">
        <v>999</v>
      </c>
    </row>
    <row r="49" spans="1:2" ht="15" customHeight="1" x14ac:dyDescent="0.3">
      <c r="A49" s="104">
        <v>999</v>
      </c>
      <c r="B49" s="104">
        <v>999</v>
      </c>
    </row>
    <row r="50" spans="1:2" ht="15" customHeight="1" x14ac:dyDescent="0.3">
      <c r="A50" s="104">
        <v>999</v>
      </c>
      <c r="B50" s="104">
        <v>999</v>
      </c>
    </row>
    <row r="51" spans="1:2" ht="15" customHeight="1" x14ac:dyDescent="0.3">
      <c r="A51" s="104">
        <v>999</v>
      </c>
      <c r="B51" s="104">
        <v>999</v>
      </c>
    </row>
    <row r="52" spans="1:2" ht="15" customHeight="1" x14ac:dyDescent="0.3">
      <c r="A52" s="104">
        <v>999</v>
      </c>
      <c r="B52" s="104">
        <v>999</v>
      </c>
    </row>
    <row r="53" spans="1:2" ht="15" customHeight="1" x14ac:dyDescent="0.3">
      <c r="A53" s="104">
        <v>999</v>
      </c>
      <c r="B53" s="104">
        <v>999</v>
      </c>
    </row>
    <row r="54" spans="1:2" ht="15" customHeight="1" x14ac:dyDescent="0.3">
      <c r="A54" s="104">
        <v>999</v>
      </c>
      <c r="B54" s="104">
        <v>999</v>
      </c>
    </row>
    <row r="55" spans="1:2" ht="15" customHeight="1" x14ac:dyDescent="0.3">
      <c r="A55" s="104">
        <v>999</v>
      </c>
      <c r="B55" s="104">
        <v>999</v>
      </c>
    </row>
    <row r="56" spans="1:2" ht="15" customHeight="1" x14ac:dyDescent="0.3">
      <c r="A56" s="104">
        <v>999</v>
      </c>
      <c r="B56" s="104">
        <v>999</v>
      </c>
    </row>
    <row r="57" spans="1:2" ht="15" customHeight="1" x14ac:dyDescent="0.3">
      <c r="A57" s="104">
        <v>999</v>
      </c>
      <c r="B57" s="104">
        <v>999</v>
      </c>
    </row>
    <row r="58" spans="1:2" ht="15" customHeight="1" x14ac:dyDescent="0.3">
      <c r="A58" s="104">
        <v>999</v>
      </c>
      <c r="B58" s="104">
        <v>999</v>
      </c>
    </row>
    <row r="59" spans="1:2" ht="15" customHeight="1" x14ac:dyDescent="0.3">
      <c r="A59" s="104">
        <v>999</v>
      </c>
      <c r="B59" s="104">
        <v>999</v>
      </c>
    </row>
    <row r="60" spans="1:2" ht="15" customHeight="1" x14ac:dyDescent="0.3">
      <c r="A60" s="104">
        <v>999</v>
      </c>
      <c r="B60" s="104">
        <v>999</v>
      </c>
    </row>
    <row r="61" spans="1:2" ht="15" customHeight="1" x14ac:dyDescent="0.3">
      <c r="A61" s="104">
        <v>999</v>
      </c>
      <c r="B61" s="104">
        <v>999</v>
      </c>
    </row>
    <row r="62" spans="1:2" ht="15" customHeight="1" x14ac:dyDescent="0.3">
      <c r="A62" s="104">
        <v>999</v>
      </c>
      <c r="B62" s="104">
        <v>999</v>
      </c>
    </row>
    <row r="63" spans="1:2" ht="15" customHeight="1" x14ac:dyDescent="0.3">
      <c r="A63" s="104">
        <v>999</v>
      </c>
      <c r="B63" s="104">
        <v>999</v>
      </c>
    </row>
    <row r="64" spans="1:2" ht="15" customHeight="1" x14ac:dyDescent="0.3">
      <c r="A64" s="104">
        <v>999</v>
      </c>
      <c r="B64" s="104">
        <v>999</v>
      </c>
    </row>
    <row r="65" spans="1:2" ht="15" customHeight="1" x14ac:dyDescent="0.3">
      <c r="A65" s="104">
        <v>999</v>
      </c>
      <c r="B65" s="104">
        <v>999</v>
      </c>
    </row>
    <row r="66" spans="1:2" ht="15" customHeight="1" x14ac:dyDescent="0.3">
      <c r="A66" s="104">
        <v>999</v>
      </c>
      <c r="B66" s="104">
        <v>999</v>
      </c>
    </row>
    <row r="67" spans="1:2" ht="15" customHeight="1" x14ac:dyDescent="0.3">
      <c r="A67" s="104">
        <v>999</v>
      </c>
      <c r="B67" s="104">
        <v>999</v>
      </c>
    </row>
    <row r="68" spans="1:2" ht="15" customHeight="1" x14ac:dyDescent="0.3">
      <c r="A68" s="104">
        <v>999</v>
      </c>
      <c r="B68" s="104">
        <v>999</v>
      </c>
    </row>
    <row r="69" spans="1:2" ht="15" customHeight="1" x14ac:dyDescent="0.3">
      <c r="A69" s="104">
        <v>999</v>
      </c>
      <c r="B69" s="104">
        <v>999</v>
      </c>
    </row>
    <row r="70" spans="1:2" ht="15" customHeight="1" x14ac:dyDescent="0.3">
      <c r="A70" s="104">
        <v>999</v>
      </c>
      <c r="B70" s="104">
        <v>999</v>
      </c>
    </row>
    <row r="71" spans="1:2" ht="15" customHeight="1" x14ac:dyDescent="0.3">
      <c r="A71" s="104">
        <v>999</v>
      </c>
      <c r="B71" s="104">
        <v>999</v>
      </c>
    </row>
    <row r="72" spans="1:2" ht="15" customHeight="1" x14ac:dyDescent="0.3">
      <c r="A72" s="104">
        <v>999</v>
      </c>
      <c r="B72" s="104">
        <v>999</v>
      </c>
    </row>
    <row r="73" spans="1:2" ht="15" customHeight="1" x14ac:dyDescent="0.3">
      <c r="A73" s="104">
        <v>999</v>
      </c>
      <c r="B73" s="104">
        <v>999</v>
      </c>
    </row>
    <row r="74" spans="1:2" ht="15" customHeight="1" x14ac:dyDescent="0.3">
      <c r="A74" s="104">
        <v>999</v>
      </c>
      <c r="B74" s="104">
        <v>999</v>
      </c>
    </row>
    <row r="75" spans="1:2" ht="15" customHeight="1" x14ac:dyDescent="0.3">
      <c r="A75" s="104">
        <v>999</v>
      </c>
      <c r="B75" s="104">
        <v>999</v>
      </c>
    </row>
    <row r="76" spans="1:2" ht="15" customHeight="1" x14ac:dyDescent="0.3">
      <c r="A76" s="104">
        <v>999</v>
      </c>
      <c r="B76" s="104">
        <v>999</v>
      </c>
    </row>
    <row r="77" spans="1:2" ht="15" customHeight="1" x14ac:dyDescent="0.3">
      <c r="A77" s="104">
        <v>999</v>
      </c>
      <c r="B77" s="104">
        <v>999</v>
      </c>
    </row>
    <row r="78" spans="1:2" ht="15" customHeight="1" x14ac:dyDescent="0.3">
      <c r="A78" s="104">
        <v>999</v>
      </c>
      <c r="B78" s="104">
        <v>999</v>
      </c>
    </row>
    <row r="79" spans="1:2" ht="15" customHeight="1" x14ac:dyDescent="0.3">
      <c r="A79" s="104">
        <v>999</v>
      </c>
      <c r="B79" s="104">
        <v>999</v>
      </c>
    </row>
    <row r="80" spans="1:2" ht="15" customHeight="1" x14ac:dyDescent="0.3">
      <c r="A80" s="104">
        <v>999</v>
      </c>
      <c r="B80" s="104">
        <v>999</v>
      </c>
    </row>
    <row r="81" spans="1:2" ht="15" customHeight="1" x14ac:dyDescent="0.3">
      <c r="A81" s="104">
        <v>999</v>
      </c>
      <c r="B81" s="104">
        <v>999</v>
      </c>
    </row>
    <row r="82" spans="1:2" ht="15" customHeight="1" x14ac:dyDescent="0.3">
      <c r="A82" s="104">
        <v>999</v>
      </c>
      <c r="B82" s="104">
        <v>999</v>
      </c>
    </row>
    <row r="83" spans="1:2" ht="15" customHeight="1" x14ac:dyDescent="0.3">
      <c r="A83" s="104">
        <v>999</v>
      </c>
      <c r="B83" s="104">
        <v>999</v>
      </c>
    </row>
    <row r="84" spans="1:2" ht="15" customHeight="1" x14ac:dyDescent="0.3">
      <c r="A84" s="104">
        <v>999</v>
      </c>
      <c r="B84" s="104">
        <v>999</v>
      </c>
    </row>
    <row r="85" spans="1:2" ht="15" customHeight="1" x14ac:dyDescent="0.3">
      <c r="A85" s="104">
        <v>999</v>
      </c>
      <c r="B85" s="104">
        <v>999</v>
      </c>
    </row>
    <row r="86" spans="1:2" ht="15" customHeight="1" x14ac:dyDescent="0.3">
      <c r="A86" s="104">
        <v>999</v>
      </c>
      <c r="B86" s="104">
        <v>999</v>
      </c>
    </row>
    <row r="87" spans="1:2" ht="15" customHeight="1" x14ac:dyDescent="0.3">
      <c r="A87" s="104">
        <v>999</v>
      </c>
      <c r="B87" s="104">
        <v>999</v>
      </c>
    </row>
    <row r="88" spans="1:2" ht="15" customHeight="1" x14ac:dyDescent="0.3">
      <c r="A88" s="104">
        <v>999</v>
      </c>
      <c r="B88" s="104">
        <v>999</v>
      </c>
    </row>
    <row r="89" spans="1:2" ht="15" customHeight="1" x14ac:dyDescent="0.3">
      <c r="A89" s="104">
        <v>999</v>
      </c>
      <c r="B89" s="104">
        <v>999</v>
      </c>
    </row>
    <row r="90" spans="1:2" ht="15" customHeight="1" x14ac:dyDescent="0.3">
      <c r="A90" s="104">
        <v>999</v>
      </c>
      <c r="B90" s="104">
        <v>999</v>
      </c>
    </row>
    <row r="91" spans="1:2" ht="15" customHeight="1" x14ac:dyDescent="0.3">
      <c r="A91" s="104">
        <v>999</v>
      </c>
      <c r="B91" s="104">
        <v>999</v>
      </c>
    </row>
    <row r="92" spans="1:2" ht="15" customHeight="1" x14ac:dyDescent="0.3">
      <c r="A92" s="104">
        <v>999</v>
      </c>
      <c r="B92" s="104">
        <v>999</v>
      </c>
    </row>
    <row r="93" spans="1:2" ht="15" customHeight="1" x14ac:dyDescent="0.3">
      <c r="A93" s="104">
        <v>88</v>
      </c>
      <c r="B93" s="104">
        <v>999</v>
      </c>
    </row>
    <row r="94" spans="1:2" ht="15" customHeight="1" x14ac:dyDescent="0.3">
      <c r="A94" s="104">
        <v>999</v>
      </c>
      <c r="B94" s="104">
        <v>999</v>
      </c>
    </row>
    <row r="95" spans="1:2" ht="15" customHeight="1" x14ac:dyDescent="0.3">
      <c r="A95" s="104">
        <v>999</v>
      </c>
      <c r="B95" s="104">
        <v>999</v>
      </c>
    </row>
    <row r="96" spans="1:2" ht="15" customHeight="1" x14ac:dyDescent="0.3">
      <c r="A96" s="104">
        <v>999</v>
      </c>
      <c r="B96" s="104">
        <v>999</v>
      </c>
    </row>
    <row r="97" spans="1:2" ht="15" customHeight="1" x14ac:dyDescent="0.3">
      <c r="A97" s="104">
        <v>999</v>
      </c>
      <c r="B97" s="104">
        <v>999</v>
      </c>
    </row>
    <row r="98" spans="1:2" ht="15" customHeight="1" x14ac:dyDescent="0.3">
      <c r="A98" s="104">
        <v>999</v>
      </c>
      <c r="B98" s="104">
        <v>999</v>
      </c>
    </row>
    <row r="99" spans="1:2" ht="15" customHeight="1" x14ac:dyDescent="0.3">
      <c r="A99" s="104">
        <v>999</v>
      </c>
      <c r="B99" s="104">
        <v>999</v>
      </c>
    </row>
    <row r="100" spans="1:2" ht="15" customHeight="1" x14ac:dyDescent="0.3">
      <c r="A100" s="104">
        <v>999</v>
      </c>
      <c r="B100" s="104">
        <v>999</v>
      </c>
    </row>
    <row r="101" spans="1:2" ht="15" customHeight="1" x14ac:dyDescent="0.3">
      <c r="A101" s="104">
        <v>999</v>
      </c>
      <c r="B101" s="104">
        <v>999</v>
      </c>
    </row>
    <row r="102" spans="1:2" ht="15" customHeight="1" x14ac:dyDescent="0.3">
      <c r="A102" s="104">
        <v>999</v>
      </c>
      <c r="B102" s="104">
        <v>999</v>
      </c>
    </row>
    <row r="103" spans="1:2" ht="15" customHeight="1" x14ac:dyDescent="0.3">
      <c r="A103" s="104">
        <v>999</v>
      </c>
      <c r="B103" s="104">
        <v>999</v>
      </c>
    </row>
    <row r="104" spans="1:2" ht="15" customHeight="1" x14ac:dyDescent="0.3">
      <c r="A104" s="104">
        <v>999</v>
      </c>
      <c r="B104" s="104">
        <v>999</v>
      </c>
    </row>
    <row r="105" spans="1:2" ht="15" customHeight="1" x14ac:dyDescent="0.3">
      <c r="A105" s="104">
        <v>999</v>
      </c>
      <c r="B105" s="104">
        <v>999</v>
      </c>
    </row>
  </sheetData>
  <protectedRanges>
    <protectedRange sqref="O8:P34" name="Range1"/>
  </protectedRanges>
  <mergeCells count="1">
    <mergeCell ref="H4:M5"/>
  </mergeCells>
  <conditionalFormatting sqref="H6:J6 H36:K36 H37:L37 E37:F37">
    <cfRule type="expression" dxfId="2" priority="6" stopIfTrue="1">
      <formula>ISBLANK(E6)</formula>
    </cfRule>
  </conditionalFormatting>
  <conditionalFormatting sqref="E39:F106">
    <cfRule type="expression" dxfId="1" priority="5" stopIfTrue="1">
      <formula>ISBLANK(E39)</formula>
    </cfRule>
  </conditionalFormatting>
  <conditionalFormatting sqref="H34:K34 E35:E36 F35 H35:L36">
    <cfRule type="expression" dxfId="0" priority="1" stopIfTrue="1">
      <formula>ISBLANK(E34)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X54"/>
  <sheetViews>
    <sheetView topLeftCell="A16" workbookViewId="0">
      <selection activeCell="M38" sqref="M38"/>
    </sheetView>
  </sheetViews>
  <sheetFormatPr defaultColWidth="9.109375" defaultRowHeight="14.4" x14ac:dyDescent="0.3"/>
  <cols>
    <col min="1" max="1" width="9.109375" style="106"/>
    <col min="2" max="2" width="14.6640625" style="106" customWidth="1"/>
    <col min="3" max="5" width="6.109375" style="106" customWidth="1"/>
    <col min="6" max="9" width="6.44140625" style="106" bestFit="1" customWidth="1"/>
    <col min="10" max="11" width="6.109375" style="106" customWidth="1"/>
    <col min="12" max="12" width="7.88671875" style="106" customWidth="1"/>
    <col min="13" max="13" width="6.109375" style="106" customWidth="1"/>
    <col min="14" max="14" width="14.6640625" style="106" customWidth="1"/>
    <col min="15" max="21" width="7.6640625" style="106" customWidth="1"/>
    <col min="22" max="22" width="6.109375" style="106" customWidth="1"/>
    <col min="23" max="23" width="6.44140625" style="106" bestFit="1" customWidth="1"/>
    <col min="24" max="24" width="7.88671875" style="106" customWidth="1"/>
    <col min="25" max="16384" width="9.109375" style="106"/>
  </cols>
  <sheetData>
    <row r="1" spans="2:24" x14ac:dyDescent="0.3">
      <c r="B1" s="106" t="s">
        <v>199</v>
      </c>
    </row>
    <row r="3" spans="2:24" ht="15" thickBot="1" x14ac:dyDescent="0.35">
      <c r="B3" s="19" t="str">
        <f>'Asset Class Summary'!$B$86</f>
        <v>Spend - Escalated Costs - ($m June 2014)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9" t="str">
        <f>'Asset Class Summary'!$O$86</f>
        <v>Commission - Escalated Costs - ($m June 2014)</v>
      </c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ht="42.6" thickBot="1" x14ac:dyDescent="0.35">
      <c r="B4" s="20"/>
      <c r="C4" s="275" t="str">
        <f t="array" ref="C4:K4">'Input Data Sheet'!Q3:Y3</f>
        <v>2012/13</v>
      </c>
      <c r="D4" s="276" t="str">
        <v>2013/14</v>
      </c>
      <c r="E4" s="297" t="str">
        <v>2014/15</v>
      </c>
      <c r="F4" s="297" t="str">
        <v>2015/16</v>
      </c>
      <c r="G4" s="297" t="str">
        <v>2016/17</v>
      </c>
      <c r="H4" s="297" t="str">
        <v>2017/18</v>
      </c>
      <c r="I4" s="297" t="str">
        <v>2018/19</v>
      </c>
      <c r="J4" s="276" t="str">
        <v>2019/20</v>
      </c>
      <c r="K4" s="277" t="str">
        <v>2020/21</v>
      </c>
      <c r="L4" s="278" t="s">
        <v>12</v>
      </c>
      <c r="M4" s="20"/>
      <c r="N4" s="20"/>
      <c r="O4" s="275" t="str">
        <f t="array" ref="O4:W4">C4:K4</f>
        <v>2012/13</v>
      </c>
      <c r="P4" s="276" t="str">
        <v>2013/14</v>
      </c>
      <c r="Q4" s="297" t="str">
        <v>2014/15</v>
      </c>
      <c r="R4" s="297" t="str">
        <v>2015/16</v>
      </c>
      <c r="S4" s="297" t="str">
        <v>2016/17</v>
      </c>
      <c r="T4" s="297" t="str">
        <v>2017/18</v>
      </c>
      <c r="U4" s="297" t="str">
        <v>2018/19</v>
      </c>
      <c r="V4" s="276" t="str">
        <v>2019/20</v>
      </c>
      <c r="W4" s="277" t="str">
        <v>2020/21</v>
      </c>
      <c r="X4" s="278" t="s">
        <v>12</v>
      </c>
    </row>
    <row r="5" spans="2:24" x14ac:dyDescent="0.3">
      <c r="B5" s="279" t="str">
        <f t="array" ref="B5:B28">TRANSPOSE('Input Data Sheet'!Z3:AW3)</f>
        <v>TL60</v>
      </c>
      <c r="C5" s="54">
        <f>SUMPRODUCT('Base Costs'!$J$4:$J$100,'Base Costs'!$AI$4:$AI$100,'Cost+CPI'!P$4:P$100)</f>
        <v>0</v>
      </c>
      <c r="D5" s="55">
        <f>SUMPRODUCT('Base Costs'!$J$4:$J$100,'Base Costs'!$AI$4:$AI$100,'Cost+CPI'!Q$4:Q$100)</f>
        <v>0</v>
      </c>
      <c r="E5" s="56">
        <f>SUMPRODUCT('Base Costs'!$J$4:$J$100,'Base Costs'!$AI$4:$AI$100,'Cost+CPI'!R$4:R$100)</f>
        <v>70949.008249886479</v>
      </c>
      <c r="F5" s="56">
        <f>SUMPRODUCT('Base Costs'!$J$4:$J$100,'Base Costs'!$AI$4:$AI$100,'Cost+CPI'!S$4:S$100)</f>
        <v>817390.17765485728</v>
      </c>
      <c r="G5" s="56">
        <f>SUMPRODUCT('Base Costs'!$J$4:$J$100,'Base Costs'!$AI$4:$AI$100,'Cost+CPI'!T$4:T$100)</f>
        <v>2003627.8276072196</v>
      </c>
      <c r="H5" s="56">
        <f>SUMPRODUCT('Base Costs'!$J$4:$J$100,'Base Costs'!$AI$4:$AI$100,'Cost+CPI'!U$4:U$100)</f>
        <v>3301838.0168821388</v>
      </c>
      <c r="I5" s="56">
        <f>SUMPRODUCT('Base Costs'!$J$4:$J$100,'Base Costs'!$AI$4:$AI$100,'Cost+CPI'!V$4:V$100)</f>
        <v>4059014.1515074498</v>
      </c>
      <c r="J5" s="55">
        <f>SUMPRODUCT('Base Costs'!$J$4:$J$100,'Base Costs'!$AI$4:$AI$100,'Cost+CPI'!W$4:W$100)</f>
        <v>0</v>
      </c>
      <c r="K5" s="57">
        <f>SUMPRODUCT('Base Costs'!$J$4:$J$100,'Base Costs'!$AI$4:$AI$100,'Cost+CPI'!X$4:X$100)</f>
        <v>0</v>
      </c>
      <c r="L5" s="57">
        <f>SUM(C5:K5)</f>
        <v>10252819.181901552</v>
      </c>
      <c r="M5" s="20"/>
      <c r="N5" s="279" t="str">
        <f t="array" ref="N5:N28">B5:B28</f>
        <v>TL60</v>
      </c>
      <c r="O5" s="54">
        <f>SUMPRODUCT('Base Costs'!$J$4:$J$100,'Base Costs'!$AI$4:$AI$100,'Cost+CPI'!Y$4:Y$100)</f>
        <v>0</v>
      </c>
      <c r="P5" s="55">
        <f>SUMPRODUCT('Base Costs'!$J$4:$J$100,'Base Costs'!$AI$4:$AI$100,'Cost+CPI'!Z$4:Z$100)</f>
        <v>0</v>
      </c>
      <c r="Q5" s="56">
        <f>SUMPRODUCT('Base Costs'!$J$4:$J$100,'Base Costs'!$AI$4:$AI$100,'Cost+CPI'!AA$4:AA$100)</f>
        <v>0</v>
      </c>
      <c r="R5" s="56">
        <f>SUMPRODUCT('Base Costs'!$J$4:$J$100,'Base Costs'!$AI$4:$AI$100,'Cost+CPI'!AB$4:AB$100)</f>
        <v>0</v>
      </c>
      <c r="S5" s="56">
        <f>SUMPRODUCT('Base Costs'!$J$4:$J$100,'Base Costs'!$AI$4:$AI$100,'Cost+CPI'!AC$4:AC$100)</f>
        <v>2664998.0121700866</v>
      </c>
      <c r="T5" s="56">
        <f>SUMPRODUCT('Base Costs'!$J$4:$J$100,'Base Costs'!$AI$4:$AI$100,'Cost+CPI'!AD$4:AD$100)</f>
        <v>0</v>
      </c>
      <c r="U5" s="56">
        <f>SUMPRODUCT('Base Costs'!$J$4:$J$100,'Base Costs'!$AI$4:$AI$100,'Cost+CPI'!AE$4:AE$100)</f>
        <v>7587821.1697314652</v>
      </c>
      <c r="V5" s="55">
        <f>SUMPRODUCT('Base Costs'!$J$4:$J$100,'Base Costs'!$AI$4:$AI$100,'Cost+CPI'!AF$4:AF$100)</f>
        <v>0</v>
      </c>
      <c r="W5" s="57">
        <f>SUMPRODUCT('Base Costs'!$J$4:$J$100,'Base Costs'!$AI$4:$AI$100,'Cost+CPI'!AG$4:AG$100)</f>
        <v>0</v>
      </c>
      <c r="X5" s="57">
        <f>SUM(O5:W5)</f>
        <v>10252819.181901552</v>
      </c>
    </row>
    <row r="6" spans="2:24" x14ac:dyDescent="0.3">
      <c r="B6" s="280" t="str">
        <v>TL45</v>
      </c>
      <c r="C6" s="58">
        <f>SUMPRODUCT('Base Costs'!$J$4:$J$100,'Base Costs'!$AJ$4:$AJ$100,'Cost+CPI'!P$4:P$100)</f>
        <v>0</v>
      </c>
      <c r="D6" s="59">
        <f>SUMPRODUCT('Base Costs'!$J$4:$J$100,'Base Costs'!$AJ$4:$AJ$100,'Cost+CPI'!Q$4:Q$100)</f>
        <v>0</v>
      </c>
      <c r="E6" s="60">
        <f>SUMPRODUCT('Base Costs'!$J$4:$J$100,'Base Costs'!$AJ$4:$AJ$100,'Cost+CPI'!R$4:R$100)</f>
        <v>5774.9203221671278</v>
      </c>
      <c r="F6" s="60">
        <f>SUMPRODUCT('Base Costs'!$J$4:$J$100,'Base Costs'!$AJ$4:$AJ$100,'Cost+CPI'!S$4:S$100)</f>
        <v>66531.770697251253</v>
      </c>
      <c r="G6" s="60">
        <f>SUMPRODUCT('Base Costs'!$J$4:$J$100,'Base Costs'!$AJ$4:$AJ$100,'Cost+CPI'!T$4:T$100)</f>
        <v>271677.81417362182</v>
      </c>
      <c r="H6" s="60">
        <f>SUMPRODUCT('Base Costs'!$J$4:$J$100,'Base Costs'!$AJ$4:$AJ$100,'Cost+CPI'!U$4:U$100)</f>
        <v>1848496.5924195333</v>
      </c>
      <c r="I6" s="60">
        <f>SUMPRODUCT('Base Costs'!$J$4:$J$100,'Base Costs'!$AJ$4:$AJ$100,'Cost+CPI'!V$4:V$100)</f>
        <v>2272393.0699450821</v>
      </c>
      <c r="J6" s="59">
        <f>SUMPRODUCT('Base Costs'!$J$4:$J$100,'Base Costs'!$AJ$4:$AJ$100,'Cost+CPI'!W$4:W$100)</f>
        <v>0</v>
      </c>
      <c r="K6" s="61">
        <f>SUMPRODUCT('Base Costs'!$J$4:$J$100,'Base Costs'!$AJ$4:$AJ$100,'Cost+CPI'!X$4:X$100)</f>
        <v>0</v>
      </c>
      <c r="L6" s="61">
        <f t="shared" ref="L6:L28" si="0">SUM(C6:K6)</f>
        <v>4464874.1675576558</v>
      </c>
      <c r="M6" s="20"/>
      <c r="N6" s="280" t="str">
        <v>TL45</v>
      </c>
      <c r="O6" s="58">
        <f>SUMPRODUCT('Base Costs'!$J$4:$J$100,'Base Costs'!$AJ$4:$AJ$100,'Cost+CPI'!Y$4:Y$100)</f>
        <v>0</v>
      </c>
      <c r="P6" s="59">
        <f>SUMPRODUCT('Base Costs'!$J$4:$J$100,'Base Costs'!$AJ$4:$AJ$100,'Cost+CPI'!Z$4:Z$100)</f>
        <v>0</v>
      </c>
      <c r="Q6" s="60">
        <f>SUMPRODUCT('Base Costs'!$J$4:$J$100,'Base Costs'!$AJ$4:$AJ$100,'Cost+CPI'!AA$4:AA$100)</f>
        <v>0</v>
      </c>
      <c r="R6" s="60">
        <f>SUMPRODUCT('Base Costs'!$J$4:$J$100,'Base Costs'!$AJ$4:$AJ$100,'Cost+CPI'!AB$4:AB$100)</f>
        <v>0</v>
      </c>
      <c r="S6" s="60">
        <f>SUMPRODUCT('Base Costs'!$J$4:$J$100,'Base Costs'!$AJ$4:$AJ$100,'Cost+CPI'!AC$4:AC$100)</f>
        <v>216918.48214158311</v>
      </c>
      <c r="T6" s="60">
        <f>SUMPRODUCT('Base Costs'!$J$4:$J$100,'Base Costs'!$AJ$4:$AJ$100,'Cost+CPI'!AD$4:AD$100)</f>
        <v>0</v>
      </c>
      <c r="U6" s="60">
        <f>SUMPRODUCT('Base Costs'!$J$4:$J$100,'Base Costs'!$AJ$4:$AJ$100,'Cost+CPI'!AE$4:AE$100)</f>
        <v>4247955.6854160726</v>
      </c>
      <c r="V6" s="59">
        <f>SUMPRODUCT('Base Costs'!$J$4:$J$100,'Base Costs'!$AJ$4:$AJ$100,'Cost+CPI'!AF$4:AF$100)</f>
        <v>0</v>
      </c>
      <c r="W6" s="61">
        <f>SUMPRODUCT('Base Costs'!$J$4:$J$100,'Base Costs'!$AJ$4:$AJ$100,'Cost+CPI'!AG$4:AG$100)</f>
        <v>0</v>
      </c>
      <c r="X6" s="61">
        <f t="shared" ref="X6:X28" si="1">SUM(O6:W6)</f>
        <v>4464874.1675576558</v>
      </c>
    </row>
    <row r="7" spans="2:24" x14ac:dyDescent="0.3">
      <c r="B7" s="280" t="str">
        <v>TL10</v>
      </c>
      <c r="C7" s="58">
        <f>SUMPRODUCT('Base Costs'!$J$4:$J$100,'Base Costs'!$AK$4:$AK$100,'Cost+CPI'!P$4:P$100)</f>
        <v>0</v>
      </c>
      <c r="D7" s="59">
        <f>SUMPRODUCT('Base Costs'!$J$4:$J$100,'Base Costs'!$AK$4:$AK$100,'Cost+CPI'!Q$4:Q$100)</f>
        <v>0</v>
      </c>
      <c r="E7" s="60">
        <f>SUMPRODUCT('Base Costs'!$J$4:$J$100,'Base Costs'!$AK$4:$AK$100,'Cost+CPI'!R$4:R$100)</f>
        <v>5774.9203221671278</v>
      </c>
      <c r="F7" s="60">
        <f>SUMPRODUCT('Base Costs'!$J$4:$J$100,'Base Costs'!$AK$4:$AK$100,'Cost+CPI'!S$4:S$100)</f>
        <v>66531.770697251253</v>
      </c>
      <c r="G7" s="60">
        <f>SUMPRODUCT('Base Costs'!$J$4:$J$100,'Base Costs'!$AK$4:$AK$100,'Cost+CPI'!T$4:T$100)</f>
        <v>168684.09201570752</v>
      </c>
      <c r="H7" s="60">
        <f>SUMPRODUCT('Base Costs'!$J$4:$J$100,'Base Costs'!$AK$4:$AK$100,'Cost+CPI'!U$4:U$100)</f>
        <v>350192.48344139662</v>
      </c>
      <c r="I7" s="60">
        <f>SUMPRODUCT('Base Costs'!$J$4:$J$100,'Base Costs'!$AK$4:$AK$100,'Cost+CPI'!V$4:V$100)</f>
        <v>430498.47956575459</v>
      </c>
      <c r="J7" s="59">
        <f>SUMPRODUCT('Base Costs'!$J$4:$J$100,'Base Costs'!$AK$4:$AK$100,'Cost+CPI'!W$4:W$100)</f>
        <v>0</v>
      </c>
      <c r="K7" s="61">
        <f>SUMPRODUCT('Base Costs'!$J$4:$J$100,'Base Costs'!$AK$4:$AK$100,'Cost+CPI'!X$4:X$100)</f>
        <v>0</v>
      </c>
      <c r="L7" s="61">
        <f t="shared" si="0"/>
        <v>1021681.7460422772</v>
      </c>
      <c r="M7" s="20"/>
      <c r="N7" s="280" t="str">
        <v>TL10</v>
      </c>
      <c r="O7" s="58">
        <f>SUMPRODUCT('Base Costs'!$J$4:$J$100,'Base Costs'!$AK$4:$AK$100,'Cost+CPI'!Y$4:Y$100)</f>
        <v>0</v>
      </c>
      <c r="P7" s="59">
        <f>SUMPRODUCT('Base Costs'!$J$4:$J$100,'Base Costs'!$AK$4:$AK$100,'Cost+CPI'!Z$4:Z$100)</f>
        <v>0</v>
      </c>
      <c r="Q7" s="60">
        <f>SUMPRODUCT('Base Costs'!$J$4:$J$100,'Base Costs'!$AK$4:$AK$100,'Cost+CPI'!AA$4:AA$100)</f>
        <v>0</v>
      </c>
      <c r="R7" s="60">
        <f>SUMPRODUCT('Base Costs'!$J$4:$J$100,'Base Costs'!$AK$4:$AK$100,'Cost+CPI'!AB$4:AB$100)</f>
        <v>0</v>
      </c>
      <c r="S7" s="60">
        <f>SUMPRODUCT('Base Costs'!$J$4:$J$100,'Base Costs'!$AK$4:$AK$100,'Cost+CPI'!AC$4:AC$100)</f>
        <v>216918.48214158311</v>
      </c>
      <c r="T7" s="60">
        <f>SUMPRODUCT('Base Costs'!$J$4:$J$100,'Base Costs'!$AK$4:$AK$100,'Cost+CPI'!AD$4:AD$100)</f>
        <v>0</v>
      </c>
      <c r="U7" s="60">
        <f>SUMPRODUCT('Base Costs'!$J$4:$J$100,'Base Costs'!$AK$4:$AK$100,'Cost+CPI'!AE$4:AE$100)</f>
        <v>804763.26390069397</v>
      </c>
      <c r="V7" s="59">
        <f>SUMPRODUCT('Base Costs'!$J$4:$J$100,'Base Costs'!$AK$4:$AK$100,'Cost+CPI'!AF$4:AF$100)</f>
        <v>0</v>
      </c>
      <c r="W7" s="61">
        <f>SUMPRODUCT('Base Costs'!$J$4:$J$100,'Base Costs'!$AK$4:$AK$100,'Cost+CPI'!AG$4:AG$100)</f>
        <v>0</v>
      </c>
      <c r="X7" s="61">
        <f t="shared" si="1"/>
        <v>1021681.7460422771</v>
      </c>
    </row>
    <row r="8" spans="2:24" x14ac:dyDescent="0.3">
      <c r="B8" s="280" t="str">
        <v>SS60</v>
      </c>
      <c r="C8" s="58">
        <f>SUMPRODUCT('Base Costs'!$J$4:$J$100,'Base Costs'!$AL$4:$AL$100,'Cost+CPI'!P$4:P$100)</f>
        <v>0</v>
      </c>
      <c r="D8" s="59">
        <f>SUMPRODUCT('Base Costs'!$J$4:$J$100,'Base Costs'!$AL$4:$AL$100,'Cost+CPI'!Q$4:Q$100)</f>
        <v>0</v>
      </c>
      <c r="E8" s="60">
        <f>SUMPRODUCT('Base Costs'!$J$4:$J$100,'Base Costs'!$AL$4:$AL$100,'Cost+CPI'!R$4:R$100)</f>
        <v>80927.117260499625</v>
      </c>
      <c r="F8" s="60">
        <f>SUMPRODUCT('Base Costs'!$J$4:$J$100,'Base Costs'!$AL$4:$AL$100,'Cost+CPI'!S$4:S$100)</f>
        <v>932346.09455955436</v>
      </c>
      <c r="G8" s="60">
        <f>SUMPRODUCT('Base Costs'!$J$4:$J$100,'Base Costs'!$AL$4:$AL$100,'Cost+CPI'!T$4:T$100)</f>
        <v>2094890.397380142</v>
      </c>
      <c r="H8" s="60">
        <f>SUMPRODUCT('Base Costs'!$J$4:$J$100,'Base Costs'!$AL$4:$AL$100,'Cost+CPI'!U$4:U$100)</f>
        <v>994560.23437019321</v>
      </c>
      <c r="I8" s="60">
        <f>SUMPRODUCT('Base Costs'!$J$4:$J$100,'Base Costs'!$AL$4:$AL$100,'Cost+CPI'!V$4:V$100)</f>
        <v>1222632.3778436526</v>
      </c>
      <c r="J8" s="59">
        <f>SUMPRODUCT('Base Costs'!$J$4:$J$100,'Base Costs'!$AL$4:$AL$100,'Cost+CPI'!W$4:W$100)</f>
        <v>0</v>
      </c>
      <c r="K8" s="61">
        <f>SUMPRODUCT('Base Costs'!$J$4:$J$100,'Base Costs'!$AL$4:$AL$100,'Cost+CPI'!X$4:X$100)</f>
        <v>0</v>
      </c>
      <c r="L8" s="61">
        <f t="shared" si="0"/>
        <v>5325356.2214140417</v>
      </c>
      <c r="M8" s="20"/>
      <c r="N8" s="280" t="str">
        <v>SS60</v>
      </c>
      <c r="O8" s="58">
        <f>SUMPRODUCT('Base Costs'!$J$4:$J$100,'Base Costs'!$AL$4:$AL$100,'Cost+CPI'!Y$4:Y$100)</f>
        <v>0</v>
      </c>
      <c r="P8" s="59">
        <f>SUMPRODUCT('Base Costs'!$J$4:$J$100,'Base Costs'!$AL$4:$AL$100,'Cost+CPI'!Z$4:Z$100)</f>
        <v>0</v>
      </c>
      <c r="Q8" s="60">
        <f>SUMPRODUCT('Base Costs'!$J$4:$J$100,'Base Costs'!$AL$4:$AL$100,'Cost+CPI'!AA$4:AA$100)</f>
        <v>0</v>
      </c>
      <c r="R8" s="60">
        <f>SUMPRODUCT('Base Costs'!$J$4:$J$100,'Base Costs'!$AL$4:$AL$100,'Cost+CPI'!AB$4:AB$100)</f>
        <v>0</v>
      </c>
      <c r="S8" s="60">
        <f>SUMPRODUCT('Base Costs'!$J$4:$J$100,'Base Costs'!$AL$4:$AL$100,'Cost+CPI'!AC$4:AC$100)</f>
        <v>3039797.341074632</v>
      </c>
      <c r="T8" s="60">
        <f>SUMPRODUCT('Base Costs'!$J$4:$J$100,'Base Costs'!$AL$4:$AL$100,'Cost+CPI'!AD$4:AD$100)</f>
        <v>0</v>
      </c>
      <c r="U8" s="60">
        <f>SUMPRODUCT('Base Costs'!$J$4:$J$100,'Base Costs'!$AL$4:$AL$100,'Cost+CPI'!AE$4:AE$100)</f>
        <v>2285558.8803394102</v>
      </c>
      <c r="V8" s="59">
        <f>SUMPRODUCT('Base Costs'!$J$4:$J$100,'Base Costs'!$AL$4:$AL$100,'Cost+CPI'!AF$4:AF$100)</f>
        <v>0</v>
      </c>
      <c r="W8" s="61">
        <f>SUMPRODUCT('Base Costs'!$J$4:$J$100,'Base Costs'!$AL$4:$AL$100,'Cost+CPI'!AG$4:AG$100)</f>
        <v>0</v>
      </c>
      <c r="X8" s="61">
        <f t="shared" si="1"/>
        <v>5325356.2214140426</v>
      </c>
    </row>
    <row r="9" spans="2:24" x14ac:dyDescent="0.3">
      <c r="B9" s="280" t="str">
        <v>SS45</v>
      </c>
      <c r="C9" s="58">
        <f>SUMPRODUCT('Base Costs'!$J$4:$J$100,'Base Costs'!$AM$4:$AM$100,'Cost+CPI'!P$4:P$100)</f>
        <v>0</v>
      </c>
      <c r="D9" s="59">
        <f>SUMPRODUCT('Base Costs'!$J$4:$J$100,'Base Costs'!$AM$4:$AM$100,'Cost+CPI'!Q$4:Q$100)</f>
        <v>0</v>
      </c>
      <c r="E9" s="60">
        <f>SUMPRODUCT('Base Costs'!$J$4:$J$100,'Base Costs'!$AM$4:$AM$100,'Cost+CPI'!R$4:R$100)</f>
        <v>130061.42239059447</v>
      </c>
      <c r="F9" s="60">
        <f>SUMPRODUCT('Base Costs'!$J$4:$J$100,'Base Costs'!$AM$4:$AM$100,'Cost+CPI'!S$4:S$100)</f>
        <v>1498413.18118864</v>
      </c>
      <c r="G9" s="60">
        <f>SUMPRODUCT('Base Costs'!$J$4:$J$100,'Base Costs'!$AM$4:$AM$100,'Cost+CPI'!T$4:T$100)</f>
        <v>3366787.7388614225</v>
      </c>
      <c r="H9" s="60">
        <f>SUMPRODUCT('Base Costs'!$J$4:$J$100,'Base Costs'!$AM$4:$AM$100,'Cost+CPI'!U$4:U$100)</f>
        <v>1598400.4126493107</v>
      </c>
      <c r="I9" s="60">
        <f>SUMPRODUCT('Base Costs'!$J$4:$J$100,'Base Costs'!$AM$4:$AM$100,'Cost+CPI'!V$4:V$100)</f>
        <v>1964944.9371975325</v>
      </c>
      <c r="J9" s="59">
        <f>SUMPRODUCT('Base Costs'!$J$4:$J$100,'Base Costs'!$AM$4:$AM$100,'Cost+CPI'!W$4:W$100)</f>
        <v>0</v>
      </c>
      <c r="K9" s="61">
        <f>SUMPRODUCT('Base Costs'!$J$4:$J$100,'Base Costs'!$AM$4:$AM$100,'Cost+CPI'!X$4:X$100)</f>
        <v>0</v>
      </c>
      <c r="L9" s="61">
        <f t="shared" si="0"/>
        <v>8558607.6922875009</v>
      </c>
      <c r="M9" s="20"/>
      <c r="N9" s="280" t="str">
        <v>SS45</v>
      </c>
      <c r="O9" s="58">
        <f>SUMPRODUCT('Base Costs'!$J$4:$J$100,'Base Costs'!$AM$4:$AM$100,'Cost+CPI'!Y$4:Y$100)</f>
        <v>0</v>
      </c>
      <c r="P9" s="59">
        <f>SUMPRODUCT('Base Costs'!$J$4:$J$100,'Base Costs'!$AM$4:$AM$100,'Cost+CPI'!Z$4:Z$100)</f>
        <v>0</v>
      </c>
      <c r="Q9" s="60">
        <f>SUMPRODUCT('Base Costs'!$J$4:$J$100,'Base Costs'!$AM$4:$AM$100,'Cost+CPI'!AA$4:AA$100)</f>
        <v>0</v>
      </c>
      <c r="R9" s="60">
        <f>SUMPRODUCT('Base Costs'!$J$4:$J$100,'Base Costs'!$AM$4:$AM$100,'Cost+CPI'!AB$4:AB$100)</f>
        <v>0</v>
      </c>
      <c r="S9" s="60">
        <f>SUMPRODUCT('Base Costs'!$J$4:$J$100,'Base Costs'!$AM$4:$AM$100,'Cost+CPI'!AC$4:AC$100)</f>
        <v>4885387.9804796698</v>
      </c>
      <c r="T9" s="60">
        <f>SUMPRODUCT('Base Costs'!$J$4:$J$100,'Base Costs'!$AM$4:$AM$100,'Cost+CPI'!AD$4:AD$100)</f>
        <v>0</v>
      </c>
      <c r="U9" s="60">
        <f>SUMPRODUCT('Base Costs'!$J$4:$J$100,'Base Costs'!$AM$4:$AM$100,'Cost+CPI'!AE$4:AE$100)</f>
        <v>3673219.7118078307</v>
      </c>
      <c r="V9" s="59">
        <f>SUMPRODUCT('Base Costs'!$J$4:$J$100,'Base Costs'!$AM$4:$AM$100,'Cost+CPI'!AF$4:AF$100)</f>
        <v>0</v>
      </c>
      <c r="W9" s="61">
        <f>SUMPRODUCT('Base Costs'!$J$4:$J$100,'Base Costs'!$AM$4:$AM$100,'Cost+CPI'!AG$4:AG$100)</f>
        <v>0</v>
      </c>
      <c r="X9" s="61">
        <f t="shared" si="1"/>
        <v>8558607.6922875009</v>
      </c>
    </row>
    <row r="10" spans="2:24" x14ac:dyDescent="0.3">
      <c r="B10" s="280" t="str">
        <v>SS15</v>
      </c>
      <c r="C10" s="58">
        <f>SUMPRODUCT('Base Costs'!$J$4:$J$100,'Base Costs'!$AN$4:$AN$100,'Cost+CPI'!P$4:P$100)</f>
        <v>0</v>
      </c>
      <c r="D10" s="59">
        <f>SUMPRODUCT('Base Costs'!$J$4:$J$100,'Base Costs'!$AN$4:$AN$100,'Cost+CPI'!Q$4:Q$100)</f>
        <v>0</v>
      </c>
      <c r="E10" s="60">
        <f>SUMPRODUCT('Base Costs'!$J$4:$J$100,'Base Costs'!$AN$4:$AN$100,'Cost+CPI'!R$4:R$100)</f>
        <v>17341.522985412597</v>
      </c>
      <c r="F10" s="60">
        <f>SUMPRODUCT('Base Costs'!$J$4:$J$100,'Base Costs'!$AN$4:$AN$100,'Cost+CPI'!S$4:S$100)</f>
        <v>199788.42415848532</v>
      </c>
      <c r="G10" s="60">
        <f>SUMPRODUCT('Base Costs'!$J$4:$J$100,'Base Costs'!$AN$4:$AN$100,'Cost+CPI'!T$4:T$100)</f>
        <v>448905.03646534053</v>
      </c>
      <c r="H10" s="60">
        <f>SUMPRODUCT('Base Costs'!$J$4:$J$100,'Base Costs'!$AN$4:$AN$100,'Cost+CPI'!U$4:U$100)</f>
        <v>213120.12218804174</v>
      </c>
      <c r="I10" s="60">
        <f>SUMPRODUCT('Base Costs'!$J$4:$J$100,'Base Costs'!$AN$4:$AN$100,'Cost+CPI'!V$4:V$100)</f>
        <v>261992.74086410674</v>
      </c>
      <c r="J10" s="59">
        <f>SUMPRODUCT('Base Costs'!$J$4:$J$100,'Base Costs'!$AN$4:$AN$100,'Cost+CPI'!W$4:W$100)</f>
        <v>0</v>
      </c>
      <c r="K10" s="61">
        <f>SUMPRODUCT('Base Costs'!$J$4:$J$100,'Base Costs'!$AN$4:$AN$100,'Cost+CPI'!X$4:X$100)</f>
        <v>0</v>
      </c>
      <c r="L10" s="61">
        <f t="shared" si="0"/>
        <v>1141147.8466613868</v>
      </c>
      <c r="M10" s="20"/>
      <c r="N10" s="280" t="str">
        <v>SS15</v>
      </c>
      <c r="O10" s="58">
        <f>SUMPRODUCT('Base Costs'!$J$4:$J$100,'Base Costs'!$AN$4:$AN$100,'Cost+CPI'!Y$4:Y$100)</f>
        <v>0</v>
      </c>
      <c r="P10" s="59">
        <f>SUMPRODUCT('Base Costs'!$J$4:$J$100,'Base Costs'!$AN$4:$AN$100,'Cost+CPI'!Z$4:Z$100)</f>
        <v>0</v>
      </c>
      <c r="Q10" s="60">
        <f>SUMPRODUCT('Base Costs'!$J$4:$J$100,'Base Costs'!$AN$4:$AN$100,'Cost+CPI'!AA$4:AA$100)</f>
        <v>0</v>
      </c>
      <c r="R10" s="60">
        <f>SUMPRODUCT('Base Costs'!$J$4:$J$100,'Base Costs'!$AN$4:$AN$100,'Cost+CPI'!AB$4:AB$100)</f>
        <v>0</v>
      </c>
      <c r="S10" s="60">
        <f>SUMPRODUCT('Base Costs'!$J$4:$J$100,'Base Costs'!$AN$4:$AN$100,'Cost+CPI'!AC$4:AC$100)</f>
        <v>651385.06406395591</v>
      </c>
      <c r="T10" s="60">
        <f>SUMPRODUCT('Base Costs'!$J$4:$J$100,'Base Costs'!$AN$4:$AN$100,'Cost+CPI'!AD$4:AD$100)</f>
        <v>0</v>
      </c>
      <c r="U10" s="60">
        <f>SUMPRODUCT('Base Costs'!$J$4:$J$100,'Base Costs'!$AN$4:$AN$100,'Cost+CPI'!AE$4:AE$100)</f>
        <v>489762.78259743104</v>
      </c>
      <c r="V10" s="59">
        <f>SUMPRODUCT('Base Costs'!$J$4:$J$100,'Base Costs'!$AN$4:$AN$100,'Cost+CPI'!AF$4:AF$100)</f>
        <v>0</v>
      </c>
      <c r="W10" s="61">
        <f>SUMPRODUCT('Base Costs'!$J$4:$J$100,'Base Costs'!$AN$4:$AN$100,'Cost+CPI'!AG$4:AG$100)</f>
        <v>0</v>
      </c>
      <c r="X10" s="61">
        <f t="shared" si="1"/>
        <v>1141147.846661387</v>
      </c>
    </row>
    <row r="11" spans="2:24" x14ac:dyDescent="0.3">
      <c r="B11" s="280" t="str">
        <v>PC15</v>
      </c>
      <c r="C11" s="58">
        <f>SUMPRODUCT('Base Costs'!$J$4:$J$100,'Base Costs'!$AO$4:$AO$100,'Cost+CPI'!P$4:P$100)</f>
        <v>0</v>
      </c>
      <c r="D11" s="59">
        <f>SUMPRODUCT('Base Costs'!$J$4:$J$100,'Base Costs'!$AO$4:$AO$100,'Cost+CPI'!Q$4:Q$100)</f>
        <v>0</v>
      </c>
      <c r="E11" s="60">
        <f>SUMPRODUCT('Base Costs'!$J$4:$J$100,'Base Costs'!$AO$4:$AO$100,'Cost+CPI'!R$4:R$100)</f>
        <v>60695.330448944085</v>
      </c>
      <c r="F11" s="60">
        <f>SUMPRODUCT('Base Costs'!$J$4:$J$100,'Base Costs'!$AO$4:$AO$100,'Cost+CPI'!S$4:S$100)</f>
        <v>699259.48455469857</v>
      </c>
      <c r="G11" s="60">
        <f>SUMPRODUCT('Base Costs'!$J$4:$J$100,'Base Costs'!$AO$4:$AO$100,'Cost+CPI'!T$4:T$100)</f>
        <v>1578591.8676875737</v>
      </c>
      <c r="H11" s="60">
        <f>SUMPRODUCT('Base Costs'!$J$4:$J$100,'Base Costs'!$AO$4:$AO$100,'Cost+CPI'!U$4:U$100)</f>
        <v>853924.77154628304</v>
      </c>
      <c r="I11" s="60">
        <f>SUMPRODUCT('Base Costs'!$J$4:$J$100,'Base Costs'!$AO$4:$AO$100,'Cost+CPI'!V$4:V$100)</f>
        <v>1049746.4485862611</v>
      </c>
      <c r="J11" s="59">
        <f>SUMPRODUCT('Base Costs'!$J$4:$J$100,'Base Costs'!$AO$4:$AO$100,'Cost+CPI'!W$4:W$100)</f>
        <v>0</v>
      </c>
      <c r="K11" s="61">
        <f>SUMPRODUCT('Base Costs'!$J$4:$J$100,'Base Costs'!$AO$4:$AO$100,'Cost+CPI'!X$4:X$100)</f>
        <v>0</v>
      </c>
      <c r="L11" s="61">
        <f t="shared" si="0"/>
        <v>4242217.9028237602</v>
      </c>
      <c r="M11" s="20"/>
      <c r="N11" s="280" t="str">
        <v>PC15</v>
      </c>
      <c r="O11" s="58">
        <f>SUMPRODUCT('Base Costs'!$J$4:$J$100,'Base Costs'!$AO$4:$AO$100,'Cost+CPI'!Y$4:Y$100)</f>
        <v>0</v>
      </c>
      <c r="P11" s="59">
        <f>SUMPRODUCT('Base Costs'!$J$4:$J$100,'Base Costs'!$AO$4:$AO$100,'Cost+CPI'!Z$4:Z$100)</f>
        <v>0</v>
      </c>
      <c r="Q11" s="60">
        <f>SUMPRODUCT('Base Costs'!$J$4:$J$100,'Base Costs'!$AO$4:$AO$100,'Cost+CPI'!AA$4:AA$100)</f>
        <v>0</v>
      </c>
      <c r="R11" s="60">
        <f>SUMPRODUCT('Base Costs'!$J$4:$J$100,'Base Costs'!$AO$4:$AO$100,'Cost+CPI'!AB$4:AB$100)</f>
        <v>0</v>
      </c>
      <c r="S11" s="60">
        <f>SUMPRODUCT('Base Costs'!$J$4:$J$100,'Base Costs'!$AO$4:$AO$100,'Cost+CPI'!AC$4:AC$100)</f>
        <v>2279847.7242238456</v>
      </c>
      <c r="T11" s="60">
        <f>SUMPRODUCT('Base Costs'!$J$4:$J$100,'Base Costs'!$AO$4:$AO$100,'Cost+CPI'!AD$4:AD$100)</f>
        <v>0</v>
      </c>
      <c r="U11" s="60">
        <f>SUMPRODUCT('Base Costs'!$J$4:$J$100,'Base Costs'!$AO$4:$AO$100,'Cost+CPI'!AE$4:AE$100)</f>
        <v>1962370.1785999148</v>
      </c>
      <c r="V11" s="59">
        <f>SUMPRODUCT('Base Costs'!$J$4:$J$100,'Base Costs'!$AO$4:$AO$100,'Cost+CPI'!AF$4:AF$100)</f>
        <v>0</v>
      </c>
      <c r="W11" s="61">
        <f>SUMPRODUCT('Base Costs'!$J$4:$J$100,'Base Costs'!$AO$4:$AO$100,'Cost+CPI'!AG$4:AG$100)</f>
        <v>0</v>
      </c>
      <c r="X11" s="61">
        <f t="shared" si="1"/>
        <v>4242217.9028237602</v>
      </c>
    </row>
    <row r="12" spans="2:24" x14ac:dyDescent="0.3">
      <c r="B12" s="280" t="str">
        <v>PC4</v>
      </c>
      <c r="C12" s="58">
        <f>SUMPRODUCT('Base Costs'!$J$4:$J$100,'Base Costs'!$AP$4:$AP$100,'Cost+CPI'!P$4:P$100)</f>
        <v>0</v>
      </c>
      <c r="D12" s="59">
        <f>SUMPRODUCT('Base Costs'!$J$4:$J$100,'Base Costs'!$AP$4:$AP$100,'Cost+CPI'!Q$4:Q$100)</f>
        <v>0</v>
      </c>
      <c r="E12" s="60">
        <f>SUMPRODUCT('Base Costs'!$J$4:$J$100,'Base Costs'!$AP$4:$AP$100,'Cost+CPI'!R$4:R$100)</f>
        <v>0</v>
      </c>
      <c r="F12" s="60">
        <f>SUMPRODUCT('Base Costs'!$J$4:$J$100,'Base Costs'!$AP$4:$AP$100,'Cost+CPI'!S$4:S$100)</f>
        <v>0</v>
      </c>
      <c r="G12" s="60">
        <f>SUMPRODUCT('Base Costs'!$J$4:$J$100,'Base Costs'!$AP$4:$AP$100,'Cost+CPI'!T$4:T$100)</f>
        <v>0</v>
      </c>
      <c r="H12" s="60">
        <f>SUMPRODUCT('Base Costs'!$J$4:$J$100,'Base Costs'!$AP$4:$AP$100,'Cost+CPI'!U$4:U$100)</f>
        <v>0</v>
      </c>
      <c r="I12" s="60">
        <f>SUMPRODUCT('Base Costs'!$J$4:$J$100,'Base Costs'!$AP$4:$AP$100,'Cost+CPI'!V$4:V$100)</f>
        <v>0</v>
      </c>
      <c r="J12" s="59">
        <f>SUMPRODUCT('Base Costs'!$J$4:$J$100,'Base Costs'!$AP$4:$AP$100,'Cost+CPI'!W$4:W$100)</f>
        <v>0</v>
      </c>
      <c r="K12" s="61">
        <f>SUMPRODUCT('Base Costs'!$J$4:$J$100,'Base Costs'!$AP$4:$AP$100,'Cost+CPI'!X$4:X$100)</f>
        <v>0</v>
      </c>
      <c r="L12" s="61">
        <f t="shared" si="0"/>
        <v>0</v>
      </c>
      <c r="M12" s="20"/>
      <c r="N12" s="280" t="str">
        <v>PC4</v>
      </c>
      <c r="O12" s="58">
        <f>SUMPRODUCT('Base Costs'!$J$4:$J$100,'Base Costs'!$AP$4:$AP$100,'Cost+CPI'!Y$4:Y$100)</f>
        <v>0</v>
      </c>
      <c r="P12" s="59">
        <f>SUMPRODUCT('Base Costs'!$J$4:$J$100,'Base Costs'!$AP$4:$AP$100,'Cost+CPI'!Z$4:Z$100)</f>
        <v>0</v>
      </c>
      <c r="Q12" s="60">
        <f>SUMPRODUCT('Base Costs'!$J$4:$J$100,'Base Costs'!$AP$4:$AP$100,'Cost+CPI'!AA$4:AA$100)</f>
        <v>0</v>
      </c>
      <c r="R12" s="60">
        <f>SUMPRODUCT('Base Costs'!$J$4:$J$100,'Base Costs'!$AP$4:$AP$100,'Cost+CPI'!AB$4:AB$100)</f>
        <v>0</v>
      </c>
      <c r="S12" s="60">
        <f>SUMPRODUCT('Base Costs'!$J$4:$J$100,'Base Costs'!$AP$4:$AP$100,'Cost+CPI'!AC$4:AC$100)</f>
        <v>0</v>
      </c>
      <c r="T12" s="60">
        <f>SUMPRODUCT('Base Costs'!$J$4:$J$100,'Base Costs'!$AP$4:$AP$100,'Cost+CPI'!AD$4:AD$100)</f>
        <v>0</v>
      </c>
      <c r="U12" s="60">
        <f>SUMPRODUCT('Base Costs'!$J$4:$J$100,'Base Costs'!$AP$4:$AP$100,'Cost+CPI'!AE$4:AE$100)</f>
        <v>0</v>
      </c>
      <c r="V12" s="59">
        <f>SUMPRODUCT('Base Costs'!$J$4:$J$100,'Base Costs'!$AP$4:$AP$100,'Cost+CPI'!AF$4:AF$100)</f>
        <v>0</v>
      </c>
      <c r="W12" s="61">
        <f>SUMPRODUCT('Base Costs'!$J$4:$J$100,'Base Costs'!$AP$4:$AP$100,'Cost+CPI'!AG$4:AG$100)</f>
        <v>0</v>
      </c>
      <c r="X12" s="61">
        <f t="shared" si="1"/>
        <v>0</v>
      </c>
    </row>
    <row r="13" spans="2:24" x14ac:dyDescent="0.3">
      <c r="B13" s="280" t="str">
        <v>TO10</v>
      </c>
      <c r="C13" s="58">
        <f>SUMPRODUCT('Base Costs'!$J$4:$J$100,'Base Costs'!$AQ$4:$AQ$100,'Cost+CPI'!P$4:P$100)</f>
        <v>0</v>
      </c>
      <c r="D13" s="59">
        <f>SUMPRODUCT('Base Costs'!$J$4:$J$100,'Base Costs'!$AQ$4:$AQ$100,'Cost+CPI'!Q$4:Q$100)</f>
        <v>0</v>
      </c>
      <c r="E13" s="60">
        <f>SUMPRODUCT('Base Costs'!$J$4:$J$100,'Base Costs'!$AQ$4:$AQ$100,'Cost+CPI'!R$4:R$100)</f>
        <v>0</v>
      </c>
      <c r="F13" s="60">
        <f>SUMPRODUCT('Base Costs'!$J$4:$J$100,'Base Costs'!$AQ$4:$AQ$100,'Cost+CPI'!S$4:S$100)</f>
        <v>0</v>
      </c>
      <c r="G13" s="60">
        <f>SUMPRODUCT('Base Costs'!$J$4:$J$100,'Base Costs'!$AQ$4:$AQ$100,'Cost+CPI'!T$4:T$100)</f>
        <v>0</v>
      </c>
      <c r="H13" s="60">
        <f>SUMPRODUCT('Base Costs'!$J$4:$J$100,'Base Costs'!$AQ$4:$AQ$100,'Cost+CPI'!U$4:U$100)</f>
        <v>0</v>
      </c>
      <c r="I13" s="60">
        <f>SUMPRODUCT('Base Costs'!$J$4:$J$100,'Base Costs'!$AQ$4:$AQ$100,'Cost+CPI'!V$4:V$100)</f>
        <v>0</v>
      </c>
      <c r="J13" s="59">
        <f>SUMPRODUCT('Base Costs'!$J$4:$J$100,'Base Costs'!$AQ$4:$AQ$100,'Cost+CPI'!W$4:W$100)</f>
        <v>0</v>
      </c>
      <c r="K13" s="61">
        <f>SUMPRODUCT('Base Costs'!$J$4:$J$100,'Base Costs'!$AQ$4:$AQ$100,'Cost+CPI'!X$4:X$100)</f>
        <v>0</v>
      </c>
      <c r="L13" s="61">
        <f t="shared" si="0"/>
        <v>0</v>
      </c>
      <c r="M13" s="20"/>
      <c r="N13" s="280" t="str">
        <v>TO10</v>
      </c>
      <c r="O13" s="58">
        <f>SUMPRODUCT('Base Costs'!$J$4:$J$100,'Base Costs'!$AQ$4:$AQ$100,'Cost+CPI'!Y$4:Y$100)</f>
        <v>0</v>
      </c>
      <c r="P13" s="59">
        <f>SUMPRODUCT('Base Costs'!$J$4:$J$100,'Base Costs'!$AQ$4:$AQ$100,'Cost+CPI'!Z$4:Z$100)</f>
        <v>0</v>
      </c>
      <c r="Q13" s="60">
        <f>SUMPRODUCT('Base Costs'!$J$4:$J$100,'Base Costs'!$AQ$4:$AQ$100,'Cost+CPI'!AA$4:AA$100)</f>
        <v>0</v>
      </c>
      <c r="R13" s="60">
        <f>SUMPRODUCT('Base Costs'!$J$4:$J$100,'Base Costs'!$AQ$4:$AQ$100,'Cost+CPI'!AB$4:AB$100)</f>
        <v>0</v>
      </c>
      <c r="S13" s="60">
        <f>SUMPRODUCT('Base Costs'!$J$4:$J$100,'Base Costs'!$AQ$4:$AQ$100,'Cost+CPI'!AC$4:AC$100)</f>
        <v>0</v>
      </c>
      <c r="T13" s="60">
        <f>SUMPRODUCT('Base Costs'!$J$4:$J$100,'Base Costs'!$AQ$4:$AQ$100,'Cost+CPI'!AD$4:AD$100)</f>
        <v>0</v>
      </c>
      <c r="U13" s="60">
        <f>SUMPRODUCT('Base Costs'!$J$4:$J$100,'Base Costs'!$AQ$4:$AQ$100,'Cost+CPI'!AE$4:AE$100)</f>
        <v>0</v>
      </c>
      <c r="V13" s="59">
        <f>SUMPRODUCT('Base Costs'!$J$4:$J$100,'Base Costs'!$AQ$4:$AQ$100,'Cost+CPI'!AF$4:AF$100)</f>
        <v>0</v>
      </c>
      <c r="W13" s="61">
        <f>SUMPRODUCT('Base Costs'!$J$4:$J$100,'Base Costs'!$AQ$4:$AQ$100,'Cost+CPI'!AG$4:AG$100)</f>
        <v>0</v>
      </c>
      <c r="X13" s="61">
        <f t="shared" si="1"/>
        <v>0</v>
      </c>
    </row>
    <row r="14" spans="2:24" x14ac:dyDescent="0.3">
      <c r="B14" s="280" t="str">
        <v>TO4</v>
      </c>
      <c r="C14" s="58">
        <f>SUMPRODUCT('Base Costs'!$J$4:$J$100,'Base Costs'!$AR$4:$AR$100,'Cost+CPI'!P$4:P$100)</f>
        <v>0</v>
      </c>
      <c r="D14" s="59">
        <f>SUMPRODUCT('Base Costs'!$J$4:$J$100,'Base Costs'!$AR$4:$AR$100,'Cost+CPI'!Q$4:Q$100)</f>
        <v>0</v>
      </c>
      <c r="E14" s="60">
        <f>SUMPRODUCT('Base Costs'!$J$4:$J$100,'Base Costs'!$AR$4:$AR$100,'Cost+CPI'!R$4:R$100)</f>
        <v>0</v>
      </c>
      <c r="F14" s="60">
        <f>SUMPRODUCT('Base Costs'!$J$4:$J$100,'Base Costs'!$AR$4:$AR$100,'Cost+CPI'!S$4:S$100)</f>
        <v>0</v>
      </c>
      <c r="G14" s="60">
        <f>SUMPRODUCT('Base Costs'!$J$4:$J$100,'Base Costs'!$AR$4:$AR$100,'Cost+CPI'!T$4:T$100)</f>
        <v>0</v>
      </c>
      <c r="H14" s="60">
        <f>SUMPRODUCT('Base Costs'!$J$4:$J$100,'Base Costs'!$AR$4:$AR$100,'Cost+CPI'!U$4:U$100)</f>
        <v>0</v>
      </c>
      <c r="I14" s="60">
        <f>SUMPRODUCT('Base Costs'!$J$4:$J$100,'Base Costs'!$AR$4:$AR$100,'Cost+CPI'!V$4:V$100)</f>
        <v>0</v>
      </c>
      <c r="J14" s="59">
        <f>SUMPRODUCT('Base Costs'!$J$4:$J$100,'Base Costs'!$AR$4:$AR$100,'Cost+CPI'!W$4:W$100)</f>
        <v>0</v>
      </c>
      <c r="K14" s="61">
        <f>SUMPRODUCT('Base Costs'!$J$4:$J$100,'Base Costs'!$AR$4:$AR$100,'Cost+CPI'!X$4:X$100)</f>
        <v>0</v>
      </c>
      <c r="L14" s="61">
        <f t="shared" si="0"/>
        <v>0</v>
      </c>
      <c r="M14" s="20"/>
      <c r="N14" s="280" t="str">
        <v>TO4</v>
      </c>
      <c r="O14" s="58">
        <f>SUMPRODUCT('Base Costs'!$J$4:$J$100,'Base Costs'!$AR$4:$AR$100,'Cost+CPI'!Y$4:Y$100)</f>
        <v>0</v>
      </c>
      <c r="P14" s="59">
        <f>SUMPRODUCT('Base Costs'!$J$4:$J$100,'Base Costs'!$AR$4:$AR$100,'Cost+CPI'!Z$4:Z$100)</f>
        <v>0</v>
      </c>
      <c r="Q14" s="60">
        <f>SUMPRODUCT('Base Costs'!$J$4:$J$100,'Base Costs'!$AR$4:$AR$100,'Cost+CPI'!AA$4:AA$100)</f>
        <v>0</v>
      </c>
      <c r="R14" s="60">
        <f>SUMPRODUCT('Base Costs'!$J$4:$J$100,'Base Costs'!$AR$4:$AR$100,'Cost+CPI'!AB$4:AB$100)</f>
        <v>0</v>
      </c>
      <c r="S14" s="60">
        <f>SUMPRODUCT('Base Costs'!$J$4:$J$100,'Base Costs'!$AR$4:$AR$100,'Cost+CPI'!AC$4:AC$100)</f>
        <v>0</v>
      </c>
      <c r="T14" s="60">
        <f>SUMPRODUCT('Base Costs'!$J$4:$J$100,'Base Costs'!$AR$4:$AR$100,'Cost+CPI'!AD$4:AD$100)</f>
        <v>0</v>
      </c>
      <c r="U14" s="60">
        <f>SUMPRODUCT('Base Costs'!$J$4:$J$100,'Base Costs'!$AR$4:$AR$100,'Cost+CPI'!AE$4:AE$100)</f>
        <v>0</v>
      </c>
      <c r="V14" s="59">
        <f>SUMPRODUCT('Base Costs'!$J$4:$J$100,'Base Costs'!$AR$4:$AR$100,'Cost+CPI'!AF$4:AF$100)</f>
        <v>0</v>
      </c>
      <c r="W14" s="61">
        <f>SUMPRODUCT('Base Costs'!$J$4:$J$100,'Base Costs'!$AR$4:$AR$100,'Cost+CPI'!AG$4:AG$100)</f>
        <v>0</v>
      </c>
      <c r="X14" s="61">
        <f t="shared" si="1"/>
        <v>0</v>
      </c>
    </row>
    <row r="15" spans="2:24" x14ac:dyDescent="0.3">
      <c r="B15" s="280" t="str">
        <v>Other40</v>
      </c>
      <c r="C15" s="58">
        <f>SUMPRODUCT('Base Costs'!$J$4:$J$100,'Base Costs'!$AS$4:$AS$100,'Cost+CPI'!P$4:P$100)</f>
        <v>0</v>
      </c>
      <c r="D15" s="59">
        <f>SUMPRODUCT('Base Costs'!$J$4:$J$100,'Base Costs'!$AS$4:$AS$100,'Cost+CPI'!Q$4:Q$100)</f>
        <v>0</v>
      </c>
      <c r="E15" s="60">
        <f>SUMPRODUCT('Base Costs'!$J$4:$J$100,'Base Costs'!$AS$4:$AS$100,'Cost+CPI'!R$4:R$100)</f>
        <v>0</v>
      </c>
      <c r="F15" s="60">
        <f>SUMPRODUCT('Base Costs'!$J$4:$J$100,'Base Costs'!$AS$4:$AS$100,'Cost+CPI'!S$4:S$100)</f>
        <v>0</v>
      </c>
      <c r="G15" s="60">
        <f>SUMPRODUCT('Base Costs'!$J$4:$J$100,'Base Costs'!$AS$4:$AS$100,'Cost+CPI'!T$4:T$100)</f>
        <v>0</v>
      </c>
      <c r="H15" s="60">
        <f>SUMPRODUCT('Base Costs'!$J$4:$J$100,'Base Costs'!$AS$4:$AS$100,'Cost+CPI'!U$4:U$100)</f>
        <v>0</v>
      </c>
      <c r="I15" s="60">
        <f>SUMPRODUCT('Base Costs'!$J$4:$J$100,'Base Costs'!$AS$4:$AS$100,'Cost+CPI'!V$4:V$100)</f>
        <v>0</v>
      </c>
      <c r="J15" s="59">
        <f>SUMPRODUCT('Base Costs'!$J$4:$J$100,'Base Costs'!$AS$4:$AS$100,'Cost+CPI'!W$4:W$100)</f>
        <v>0</v>
      </c>
      <c r="K15" s="61">
        <f>SUMPRODUCT('Base Costs'!$J$4:$J$100,'Base Costs'!$AS$4:$AS$100,'Cost+CPI'!X$4:X$100)</f>
        <v>0</v>
      </c>
      <c r="L15" s="61">
        <f t="shared" si="0"/>
        <v>0</v>
      </c>
      <c r="M15" s="20"/>
      <c r="N15" s="280" t="str">
        <v>Other40</v>
      </c>
      <c r="O15" s="58">
        <f>SUMPRODUCT('Base Costs'!$J$4:$J$100,'Base Costs'!$AS$4:$AS$100,'Cost+CPI'!Y$4:Y$100)</f>
        <v>0</v>
      </c>
      <c r="P15" s="59">
        <f>SUMPRODUCT('Base Costs'!$J$4:$J$100,'Base Costs'!$AS$4:$AS$100,'Cost+CPI'!Z$4:Z$100)</f>
        <v>0</v>
      </c>
      <c r="Q15" s="60">
        <f>SUMPRODUCT('Base Costs'!$J$4:$J$100,'Base Costs'!$AS$4:$AS$100,'Cost+CPI'!AA$4:AA$100)</f>
        <v>0</v>
      </c>
      <c r="R15" s="60">
        <f>SUMPRODUCT('Base Costs'!$J$4:$J$100,'Base Costs'!$AS$4:$AS$100,'Cost+CPI'!AB$4:AB$100)</f>
        <v>0</v>
      </c>
      <c r="S15" s="60">
        <f>SUMPRODUCT('Base Costs'!$J$4:$J$100,'Base Costs'!$AS$4:$AS$100,'Cost+CPI'!AC$4:AC$100)</f>
        <v>0</v>
      </c>
      <c r="T15" s="60">
        <f>SUMPRODUCT('Base Costs'!$J$4:$J$100,'Base Costs'!$AS$4:$AS$100,'Cost+CPI'!AD$4:AD$100)</f>
        <v>0</v>
      </c>
      <c r="U15" s="60">
        <f>SUMPRODUCT('Base Costs'!$J$4:$J$100,'Base Costs'!$AS$4:$AS$100,'Cost+CPI'!AE$4:AE$100)</f>
        <v>0</v>
      </c>
      <c r="V15" s="59">
        <f>SUMPRODUCT('Base Costs'!$J$4:$J$100,'Base Costs'!$AS$4:$AS$100,'Cost+CPI'!AF$4:AF$100)</f>
        <v>0</v>
      </c>
      <c r="W15" s="61">
        <f>SUMPRODUCT('Base Costs'!$J$4:$J$100,'Base Costs'!$AS$4:$AS$100,'Cost+CPI'!AG$4:AG$100)</f>
        <v>0</v>
      </c>
      <c r="X15" s="61">
        <f t="shared" si="1"/>
        <v>0</v>
      </c>
    </row>
    <row r="16" spans="2:24" x14ac:dyDescent="0.3">
      <c r="B16" s="280" t="str">
        <v>Other9</v>
      </c>
      <c r="C16" s="58">
        <f>SUMPRODUCT('Base Costs'!$J$4:$J$100,'Base Costs'!$AT$4:$AT$100,'Cost+CPI'!P$4:P$100)</f>
        <v>0</v>
      </c>
      <c r="D16" s="59">
        <f>SUMPRODUCT('Base Costs'!$J$4:$J$100,'Base Costs'!$AT$4:$AT$100,'Cost+CPI'!Q$4:Q$100)</f>
        <v>0</v>
      </c>
      <c r="E16" s="60">
        <f>SUMPRODUCT('Base Costs'!$J$4:$J$100,'Base Costs'!$AT$4:$AT$100,'Cost+CPI'!R$4:R$100)</f>
        <v>0</v>
      </c>
      <c r="F16" s="60">
        <f>SUMPRODUCT('Base Costs'!$J$4:$J$100,'Base Costs'!$AT$4:$AT$100,'Cost+CPI'!S$4:S$100)</f>
        <v>0</v>
      </c>
      <c r="G16" s="60">
        <f>SUMPRODUCT('Base Costs'!$J$4:$J$100,'Base Costs'!$AT$4:$AT$100,'Cost+CPI'!T$4:T$100)</f>
        <v>0</v>
      </c>
      <c r="H16" s="60">
        <f>SUMPRODUCT('Base Costs'!$J$4:$J$100,'Base Costs'!$AT$4:$AT$100,'Cost+CPI'!U$4:U$100)</f>
        <v>0</v>
      </c>
      <c r="I16" s="60">
        <f>SUMPRODUCT('Base Costs'!$J$4:$J$100,'Base Costs'!$AT$4:$AT$100,'Cost+CPI'!V$4:V$100)</f>
        <v>0</v>
      </c>
      <c r="J16" s="59">
        <f>SUMPRODUCT('Base Costs'!$J$4:$J$100,'Base Costs'!$AT$4:$AT$100,'Cost+CPI'!W$4:W$100)</f>
        <v>0</v>
      </c>
      <c r="K16" s="61">
        <f>SUMPRODUCT('Base Costs'!$J$4:$J$100,'Base Costs'!$AT$4:$AT$100,'Cost+CPI'!X$4:X$100)</f>
        <v>0</v>
      </c>
      <c r="L16" s="61">
        <f t="shared" si="0"/>
        <v>0</v>
      </c>
      <c r="M16" s="20"/>
      <c r="N16" s="280" t="str">
        <v>Other9</v>
      </c>
      <c r="O16" s="58">
        <f>SUMPRODUCT('Base Costs'!$J$4:$J$100,'Base Costs'!$AT$4:$AT$100,'Cost+CPI'!Y$4:Y$100)</f>
        <v>0</v>
      </c>
      <c r="P16" s="59">
        <f>SUMPRODUCT('Base Costs'!$J$4:$J$100,'Base Costs'!$AT$4:$AT$100,'Cost+CPI'!Z$4:Z$100)</f>
        <v>0</v>
      </c>
      <c r="Q16" s="60">
        <f>SUMPRODUCT('Base Costs'!$J$4:$J$100,'Base Costs'!$AT$4:$AT$100,'Cost+CPI'!AA$4:AA$100)</f>
        <v>0</v>
      </c>
      <c r="R16" s="60">
        <f>SUMPRODUCT('Base Costs'!$J$4:$J$100,'Base Costs'!$AT$4:$AT$100,'Cost+CPI'!AB$4:AB$100)</f>
        <v>0</v>
      </c>
      <c r="S16" s="60">
        <f>SUMPRODUCT('Base Costs'!$J$4:$J$100,'Base Costs'!$AT$4:$AT$100,'Cost+CPI'!AC$4:AC$100)</f>
        <v>0</v>
      </c>
      <c r="T16" s="60">
        <f>SUMPRODUCT('Base Costs'!$J$4:$J$100,'Base Costs'!$AT$4:$AT$100,'Cost+CPI'!AD$4:AD$100)</f>
        <v>0</v>
      </c>
      <c r="U16" s="60">
        <f>SUMPRODUCT('Base Costs'!$J$4:$J$100,'Base Costs'!$AT$4:$AT$100,'Cost+CPI'!AE$4:AE$100)</f>
        <v>0</v>
      </c>
      <c r="V16" s="59">
        <f>SUMPRODUCT('Base Costs'!$J$4:$J$100,'Base Costs'!$AT$4:$AT$100,'Cost+CPI'!AF$4:AF$100)</f>
        <v>0</v>
      </c>
      <c r="W16" s="61">
        <f>SUMPRODUCT('Base Costs'!$J$4:$J$100,'Base Costs'!$AT$4:$AT$100,'Cost+CPI'!AG$4:AG$100)</f>
        <v>0</v>
      </c>
      <c r="X16" s="61">
        <f t="shared" si="1"/>
        <v>0</v>
      </c>
    </row>
    <row r="17" spans="2:24" x14ac:dyDescent="0.3">
      <c r="B17" s="280" t="str">
        <v>Other4</v>
      </c>
      <c r="C17" s="58">
        <f>SUMPRODUCT('Base Costs'!$J$4:$J$100,'Base Costs'!$AU$4:$AU$100,'Cost+CPI'!P$4:P$100)</f>
        <v>0</v>
      </c>
      <c r="D17" s="59">
        <f>SUMPRODUCT('Base Costs'!$J$4:$J$100,'Base Costs'!$AU$4:$AU$100,'Cost+CPI'!Q$4:Q$100)</f>
        <v>0</v>
      </c>
      <c r="E17" s="60">
        <f>SUMPRODUCT('Base Costs'!$J$4:$J$100,'Base Costs'!$AU$4:$AU$100,'Cost+CPI'!R$4:R$100)</f>
        <v>0</v>
      </c>
      <c r="F17" s="60">
        <f>SUMPRODUCT('Base Costs'!$J$4:$J$100,'Base Costs'!$AU$4:$AU$100,'Cost+CPI'!S$4:S$100)</f>
        <v>0</v>
      </c>
      <c r="G17" s="60">
        <f>SUMPRODUCT('Base Costs'!$J$4:$J$100,'Base Costs'!$AU$4:$AU$100,'Cost+CPI'!T$4:T$100)</f>
        <v>0</v>
      </c>
      <c r="H17" s="60">
        <f>SUMPRODUCT('Base Costs'!$J$4:$J$100,'Base Costs'!$AU$4:$AU$100,'Cost+CPI'!U$4:U$100)</f>
        <v>0</v>
      </c>
      <c r="I17" s="60">
        <f>SUMPRODUCT('Base Costs'!$J$4:$J$100,'Base Costs'!$AU$4:$AU$100,'Cost+CPI'!V$4:V$100)</f>
        <v>0</v>
      </c>
      <c r="J17" s="59">
        <f>SUMPRODUCT('Base Costs'!$J$4:$J$100,'Base Costs'!$AU$4:$AU$100,'Cost+CPI'!W$4:W$100)</f>
        <v>0</v>
      </c>
      <c r="K17" s="61">
        <f>SUMPRODUCT('Base Costs'!$J$4:$J$100,'Base Costs'!$AU$4:$AU$100,'Cost+CPI'!X$4:X$100)</f>
        <v>0</v>
      </c>
      <c r="L17" s="61">
        <f t="shared" si="0"/>
        <v>0</v>
      </c>
      <c r="M17" s="20"/>
      <c r="N17" s="280" t="str">
        <v>Other4</v>
      </c>
      <c r="O17" s="58">
        <f>SUMPRODUCT('Base Costs'!$J$4:$J$100,'Base Costs'!$AU$4:$AU$100,'Cost+CPI'!Y$4:Y$100)</f>
        <v>0</v>
      </c>
      <c r="P17" s="59">
        <f>SUMPRODUCT('Base Costs'!$J$4:$J$100,'Base Costs'!$AU$4:$AU$100,'Cost+CPI'!Z$4:Z$100)</f>
        <v>0</v>
      </c>
      <c r="Q17" s="60">
        <f>SUMPRODUCT('Base Costs'!$J$4:$J$100,'Base Costs'!$AU$4:$AU$100,'Cost+CPI'!AA$4:AA$100)</f>
        <v>0</v>
      </c>
      <c r="R17" s="60">
        <f>SUMPRODUCT('Base Costs'!$J$4:$J$100,'Base Costs'!$AU$4:$AU$100,'Cost+CPI'!AB$4:AB$100)</f>
        <v>0</v>
      </c>
      <c r="S17" s="60">
        <f>SUMPRODUCT('Base Costs'!$J$4:$J$100,'Base Costs'!$AU$4:$AU$100,'Cost+CPI'!AC$4:AC$100)</f>
        <v>0</v>
      </c>
      <c r="T17" s="60">
        <f>SUMPRODUCT('Base Costs'!$J$4:$J$100,'Base Costs'!$AU$4:$AU$100,'Cost+CPI'!AD$4:AD$100)</f>
        <v>0</v>
      </c>
      <c r="U17" s="60">
        <f>SUMPRODUCT('Base Costs'!$J$4:$J$100,'Base Costs'!$AU$4:$AU$100,'Cost+CPI'!AE$4:AE$100)</f>
        <v>0</v>
      </c>
      <c r="V17" s="59">
        <f>SUMPRODUCT('Base Costs'!$J$4:$J$100,'Base Costs'!$AU$4:$AU$100,'Cost+CPI'!AF$4:AF$100)</f>
        <v>0</v>
      </c>
      <c r="W17" s="61">
        <f>SUMPRODUCT('Base Costs'!$J$4:$J$100,'Base Costs'!$AU$4:$AU$100,'Cost+CPI'!AG$4:AG$100)</f>
        <v>0</v>
      </c>
      <c r="X17" s="61">
        <f t="shared" si="1"/>
        <v>0</v>
      </c>
    </row>
    <row r="18" spans="2:24" x14ac:dyDescent="0.3">
      <c r="B18" s="280" t="str">
        <v>Com45</v>
      </c>
      <c r="C18" s="58">
        <f>SUMPRODUCT('Base Costs'!$J$4:$J$100,'Base Costs'!$AV$4:$AV$100,'Cost+CPI'!P$4:P$100)</f>
        <v>0</v>
      </c>
      <c r="D18" s="59">
        <f>SUMPRODUCT('Base Costs'!$J$4:$J$100,'Base Costs'!$AV$4:$AV$100,'Cost+CPI'!Q$4:Q$100)</f>
        <v>0</v>
      </c>
      <c r="E18" s="60">
        <f>SUMPRODUCT('Base Costs'!$J$4:$J$100,'Base Costs'!$AV$4:$AV$100,'Cost+CPI'!R$4:R$100)</f>
        <v>0</v>
      </c>
      <c r="F18" s="60">
        <f>SUMPRODUCT('Base Costs'!$J$4:$J$100,'Base Costs'!$AV$4:$AV$100,'Cost+CPI'!S$4:S$100)</f>
        <v>0</v>
      </c>
      <c r="G18" s="60">
        <f>SUMPRODUCT('Base Costs'!$J$4:$J$100,'Base Costs'!$AV$4:$AV$100,'Cost+CPI'!T$4:T$100)</f>
        <v>0</v>
      </c>
      <c r="H18" s="60">
        <f>SUMPRODUCT('Base Costs'!$J$4:$J$100,'Base Costs'!$AV$4:$AV$100,'Cost+CPI'!U$4:U$100)</f>
        <v>0</v>
      </c>
      <c r="I18" s="60">
        <f>SUMPRODUCT('Base Costs'!$J$4:$J$100,'Base Costs'!$AV$4:$AV$100,'Cost+CPI'!V$4:V$100)</f>
        <v>0</v>
      </c>
      <c r="J18" s="59">
        <f>SUMPRODUCT('Base Costs'!$J$4:$J$100,'Base Costs'!$AV$4:$AV$100,'Cost+CPI'!W$4:W$100)</f>
        <v>0</v>
      </c>
      <c r="K18" s="61">
        <f>SUMPRODUCT('Base Costs'!$J$4:$J$100,'Base Costs'!$AV$4:$AV$100,'Cost+CPI'!X$4:X$100)</f>
        <v>0</v>
      </c>
      <c r="L18" s="61">
        <f t="shared" si="0"/>
        <v>0</v>
      </c>
      <c r="M18" s="20"/>
      <c r="N18" s="280" t="str">
        <v>Com45</v>
      </c>
      <c r="O18" s="58">
        <f>SUMPRODUCT('Base Costs'!$J$4:$J$100,'Base Costs'!$AV$4:$AV$100,'Cost+CPI'!Y$4:Y$100)</f>
        <v>0</v>
      </c>
      <c r="P18" s="59">
        <f>SUMPRODUCT('Base Costs'!$J$4:$J$100,'Base Costs'!$AV$4:$AV$100,'Cost+CPI'!Z$4:Z$100)</f>
        <v>0</v>
      </c>
      <c r="Q18" s="60">
        <f>SUMPRODUCT('Base Costs'!$J$4:$J$100,'Base Costs'!$AV$4:$AV$100,'Cost+CPI'!AA$4:AA$100)</f>
        <v>0</v>
      </c>
      <c r="R18" s="60">
        <f>SUMPRODUCT('Base Costs'!$J$4:$J$100,'Base Costs'!$AV$4:$AV$100,'Cost+CPI'!AB$4:AB$100)</f>
        <v>0</v>
      </c>
      <c r="S18" s="60">
        <f>SUMPRODUCT('Base Costs'!$J$4:$J$100,'Base Costs'!$AV$4:$AV$100,'Cost+CPI'!AC$4:AC$100)</f>
        <v>0</v>
      </c>
      <c r="T18" s="60">
        <f>SUMPRODUCT('Base Costs'!$J$4:$J$100,'Base Costs'!$AV$4:$AV$100,'Cost+CPI'!AD$4:AD$100)</f>
        <v>0</v>
      </c>
      <c r="U18" s="60">
        <f>SUMPRODUCT('Base Costs'!$J$4:$J$100,'Base Costs'!$AV$4:$AV$100,'Cost+CPI'!AE$4:AE$100)</f>
        <v>0</v>
      </c>
      <c r="V18" s="59">
        <f>SUMPRODUCT('Base Costs'!$J$4:$J$100,'Base Costs'!$AV$4:$AV$100,'Cost+CPI'!AF$4:AF$100)</f>
        <v>0</v>
      </c>
      <c r="W18" s="61">
        <f>SUMPRODUCT('Base Costs'!$J$4:$J$100,'Base Costs'!$AV$4:$AV$100,'Cost+CPI'!AG$4:AG$100)</f>
        <v>0</v>
      </c>
      <c r="X18" s="61">
        <f t="shared" si="1"/>
        <v>0</v>
      </c>
    </row>
    <row r="19" spans="2:24" ht="15" x14ac:dyDescent="0.25">
      <c r="B19" s="280" t="str">
        <v>Com10</v>
      </c>
      <c r="C19" s="58">
        <f>SUMPRODUCT('Base Costs'!$J$4:$J$100,'Base Costs'!$AW$4:$AW$100,'Cost+CPI'!P$4:P$100)</f>
        <v>0</v>
      </c>
      <c r="D19" s="59">
        <f>SUMPRODUCT('Base Costs'!$J$4:$J$100,'Base Costs'!$AW$4:$AW$100,'Cost+CPI'!Q$4:Q$100)</f>
        <v>0</v>
      </c>
      <c r="E19" s="60">
        <f>SUMPRODUCT('Base Costs'!$J$4:$J$100,'Base Costs'!$AW$4:$AW$100,'Cost+CPI'!R$4:R$100)</f>
        <v>0</v>
      </c>
      <c r="F19" s="60">
        <f>SUMPRODUCT('Base Costs'!$J$4:$J$100,'Base Costs'!$AW$4:$AW$100,'Cost+CPI'!S$4:S$100)</f>
        <v>0</v>
      </c>
      <c r="G19" s="60">
        <f>SUMPRODUCT('Base Costs'!$J$4:$J$100,'Base Costs'!$AW$4:$AW$100,'Cost+CPI'!T$4:T$100)</f>
        <v>0</v>
      </c>
      <c r="H19" s="60">
        <f>SUMPRODUCT('Base Costs'!$J$4:$J$100,'Base Costs'!$AW$4:$AW$100,'Cost+CPI'!U$4:U$100)</f>
        <v>0</v>
      </c>
      <c r="I19" s="60">
        <f>SUMPRODUCT('Base Costs'!$J$4:$J$100,'Base Costs'!$AW$4:$AW$100,'Cost+CPI'!V$4:V$100)</f>
        <v>0</v>
      </c>
      <c r="J19" s="59">
        <f>SUMPRODUCT('Base Costs'!$J$4:$J$100,'Base Costs'!$AW$4:$AW$100,'Cost+CPI'!W$4:W$100)</f>
        <v>0</v>
      </c>
      <c r="K19" s="61">
        <f>SUMPRODUCT('Base Costs'!$J$4:$J$100,'Base Costs'!$AW$4:$AW$100,'Cost+CPI'!X$4:X$100)</f>
        <v>0</v>
      </c>
      <c r="L19" s="61">
        <f t="shared" si="0"/>
        <v>0</v>
      </c>
      <c r="M19" s="20"/>
      <c r="N19" s="280" t="str">
        <v>Com10</v>
      </c>
      <c r="O19" s="58">
        <f>SUMPRODUCT('Base Costs'!$J$4:$J$100,'Base Costs'!$AW$4:$AW$100,'Cost+CPI'!Y$4:Y$100)</f>
        <v>0</v>
      </c>
      <c r="P19" s="59">
        <f>SUMPRODUCT('Base Costs'!$J$4:$J$100,'Base Costs'!$AW$4:$AW$100,'Cost+CPI'!Z$4:Z$100)</f>
        <v>0</v>
      </c>
      <c r="Q19" s="60">
        <f>SUMPRODUCT('Base Costs'!$J$4:$J$100,'Base Costs'!$AW$4:$AW$100,'Cost+CPI'!AA$4:AA$100)</f>
        <v>0</v>
      </c>
      <c r="R19" s="60">
        <f>SUMPRODUCT('Base Costs'!$J$4:$J$100,'Base Costs'!$AW$4:$AW$100,'Cost+CPI'!AB$4:AB$100)</f>
        <v>0</v>
      </c>
      <c r="S19" s="60">
        <f>SUMPRODUCT('Base Costs'!$J$4:$J$100,'Base Costs'!$AW$4:$AW$100,'Cost+CPI'!AC$4:AC$100)</f>
        <v>0</v>
      </c>
      <c r="T19" s="60">
        <f>SUMPRODUCT('Base Costs'!$J$4:$J$100,'Base Costs'!$AW$4:$AW$100,'Cost+CPI'!AD$4:AD$100)</f>
        <v>0</v>
      </c>
      <c r="U19" s="60">
        <f>SUMPRODUCT('Base Costs'!$J$4:$J$100,'Base Costs'!$AW$4:$AW$100,'Cost+CPI'!AE$4:AE$100)</f>
        <v>0</v>
      </c>
      <c r="V19" s="59">
        <f>SUMPRODUCT('Base Costs'!$J$4:$J$100,'Base Costs'!$AW$4:$AW$100,'Cost+CPI'!AF$4:AF$100)</f>
        <v>0</v>
      </c>
      <c r="W19" s="61">
        <f>SUMPRODUCT('Base Costs'!$J$4:$J$100,'Base Costs'!$AW$4:$AW$100,'Cost+CPI'!AG$4:AG$100)</f>
        <v>0</v>
      </c>
      <c r="X19" s="61">
        <f t="shared" si="1"/>
        <v>0</v>
      </c>
    </row>
    <row r="20" spans="2:24" ht="15" x14ac:dyDescent="0.25">
      <c r="B20" s="280" t="str">
        <v>Com5</v>
      </c>
      <c r="C20" s="58">
        <f>SUMPRODUCT('Base Costs'!$J$4:$J$100,'Base Costs'!$AX$4:$AX$100,'Cost+CPI'!P$4:P$100)</f>
        <v>0</v>
      </c>
      <c r="D20" s="59">
        <f>SUMPRODUCT('Base Costs'!$J$4:$J$100,'Base Costs'!$AX$4:$AX$100,'Cost+CPI'!Q$4:Q$100)</f>
        <v>0</v>
      </c>
      <c r="E20" s="60">
        <f>SUMPRODUCT('Base Costs'!$J$4:$J$100,'Base Costs'!$AX$4:$AX$100,'Cost+CPI'!R$4:R$100)</f>
        <v>0</v>
      </c>
      <c r="F20" s="60">
        <f>SUMPRODUCT('Base Costs'!$J$4:$J$100,'Base Costs'!$AX$4:$AX$100,'Cost+CPI'!S$4:S$100)</f>
        <v>0</v>
      </c>
      <c r="G20" s="60">
        <f>SUMPRODUCT('Base Costs'!$J$4:$J$100,'Base Costs'!$AX$4:$AX$100,'Cost+CPI'!T$4:T$100)</f>
        <v>0</v>
      </c>
      <c r="H20" s="60">
        <f>SUMPRODUCT('Base Costs'!$J$4:$J$100,'Base Costs'!$AX$4:$AX$100,'Cost+CPI'!U$4:U$100)</f>
        <v>0</v>
      </c>
      <c r="I20" s="60">
        <f>SUMPRODUCT('Base Costs'!$J$4:$J$100,'Base Costs'!$AX$4:$AX$100,'Cost+CPI'!V$4:V$100)</f>
        <v>0</v>
      </c>
      <c r="J20" s="59">
        <f>SUMPRODUCT('Base Costs'!$J$4:$J$100,'Base Costs'!$AX$4:$AX$100,'Cost+CPI'!W$4:W$100)</f>
        <v>0</v>
      </c>
      <c r="K20" s="61">
        <f>SUMPRODUCT('Base Costs'!$J$4:$J$100,'Base Costs'!$AX$4:$AX$100,'Cost+CPI'!X$4:X$100)</f>
        <v>0</v>
      </c>
      <c r="L20" s="61">
        <f t="shared" si="0"/>
        <v>0</v>
      </c>
      <c r="M20" s="20"/>
      <c r="N20" s="280" t="str">
        <v>Com5</v>
      </c>
      <c r="O20" s="58">
        <f>SUMPRODUCT('Base Costs'!$J$4:$J$100,'Base Costs'!$AX$4:$AX$100,'Cost+CPI'!Y$4:Y$100)</f>
        <v>0</v>
      </c>
      <c r="P20" s="59">
        <f>SUMPRODUCT('Base Costs'!$J$4:$J$100,'Base Costs'!$AX$4:$AX$100,'Cost+CPI'!Z$4:Z$100)</f>
        <v>0</v>
      </c>
      <c r="Q20" s="60">
        <f>SUMPRODUCT('Base Costs'!$J$4:$J$100,'Base Costs'!$AX$4:$AX$100,'Cost+CPI'!AA$4:AA$100)</f>
        <v>0</v>
      </c>
      <c r="R20" s="60">
        <f>SUMPRODUCT('Base Costs'!$J$4:$J$100,'Base Costs'!$AX$4:$AX$100,'Cost+CPI'!AB$4:AB$100)</f>
        <v>0</v>
      </c>
      <c r="S20" s="60">
        <f>SUMPRODUCT('Base Costs'!$J$4:$J$100,'Base Costs'!$AX$4:$AX$100,'Cost+CPI'!AC$4:AC$100)</f>
        <v>0</v>
      </c>
      <c r="T20" s="60">
        <f>SUMPRODUCT('Base Costs'!$J$4:$J$100,'Base Costs'!$AX$4:$AX$100,'Cost+CPI'!AD$4:AD$100)</f>
        <v>0</v>
      </c>
      <c r="U20" s="60">
        <f>SUMPRODUCT('Base Costs'!$J$4:$J$100,'Base Costs'!$AX$4:$AX$100,'Cost+CPI'!AE$4:AE$100)</f>
        <v>0</v>
      </c>
      <c r="V20" s="59">
        <f>SUMPRODUCT('Base Costs'!$J$4:$J$100,'Base Costs'!$AX$4:$AX$100,'Cost+CPI'!AF$4:AF$100)</f>
        <v>0</v>
      </c>
      <c r="W20" s="61">
        <f>SUMPRODUCT('Base Costs'!$J$4:$J$100,'Base Costs'!$AX$4:$AX$100,'Cost+CPI'!AG$4:AG$100)</f>
        <v>0</v>
      </c>
      <c r="X20" s="61">
        <f t="shared" si="1"/>
        <v>0</v>
      </c>
    </row>
    <row r="21" spans="2:24" ht="15" x14ac:dyDescent="0.25">
      <c r="B21" s="280" t="str">
        <v>LB</v>
      </c>
      <c r="C21" s="58">
        <f>SUMPRODUCT('Base Costs'!$J$4:$J$100,'Base Costs'!$AY$4:$AY$100,'Cost+CPI'!P$4:P$100)</f>
        <v>0</v>
      </c>
      <c r="D21" s="59">
        <f>SUMPRODUCT('Base Costs'!$J$4:$J$100,'Base Costs'!$AY$4:$AY$100,'Cost+CPI'!Q$4:Q$100)</f>
        <v>506118.27538195066</v>
      </c>
      <c r="E21" s="60">
        <f>SUMPRODUCT('Base Costs'!$J$4:$J$100,'Base Costs'!$AY$4:$AY$100,'Cost+CPI'!R$4:R$100)</f>
        <v>367112.8770146906</v>
      </c>
      <c r="F21" s="60">
        <f>SUMPRODUCT('Base Costs'!$J$4:$J$100,'Base Costs'!$AY$4:$AY$100,'Cost+CPI'!S$4:S$100)</f>
        <v>425166.27969099826</v>
      </c>
      <c r="G21" s="60">
        <f>SUMPRODUCT('Base Costs'!$J$4:$J$100,'Base Costs'!$AY$4:$AY$100,'Cost+CPI'!T$4:T$100)</f>
        <v>496018.04411575402</v>
      </c>
      <c r="H21" s="60">
        <f>SUMPRODUCT('Base Costs'!$J$4:$J$100,'Base Costs'!$AY$4:$AY$100,'Cost+CPI'!U$4:U$100)</f>
        <v>419508.58467944217</v>
      </c>
      <c r="I21" s="60">
        <f>SUMPRODUCT('Base Costs'!$J$4:$J$100,'Base Costs'!$AY$4:$AY$100,'Cost+CPI'!V$4:V$100)</f>
        <v>441113.2269201756</v>
      </c>
      <c r="J21" s="59">
        <f>SUMPRODUCT('Base Costs'!$J$4:$J$100,'Base Costs'!$AY$4:$AY$100,'Cost+CPI'!W$4:W$100)</f>
        <v>0</v>
      </c>
      <c r="K21" s="61">
        <f>SUMPRODUCT('Base Costs'!$J$4:$J$100,'Base Costs'!$AY$4:$AY$100,'Cost+CPI'!X$4:X$100)</f>
        <v>0</v>
      </c>
      <c r="L21" s="61">
        <f t="shared" si="0"/>
        <v>2655037.287803011</v>
      </c>
      <c r="M21" s="20"/>
      <c r="N21" s="280" t="str">
        <v>LB</v>
      </c>
      <c r="O21" s="58">
        <f>SUMPRODUCT('Base Costs'!$J$4:$J$100,'Base Costs'!$AY$4:$AY$100,'Cost+CPI'!Y$4:Y$100)</f>
        <v>0</v>
      </c>
      <c r="P21" s="59">
        <f>SUMPRODUCT('Base Costs'!$J$4:$J$100,'Base Costs'!$AY$4:$AY$100,'Cost+CPI'!Z$4:Z$100)</f>
        <v>506118.27538195066</v>
      </c>
      <c r="Q21" s="60">
        <f>SUMPRODUCT('Base Costs'!$J$4:$J$100,'Base Costs'!$AY$4:$AY$100,'Cost+CPI'!AA$4:AA$100)</f>
        <v>363252.21523505094</v>
      </c>
      <c r="R21" s="60">
        <f>SUMPRODUCT('Base Costs'!$J$4:$J$100,'Base Costs'!$AY$4:$AY$100,'Cost+CPI'!AB$4:AB$100)</f>
        <v>380688.3215663333</v>
      </c>
      <c r="S21" s="60">
        <f>SUMPRODUCT('Base Costs'!$J$4:$J$100,'Base Costs'!$AY$4:$AY$100,'Cost+CPI'!AC$4:AC$100)</f>
        <v>544356.66402005858</v>
      </c>
      <c r="T21" s="60">
        <f>SUMPRODUCT('Base Costs'!$J$4:$J$100,'Base Costs'!$AY$4:$AY$100,'Cost+CPI'!AD$4:AD$100)</f>
        <v>419508.58467944217</v>
      </c>
      <c r="U21" s="60">
        <f>SUMPRODUCT('Base Costs'!$J$4:$J$100,'Base Costs'!$AY$4:$AY$100,'Cost+CPI'!AE$4:AE$100)</f>
        <v>441113.2269201756</v>
      </c>
      <c r="V21" s="59">
        <f>SUMPRODUCT('Base Costs'!$J$4:$J$100,'Base Costs'!$AY$4:$AY$100,'Cost+CPI'!AF$4:AF$100)</f>
        <v>0</v>
      </c>
      <c r="W21" s="61">
        <f>SUMPRODUCT('Base Costs'!$J$4:$J$100,'Base Costs'!$AY$4:$AY$100,'Cost+CPI'!AG$4:AG$100)</f>
        <v>0</v>
      </c>
      <c r="X21" s="61">
        <f t="shared" si="1"/>
        <v>2655037.287803011</v>
      </c>
    </row>
    <row r="22" spans="2:24" ht="15" x14ac:dyDescent="0.25">
      <c r="B22" s="280">
        <v>0</v>
      </c>
      <c r="C22" s="58">
        <f>SUMPRODUCT('Base Costs'!$J$4:$J$100,'Base Costs'!$AZ$4:$AZ$100,'Cost+CPI'!P$4:P$100)</f>
        <v>0</v>
      </c>
      <c r="D22" s="59">
        <f>SUMPRODUCT('Base Costs'!$J$4:$J$100,'Base Costs'!$AZ$4:$AZ$100,'Cost+CPI'!Q$4:Q$100)</f>
        <v>0</v>
      </c>
      <c r="E22" s="60">
        <f>SUMPRODUCT('Base Costs'!$J$4:$J$100,'Base Costs'!$AZ$4:$AZ$100,'Cost+CPI'!R$4:R$100)</f>
        <v>0</v>
      </c>
      <c r="F22" s="60">
        <f>SUMPRODUCT('Base Costs'!$J$4:$J$100,'Base Costs'!$AZ$4:$AZ$100,'Cost+CPI'!S$4:S$100)</f>
        <v>0</v>
      </c>
      <c r="G22" s="60">
        <f>SUMPRODUCT('Base Costs'!$J$4:$J$100,'Base Costs'!$AZ$4:$AZ$100,'Cost+CPI'!T$4:T$100)</f>
        <v>0</v>
      </c>
      <c r="H22" s="60">
        <f>SUMPRODUCT('Base Costs'!$J$4:$J$100,'Base Costs'!$AZ$4:$AZ$100,'Cost+CPI'!U$4:U$100)</f>
        <v>0</v>
      </c>
      <c r="I22" s="60">
        <f>SUMPRODUCT('Base Costs'!$J$4:$J$100,'Base Costs'!$AZ$4:$AZ$100,'Cost+CPI'!V$4:V$100)</f>
        <v>0</v>
      </c>
      <c r="J22" s="59">
        <f>SUMPRODUCT('Base Costs'!$J$4:$J$100,'Base Costs'!$AZ$4:$AZ$100,'Cost+CPI'!W$4:W$100)</f>
        <v>0</v>
      </c>
      <c r="K22" s="61">
        <f>SUMPRODUCT('Base Costs'!$J$4:$J$100,'Base Costs'!$AZ$4:$AZ$100,'Cost+CPI'!X$4:X$100)</f>
        <v>0</v>
      </c>
      <c r="L22" s="61">
        <f t="shared" si="0"/>
        <v>0</v>
      </c>
      <c r="M22" s="20"/>
      <c r="N22" s="280">
        <v>0</v>
      </c>
      <c r="O22" s="58">
        <f>SUMPRODUCT('Base Costs'!$J$4:$J$100,'Base Costs'!$AZ$4:$AZ$100,'Cost+CPI'!Y$4:Y$100)</f>
        <v>0</v>
      </c>
      <c r="P22" s="59">
        <f>SUMPRODUCT('Base Costs'!$J$4:$J$100,'Base Costs'!$AZ$4:$AZ$100,'Cost+CPI'!Z$4:Z$100)</f>
        <v>0</v>
      </c>
      <c r="Q22" s="60">
        <f>SUMPRODUCT('Base Costs'!$J$4:$J$100,'Base Costs'!$AZ$4:$AZ$100,'Cost+CPI'!AA$4:AA$100)</f>
        <v>0</v>
      </c>
      <c r="R22" s="60">
        <f>SUMPRODUCT('Base Costs'!$J$4:$J$100,'Base Costs'!$AZ$4:$AZ$100,'Cost+CPI'!AB$4:AB$100)</f>
        <v>0</v>
      </c>
      <c r="S22" s="60">
        <f>SUMPRODUCT('Base Costs'!$J$4:$J$100,'Base Costs'!$AZ$4:$AZ$100,'Cost+CPI'!AC$4:AC$100)</f>
        <v>0</v>
      </c>
      <c r="T22" s="60">
        <f>SUMPRODUCT('Base Costs'!$J$4:$J$100,'Base Costs'!$AZ$4:$AZ$100,'Cost+CPI'!AD$4:AD$100)</f>
        <v>0</v>
      </c>
      <c r="U22" s="60">
        <f>SUMPRODUCT('Base Costs'!$J$4:$J$100,'Base Costs'!$AZ$4:$AZ$100,'Cost+CPI'!AE$4:AE$100)</f>
        <v>0</v>
      </c>
      <c r="V22" s="59">
        <f>SUMPRODUCT('Base Costs'!$J$4:$J$100,'Base Costs'!$AZ$4:$AZ$100,'Cost+CPI'!AF$4:AF$100)</f>
        <v>0</v>
      </c>
      <c r="W22" s="61">
        <f>SUMPRODUCT('Base Costs'!$J$4:$J$100,'Base Costs'!$AZ$4:$AZ$100,'Cost+CPI'!AG$4:AG$100)</f>
        <v>0</v>
      </c>
      <c r="X22" s="61">
        <f t="shared" si="1"/>
        <v>0</v>
      </c>
    </row>
    <row r="23" spans="2:24" ht="15" x14ac:dyDescent="0.25">
      <c r="B23" s="280">
        <v>0</v>
      </c>
      <c r="C23" s="58">
        <f>SUMPRODUCT('Base Costs'!$J$4:$J$100,'Base Costs'!$BA$4:$BA$100,'Cost+CPI'!P$4:P$100)</f>
        <v>0</v>
      </c>
      <c r="D23" s="59">
        <f>SUMPRODUCT('Base Costs'!$J$4:$J$100,'Base Costs'!$BA$4:$BA$100,'Cost+CPI'!Q$4:Q$100)</f>
        <v>0</v>
      </c>
      <c r="E23" s="60">
        <f>SUMPRODUCT('Base Costs'!$J$4:$J$100,'Base Costs'!$BA$4:$BA$100,'Cost+CPI'!R$4:R$100)</f>
        <v>0</v>
      </c>
      <c r="F23" s="60">
        <f>SUMPRODUCT('Base Costs'!$J$4:$J$100,'Base Costs'!$BA$4:$BA$100,'Cost+CPI'!S$4:S$100)</f>
        <v>0</v>
      </c>
      <c r="G23" s="60">
        <f>SUMPRODUCT('Base Costs'!$J$4:$J$100,'Base Costs'!$BA$4:$BA$100,'Cost+CPI'!T$4:T$100)</f>
        <v>0</v>
      </c>
      <c r="H23" s="60">
        <f>SUMPRODUCT('Base Costs'!$J$4:$J$100,'Base Costs'!$BA$4:$BA$100,'Cost+CPI'!U$4:U$100)</f>
        <v>0</v>
      </c>
      <c r="I23" s="60">
        <f>SUMPRODUCT('Base Costs'!$J$4:$J$100,'Base Costs'!$BA$4:$BA$100,'Cost+CPI'!V$4:V$100)</f>
        <v>0</v>
      </c>
      <c r="J23" s="59">
        <f>SUMPRODUCT('Base Costs'!$J$4:$J$100,'Base Costs'!$BA$4:$BA$100,'Cost+CPI'!W$4:W$100)</f>
        <v>0</v>
      </c>
      <c r="K23" s="61">
        <f>SUMPRODUCT('Base Costs'!$J$4:$J$100,'Base Costs'!$BA$4:$BA$100,'Cost+CPI'!X$4:X$100)</f>
        <v>0</v>
      </c>
      <c r="L23" s="61">
        <f t="shared" si="0"/>
        <v>0</v>
      </c>
      <c r="M23" s="20"/>
      <c r="N23" s="280">
        <v>0</v>
      </c>
      <c r="O23" s="58">
        <f>SUMPRODUCT('Base Costs'!$J$4:$J$100,'Base Costs'!$BA$4:$BA$100,'Cost+CPI'!Y$4:Y$100)</f>
        <v>0</v>
      </c>
      <c r="P23" s="59">
        <f>SUMPRODUCT('Base Costs'!$J$4:$J$100,'Base Costs'!$BA$4:$BA$100,'Cost+CPI'!Z$4:Z$100)</f>
        <v>0</v>
      </c>
      <c r="Q23" s="60">
        <f>SUMPRODUCT('Base Costs'!$J$4:$J$100,'Base Costs'!$BA$4:$BA$100,'Cost+CPI'!AA$4:AA$100)</f>
        <v>0</v>
      </c>
      <c r="R23" s="60">
        <f>SUMPRODUCT('Base Costs'!$J$4:$J$100,'Base Costs'!$BA$4:$BA$100,'Cost+CPI'!AB$4:AB$100)</f>
        <v>0</v>
      </c>
      <c r="S23" s="60">
        <f>SUMPRODUCT('Base Costs'!$J$4:$J$100,'Base Costs'!$BA$4:$BA$100,'Cost+CPI'!AC$4:AC$100)</f>
        <v>0</v>
      </c>
      <c r="T23" s="60">
        <f>SUMPRODUCT('Base Costs'!$J$4:$J$100,'Base Costs'!$BA$4:$BA$100,'Cost+CPI'!AD$4:AD$100)</f>
        <v>0</v>
      </c>
      <c r="U23" s="60">
        <f>SUMPRODUCT('Base Costs'!$J$4:$J$100,'Base Costs'!$BA$4:$BA$100,'Cost+CPI'!AE$4:AE$100)</f>
        <v>0</v>
      </c>
      <c r="V23" s="59">
        <f>SUMPRODUCT('Base Costs'!$J$4:$J$100,'Base Costs'!$BA$4:$BA$100,'Cost+CPI'!AF$4:AF$100)</f>
        <v>0</v>
      </c>
      <c r="W23" s="61">
        <f>SUMPRODUCT('Base Costs'!$J$4:$J$100,'Base Costs'!$BA$4:$BA$100,'Cost+CPI'!AG$4:AG$100)</f>
        <v>0</v>
      </c>
      <c r="X23" s="61">
        <f t="shared" si="1"/>
        <v>0</v>
      </c>
    </row>
    <row r="24" spans="2:24" ht="15" x14ac:dyDescent="0.25">
      <c r="B24" s="280">
        <v>0</v>
      </c>
      <c r="C24" s="58">
        <f>SUMPRODUCT('Base Costs'!$J$4:$J$100,'Base Costs'!$BB$4:$BB$100,'Cost+CPI'!P$4:P$100)</f>
        <v>0</v>
      </c>
      <c r="D24" s="59">
        <f>SUMPRODUCT('Base Costs'!$J$4:$J$100,'Base Costs'!$BB$4:$BB$100,'Cost+CPI'!Q$4:Q$100)</f>
        <v>0</v>
      </c>
      <c r="E24" s="60">
        <f>SUMPRODUCT('Base Costs'!$J$4:$J$100,'Base Costs'!$BB$4:$BB$100,'Cost+CPI'!R$4:R$100)</f>
        <v>0</v>
      </c>
      <c r="F24" s="60">
        <f>SUMPRODUCT('Base Costs'!$J$4:$J$100,'Base Costs'!$BB$4:$BB$100,'Cost+CPI'!S$4:S$100)</f>
        <v>0</v>
      </c>
      <c r="G24" s="60">
        <f>SUMPRODUCT('Base Costs'!$J$4:$J$100,'Base Costs'!$BB$4:$BB$100,'Cost+CPI'!T$4:T$100)</f>
        <v>0</v>
      </c>
      <c r="H24" s="60">
        <f>SUMPRODUCT('Base Costs'!$J$4:$J$100,'Base Costs'!$BB$4:$BB$100,'Cost+CPI'!U$4:U$100)</f>
        <v>0</v>
      </c>
      <c r="I24" s="60">
        <f>SUMPRODUCT('Base Costs'!$J$4:$J$100,'Base Costs'!$BB$4:$BB$100,'Cost+CPI'!V$4:V$100)</f>
        <v>0</v>
      </c>
      <c r="J24" s="59">
        <f>SUMPRODUCT('Base Costs'!$J$4:$J$100,'Base Costs'!$BB$4:$BB$100,'Cost+CPI'!W$4:W$100)</f>
        <v>0</v>
      </c>
      <c r="K24" s="61">
        <f>SUMPRODUCT('Base Costs'!$J$4:$J$100,'Base Costs'!$BB$4:$BB$100,'Cost+CPI'!X$4:X$100)</f>
        <v>0</v>
      </c>
      <c r="L24" s="61">
        <f t="shared" si="0"/>
        <v>0</v>
      </c>
      <c r="M24" s="20"/>
      <c r="N24" s="280">
        <v>0</v>
      </c>
      <c r="O24" s="58">
        <f>SUMPRODUCT('Base Costs'!$J$4:$J$100,'Base Costs'!$BB$4:$BB$100,'Cost+CPI'!Y$4:Y$100)</f>
        <v>0</v>
      </c>
      <c r="P24" s="59">
        <f>SUMPRODUCT('Base Costs'!$J$4:$J$100,'Base Costs'!$BB$4:$BB$100,'Cost+CPI'!Z$4:Z$100)</f>
        <v>0</v>
      </c>
      <c r="Q24" s="60">
        <f>SUMPRODUCT('Base Costs'!$J$4:$J$100,'Base Costs'!$BB$4:$BB$100,'Cost+CPI'!AA$4:AA$100)</f>
        <v>0</v>
      </c>
      <c r="R24" s="60">
        <f>SUMPRODUCT('Base Costs'!$J$4:$J$100,'Base Costs'!$BB$4:$BB$100,'Cost+CPI'!AB$4:AB$100)</f>
        <v>0</v>
      </c>
      <c r="S24" s="60">
        <f>SUMPRODUCT('Base Costs'!$J$4:$J$100,'Base Costs'!$BB$4:$BB$100,'Cost+CPI'!AC$4:AC$100)</f>
        <v>0</v>
      </c>
      <c r="T24" s="60">
        <f>SUMPRODUCT('Base Costs'!$J$4:$J$100,'Base Costs'!$BB$4:$BB$100,'Cost+CPI'!AD$4:AD$100)</f>
        <v>0</v>
      </c>
      <c r="U24" s="60">
        <f>SUMPRODUCT('Base Costs'!$J$4:$J$100,'Base Costs'!$BB$4:$BB$100,'Cost+CPI'!AE$4:AE$100)</f>
        <v>0</v>
      </c>
      <c r="V24" s="59">
        <f>SUMPRODUCT('Base Costs'!$J$4:$J$100,'Base Costs'!$BB$4:$BB$100,'Cost+CPI'!AF$4:AF$100)</f>
        <v>0</v>
      </c>
      <c r="W24" s="61">
        <f>SUMPRODUCT('Base Costs'!$J$4:$J$100,'Base Costs'!$BB$4:$BB$100,'Cost+CPI'!AG$4:AG$100)</f>
        <v>0</v>
      </c>
      <c r="X24" s="61">
        <f t="shared" si="1"/>
        <v>0</v>
      </c>
    </row>
    <row r="25" spans="2:24" ht="15" x14ac:dyDescent="0.25">
      <c r="B25" s="280">
        <v>0</v>
      </c>
      <c r="C25" s="58">
        <f>SUMPRODUCT('Base Costs'!$J$4:$J$100,'Base Costs'!$BC$4:$BC$100,'Cost+CPI'!P$4:P$100)</f>
        <v>0</v>
      </c>
      <c r="D25" s="59">
        <f>SUMPRODUCT('Base Costs'!$J$4:$J$100,'Base Costs'!$BC$4:$BC$100,'Cost+CPI'!Q$4:Q$100)</f>
        <v>0</v>
      </c>
      <c r="E25" s="60">
        <f>SUMPRODUCT('Base Costs'!$J$4:$J$100,'Base Costs'!$BC$4:$BC$100,'Cost+CPI'!R$4:R$100)</f>
        <v>0</v>
      </c>
      <c r="F25" s="60">
        <f>SUMPRODUCT('Base Costs'!$J$4:$J$100,'Base Costs'!$BC$4:$BC$100,'Cost+CPI'!S$4:S$100)</f>
        <v>0</v>
      </c>
      <c r="G25" s="60">
        <f>SUMPRODUCT('Base Costs'!$J$4:$J$100,'Base Costs'!$BC$4:$BC$100,'Cost+CPI'!T$4:T$100)</f>
        <v>0</v>
      </c>
      <c r="H25" s="60">
        <f>SUMPRODUCT('Base Costs'!$J$4:$J$100,'Base Costs'!$BC$4:$BC$100,'Cost+CPI'!U$4:U$100)</f>
        <v>0</v>
      </c>
      <c r="I25" s="60">
        <f>SUMPRODUCT('Base Costs'!$J$4:$J$100,'Base Costs'!$BC$4:$BC$100,'Cost+CPI'!V$4:V$100)</f>
        <v>0</v>
      </c>
      <c r="J25" s="59">
        <f>SUMPRODUCT('Base Costs'!$J$4:$J$100,'Base Costs'!$BC$4:$BC$100,'Cost+CPI'!W$4:W$100)</f>
        <v>0</v>
      </c>
      <c r="K25" s="61">
        <f>SUMPRODUCT('Base Costs'!$J$4:$J$100,'Base Costs'!$BC$4:$BC$100,'Cost+CPI'!X$4:X$100)</f>
        <v>0</v>
      </c>
      <c r="L25" s="61">
        <f t="shared" si="0"/>
        <v>0</v>
      </c>
      <c r="M25" s="20"/>
      <c r="N25" s="280">
        <v>0</v>
      </c>
      <c r="O25" s="58">
        <f>SUMPRODUCT('Base Costs'!$J$4:$J$100,'Base Costs'!$BC$4:$BC$100,'Cost+CPI'!Y$4:Y$100)</f>
        <v>0</v>
      </c>
      <c r="P25" s="59">
        <f>SUMPRODUCT('Base Costs'!$J$4:$J$100,'Base Costs'!$BC$4:$BC$100,'Cost+CPI'!Z$4:Z$100)</f>
        <v>0</v>
      </c>
      <c r="Q25" s="60">
        <f>SUMPRODUCT('Base Costs'!$J$4:$J$100,'Base Costs'!$BC$4:$BC$100,'Cost+CPI'!AA$4:AA$100)</f>
        <v>0</v>
      </c>
      <c r="R25" s="60">
        <f>SUMPRODUCT('Base Costs'!$J$4:$J$100,'Base Costs'!$BC$4:$BC$100,'Cost+CPI'!AB$4:AB$100)</f>
        <v>0</v>
      </c>
      <c r="S25" s="60">
        <f>SUMPRODUCT('Base Costs'!$J$4:$J$100,'Base Costs'!$BC$4:$BC$100,'Cost+CPI'!AC$4:AC$100)</f>
        <v>0</v>
      </c>
      <c r="T25" s="60">
        <f>SUMPRODUCT('Base Costs'!$J$4:$J$100,'Base Costs'!$BC$4:$BC$100,'Cost+CPI'!AD$4:AD$100)</f>
        <v>0</v>
      </c>
      <c r="U25" s="60">
        <f>SUMPRODUCT('Base Costs'!$J$4:$J$100,'Base Costs'!$BC$4:$BC$100,'Cost+CPI'!AE$4:AE$100)</f>
        <v>0</v>
      </c>
      <c r="V25" s="59">
        <f>SUMPRODUCT('Base Costs'!$J$4:$J$100,'Base Costs'!$BC$4:$BC$100,'Cost+CPI'!AF$4:AF$100)</f>
        <v>0</v>
      </c>
      <c r="W25" s="61">
        <f>SUMPRODUCT('Base Costs'!$J$4:$J$100,'Base Costs'!$BC$4:$BC$100,'Cost+CPI'!AG$4:AG$100)</f>
        <v>0</v>
      </c>
      <c r="X25" s="61">
        <f t="shared" si="1"/>
        <v>0</v>
      </c>
    </row>
    <row r="26" spans="2:24" ht="15" x14ac:dyDescent="0.25">
      <c r="B26" s="280">
        <v>0</v>
      </c>
      <c r="C26" s="58">
        <f>SUMPRODUCT('Base Costs'!$J$4:$J$100,'Base Costs'!$BD$4:$BD$100,'Cost+CPI'!P$4:P$100)</f>
        <v>0</v>
      </c>
      <c r="D26" s="59">
        <f>SUMPRODUCT('Base Costs'!$J$4:$J$100,'Base Costs'!$BD$4:$BD$100,'Cost+CPI'!Q$4:Q$100)</f>
        <v>0</v>
      </c>
      <c r="E26" s="60">
        <f>SUMPRODUCT('Base Costs'!$J$4:$J$100,'Base Costs'!$BD$4:$BD$100,'Cost+CPI'!R$4:R$100)</f>
        <v>0</v>
      </c>
      <c r="F26" s="60">
        <f>SUMPRODUCT('Base Costs'!$J$4:$J$100,'Base Costs'!$BD$4:$BD$100,'Cost+CPI'!S$4:S$100)</f>
        <v>0</v>
      </c>
      <c r="G26" s="60">
        <f>SUMPRODUCT('Base Costs'!$J$4:$J$100,'Base Costs'!$BD$4:$BD$100,'Cost+CPI'!T$4:T$100)</f>
        <v>0</v>
      </c>
      <c r="H26" s="60">
        <f>SUMPRODUCT('Base Costs'!$J$4:$J$100,'Base Costs'!$BD$4:$BD$100,'Cost+CPI'!U$4:U$100)</f>
        <v>0</v>
      </c>
      <c r="I26" s="60">
        <f>SUMPRODUCT('Base Costs'!$J$4:$J$100,'Base Costs'!$BD$4:$BD$100,'Cost+CPI'!V$4:V$100)</f>
        <v>0</v>
      </c>
      <c r="J26" s="59">
        <f>SUMPRODUCT('Base Costs'!$J$4:$J$100,'Base Costs'!$BD$4:$BD$100,'Cost+CPI'!W$4:W$100)</f>
        <v>0</v>
      </c>
      <c r="K26" s="61">
        <f>SUMPRODUCT('Base Costs'!$J$4:$J$100,'Base Costs'!$BD$4:$BD$100,'Cost+CPI'!X$4:X$100)</f>
        <v>0</v>
      </c>
      <c r="L26" s="61">
        <f t="shared" si="0"/>
        <v>0</v>
      </c>
      <c r="M26" s="20"/>
      <c r="N26" s="280">
        <v>0</v>
      </c>
      <c r="O26" s="58">
        <f>SUMPRODUCT('Base Costs'!$J$4:$J$100,'Base Costs'!$BD$4:$BD$100,'Cost+CPI'!Y$4:Y$100)</f>
        <v>0</v>
      </c>
      <c r="P26" s="59">
        <f>SUMPRODUCT('Base Costs'!$J$4:$J$100,'Base Costs'!$BD$4:$BD$100,'Cost+CPI'!Z$4:Z$100)</f>
        <v>0</v>
      </c>
      <c r="Q26" s="60">
        <f>SUMPRODUCT('Base Costs'!$J$4:$J$100,'Base Costs'!$BD$4:$BD$100,'Cost+CPI'!AA$4:AA$100)</f>
        <v>0</v>
      </c>
      <c r="R26" s="60">
        <f>SUMPRODUCT('Base Costs'!$J$4:$J$100,'Base Costs'!$BD$4:$BD$100,'Cost+CPI'!AB$4:AB$100)</f>
        <v>0</v>
      </c>
      <c r="S26" s="60">
        <f>SUMPRODUCT('Base Costs'!$J$4:$J$100,'Base Costs'!$BD$4:$BD$100,'Cost+CPI'!AC$4:AC$100)</f>
        <v>0</v>
      </c>
      <c r="T26" s="60">
        <f>SUMPRODUCT('Base Costs'!$J$4:$J$100,'Base Costs'!$BD$4:$BD$100,'Cost+CPI'!AD$4:AD$100)</f>
        <v>0</v>
      </c>
      <c r="U26" s="60">
        <f>SUMPRODUCT('Base Costs'!$J$4:$J$100,'Base Costs'!$BD$4:$BD$100,'Cost+CPI'!AE$4:AE$100)</f>
        <v>0</v>
      </c>
      <c r="V26" s="59">
        <f>SUMPRODUCT('Base Costs'!$J$4:$J$100,'Base Costs'!$BD$4:$BD$100,'Cost+CPI'!AF$4:AF$100)</f>
        <v>0</v>
      </c>
      <c r="W26" s="61">
        <f>SUMPRODUCT('Base Costs'!$J$4:$J$100,'Base Costs'!$BD$4:$BD$100,'Cost+CPI'!AG$4:AG$100)</f>
        <v>0</v>
      </c>
      <c r="X26" s="61">
        <f t="shared" si="1"/>
        <v>0</v>
      </c>
    </row>
    <row r="27" spans="2:24" ht="15" x14ac:dyDescent="0.25">
      <c r="B27" s="280">
        <v>0</v>
      </c>
      <c r="C27" s="58">
        <f>SUMPRODUCT('Base Costs'!$J$4:$J$100,'Base Costs'!$BE$4:$BE$100,'Cost+CPI'!P$4:P$100)</f>
        <v>0</v>
      </c>
      <c r="D27" s="59">
        <f>SUMPRODUCT('Base Costs'!$J$4:$J$100,'Base Costs'!$BE$4:$BE$100,'Cost+CPI'!Q$4:Q$100)</f>
        <v>0</v>
      </c>
      <c r="E27" s="60">
        <f>SUMPRODUCT('Base Costs'!$J$4:$J$100,'Base Costs'!$BE$4:$BE$100,'Cost+CPI'!R$4:R$100)</f>
        <v>0</v>
      </c>
      <c r="F27" s="60">
        <f>SUMPRODUCT('Base Costs'!$J$4:$J$100,'Base Costs'!$BE$4:$BE$100,'Cost+CPI'!S$4:S$100)</f>
        <v>0</v>
      </c>
      <c r="G27" s="60">
        <f>SUMPRODUCT('Base Costs'!$J$4:$J$100,'Base Costs'!$BE$4:$BE$100,'Cost+CPI'!T$4:T$100)</f>
        <v>0</v>
      </c>
      <c r="H27" s="60">
        <f>SUMPRODUCT('Base Costs'!$J$4:$J$100,'Base Costs'!$BE$4:$BE$100,'Cost+CPI'!U$4:U$100)</f>
        <v>0</v>
      </c>
      <c r="I27" s="60">
        <f>SUMPRODUCT('Base Costs'!$J$4:$J$100,'Base Costs'!$BE$4:$BE$100,'Cost+CPI'!V$4:V$100)</f>
        <v>0</v>
      </c>
      <c r="J27" s="59">
        <f>SUMPRODUCT('Base Costs'!$J$4:$J$100,'Base Costs'!$BE$4:$BE$100,'Cost+CPI'!W$4:W$100)</f>
        <v>0</v>
      </c>
      <c r="K27" s="61">
        <f>SUMPRODUCT('Base Costs'!$J$4:$J$100,'Base Costs'!$BE$4:$BE$100,'Cost+CPI'!X$4:X$100)</f>
        <v>0</v>
      </c>
      <c r="L27" s="61">
        <f t="shared" si="0"/>
        <v>0</v>
      </c>
      <c r="M27" s="20"/>
      <c r="N27" s="280">
        <v>0</v>
      </c>
      <c r="O27" s="58">
        <f>SUMPRODUCT('Base Costs'!$J$4:$J$100,'Base Costs'!$BE$4:$BE$100,'Cost+CPI'!Y$4:Y$100)</f>
        <v>0</v>
      </c>
      <c r="P27" s="59">
        <f>SUMPRODUCT('Base Costs'!$J$4:$J$100,'Base Costs'!$BE$4:$BE$100,'Cost+CPI'!Z$4:Z$100)</f>
        <v>0</v>
      </c>
      <c r="Q27" s="60">
        <f>SUMPRODUCT('Base Costs'!$J$4:$J$100,'Base Costs'!$BE$4:$BE$100,'Cost+CPI'!AA$4:AA$100)</f>
        <v>0</v>
      </c>
      <c r="R27" s="60">
        <f>SUMPRODUCT('Base Costs'!$J$4:$J$100,'Base Costs'!$BE$4:$BE$100,'Cost+CPI'!AB$4:AB$100)</f>
        <v>0</v>
      </c>
      <c r="S27" s="60">
        <f>SUMPRODUCT('Base Costs'!$J$4:$J$100,'Base Costs'!$BE$4:$BE$100,'Cost+CPI'!AC$4:AC$100)</f>
        <v>0</v>
      </c>
      <c r="T27" s="60">
        <f>SUMPRODUCT('Base Costs'!$J$4:$J$100,'Base Costs'!$BE$4:$BE$100,'Cost+CPI'!AD$4:AD$100)</f>
        <v>0</v>
      </c>
      <c r="U27" s="60">
        <f>SUMPRODUCT('Base Costs'!$J$4:$J$100,'Base Costs'!$BE$4:$BE$100,'Cost+CPI'!AE$4:AE$100)</f>
        <v>0</v>
      </c>
      <c r="V27" s="59">
        <f>SUMPRODUCT('Base Costs'!$J$4:$J$100,'Base Costs'!$BE$4:$BE$100,'Cost+CPI'!AF$4:AF$100)</f>
        <v>0</v>
      </c>
      <c r="W27" s="61">
        <f>SUMPRODUCT('Base Costs'!$J$4:$J$100,'Base Costs'!$BE$4:$BE$100,'Cost+CPI'!AG$4:AG$100)</f>
        <v>0</v>
      </c>
      <c r="X27" s="61">
        <f t="shared" si="1"/>
        <v>0</v>
      </c>
    </row>
    <row r="28" spans="2:24" ht="15" thickBot="1" x14ac:dyDescent="0.35">
      <c r="B28" s="281">
        <v>0</v>
      </c>
      <c r="C28" s="282">
        <f>SUMPRODUCT('Base Costs'!$J$4:$J$100,'Base Costs'!$BF$4:$BF$100,'Cost+CPI'!P$4:P$100)</f>
        <v>0</v>
      </c>
      <c r="D28" s="283">
        <f>SUMPRODUCT('Base Costs'!$J$4:$J$100,'Base Costs'!$BF$4:$BF$100,'Cost+CPI'!Q$4:Q$100)</f>
        <v>0</v>
      </c>
      <c r="E28" s="298">
        <f>SUMPRODUCT('Base Costs'!$J$4:$J$100,'Base Costs'!$BF$4:$BF$100,'Cost+CPI'!R$4:R$100)</f>
        <v>0</v>
      </c>
      <c r="F28" s="298">
        <f>SUMPRODUCT('Base Costs'!$J$4:$J$100,'Base Costs'!$BF$4:$BF$100,'Cost+CPI'!S$4:S$100)</f>
        <v>0</v>
      </c>
      <c r="G28" s="298">
        <f>SUMPRODUCT('Base Costs'!$J$4:$J$100,'Base Costs'!$BF$4:$BF$100,'Cost+CPI'!T$4:T$100)</f>
        <v>0</v>
      </c>
      <c r="H28" s="298">
        <f>SUMPRODUCT('Base Costs'!$J$4:$J$100,'Base Costs'!$BF$4:$BF$100,'Cost+CPI'!U$4:U$100)</f>
        <v>0</v>
      </c>
      <c r="I28" s="298">
        <f>SUMPRODUCT('Base Costs'!$J$4:$J$100,'Base Costs'!$BF$4:$BF$100,'Cost+CPI'!V$4:V$100)</f>
        <v>0</v>
      </c>
      <c r="J28" s="283">
        <f>SUMPRODUCT('Base Costs'!$J$4:$J$100,'Base Costs'!$BF$4:$BF$100,'Cost+CPI'!W$4:W$100)</f>
        <v>0</v>
      </c>
      <c r="K28" s="284">
        <f>SUMPRODUCT('Base Costs'!$J$4:$J$100,'Base Costs'!$BF$4:$BF$100,'Cost+CPI'!X$4:X$100)</f>
        <v>0</v>
      </c>
      <c r="L28" s="284">
        <f t="shared" si="0"/>
        <v>0</v>
      </c>
      <c r="M28" s="20"/>
      <c r="N28" s="281">
        <v>0</v>
      </c>
      <c r="O28" s="282">
        <f>SUMPRODUCT('Base Costs'!$J$4:$J$100,'Base Costs'!$BF$4:$BF$100,'Cost+CPI'!Y$4:Y$100)</f>
        <v>0</v>
      </c>
      <c r="P28" s="283">
        <f>SUMPRODUCT('Base Costs'!$J$4:$J$100,'Base Costs'!$BF$4:$BF$100,'Cost+CPI'!Z$4:Z$100)</f>
        <v>0</v>
      </c>
      <c r="Q28" s="298">
        <f>SUMPRODUCT('Base Costs'!$J$4:$J$100,'Base Costs'!$BF$4:$BF$100,'Cost+CPI'!AA$4:AA$100)</f>
        <v>0</v>
      </c>
      <c r="R28" s="298">
        <f>SUMPRODUCT('Base Costs'!$J$4:$J$100,'Base Costs'!$BF$4:$BF$100,'Cost+CPI'!AB$4:AB$100)</f>
        <v>0</v>
      </c>
      <c r="S28" s="298">
        <f>SUMPRODUCT('Base Costs'!$J$4:$J$100,'Base Costs'!$BF$4:$BF$100,'Cost+CPI'!AC$4:AC$100)</f>
        <v>0</v>
      </c>
      <c r="T28" s="298">
        <f>SUMPRODUCT('Base Costs'!$J$4:$J$100,'Base Costs'!$BF$4:$BF$100,'Cost+CPI'!AD$4:AD$100)</f>
        <v>0</v>
      </c>
      <c r="U28" s="298">
        <f>SUMPRODUCT('Base Costs'!$J$4:$J$100,'Base Costs'!$BF$4:$BF$100,'Cost+CPI'!AE$4:AE$100)</f>
        <v>0</v>
      </c>
      <c r="V28" s="283">
        <f>SUMPRODUCT('Base Costs'!$J$4:$J$100,'Base Costs'!$BF$4:$BF$100,'Cost+CPI'!AF$4:AF$100)</f>
        <v>0</v>
      </c>
      <c r="W28" s="284">
        <f>SUMPRODUCT('Base Costs'!$J$4:$J$100,'Base Costs'!$BF$4:$BF$100,'Cost+CPI'!AG$4:AG$100)</f>
        <v>0</v>
      </c>
      <c r="X28" s="284">
        <f t="shared" si="1"/>
        <v>0</v>
      </c>
    </row>
    <row r="29" spans="2:24" x14ac:dyDescent="0.3">
      <c r="B29" s="20" t="s">
        <v>12</v>
      </c>
      <c r="C29" s="62">
        <f>SUM(C5:C28)</f>
        <v>0</v>
      </c>
      <c r="D29" s="62">
        <f t="shared" ref="D29:K29" si="2">SUM(D5:D28)</f>
        <v>506118.27538195066</v>
      </c>
      <c r="E29" s="63">
        <f t="shared" si="2"/>
        <v>738637.11899436219</v>
      </c>
      <c r="F29" s="63">
        <f t="shared" si="2"/>
        <v>4705427.1832017358</v>
      </c>
      <c r="G29" s="63">
        <f t="shared" si="2"/>
        <v>10429182.818306779</v>
      </c>
      <c r="H29" s="63">
        <f t="shared" si="2"/>
        <v>9580041.2181763388</v>
      </c>
      <c r="I29" s="63">
        <f t="shared" si="2"/>
        <v>11702335.432430018</v>
      </c>
      <c r="J29" s="62">
        <f t="shared" si="2"/>
        <v>0</v>
      </c>
      <c r="K29" s="62">
        <f t="shared" si="2"/>
        <v>0</v>
      </c>
      <c r="L29" s="62">
        <f>SUM(C29:K29)</f>
        <v>37661742.046491191</v>
      </c>
      <c r="M29" s="20"/>
      <c r="N29" s="20" t="s">
        <v>12</v>
      </c>
      <c r="O29" s="62">
        <f>SUM(O5:O28)</f>
        <v>0</v>
      </c>
      <c r="P29" s="62">
        <f t="shared" ref="P29:W29" si="3">SUM(P5:P28)</f>
        <v>506118.27538195066</v>
      </c>
      <c r="Q29" s="63">
        <f t="shared" si="3"/>
        <v>363252.21523505094</v>
      </c>
      <c r="R29" s="63">
        <f t="shared" si="3"/>
        <v>380688.3215663333</v>
      </c>
      <c r="S29" s="63">
        <f t="shared" si="3"/>
        <v>14499609.750315413</v>
      </c>
      <c r="T29" s="63">
        <f t="shared" si="3"/>
        <v>419508.58467944217</v>
      </c>
      <c r="U29" s="63">
        <f t="shared" si="3"/>
        <v>21492564.899312995</v>
      </c>
      <c r="V29" s="62">
        <f t="shared" si="3"/>
        <v>0</v>
      </c>
      <c r="W29" s="62">
        <f t="shared" si="3"/>
        <v>0</v>
      </c>
      <c r="X29" s="62">
        <f>SUM(O29:W29)</f>
        <v>37661742.046491183</v>
      </c>
    </row>
    <row r="31" spans="2:24" x14ac:dyDescent="0.3">
      <c r="J31"/>
      <c r="K31"/>
      <c r="L31"/>
      <c r="M31"/>
      <c r="N31" s="578">
        <v>41455</v>
      </c>
      <c r="O31" s="533" t="s">
        <v>462</v>
      </c>
      <c r="P31" s="533" t="s">
        <v>463</v>
      </c>
      <c r="Q31" s="577" t="s">
        <v>226</v>
      </c>
      <c r="R31" s="577" t="s">
        <v>227</v>
      </c>
      <c r="S31" s="577" t="s">
        <v>228</v>
      </c>
      <c r="T31" s="577" t="s">
        <v>229</v>
      </c>
      <c r="U31" s="577" t="s">
        <v>230</v>
      </c>
    </row>
    <row r="32" spans="2:24" x14ac:dyDescent="0.3">
      <c r="J32"/>
      <c r="K32"/>
      <c r="L32"/>
      <c r="M32" s="533" t="s">
        <v>464</v>
      </c>
      <c r="N32" s="573">
        <v>3106269000</v>
      </c>
      <c r="O32" s="574"/>
      <c r="P32" s="574"/>
      <c r="Q32" s="575"/>
      <c r="R32" s="575"/>
      <c r="S32" s="575"/>
      <c r="T32" s="575"/>
      <c r="U32" s="575"/>
    </row>
    <row r="33" spans="10:21" x14ac:dyDescent="0.3">
      <c r="J33"/>
      <c r="K33"/>
      <c r="L33"/>
      <c r="M33" s="533" t="s">
        <v>466</v>
      </c>
      <c r="N33" s="573">
        <f>N32*(1+Parameters!E39)</f>
        <v>3183925724.9999995</v>
      </c>
      <c r="O33" s="573">
        <f>N33+O29</f>
        <v>3183925724.9999995</v>
      </c>
      <c r="P33" s="573">
        <f t="shared" ref="P33:U33" si="4">O33+P29</f>
        <v>3184431843.2753816</v>
      </c>
      <c r="Q33" s="573">
        <f t="shared" si="4"/>
        <v>3184795095.4906168</v>
      </c>
      <c r="R33" s="573">
        <f t="shared" si="4"/>
        <v>3185175783.8121829</v>
      </c>
      <c r="S33" s="573">
        <f t="shared" si="4"/>
        <v>3199675393.5624981</v>
      </c>
      <c r="T33" s="573">
        <f t="shared" si="4"/>
        <v>3200094902.1471777</v>
      </c>
      <c r="U33" s="573">
        <f t="shared" si="4"/>
        <v>3221587467.0464907</v>
      </c>
    </row>
    <row r="34" spans="10:21" x14ac:dyDescent="0.3">
      <c r="J34"/>
      <c r="K34"/>
      <c r="L34"/>
      <c r="M34" s="533" t="s">
        <v>465</v>
      </c>
      <c r="N34"/>
      <c r="O34" s="576">
        <f>O33/N33-1</f>
        <v>0</v>
      </c>
      <c r="P34" s="576">
        <f t="shared" ref="P34:U34" si="5">P33/O33-1</f>
        <v>1.5896045294283567E-4</v>
      </c>
      <c r="Q34" s="576">
        <f t="shared" si="5"/>
        <v>1.1407127962326236E-4</v>
      </c>
      <c r="R34" s="576">
        <f t="shared" si="5"/>
        <v>1.195330657552951E-4</v>
      </c>
      <c r="S34" s="576">
        <f t="shared" si="5"/>
        <v>4.5522164974396429E-3</v>
      </c>
      <c r="T34" s="576">
        <f t="shared" si="5"/>
        <v>1.3110973241969859E-4</v>
      </c>
      <c r="U34" s="576">
        <f t="shared" si="5"/>
        <v>6.7162273484113744E-3</v>
      </c>
    </row>
    <row r="35" spans="10:21" x14ac:dyDescent="0.3">
      <c r="J35"/>
      <c r="K35"/>
      <c r="L35"/>
      <c r="M35"/>
      <c r="N35"/>
      <c r="O35"/>
      <c r="P35"/>
    </row>
    <row r="36" spans="10:21" x14ac:dyDescent="0.3">
      <c r="J36"/>
      <c r="K36"/>
      <c r="L36"/>
      <c r="M36"/>
      <c r="N36"/>
      <c r="O36"/>
      <c r="P36"/>
    </row>
    <row r="37" spans="10:21" x14ac:dyDescent="0.3">
      <c r="J37"/>
      <c r="K37"/>
      <c r="L37"/>
      <c r="M37"/>
      <c r="N37"/>
      <c r="O37"/>
      <c r="P37"/>
    </row>
    <row r="38" spans="10:21" x14ac:dyDescent="0.3">
      <c r="J38"/>
      <c r="K38"/>
      <c r="L38"/>
      <c r="M38"/>
      <c r="N38"/>
      <c r="O38"/>
      <c r="P38"/>
    </row>
    <row r="39" spans="10:21" x14ac:dyDescent="0.3">
      <c r="J39"/>
      <c r="K39"/>
      <c r="L39"/>
      <c r="M39"/>
      <c r="N39"/>
      <c r="O39"/>
      <c r="P39"/>
    </row>
    <row r="40" spans="10:21" x14ac:dyDescent="0.3">
      <c r="J40"/>
      <c r="K40"/>
      <c r="L40"/>
      <c r="M40"/>
      <c r="N40"/>
      <c r="O40"/>
      <c r="P40"/>
    </row>
    <row r="41" spans="10:21" x14ac:dyDescent="0.3">
      <c r="J41"/>
      <c r="K41"/>
      <c r="L41"/>
      <c r="M41"/>
      <c r="N41"/>
      <c r="O41"/>
      <c r="P41"/>
    </row>
    <row r="42" spans="10:21" x14ac:dyDescent="0.3">
      <c r="J42"/>
      <c r="K42"/>
      <c r="L42"/>
      <c r="M42"/>
      <c r="N42"/>
      <c r="O42"/>
      <c r="P42"/>
    </row>
    <row r="43" spans="10:21" x14ac:dyDescent="0.3">
      <c r="J43"/>
      <c r="K43"/>
      <c r="L43"/>
      <c r="M43"/>
      <c r="N43"/>
      <c r="O43"/>
      <c r="P43"/>
    </row>
    <row r="44" spans="10:21" x14ac:dyDescent="0.3">
      <c r="J44"/>
      <c r="K44"/>
      <c r="L44"/>
      <c r="M44"/>
      <c r="N44"/>
      <c r="O44"/>
      <c r="P44"/>
    </row>
    <row r="45" spans="10:21" x14ac:dyDescent="0.3">
      <c r="J45"/>
      <c r="K45"/>
      <c r="L45"/>
      <c r="M45"/>
      <c r="N45"/>
      <c r="O45"/>
      <c r="P45"/>
    </row>
    <row r="46" spans="10:21" x14ac:dyDescent="0.3">
      <c r="J46"/>
      <c r="K46"/>
      <c r="L46"/>
      <c r="M46"/>
      <c r="N46"/>
      <c r="O46"/>
      <c r="P46"/>
    </row>
    <row r="47" spans="10:21" x14ac:dyDescent="0.3">
      <c r="J47"/>
      <c r="K47"/>
      <c r="L47"/>
      <c r="M47"/>
      <c r="N47"/>
      <c r="O47"/>
      <c r="P47"/>
    </row>
    <row r="48" spans="10:21" x14ac:dyDescent="0.3">
      <c r="J48"/>
      <c r="K48"/>
      <c r="L48"/>
      <c r="M48"/>
      <c r="N48"/>
      <c r="O48"/>
      <c r="P48"/>
    </row>
    <row r="49" spans="10:16" x14ac:dyDescent="0.3">
      <c r="J49"/>
      <c r="K49"/>
      <c r="L49"/>
      <c r="M49"/>
      <c r="N49"/>
      <c r="O49"/>
      <c r="P49"/>
    </row>
    <row r="50" spans="10:16" x14ac:dyDescent="0.3">
      <c r="J50"/>
      <c r="K50"/>
      <c r="L50"/>
      <c r="M50"/>
      <c r="N50"/>
      <c r="O50"/>
      <c r="P50"/>
    </row>
    <row r="51" spans="10:16" x14ac:dyDescent="0.3">
      <c r="J51"/>
      <c r="K51"/>
      <c r="L51"/>
      <c r="M51"/>
      <c r="N51"/>
      <c r="O51"/>
      <c r="P51"/>
    </row>
    <row r="52" spans="10:16" x14ac:dyDescent="0.3">
      <c r="J52"/>
      <c r="K52"/>
      <c r="L52"/>
      <c r="M52"/>
      <c r="N52"/>
      <c r="O52"/>
      <c r="P52"/>
    </row>
    <row r="53" spans="10:16" x14ac:dyDescent="0.3">
      <c r="J53"/>
      <c r="K53"/>
      <c r="L53"/>
      <c r="M53"/>
      <c r="N53"/>
      <c r="O53"/>
      <c r="P53"/>
    </row>
    <row r="54" spans="10:16" x14ac:dyDescent="0.3">
      <c r="J54"/>
      <c r="K54"/>
      <c r="L54"/>
      <c r="M54"/>
      <c r="N54"/>
      <c r="O54"/>
      <c r="P5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2:G51"/>
  <sheetViews>
    <sheetView zoomScale="70" zoomScaleNormal="70" workbookViewId="0">
      <selection activeCell="R34" sqref="R34"/>
    </sheetView>
  </sheetViews>
  <sheetFormatPr defaultColWidth="9.109375" defaultRowHeight="13.2" x14ac:dyDescent="0.25"/>
  <cols>
    <col min="1" max="1" width="37.33203125" style="273" customWidth="1"/>
    <col min="2" max="6" width="8.88671875" style="273" customWidth="1"/>
    <col min="7" max="7" width="9.6640625" style="273" customWidth="1"/>
    <col min="8" max="16384" width="9.109375" style="273"/>
  </cols>
  <sheetData>
    <row r="2" spans="1:6" ht="24.6" x14ac:dyDescent="0.4">
      <c r="A2" s="475" t="s">
        <v>198</v>
      </c>
    </row>
    <row r="4" spans="1:6" ht="15.6" x14ac:dyDescent="0.3">
      <c r="A4" s="478" t="s">
        <v>304</v>
      </c>
      <c r="B4" s="479" t="str">
        <f>'Asset Class Summary'!E87</f>
        <v>2014/15</v>
      </c>
      <c r="C4" s="479" t="str">
        <f>'Asset Class Summary'!F87</f>
        <v>2015/16</v>
      </c>
      <c r="D4" s="479" t="str">
        <f>'Asset Class Summary'!G87</f>
        <v>2016/17</v>
      </c>
      <c r="E4" s="479" t="str">
        <f>'Asset Class Summary'!H87</f>
        <v>2017/18</v>
      </c>
      <c r="F4" s="479" t="str">
        <f>'Asset Class Summary'!I87</f>
        <v>2018/19</v>
      </c>
    </row>
    <row r="5" spans="1:6" x14ac:dyDescent="0.25">
      <c r="A5" s="273" t="s">
        <v>171</v>
      </c>
      <c r="B5" s="474">
        <f>'Asset Class Summary'!E88/1000000</f>
        <v>4.4181722429557952</v>
      </c>
      <c r="C5" s="474">
        <f>'Asset Class Summary'!F88/1000000</f>
        <v>7.6808625125399574</v>
      </c>
      <c r="D5" s="474">
        <f>'Asset Class Summary'!G88/1000000</f>
        <v>7.7627209070369068</v>
      </c>
      <c r="E5" s="474">
        <f>'Asset Class Summary'!H88/1000000</f>
        <v>8.8656352596802499</v>
      </c>
      <c r="F5" s="474">
        <f>'Asset Class Summary'!I88/1000000</f>
        <v>10.314928964887983</v>
      </c>
    </row>
    <row r="6" spans="1:6" x14ac:dyDescent="0.25">
      <c r="A6" s="273" t="s">
        <v>172</v>
      </c>
      <c r="B6" s="474">
        <f>'Asset Class Summary'!E89/1000000</f>
        <v>2.8203428904244858</v>
      </c>
      <c r="C6" s="474">
        <f>'Asset Class Summary'!F89/1000000</f>
        <v>4.7567836116448001</v>
      </c>
      <c r="D6" s="474">
        <f>'Asset Class Summary'!G89/1000000</f>
        <v>4.0799564670202821</v>
      </c>
      <c r="E6" s="474">
        <f>'Asset Class Summary'!H89/1000000</f>
        <v>5.7447635056617319</v>
      </c>
      <c r="F6" s="474">
        <f>'Asset Class Summary'!I89/1000000</f>
        <v>6.8983027625625892</v>
      </c>
    </row>
    <row r="7" spans="1:6" x14ac:dyDescent="0.25">
      <c r="A7" s="273" t="s">
        <v>173</v>
      </c>
      <c r="B7" s="474">
        <f>'Asset Class Summary'!E90/1000000</f>
        <v>0.54695332592991663</v>
      </c>
      <c r="C7" s="474">
        <f>'Asset Class Summary'!F90/1000000</f>
        <v>1.0558634230061312</v>
      </c>
      <c r="D7" s="474">
        <f>'Asset Class Summary'!G90/1000000</f>
        <v>1.0302812919902562</v>
      </c>
      <c r="E7" s="474">
        <f>'Asset Class Summary'!H90/1000000</f>
        <v>1.2040949451461069</v>
      </c>
      <c r="F7" s="474">
        <f>'Asset Class Summary'!I90/1000000</f>
        <v>1.3779271383606235</v>
      </c>
    </row>
    <row r="8" spans="1:6" x14ac:dyDescent="0.25">
      <c r="A8" s="273" t="s">
        <v>174</v>
      </c>
      <c r="B8" s="474">
        <f>'Asset Class Summary'!E91/1000000</f>
        <v>7.5728361837336298</v>
      </c>
      <c r="C8" s="474">
        <f>'Asset Class Summary'!F91/1000000</f>
        <v>7.142145283605557</v>
      </c>
      <c r="D8" s="474">
        <f>'Asset Class Summary'!G91/1000000</f>
        <v>6.3913933094063973</v>
      </c>
      <c r="E8" s="474">
        <f>'Asset Class Summary'!H91/1000000</f>
        <v>4.2389423809959741</v>
      </c>
      <c r="F8" s="474">
        <f>'Asset Class Summary'!I91/1000000</f>
        <v>2.3784149149989187</v>
      </c>
    </row>
    <row r="9" spans="1:6" x14ac:dyDescent="0.25">
      <c r="A9" s="273" t="s">
        <v>175</v>
      </c>
      <c r="B9" s="474">
        <f>'Asset Class Summary'!E92/1000000</f>
        <v>13.46875155477489</v>
      </c>
      <c r="C9" s="474">
        <f>'Asset Class Summary'!F92/1000000</f>
        <v>20.554920808424463</v>
      </c>
      <c r="D9" s="474">
        <f>'Asset Class Summary'!G92/1000000</f>
        <v>12.993852732962509</v>
      </c>
      <c r="E9" s="474">
        <f>'Asset Class Summary'!H92/1000000</f>
        <v>10.297373210010278</v>
      </c>
      <c r="F9" s="474">
        <f>'Asset Class Summary'!I92/1000000</f>
        <v>4.9457122561500491</v>
      </c>
    </row>
    <row r="10" spans="1:6" x14ac:dyDescent="0.25">
      <c r="A10" s="273" t="s">
        <v>176</v>
      </c>
      <c r="B10" s="474">
        <f>'Asset Class Summary'!E93/1000000</f>
        <v>2.4765563960936134</v>
      </c>
      <c r="C10" s="474">
        <f>'Asset Class Summary'!F93/1000000</f>
        <v>2.0116942797973509</v>
      </c>
      <c r="D10" s="474">
        <f>'Asset Class Summary'!G93/1000000</f>
        <v>2.1236406149582829</v>
      </c>
      <c r="E10" s="474">
        <f>'Asset Class Summary'!H93/1000000</f>
        <v>1.7054602044236118</v>
      </c>
      <c r="F10" s="474">
        <f>'Asset Class Summary'!I93/1000000</f>
        <v>1.4198122450389685</v>
      </c>
    </row>
    <row r="11" spans="1:6" x14ac:dyDescent="0.25">
      <c r="A11" s="273" t="s">
        <v>177</v>
      </c>
      <c r="B11" s="474">
        <f>'Asset Class Summary'!E94/1000000</f>
        <v>5.9819071934687456</v>
      </c>
      <c r="C11" s="474">
        <f>'Asset Class Summary'!F94/1000000</f>
        <v>8.2016337967378323</v>
      </c>
      <c r="D11" s="474">
        <f>'Asset Class Summary'!G94/1000000</f>
        <v>10.800059474104266</v>
      </c>
      <c r="E11" s="474">
        <f>'Asset Class Summary'!H94/1000000</f>
        <v>7.7992217224363642</v>
      </c>
      <c r="F11" s="474">
        <f>'Asset Class Summary'!I94/1000000</f>
        <v>8.3296108214658133</v>
      </c>
    </row>
    <row r="12" spans="1:6" x14ac:dyDescent="0.25">
      <c r="A12" s="273" t="s">
        <v>232</v>
      </c>
      <c r="B12" s="474">
        <f>'Asset Class Summary'!E95/1000000</f>
        <v>0</v>
      </c>
      <c r="C12" s="474">
        <f>'Asset Class Summary'!F95/1000000</f>
        <v>0</v>
      </c>
      <c r="D12" s="474">
        <f>'Asset Class Summary'!G95/1000000</f>
        <v>0</v>
      </c>
      <c r="E12" s="474">
        <f>'Asset Class Summary'!H95/1000000</f>
        <v>0</v>
      </c>
      <c r="F12" s="474">
        <f>'Asset Class Summary'!I95/1000000</f>
        <v>0</v>
      </c>
    </row>
    <row r="13" spans="1:6" x14ac:dyDescent="0.25">
      <c r="A13" s="273" t="s">
        <v>178</v>
      </c>
      <c r="B13" s="474">
        <f>'Asset Class Summary'!E96/1000000</f>
        <v>1.4256435059760955</v>
      </c>
      <c r="C13" s="474">
        <f>'Asset Class Summary'!F96/1000000</f>
        <v>4.2744641882470109</v>
      </c>
      <c r="D13" s="474">
        <f>'Asset Class Summary'!G96/1000000</f>
        <v>3.0672220468127485</v>
      </c>
      <c r="E13" s="474">
        <f>'Asset Class Summary'!H96/1000000</f>
        <v>1.6559567181274901</v>
      </c>
      <c r="F13" s="474">
        <f>'Asset Class Summary'!I96/1000000</f>
        <v>1.9024322609561752</v>
      </c>
    </row>
    <row r="14" spans="1:6" x14ac:dyDescent="0.25">
      <c r="A14" s="273" t="s">
        <v>233</v>
      </c>
      <c r="B14" s="474">
        <f>'Asset Class Summary'!E97/1000000</f>
        <v>0</v>
      </c>
      <c r="C14" s="474">
        <f>'Asset Class Summary'!F97/1000000</f>
        <v>0.62970119521912349</v>
      </c>
      <c r="D14" s="474">
        <f>'Asset Class Summary'!G97/1000000</f>
        <v>0</v>
      </c>
      <c r="E14" s="474">
        <f>'Asset Class Summary'!H97/1000000</f>
        <v>0</v>
      </c>
      <c r="F14" s="474">
        <f>'Asset Class Summary'!I97/1000000</f>
        <v>0.62970119521912349</v>
      </c>
    </row>
    <row r="15" spans="1:6" x14ac:dyDescent="0.25">
      <c r="A15" s="273" t="s">
        <v>179</v>
      </c>
      <c r="B15" s="474">
        <f>'Asset Class Summary'!E98/1000000</f>
        <v>0.18868270916334662</v>
      </c>
      <c r="C15" s="474">
        <f>'Asset Class Summary'!F98/1000000</f>
        <v>0.7629879482071712</v>
      </c>
      <c r="D15" s="474">
        <f>'Asset Class Summary'!G98/1000000</f>
        <v>0.32324661354581674</v>
      </c>
      <c r="E15" s="474">
        <f>'Asset Class Summary'!H98/1000000</f>
        <v>0</v>
      </c>
      <c r="F15" s="474">
        <f>'Asset Class Summary'!I98/1000000</f>
        <v>0</v>
      </c>
    </row>
    <row r="16" spans="1:6" x14ac:dyDescent="0.25">
      <c r="A16" s="273" t="s">
        <v>234</v>
      </c>
      <c r="B16" s="474">
        <f>'Asset Class Summary'!E99/1000000</f>
        <v>1.4819424039840638</v>
      </c>
      <c r="C16" s="474">
        <f>'Asset Class Summary'!F99/1000000</f>
        <v>1.1366106573705177</v>
      </c>
      <c r="D16" s="474">
        <f>'Asset Class Summary'!G99/1000000</f>
        <v>0.76797308266932274</v>
      </c>
      <c r="E16" s="474">
        <f>'Asset Class Summary'!H99/1000000</f>
        <v>0.3529999950199203</v>
      </c>
      <c r="F16" s="474">
        <f>'Asset Class Summary'!I99/1000000</f>
        <v>0.91537563745019912</v>
      </c>
    </row>
    <row r="17" spans="1:7" x14ac:dyDescent="0.25">
      <c r="A17" s="273" t="s">
        <v>235</v>
      </c>
      <c r="B17" s="474">
        <f>'Asset Class Summary'!E100/1000000</f>
        <v>5.4607098776465044</v>
      </c>
      <c r="C17" s="474">
        <f>'Asset Class Summary'!F100/1000000</f>
        <v>5.3721882110930297</v>
      </c>
      <c r="D17" s="474">
        <f>'Asset Class Summary'!G100/1000000</f>
        <v>4.9029856285444708</v>
      </c>
      <c r="E17" s="474">
        <f>'Asset Class Summary'!H100/1000000</f>
        <v>5.48505838147112</v>
      </c>
      <c r="F17" s="474">
        <f>'Asset Class Summary'!I100/1000000</f>
        <v>2.9937383128186865</v>
      </c>
    </row>
    <row r="18" spans="1:7" x14ac:dyDescent="0.25">
      <c r="A18" s="273" t="s">
        <v>156</v>
      </c>
      <c r="B18" s="474">
        <f>'Asset Class Summary'!E104/1000000</f>
        <v>1.7993086959303499</v>
      </c>
      <c r="C18" s="474">
        <f>'Asset Class Summary'!F104/1000000</f>
        <v>0.42516627969099824</v>
      </c>
      <c r="D18" s="474">
        <f>'Asset Class Summary'!G104/1000000</f>
        <v>0.49601804411575401</v>
      </c>
      <c r="E18" s="474">
        <f>'Asset Class Summary'!H104/1000000</f>
        <v>0.41950858467944219</v>
      </c>
      <c r="F18" s="474">
        <f>'Asset Class Summary'!I104/1000000</f>
        <v>0.55104065221163512</v>
      </c>
    </row>
    <row r="19" spans="1:7" x14ac:dyDescent="0.25">
      <c r="A19" s="273" t="s">
        <v>300</v>
      </c>
      <c r="B19" s="474"/>
      <c r="C19" s="474"/>
      <c r="D19" s="474"/>
      <c r="E19" s="474"/>
      <c r="F19" s="474"/>
    </row>
    <row r="20" spans="1:7" x14ac:dyDescent="0.25">
      <c r="A20" s="273" t="s">
        <v>301</v>
      </c>
      <c r="B20" s="474">
        <f>'Asset Class Summary'!E101/1000000</f>
        <v>0.11430635986907065</v>
      </c>
      <c r="C20" s="474">
        <f>'Asset Class Summary'!F101/1000000</f>
        <v>3.2934188779907766E-2</v>
      </c>
      <c r="D20" s="474">
        <f>'Asset Class Summary'!G101/1000000</f>
        <v>0.17637459355903309</v>
      </c>
      <c r="E20" s="474">
        <f>'Asset Class Summary'!H101/1000000</f>
        <v>7.3519450055529859E-2</v>
      </c>
      <c r="F20" s="474">
        <f>'Asset Class Summary'!I101/1000000</f>
        <v>4.9764255657380518E-2</v>
      </c>
    </row>
    <row r="21" spans="1:7" x14ac:dyDescent="0.25">
      <c r="A21" s="273" t="s">
        <v>302</v>
      </c>
      <c r="B21" s="474">
        <f>'Asset Class Summary'!E102/1000000</f>
        <v>1.347617325155309</v>
      </c>
      <c r="C21" s="474">
        <f>'Asset Class Summary'!F102/1000000</f>
        <v>1.1127450220297785</v>
      </c>
      <c r="D21" s="474">
        <f>'Asset Class Summary'!G102/1000000</f>
        <v>4.2429016740634653</v>
      </c>
      <c r="E21" s="474">
        <f>'Asset Class Summary'!H102/1000000</f>
        <v>4.8153159954871052</v>
      </c>
      <c r="F21" s="474">
        <f>'Asset Class Summary'!I102/1000000</f>
        <v>1.5460602606244338</v>
      </c>
    </row>
    <row r="22" spans="1:7" x14ac:dyDescent="0.25">
      <c r="A22" s="273" t="s">
        <v>303</v>
      </c>
      <c r="B22" s="474">
        <f>'Asset Class Summary'!E103/1000000</f>
        <v>1.9040939201424325</v>
      </c>
      <c r="C22" s="474">
        <f>'Asset Class Summary'!F103/1000000</f>
        <v>0.94786611576722146</v>
      </c>
      <c r="D22" s="474">
        <f>'Asset Class Summary'!G103/1000000</f>
        <v>0.71368714550396073</v>
      </c>
      <c r="E22" s="474">
        <f>'Asset Class Summary'!H103/1000000</f>
        <v>1.0325555862123006</v>
      </c>
      <c r="F22" s="474">
        <f>'Asset Class Summary'!I103/1000000</f>
        <v>1.0198472789966007</v>
      </c>
    </row>
    <row r="23" spans="1:7" x14ac:dyDescent="0.25">
      <c r="B23" s="474"/>
      <c r="C23" s="474"/>
      <c r="D23" s="474"/>
      <c r="E23" s="474"/>
      <c r="F23" s="474"/>
    </row>
    <row r="24" spans="1:7" x14ac:dyDescent="0.25">
      <c r="A24" s="476"/>
      <c r="B24" s="477">
        <f>SUM(B5:B22)</f>
        <v>51.007824585248251</v>
      </c>
      <c r="C24" s="477">
        <f t="shared" ref="C24:F24" si="0">SUM(C5:C22)</f>
        <v>66.098567522160863</v>
      </c>
      <c r="D24" s="477">
        <f t="shared" si="0"/>
        <v>59.872313626293476</v>
      </c>
      <c r="E24" s="477">
        <f t="shared" si="0"/>
        <v>53.690405939407228</v>
      </c>
      <c r="F24" s="477">
        <f t="shared" si="0"/>
        <v>45.272668957399176</v>
      </c>
      <c r="G24" s="477">
        <f>SUM(B24:F24)</f>
        <v>275.94178063050896</v>
      </c>
    </row>
    <row r="25" spans="1:7" x14ac:dyDescent="0.25">
      <c r="B25" s="474"/>
      <c r="C25" s="474"/>
      <c r="D25" s="474"/>
      <c r="E25" s="474"/>
      <c r="F25" s="474"/>
    </row>
    <row r="26" spans="1:7" x14ac:dyDescent="0.25">
      <c r="A26" s="480" t="s">
        <v>231</v>
      </c>
      <c r="B26" s="481">
        <f>'Asset Class Summary'!E112/1000000</f>
        <v>51.007824585248251</v>
      </c>
      <c r="C26" s="481">
        <f>'Asset Class Summary'!F112/1000000</f>
        <v>66.098567522160849</v>
      </c>
      <c r="D26" s="481">
        <f>'Asset Class Summary'!G112/1000000</f>
        <v>59.872313626293483</v>
      </c>
      <c r="E26" s="481">
        <f>'Asset Class Summary'!H112/1000000</f>
        <v>53.690405939407221</v>
      </c>
      <c r="F26" s="481">
        <f>'Asset Class Summary'!I112/1000000</f>
        <v>45.272668957399176</v>
      </c>
      <c r="G26" s="481">
        <f>'Asset Class Summary'!L112/1000000</f>
        <v>275.94178063050896</v>
      </c>
    </row>
    <row r="29" spans="1:7" ht="15.6" x14ac:dyDescent="0.3">
      <c r="A29" s="478" t="s">
        <v>305</v>
      </c>
      <c r="B29" s="479" t="str">
        <f>B4</f>
        <v>2014/15</v>
      </c>
      <c r="C29" s="479" t="str">
        <f t="shared" ref="C29:F29" si="1">C4</f>
        <v>2015/16</v>
      </c>
      <c r="D29" s="479" t="str">
        <f t="shared" si="1"/>
        <v>2016/17</v>
      </c>
      <c r="E29" s="479" t="str">
        <f t="shared" si="1"/>
        <v>2017/18</v>
      </c>
      <c r="F29" s="479" t="str">
        <f t="shared" si="1"/>
        <v>2018/19</v>
      </c>
    </row>
    <row r="30" spans="1:7" x14ac:dyDescent="0.25">
      <c r="A30" s="273" t="s">
        <v>171</v>
      </c>
      <c r="B30" s="474">
        <f>'Asset Class Summary'!R88/1000000</f>
        <v>3.9684077599783785</v>
      </c>
      <c r="C30" s="474">
        <f>'Asset Class Summary'!S88/1000000</f>
        <v>6.1908444677935686</v>
      </c>
      <c r="D30" s="474">
        <f>'Asset Class Summary'!T88/1000000</f>
        <v>9.4755344334188347</v>
      </c>
      <c r="E30" s="474">
        <f>'Asset Class Summary'!U88/1000000</f>
        <v>5.5637972427981124</v>
      </c>
      <c r="F30" s="474">
        <f>'Asset Class Summary'!V88/1000000</f>
        <v>12.637298519466658</v>
      </c>
    </row>
    <row r="31" spans="1:7" x14ac:dyDescent="0.25">
      <c r="A31" s="273" t="s">
        <v>172</v>
      </c>
      <c r="B31" s="474">
        <f>'Asset Class Summary'!R89/1000000</f>
        <v>2.7837341523919386</v>
      </c>
      <c r="C31" s="474">
        <f>'Asset Class Summary'!S89/1000000</f>
        <v>4.6355030610680057</v>
      </c>
      <c r="D31" s="474">
        <f>'Asset Class Summary'!T89/1000000</f>
        <v>4.1107797325781679</v>
      </c>
      <c r="E31" s="474">
        <f>'Asset Class Summary'!U89/1000000</f>
        <v>3.8962669132421985</v>
      </c>
      <c r="F31" s="474">
        <f>'Asset Class Summary'!V89/1000000</f>
        <v>7.5601892125752181</v>
      </c>
    </row>
    <row r="32" spans="1:7" ht="12.75" x14ac:dyDescent="0.2">
      <c r="A32" s="273" t="s">
        <v>173</v>
      </c>
      <c r="B32" s="474">
        <f>'Asset Class Summary'!R90/1000000</f>
        <v>0.51034458789736914</v>
      </c>
      <c r="C32" s="474">
        <f>'Asset Class Summary'!S90/1000000</f>
        <v>0.93458287242933669</v>
      </c>
      <c r="D32" s="474">
        <f>'Asset Class Summary'!T90/1000000</f>
        <v>1.1640982797060551</v>
      </c>
      <c r="E32" s="474">
        <f>'Asset Class Summary'!U90/1000000</f>
        <v>0.85390246170471029</v>
      </c>
      <c r="F32" s="474">
        <f>'Asset Class Summary'!V90/1000000</f>
        <v>1.5913335252678902</v>
      </c>
    </row>
    <row r="33" spans="1:6" ht="12.75" x14ac:dyDescent="0.2">
      <c r="A33" s="273" t="s">
        <v>174</v>
      </c>
      <c r="B33" s="474">
        <f>'Asset Class Summary'!R91/1000000</f>
        <v>8.3878021071853439</v>
      </c>
      <c r="C33" s="474">
        <f>'Asset Class Summary'!S91/1000000</f>
        <v>3.3989417293136688</v>
      </c>
      <c r="D33" s="474">
        <f>'Asset Class Summary'!T91/1000000</f>
        <v>10.316454163660612</v>
      </c>
      <c r="E33" s="474">
        <f>'Asset Class Summary'!U91/1000000</f>
        <v>2.6289657153617152</v>
      </c>
      <c r="F33" s="474">
        <f>'Asset Class Summary'!V91/1000000</f>
        <v>4.6390175197423398</v>
      </c>
    </row>
    <row r="34" spans="1:6" ht="12.75" x14ac:dyDescent="0.2">
      <c r="A34" s="273" t="s">
        <v>175</v>
      </c>
      <c r="B34" s="474">
        <f>'Asset Class Summary'!R92/1000000</f>
        <v>13.833936260474388</v>
      </c>
      <c r="C34" s="474">
        <f>'Asset Class Summary'!S92/1000000</f>
        <v>7.787140857927989</v>
      </c>
      <c r="D34" s="474">
        <f>'Asset Class Summary'!T92/1000000</f>
        <v>25.927817919819137</v>
      </c>
      <c r="E34" s="474">
        <f>'Asset Class Summary'!U92/1000000</f>
        <v>5.6947077364003444</v>
      </c>
      <c r="F34" s="474">
        <f>'Asset Class Summary'!V92/1000000</f>
        <v>11.664571214134261</v>
      </c>
    </row>
    <row r="35" spans="1:6" ht="12.75" x14ac:dyDescent="0.2">
      <c r="A35" s="273" t="s">
        <v>176</v>
      </c>
      <c r="B35" s="474">
        <f>'Asset Class Summary'!R93/1000000</f>
        <v>2.6977886604369843</v>
      </c>
      <c r="C35" s="474">
        <f>'Asset Class Summary'!S93/1000000</f>
        <v>1.552585736911998</v>
      </c>
      <c r="D35" s="474">
        <f>'Asset Class Summary'!T93/1000000</f>
        <v>2.6216414871071647</v>
      </c>
      <c r="E35" s="474">
        <f>'Asset Class Summary'!U93/1000000</f>
        <v>1.448033374389434</v>
      </c>
      <c r="F35" s="474">
        <f>'Asset Class Summary'!V93/1000000</f>
        <v>1.7701391201725942</v>
      </c>
    </row>
    <row r="36" spans="1:6" ht="12.75" x14ac:dyDescent="0.2">
      <c r="A36" s="273" t="s">
        <v>177</v>
      </c>
      <c r="B36" s="474">
        <f>'Asset Class Summary'!R94/1000000</f>
        <v>6.7120930667095822</v>
      </c>
      <c r="C36" s="474">
        <f>'Asset Class Summary'!S94/1000000</f>
        <v>6.201802841084894</v>
      </c>
      <c r="D36" s="474">
        <f>'Asset Class Summary'!T94/1000000</f>
        <v>12.939317306740229</v>
      </c>
      <c r="E36" s="474">
        <f>'Asset Class Summary'!U94/1000000</f>
        <v>6.7273551034079233</v>
      </c>
      <c r="F36" s="474">
        <f>'Asset Class Summary'!V94/1000000</f>
        <v>9.7674517715408591</v>
      </c>
    </row>
    <row r="37" spans="1:6" ht="12.75" x14ac:dyDescent="0.2">
      <c r="A37" s="273" t="s">
        <v>232</v>
      </c>
      <c r="B37" s="474">
        <f>'Asset Class Summary'!R95/1000000</f>
        <v>0</v>
      </c>
      <c r="C37" s="474">
        <f>'Asset Class Summary'!S95/1000000</f>
        <v>0</v>
      </c>
      <c r="D37" s="474">
        <f>'Asset Class Summary'!T95/1000000</f>
        <v>0</v>
      </c>
      <c r="E37" s="474">
        <f>'Asset Class Summary'!U95/1000000</f>
        <v>0</v>
      </c>
      <c r="F37" s="474">
        <f>'Asset Class Summary'!V95/1000000</f>
        <v>0</v>
      </c>
    </row>
    <row r="38" spans="1:6" ht="12.75" x14ac:dyDescent="0.2">
      <c r="A38" s="273" t="s">
        <v>178</v>
      </c>
      <c r="B38" s="474">
        <f>'Asset Class Summary'!R96/1000000</f>
        <v>1.2629706972111552</v>
      </c>
      <c r="C38" s="474">
        <f>'Asset Class Summary'!S96/1000000</f>
        <v>3.7707032320717127</v>
      </c>
      <c r="D38" s="474">
        <f>'Asset Class Summary'!T96/1000000</f>
        <v>2.7891040189243026</v>
      </c>
      <c r="E38" s="474">
        <f>'Asset Class Summary'!U96/1000000</f>
        <v>2.6005085109561752</v>
      </c>
      <c r="F38" s="474">
        <f>'Asset Class Summary'!V96/1000000</f>
        <v>1.9024322609561752</v>
      </c>
    </row>
    <row r="39" spans="1:6" ht="12.75" x14ac:dyDescent="0.2">
      <c r="A39" s="273" t="s">
        <v>233</v>
      </c>
      <c r="B39" s="474">
        <f>'Asset Class Summary'!R97/1000000</f>
        <v>0</v>
      </c>
      <c r="C39" s="474">
        <f>'Asset Class Summary'!S97/1000000</f>
        <v>0.62970119521912349</v>
      </c>
      <c r="D39" s="474">
        <f>'Asset Class Summary'!T97/1000000</f>
        <v>0</v>
      </c>
      <c r="E39" s="474">
        <f>'Asset Class Summary'!U97/1000000</f>
        <v>0</v>
      </c>
      <c r="F39" s="474">
        <f>'Asset Class Summary'!V97/1000000</f>
        <v>0.62970119521912349</v>
      </c>
    </row>
    <row r="40" spans="1:6" ht="12.75" x14ac:dyDescent="0.2">
      <c r="A40" s="273" t="s">
        <v>179</v>
      </c>
      <c r="B40" s="474">
        <f>'Asset Class Summary'!R98/1000000</f>
        <v>9.4985E-2</v>
      </c>
      <c r="C40" s="474">
        <f>'Asset Class Summary'!S98/1000000</f>
        <v>0.73465139442231064</v>
      </c>
      <c r="D40" s="474">
        <f>'Asset Class Summary'!T98/1000000</f>
        <v>0.46178087649402388</v>
      </c>
      <c r="E40" s="474">
        <f>'Asset Class Summary'!U98/1000000</f>
        <v>0</v>
      </c>
      <c r="F40" s="474">
        <f>'Asset Class Summary'!V98/1000000</f>
        <v>0</v>
      </c>
    </row>
    <row r="41" spans="1:6" ht="12.75" x14ac:dyDescent="0.2">
      <c r="A41" s="273" t="s">
        <v>234</v>
      </c>
      <c r="B41" s="474">
        <f>'Asset Class Summary'!R99/1000000</f>
        <v>1.396679510557769</v>
      </c>
      <c r="C41" s="474">
        <f>'Asset Class Summary'!S99/1000000</f>
        <v>1.0883335657370516</v>
      </c>
      <c r="D41" s="474">
        <f>'Asset Class Summary'!T99/1000000</f>
        <v>0.71366135458167324</v>
      </c>
      <c r="E41" s="474">
        <f>'Asset Class Summary'!U99/1000000</f>
        <v>0.29386055776892428</v>
      </c>
      <c r="F41" s="474">
        <f>'Asset Class Summary'!V99/1000000</f>
        <v>1.2448667878486055</v>
      </c>
    </row>
    <row r="42" spans="1:6" ht="12.75" x14ac:dyDescent="0.2">
      <c r="A42" s="273" t="s">
        <v>235</v>
      </c>
      <c r="B42" s="474">
        <f>'Asset Class Summary'!R100/1000000</f>
        <v>5.5267098776465042</v>
      </c>
      <c r="C42" s="474">
        <f>'Asset Class Summary'!S100/1000000</f>
        <v>5.3721882110930297</v>
      </c>
      <c r="D42" s="474">
        <f>'Asset Class Summary'!T100/1000000</f>
        <v>4.9029856285444708</v>
      </c>
      <c r="E42" s="474">
        <f>'Asset Class Summary'!U100/1000000</f>
        <v>5.48505838147112</v>
      </c>
      <c r="F42" s="474">
        <f>'Asset Class Summary'!V100/1000000</f>
        <v>2.9937383128186865</v>
      </c>
    </row>
    <row r="43" spans="1:6" ht="12.75" x14ac:dyDescent="0.2">
      <c r="A43" s="273" t="s">
        <v>156</v>
      </c>
      <c r="B43" s="474">
        <f>'Asset Class Summary'!R104/1000000</f>
        <v>1.7954480341507104</v>
      </c>
      <c r="C43" s="474">
        <f>'Asset Class Summary'!S104/1000000</f>
        <v>0.38068832156633331</v>
      </c>
      <c r="D43" s="474">
        <f>'Asset Class Summary'!T104/1000000</f>
        <v>0.54435666402005856</v>
      </c>
      <c r="E43" s="474">
        <f>'Asset Class Summary'!U104/1000000</f>
        <v>0.41950858467944219</v>
      </c>
      <c r="F43" s="474">
        <f>'Asset Class Summary'!V104/1000000</f>
        <v>0.44111322692017557</v>
      </c>
    </row>
    <row r="44" spans="1:6" ht="12.75" x14ac:dyDescent="0.2">
      <c r="A44" s="273" t="s">
        <v>300</v>
      </c>
      <c r="B44" s="474"/>
      <c r="C44" s="474"/>
      <c r="D44" s="474"/>
      <c r="E44" s="474"/>
      <c r="F44" s="474"/>
    </row>
    <row r="45" spans="1:6" ht="12.75" x14ac:dyDescent="0.2">
      <c r="A45" s="273" t="s">
        <v>301</v>
      </c>
      <c r="B45" s="474">
        <f>'Asset Class Summary'!R101/1000000</f>
        <v>0.11430635986907065</v>
      </c>
      <c r="C45" s="474">
        <f>'Asset Class Summary'!S101/1000000</f>
        <v>3.2934188779907766E-2</v>
      </c>
      <c r="D45" s="474">
        <f>'Asset Class Summary'!T101/1000000</f>
        <v>0.17637459355903309</v>
      </c>
      <c r="E45" s="474">
        <f>'Asset Class Summary'!U101/1000000</f>
        <v>7.3519450055529859E-2</v>
      </c>
      <c r="F45" s="474">
        <f>'Asset Class Summary'!V101/1000000</f>
        <v>4.9764255657380518E-2</v>
      </c>
    </row>
    <row r="46" spans="1:6" ht="12.75" x14ac:dyDescent="0.2">
      <c r="A46" s="273" t="s">
        <v>302</v>
      </c>
      <c r="B46" s="474">
        <f>'Asset Class Summary'!R102/1000000</f>
        <v>1.347617325155309</v>
      </c>
      <c r="C46" s="474">
        <f>'Asset Class Summary'!S102/1000000</f>
        <v>1.1127450220297785</v>
      </c>
      <c r="D46" s="474">
        <f>'Asset Class Summary'!T102/1000000</f>
        <v>4.2429016740634653</v>
      </c>
      <c r="E46" s="474">
        <f>'Asset Class Summary'!U102/1000000</f>
        <v>4.8153159954871052</v>
      </c>
      <c r="F46" s="474">
        <f>'Asset Class Summary'!V102/1000000</f>
        <v>1.5460602606244338</v>
      </c>
    </row>
    <row r="47" spans="1:6" x14ac:dyDescent="0.25">
      <c r="A47" s="273" t="s">
        <v>303</v>
      </c>
      <c r="B47" s="474">
        <f>'Asset Class Summary'!R103/1000000</f>
        <v>1.9040939201424325</v>
      </c>
      <c r="C47" s="474">
        <f>'Asset Class Summary'!S103/1000000</f>
        <v>0.94786611576722146</v>
      </c>
      <c r="D47" s="474">
        <f>'Asset Class Summary'!T103/1000000</f>
        <v>0.71368714550396073</v>
      </c>
      <c r="E47" s="474">
        <f>'Asset Class Summary'!U103/1000000</f>
        <v>1.0325555862123006</v>
      </c>
      <c r="F47" s="474">
        <f>'Asset Class Summary'!V103/1000000</f>
        <v>1.0198472789966007</v>
      </c>
    </row>
    <row r="48" spans="1:6" x14ac:dyDescent="0.25">
      <c r="B48" s="474"/>
      <c r="C48" s="474"/>
      <c r="D48" s="474"/>
      <c r="E48" s="474"/>
      <c r="F48" s="474"/>
    </row>
    <row r="49" spans="1:7" x14ac:dyDescent="0.25">
      <c r="A49" s="476"/>
      <c r="B49" s="477">
        <f>SUM(B30:B47)</f>
        <v>52.336917319806929</v>
      </c>
      <c r="C49" s="477">
        <f t="shared" ref="C49:F49" si="2">SUM(C30:C47)</f>
        <v>44.771212813215925</v>
      </c>
      <c r="D49" s="477">
        <f t="shared" si="2"/>
        <v>81.100495278721169</v>
      </c>
      <c r="E49" s="477">
        <f t="shared" si="2"/>
        <v>41.533355613935036</v>
      </c>
      <c r="F49" s="477">
        <f t="shared" si="2"/>
        <v>59.457524461941006</v>
      </c>
      <c r="G49" s="477">
        <f>SUM(B49:F49)</f>
        <v>279.19950548762006</v>
      </c>
    </row>
    <row r="50" spans="1:7" x14ac:dyDescent="0.25">
      <c r="B50" s="474"/>
      <c r="C50" s="474"/>
      <c r="D50" s="474"/>
      <c r="E50" s="474"/>
      <c r="F50" s="474"/>
    </row>
    <row r="51" spans="1:7" x14ac:dyDescent="0.25">
      <c r="A51" s="480" t="s">
        <v>231</v>
      </c>
      <c r="B51" s="481">
        <f>'Asset Class Summary'!R112/1000000</f>
        <v>52.336917319806943</v>
      </c>
      <c r="C51" s="481">
        <f>'Asset Class Summary'!S112/1000000</f>
        <v>44.771212813215925</v>
      </c>
      <c r="D51" s="481">
        <f>'Asset Class Summary'!T112/1000000</f>
        <v>81.100495278721169</v>
      </c>
      <c r="E51" s="481">
        <f>'Asset Class Summary'!U112/1000000</f>
        <v>41.533355613935029</v>
      </c>
      <c r="F51" s="481">
        <f>'Asset Class Summary'!V112/1000000</f>
        <v>59.457524461940999</v>
      </c>
      <c r="G51" s="481">
        <f>'Asset Class Summary'!Y112/1000000</f>
        <v>279.19950548762006</v>
      </c>
    </row>
  </sheetData>
  <pageMargins left="0.2" right="0.2" top="0.25" bottom="0.2" header="0.23" footer="0.2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Input Data Sheet</vt:lpstr>
      <vt:lpstr>EscalatorMapping</vt:lpstr>
      <vt:lpstr>Parameters</vt:lpstr>
      <vt:lpstr>Base Costs</vt:lpstr>
      <vt:lpstr>Cost+LOA</vt:lpstr>
      <vt:lpstr>Cost+Escalation</vt:lpstr>
      <vt:lpstr>Cost+CPI</vt:lpstr>
      <vt:lpstr>Asset Class Summary</vt:lpstr>
      <vt:lpstr>Category Summary</vt:lpstr>
      <vt:lpstr>Capex - By Category</vt:lpstr>
      <vt:lpstr>Capex - By Asset Class</vt:lpstr>
      <vt:lpstr>Capex - Network Projects</vt:lpstr>
      <vt:lpstr>Capex - Non-network Projects</vt:lpstr>
      <vt:lpstr>Asset Growth</vt:lpstr>
      <vt:lpstr>PTRM</vt:lpstr>
      <vt:lpstr>'Category Summary'!Print_Area</vt:lpstr>
      <vt:lpstr>'Input Data Sheet'!Print_Area</vt:lpstr>
      <vt:lpstr>Parameters!Print_Area</vt:lpstr>
    </vt:vector>
  </TitlesOfParts>
  <Company>Transend Networks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hosanm</dc:creator>
  <cp:lastModifiedBy>swardm</cp:lastModifiedBy>
  <cp:lastPrinted>2014-03-19T01:44:53Z</cp:lastPrinted>
  <dcterms:created xsi:type="dcterms:W3CDTF">2011-06-06T07:20:53Z</dcterms:created>
  <dcterms:modified xsi:type="dcterms:W3CDTF">2014-05-23T06:07:56Z</dcterms:modified>
</cp:coreProperties>
</file>