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28920" yWindow="-120" windowWidth="29040" windowHeight="15840" tabRatio="835"/>
  </bookViews>
  <sheets>
    <sheet name="Readme" sheetId="28" r:id="rId1"/>
    <sheet name="TNSP Charts-updated" sheetId="15" r:id="rId2"/>
    <sheet name="TNSP Analysis" sheetId="23" r:id="rId3"/>
    <sheet name="Asset cost and Total cost" sheetId="22" r:id="rId4"/>
    <sheet name="Opex" sheetId="4" r:id="rId5"/>
    <sheet name="RAB" sheetId="7" r:id="rId6"/>
    <sheet name="Depreciation" sheetId="27" r:id="rId7"/>
    <sheet name="Capex" sheetId="1" r:id="rId8"/>
    <sheet name="CPI" sheetId="2" r:id="rId9"/>
    <sheet name="Physical data" sheetId="5" r:id="rId10"/>
    <sheet name="Network characteristics charts" sheetId="25" r:id="rId11"/>
    <sheet name="Network size table" sheetId="2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GoBack" localSheetId="0">Readme!$A$12</definedName>
    <definedName name="_Ref390772024" localSheetId="9">'Physical data'!$B$27</definedName>
    <definedName name="Capex_base" localSheetId="3">'Asset cost and Total cost'!#REF!</definedName>
    <definedName name="Capex_base" localSheetId="6">Depreciation!#REF!</definedName>
    <definedName name="Capex_base" localSheetId="4">Opex!#REF!</definedName>
    <definedName name="Capex_base" localSheetId="5">RAB!#REF!</definedName>
    <definedName name="Capex_base" localSheetId="0">[1]Capex!#REF!</definedName>
    <definedName name="Capex_base">Capex!#REF!</definedName>
    <definedName name="Capex_Base_Index" localSheetId="3">'Asset cost and Total cost'!#REF!</definedName>
    <definedName name="Capex_base_index" localSheetId="6">Depreciation!#REF!</definedName>
    <definedName name="Capex_Base_Index" localSheetId="4">Opex!#REF!</definedName>
    <definedName name="Capex_Base_Index" localSheetId="5">RAB!#REF!</definedName>
    <definedName name="Capex_Base_Index" localSheetId="0">[1]Capex!#REF!</definedName>
    <definedName name="Capex_Base_Index">Capex!#REF!</definedName>
    <definedName name="Capex_Years">[2]Capex!$C$1:$CZ$1</definedName>
    <definedName name="currency_base" localSheetId="0">[1]CPI!$E$8</definedName>
    <definedName name="currency_base">CPI!$E$9</definedName>
    <definedName name="Real_year" localSheetId="0">[1]CPI!$E$6</definedName>
    <definedName name="Real_year">CPI!$E$7</definedName>
    <definedName name="RemovingHVAssets">[1]Zonesubstationtransformation!#REF!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7" l="1"/>
  <c r="Q9" i="7"/>
  <c r="B2" i="22" l="1"/>
  <c r="Q8" i="7" l="1"/>
  <c r="E33" i="5" l="1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D26" i="5" s="1"/>
  <c r="D33" i="5"/>
  <c r="D27" i="22" l="1"/>
  <c r="E27" i="22"/>
  <c r="F27" i="22"/>
  <c r="G27" i="22"/>
  <c r="H27" i="22"/>
  <c r="I27" i="22"/>
  <c r="J27" i="22"/>
  <c r="K27" i="22"/>
  <c r="L27" i="22"/>
  <c r="M27" i="22"/>
  <c r="N27" i="22"/>
  <c r="O27" i="22"/>
  <c r="P27" i="22"/>
  <c r="Q27" i="22"/>
  <c r="D28" i="22"/>
  <c r="E28" i="22"/>
  <c r="F28" i="22"/>
  <c r="G28" i="22"/>
  <c r="H28" i="22"/>
  <c r="I28" i="22"/>
  <c r="J28" i="22"/>
  <c r="K28" i="22"/>
  <c r="L28" i="22"/>
  <c r="M28" i="22"/>
  <c r="N28" i="22"/>
  <c r="O28" i="22"/>
  <c r="P28" i="22"/>
  <c r="Q28" i="22"/>
  <c r="D29" i="22"/>
  <c r="E29" i="22"/>
  <c r="F29" i="22"/>
  <c r="G29" i="22"/>
  <c r="H29" i="22"/>
  <c r="I29" i="22"/>
  <c r="J29" i="22"/>
  <c r="K29" i="22"/>
  <c r="L29" i="22"/>
  <c r="M29" i="22"/>
  <c r="N29" i="22"/>
  <c r="O29" i="22"/>
  <c r="P29" i="22"/>
  <c r="Q29" i="22"/>
  <c r="D30" i="22"/>
  <c r="E30" i="22"/>
  <c r="F30" i="22"/>
  <c r="G30" i="22"/>
  <c r="H30" i="22"/>
  <c r="I30" i="22"/>
  <c r="J30" i="22"/>
  <c r="K30" i="22"/>
  <c r="L30" i="22"/>
  <c r="M30" i="22"/>
  <c r="N30" i="22"/>
  <c r="O30" i="22"/>
  <c r="P30" i="22"/>
  <c r="Q30" i="22"/>
  <c r="D31" i="22"/>
  <c r="E31" i="22"/>
  <c r="F31" i="22"/>
  <c r="G31" i="22"/>
  <c r="H31" i="22"/>
  <c r="I31" i="22"/>
  <c r="J31" i="22"/>
  <c r="K31" i="22"/>
  <c r="L31" i="22"/>
  <c r="M31" i="22"/>
  <c r="N31" i="22"/>
  <c r="O31" i="22"/>
  <c r="P31" i="22"/>
  <c r="Q31" i="22"/>
  <c r="C31" i="22"/>
  <c r="C30" i="22"/>
  <c r="C29" i="22"/>
  <c r="C28" i="22"/>
  <c r="C27" i="22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C12" i="4"/>
  <c r="C11" i="4"/>
  <c r="C10" i="4"/>
  <c r="C9" i="4"/>
  <c r="C8" i="4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D27" i="5" s="1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D28" i="5" s="1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D29" i="5" s="1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D30" i="5" s="1"/>
  <c r="D37" i="5"/>
  <c r="D36" i="5"/>
  <c r="D35" i="5"/>
  <c r="D3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D7" i="5"/>
  <c r="D6" i="5"/>
  <c r="D5" i="5"/>
  <c r="D4" i="5"/>
  <c r="D3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D15" i="5"/>
  <c r="D14" i="5"/>
  <c r="D13" i="5"/>
  <c r="D12" i="5"/>
  <c r="D11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D52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D51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D50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D49" i="5"/>
  <c r="R48" i="5"/>
  <c r="N48" i="5"/>
  <c r="O48" i="5"/>
  <c r="P48" i="5"/>
  <c r="Q48" i="5"/>
  <c r="I48" i="5"/>
  <c r="J48" i="5"/>
  <c r="K48" i="5"/>
  <c r="L48" i="5"/>
  <c r="M48" i="5"/>
  <c r="E48" i="5"/>
  <c r="F48" i="5"/>
  <c r="G48" i="5"/>
  <c r="H48" i="5"/>
  <c r="D48" i="5"/>
  <c r="B4" i="22" l="1"/>
  <c r="C13" i="26" l="1"/>
  <c r="B303" i="2" l="1"/>
  <c r="B304" i="2"/>
  <c r="B305" i="2"/>
  <c r="B306" i="2"/>
  <c r="B307" i="2"/>
  <c r="B308" i="2"/>
  <c r="B302" i="2"/>
  <c r="T3" i="2" l="1"/>
  <c r="E8" i="2"/>
  <c r="R42" i="5" l="1"/>
  <c r="Q40" i="5"/>
  <c r="R41" i="5" l="1"/>
  <c r="R43" i="5"/>
  <c r="R44" i="5"/>
  <c r="R40" i="5"/>
  <c r="R16" i="5"/>
  <c r="Q8" i="1"/>
  <c r="Q9" i="1" l="1"/>
  <c r="Q10" i="1" l="1"/>
  <c r="Q11" i="1" l="1"/>
  <c r="Q12" i="1" l="1"/>
  <c r="Q12" i="27"/>
  <c r="Q11" i="27" l="1"/>
  <c r="Q10" i="27" l="1"/>
  <c r="Q9" i="27" l="1"/>
  <c r="Q8" i="27"/>
  <c r="Q12" i="7" l="1"/>
  <c r="Q10" i="7" l="1"/>
  <c r="P8" i="7" l="1"/>
  <c r="S49" i="5" l="1"/>
  <c r="S50" i="5"/>
  <c r="S51" i="5"/>
  <c r="S52" i="5"/>
  <c r="S48" i="5"/>
  <c r="G27" i="5"/>
  <c r="G28" i="5"/>
  <c r="G29" i="5"/>
  <c r="G30" i="5"/>
  <c r="G26" i="5"/>
  <c r="F27" i="5"/>
  <c r="F28" i="5"/>
  <c r="F29" i="5"/>
  <c r="F30" i="5"/>
  <c r="F26" i="5"/>
  <c r="E27" i="5"/>
  <c r="E28" i="5"/>
  <c r="E29" i="5"/>
  <c r="E30" i="5"/>
  <c r="E26" i="5"/>
  <c r="T6" i="2"/>
  <c r="T5" i="2"/>
  <c r="T4" i="2"/>
  <c r="E9" i="2" l="1"/>
  <c r="T10" i="2" s="1"/>
  <c r="T11" i="2" l="1"/>
  <c r="Q6" i="22" s="1"/>
  <c r="T12" i="2"/>
  <c r="Q5" i="22" s="1"/>
  <c r="Q13" i="22" s="1"/>
  <c r="Q15" i="22" l="1"/>
  <c r="Q11" i="22"/>
  <c r="Q12" i="22"/>
  <c r="Q14" i="22"/>
  <c r="Q4" i="7"/>
  <c r="Q19" i="7" s="1"/>
  <c r="Q3" i="7"/>
  <c r="Q17" i="7" s="1"/>
  <c r="Q3" i="1"/>
  <c r="Q17" i="1" s="1"/>
  <c r="Q3" i="27"/>
  <c r="Q17" i="27" s="1"/>
  <c r="Q4" i="4"/>
  <c r="Q4" i="1"/>
  <c r="Q4" i="27"/>
  <c r="Q3" i="4"/>
  <c r="Q17" i="4" s="1"/>
  <c r="G2" i="22"/>
  <c r="Q16" i="7" l="1"/>
  <c r="Q15" i="7"/>
  <c r="Q18" i="7"/>
  <c r="Q21" i="22"/>
  <c r="R55" i="23" s="1"/>
  <c r="R23" i="23" s="1"/>
  <c r="Q15" i="4"/>
  <c r="Q19" i="4"/>
  <c r="Q16" i="4"/>
  <c r="Q18" i="4"/>
  <c r="Q19" i="1"/>
  <c r="Q18" i="1"/>
  <c r="Q16" i="1"/>
  <c r="Q15" i="1"/>
  <c r="Q15" i="27"/>
  <c r="Q19" i="22" s="1"/>
  <c r="R53" i="23" s="1"/>
  <c r="Q19" i="27"/>
  <c r="Q18" i="27"/>
  <c r="Q16" i="27"/>
  <c r="Q20" i="22" s="1"/>
  <c r="R54" i="23" s="1"/>
  <c r="E2" i="22"/>
  <c r="R15" i="23" l="1"/>
  <c r="R47" i="23"/>
  <c r="R31" i="23"/>
  <c r="Q23" i="22"/>
  <c r="R57" i="23" s="1"/>
  <c r="R17" i="23" s="1"/>
  <c r="R45" i="23"/>
  <c r="R21" i="23"/>
  <c r="R13" i="23"/>
  <c r="R29" i="23"/>
  <c r="Q22" i="22"/>
  <c r="R56" i="23" s="1"/>
  <c r="R22" i="23"/>
  <c r="R14" i="23"/>
  <c r="R30" i="23"/>
  <c r="R46" i="23"/>
  <c r="P11" i="1"/>
  <c r="P11" i="27"/>
  <c r="R25" i="23" l="1"/>
  <c r="R33" i="23"/>
  <c r="R49" i="23"/>
  <c r="U13" i="23"/>
  <c r="U14" i="23"/>
  <c r="R32" i="23"/>
  <c r="R24" i="23"/>
  <c r="R16" i="23"/>
  <c r="R48" i="23"/>
  <c r="R50" i="23" s="1"/>
  <c r="R34" i="23" l="1"/>
  <c r="S6" i="2"/>
  <c r="S5" i="2"/>
  <c r="S4" i="2"/>
  <c r="S3" i="2"/>
  <c r="S10" i="2" l="1"/>
  <c r="S11" i="2"/>
  <c r="P6" i="22" s="1"/>
  <c r="S12" i="2"/>
  <c r="P5" i="22" s="1"/>
  <c r="P13" i="22" s="1"/>
  <c r="P11" i="7"/>
  <c r="P15" i="22" l="1"/>
  <c r="P12" i="22"/>
  <c r="P11" i="22"/>
  <c r="P14" i="22"/>
  <c r="P3" i="1"/>
  <c r="P3" i="27"/>
  <c r="P3" i="4"/>
  <c r="P3" i="7"/>
  <c r="P4" i="7"/>
  <c r="P4" i="1"/>
  <c r="P4" i="27"/>
  <c r="P4" i="4"/>
  <c r="P15" i="4" s="1"/>
  <c r="P18" i="27" l="1"/>
  <c r="Q42" i="5"/>
  <c r="Q43" i="5"/>
  <c r="Q41" i="5"/>
  <c r="Q44" i="5"/>
  <c r="P18" i="1" l="1"/>
  <c r="P18" i="7"/>
  <c r="P12" i="1"/>
  <c r="P19" i="1" s="1"/>
  <c r="P12" i="27"/>
  <c r="P19" i="27" s="1"/>
  <c r="P12" i="7"/>
  <c r="P19" i="7" s="1"/>
  <c r="P10" i="1" l="1"/>
  <c r="P17" i="1" s="1"/>
  <c r="P10" i="27"/>
  <c r="P17" i="27" s="1"/>
  <c r="P10" i="7"/>
  <c r="P17" i="7" s="1"/>
  <c r="P9" i="1" l="1"/>
  <c r="P16" i="1" s="1"/>
  <c r="P9" i="27"/>
  <c r="P16" i="27" s="1"/>
  <c r="P9" i="7"/>
  <c r="P16" i="7" s="1"/>
  <c r="P8" i="1" l="1"/>
  <c r="P15" i="1" s="1"/>
  <c r="P8" i="27"/>
  <c r="P15" i="27" s="1"/>
  <c r="P15" i="7" l="1"/>
  <c r="P18" i="4" l="1"/>
  <c r="P19" i="4" l="1"/>
  <c r="P17" i="4" l="1"/>
  <c r="P16" i="4" l="1"/>
  <c r="P21" i="22" l="1"/>
  <c r="Q55" i="23" s="1"/>
  <c r="Q31" i="23" s="1"/>
  <c r="U31" i="23" s="1"/>
  <c r="P22" i="22"/>
  <c r="Q56" i="23" s="1"/>
  <c r="Q32" i="23" s="1"/>
  <c r="P20" i="22"/>
  <c r="Q54" i="23" s="1"/>
  <c r="Q30" i="23" s="1"/>
  <c r="U30" i="23" s="1"/>
  <c r="P19" i="22"/>
  <c r="Q53" i="23" s="1"/>
  <c r="P23" i="22"/>
  <c r="Q57" i="23" s="1"/>
  <c r="Q33" i="23" s="1"/>
  <c r="U33" i="23" s="1"/>
  <c r="O12" i="1"/>
  <c r="O12" i="27"/>
  <c r="O12" i="7"/>
  <c r="Q34" i="23" l="1"/>
  <c r="U32" i="23"/>
  <c r="Q22" i="23"/>
  <c r="Q14" i="23"/>
  <c r="Q46" i="23"/>
  <c r="U46" i="23" s="1"/>
  <c r="Q13" i="23"/>
  <c r="Q29" i="23"/>
  <c r="U29" i="23" s="1"/>
  <c r="Q45" i="23"/>
  <c r="Q21" i="23"/>
  <c r="Q24" i="23"/>
  <c r="Q16" i="23"/>
  <c r="Q48" i="23"/>
  <c r="U48" i="23" s="1"/>
  <c r="Q25" i="23"/>
  <c r="U25" i="23" s="1"/>
  <c r="Q49" i="23"/>
  <c r="U49" i="23" s="1"/>
  <c r="Q17" i="23"/>
  <c r="Q23" i="23"/>
  <c r="Q47" i="23"/>
  <c r="U47" i="23" s="1"/>
  <c r="Q15" i="23"/>
  <c r="O11" i="7"/>
  <c r="O11" i="27"/>
  <c r="O11" i="1"/>
  <c r="Q50" i="23" l="1"/>
  <c r="U45" i="23"/>
  <c r="O10" i="1"/>
  <c r="O10" i="27"/>
  <c r="O10" i="7"/>
  <c r="O9" i="7" l="1"/>
  <c r="O9" i="27"/>
  <c r="O9" i="1"/>
  <c r="O8" i="1" l="1"/>
  <c r="O8" i="27"/>
  <c r="O8" i="7"/>
  <c r="Q16" i="5" l="1"/>
  <c r="B2" i="1"/>
  <c r="B2" i="27"/>
  <c r="F6" i="2"/>
  <c r="G6" i="2"/>
  <c r="H6" i="2"/>
  <c r="I6" i="2"/>
  <c r="J6" i="2"/>
  <c r="K6" i="2"/>
  <c r="L6" i="2"/>
  <c r="M6" i="2"/>
  <c r="N6" i="2"/>
  <c r="R6" i="2"/>
  <c r="F5" i="2"/>
  <c r="G5" i="2"/>
  <c r="H5" i="2"/>
  <c r="I5" i="2"/>
  <c r="J5" i="2"/>
  <c r="K5" i="2"/>
  <c r="L5" i="2"/>
  <c r="M5" i="2"/>
  <c r="N5" i="2"/>
  <c r="R5" i="2"/>
  <c r="L4" i="2"/>
  <c r="K4" i="2"/>
  <c r="J4" i="2"/>
  <c r="I4" i="2"/>
  <c r="H4" i="2"/>
  <c r="G4" i="2"/>
  <c r="F4" i="2"/>
  <c r="M4" i="2"/>
  <c r="N4" i="2"/>
  <c r="R4" i="2"/>
  <c r="R3" i="2"/>
  <c r="N3" i="2"/>
  <c r="M3" i="2"/>
  <c r="L3" i="2"/>
  <c r="K3" i="2"/>
  <c r="J3" i="2"/>
  <c r="I3" i="2"/>
  <c r="H3" i="2"/>
  <c r="F3" i="2"/>
  <c r="G3" i="2"/>
  <c r="R10" i="2" l="1"/>
  <c r="R11" i="2"/>
  <c r="O6" i="22" s="1"/>
  <c r="R12" i="2"/>
  <c r="O5" i="22" s="1"/>
  <c r="O13" i="22" s="1"/>
  <c r="O16" i="5"/>
  <c r="G16" i="5"/>
  <c r="K16" i="5"/>
  <c r="N16" i="5"/>
  <c r="J16" i="5"/>
  <c r="F16" i="5"/>
  <c r="P41" i="5"/>
  <c r="M16" i="5"/>
  <c r="P43" i="5"/>
  <c r="P42" i="5"/>
  <c r="I16" i="5"/>
  <c r="P16" i="5"/>
  <c r="H16" i="5"/>
  <c r="P40" i="5"/>
  <c r="P44" i="5"/>
  <c r="L16" i="5"/>
  <c r="O14" i="22" l="1"/>
  <c r="O12" i="22"/>
  <c r="O15" i="22"/>
  <c r="O11" i="22"/>
  <c r="O4" i="4"/>
  <c r="O18" i="4" s="1"/>
  <c r="O15" i="4"/>
  <c r="O16" i="4"/>
  <c r="O19" i="4"/>
  <c r="O3" i="1"/>
  <c r="O17" i="1" s="1"/>
  <c r="O3" i="7"/>
  <c r="O17" i="7" s="1"/>
  <c r="O3" i="27"/>
  <c r="O17" i="27" s="1"/>
  <c r="O3" i="4"/>
  <c r="O17" i="4" s="1"/>
  <c r="O4" i="27"/>
  <c r="O4" i="1"/>
  <c r="O4" i="7"/>
  <c r="O42" i="5"/>
  <c r="O43" i="5"/>
  <c r="O44" i="5"/>
  <c r="O18" i="7" l="1"/>
  <c r="O15" i="7"/>
  <c r="O19" i="7"/>
  <c r="O16" i="7"/>
  <c r="O15" i="1"/>
  <c r="O19" i="1"/>
  <c r="O16" i="1"/>
  <c r="O18" i="1"/>
  <c r="O15" i="27"/>
  <c r="O19" i="27"/>
  <c r="O18" i="27"/>
  <c r="O16" i="27"/>
  <c r="O41" i="5"/>
  <c r="O21" i="22" l="1"/>
  <c r="P55" i="23" s="1"/>
  <c r="O19" i="22"/>
  <c r="P53" i="23" s="1"/>
  <c r="O40" i="5"/>
  <c r="O20" i="22" l="1"/>
  <c r="P54" i="23" s="1"/>
  <c r="O22" i="22"/>
  <c r="P56" i="23" s="1"/>
  <c r="P21" i="23"/>
  <c r="P13" i="23"/>
  <c r="P45" i="23"/>
  <c r="P29" i="23"/>
  <c r="O23" i="22"/>
  <c r="P57" i="23" s="1"/>
  <c r="P47" i="23"/>
  <c r="P23" i="23"/>
  <c r="P31" i="23"/>
  <c r="P15" i="23"/>
  <c r="Q6" i="2"/>
  <c r="Q5" i="2"/>
  <c r="Q3" i="2"/>
  <c r="Q4" i="2"/>
  <c r="P16" i="23" l="1"/>
  <c r="P48" i="23"/>
  <c r="P32" i="23"/>
  <c r="P24" i="23"/>
  <c r="P25" i="23"/>
  <c r="P49" i="23"/>
  <c r="P33" i="23"/>
  <c r="P17" i="23"/>
  <c r="P22" i="23"/>
  <c r="P14" i="23"/>
  <c r="P30" i="23"/>
  <c r="P46" i="23"/>
  <c r="J10" i="2"/>
  <c r="P50" i="23" l="1"/>
  <c r="Q11" i="2"/>
  <c r="N6" i="22" s="1"/>
  <c r="K10" i="2"/>
  <c r="L10" i="2"/>
  <c r="G10" i="2"/>
  <c r="M10" i="2"/>
  <c r="H10" i="2"/>
  <c r="N10" i="2"/>
  <c r="I10" i="2"/>
  <c r="Q12" i="2"/>
  <c r="N5" i="22" s="1"/>
  <c r="N13" i="22" s="1"/>
  <c r="Q10" i="2"/>
  <c r="N14" i="22" l="1"/>
  <c r="N15" i="22"/>
  <c r="N12" i="22"/>
  <c r="N11" i="22"/>
  <c r="N3" i="7"/>
  <c r="N17" i="7" s="1"/>
  <c r="N3" i="27"/>
  <c r="N17" i="27" s="1"/>
  <c r="N3" i="1"/>
  <c r="N17" i="1" s="1"/>
  <c r="N4" i="7"/>
  <c r="N15" i="7" s="1"/>
  <c r="N4" i="1"/>
  <c r="N18" i="1" s="1"/>
  <c r="N4" i="27"/>
  <c r="N16" i="27" s="1"/>
  <c r="N4" i="4"/>
  <c r="N16" i="4" s="1"/>
  <c r="N3" i="4"/>
  <c r="N17" i="4" s="1"/>
  <c r="N40" i="5"/>
  <c r="S40" i="5" s="1"/>
  <c r="N42" i="5"/>
  <c r="S42" i="5" s="1"/>
  <c r="N41" i="5"/>
  <c r="S41" i="5" s="1"/>
  <c r="N43" i="5"/>
  <c r="S43" i="5" s="1"/>
  <c r="N44" i="5"/>
  <c r="S44" i="5" s="1"/>
  <c r="N19" i="7" l="1"/>
  <c r="N18" i="7"/>
  <c r="N16" i="7"/>
  <c r="N21" i="22"/>
  <c r="N16" i="1"/>
  <c r="N15" i="27"/>
  <c r="N18" i="4"/>
  <c r="N19" i="4"/>
  <c r="N15" i="4"/>
  <c r="N18" i="27"/>
  <c r="N19" i="27"/>
  <c r="N19" i="1"/>
  <c r="N15" i="1"/>
  <c r="M7" i="1"/>
  <c r="M14" i="1"/>
  <c r="N20" i="22" l="1"/>
  <c r="O54" i="23" s="1"/>
  <c r="O22" i="23" s="1"/>
  <c r="N23" i="22"/>
  <c r="N22" i="22"/>
  <c r="N19" i="22"/>
  <c r="O46" i="23"/>
  <c r="O55" i="23"/>
  <c r="O47" i="23" s="1"/>
  <c r="O30" i="23"/>
  <c r="O14" i="23"/>
  <c r="M41" i="5"/>
  <c r="M40" i="5"/>
  <c r="M43" i="5"/>
  <c r="M42" i="5"/>
  <c r="M44" i="5"/>
  <c r="O57" i="23" l="1"/>
  <c r="O49" i="23" s="1"/>
  <c r="O53" i="23"/>
  <c r="O15" i="23"/>
  <c r="O23" i="23"/>
  <c r="O31" i="23"/>
  <c r="O56" i="23"/>
  <c r="O48" i="23" s="1"/>
  <c r="P6" i="2"/>
  <c r="P5" i="2"/>
  <c r="P4" i="2"/>
  <c r="P10" i="2" s="1"/>
  <c r="P3" i="2"/>
  <c r="O6" i="2"/>
  <c r="O5" i="2"/>
  <c r="O4" i="2"/>
  <c r="O10" i="2" s="1"/>
  <c r="O3" i="2"/>
  <c r="O45" i="23" l="1"/>
  <c r="O50" i="23" s="1"/>
  <c r="O21" i="23"/>
  <c r="O25" i="23"/>
  <c r="O13" i="23"/>
  <c r="O32" i="23"/>
  <c r="O17" i="23"/>
  <c r="O16" i="23"/>
  <c r="O33" i="23"/>
  <c r="O24" i="23"/>
  <c r="O29" i="23"/>
  <c r="P12" i="2"/>
  <c r="M5" i="22" s="1"/>
  <c r="M13" i="22" s="1"/>
  <c r="P11" i="2"/>
  <c r="M6" i="22" s="1"/>
  <c r="O12" i="2"/>
  <c r="L5" i="22" s="1"/>
  <c r="L13" i="22" s="1"/>
  <c r="O11" i="2"/>
  <c r="L6" i="22" s="1"/>
  <c r="L14" i="22" l="1"/>
  <c r="L11" i="22"/>
  <c r="L15" i="22"/>
  <c r="L12" i="22"/>
  <c r="M14" i="22"/>
  <c r="M15" i="22"/>
  <c r="M11" i="22"/>
  <c r="M12" i="22"/>
  <c r="M3" i="27"/>
  <c r="M17" i="27" s="1"/>
  <c r="R17" i="27" s="1"/>
  <c r="M3" i="1"/>
  <c r="M17" i="1" s="1"/>
  <c r="R17" i="1" s="1"/>
  <c r="M4" i="27"/>
  <c r="M4" i="1"/>
  <c r="L4" i="7"/>
  <c r="L19" i="7" s="1"/>
  <c r="L4" i="27"/>
  <c r="L4" i="1"/>
  <c r="L3" i="7"/>
  <c r="L17" i="7" s="1"/>
  <c r="L3" i="27"/>
  <c r="L17" i="27" s="1"/>
  <c r="L3" i="1"/>
  <c r="M3" i="7"/>
  <c r="M17" i="7" s="1"/>
  <c r="M4" i="7"/>
  <c r="M16" i="7" s="1"/>
  <c r="L4" i="4"/>
  <c r="L3" i="4"/>
  <c r="M4" i="4"/>
  <c r="M15" i="4" s="1"/>
  <c r="R15" i="4" s="1"/>
  <c r="D37" i="23" s="1"/>
  <c r="M3" i="4"/>
  <c r="M17" i="4" s="1"/>
  <c r="R17" i="4" s="1"/>
  <c r="R17" i="7" l="1"/>
  <c r="R16" i="7"/>
  <c r="L16" i="7"/>
  <c r="L15" i="7"/>
  <c r="L18" i="7"/>
  <c r="M19" i="27"/>
  <c r="R19" i="27" s="1"/>
  <c r="M18" i="27"/>
  <c r="R18" i="27" s="1"/>
  <c r="M15" i="27"/>
  <c r="R15" i="27" s="1"/>
  <c r="M16" i="27"/>
  <c r="M18" i="7"/>
  <c r="M15" i="7"/>
  <c r="M19" i="7"/>
  <c r="L15" i="27"/>
  <c r="L18" i="27"/>
  <c r="L19" i="27"/>
  <c r="L16" i="27"/>
  <c r="M19" i="1"/>
  <c r="R19" i="1" s="1"/>
  <c r="M18" i="1"/>
  <c r="R18" i="1" s="1"/>
  <c r="M16" i="1"/>
  <c r="R16" i="1" s="1"/>
  <c r="M15" i="1"/>
  <c r="R15" i="1" s="1"/>
  <c r="M16" i="4"/>
  <c r="R16" i="4" s="1"/>
  <c r="M18" i="4"/>
  <c r="R18" i="4" s="1"/>
  <c r="M19" i="4"/>
  <c r="R19" i="4" s="1"/>
  <c r="R19" i="7" l="1"/>
  <c r="R15" i="7"/>
  <c r="R18" i="7"/>
  <c r="R12" i="22"/>
  <c r="F15" i="26" s="1"/>
  <c r="R16" i="27"/>
  <c r="M21" i="22"/>
  <c r="N55" i="23" s="1"/>
  <c r="R13" i="22"/>
  <c r="F16" i="26" s="1"/>
  <c r="E39" i="23"/>
  <c r="E16" i="26"/>
  <c r="D15" i="26"/>
  <c r="F38" i="23"/>
  <c r="F39" i="23"/>
  <c r="D16" i="26"/>
  <c r="D14" i="26" l="1"/>
  <c r="F37" i="23"/>
  <c r="M20" i="22"/>
  <c r="N54" i="23" s="1"/>
  <c r="S54" i="23" s="1"/>
  <c r="N47" i="23"/>
  <c r="S47" i="23" s="1"/>
  <c r="G6" i="23" s="1"/>
  <c r="S55" i="23"/>
  <c r="N23" i="23"/>
  <c r="S23" i="23" s="1"/>
  <c r="N15" i="23"/>
  <c r="S15" i="23" s="1"/>
  <c r="N31" i="23"/>
  <c r="S31" i="23" s="1"/>
  <c r="M22" i="22"/>
  <c r="N56" i="23" s="1"/>
  <c r="R14" i="22"/>
  <c r="F17" i="26" s="1"/>
  <c r="M23" i="22"/>
  <c r="N57" i="23" s="1"/>
  <c r="R15" i="22"/>
  <c r="F18" i="26" s="1"/>
  <c r="M19" i="22"/>
  <c r="N53" i="23" s="1"/>
  <c r="S53" i="23" s="1"/>
  <c r="R11" i="22"/>
  <c r="F14" i="26" s="1"/>
  <c r="D18" i="26"/>
  <c r="F41" i="23"/>
  <c r="E18" i="26"/>
  <c r="E41" i="23"/>
  <c r="E38" i="23"/>
  <c r="E15" i="26"/>
  <c r="E17" i="26"/>
  <c r="E40" i="23"/>
  <c r="F40" i="23"/>
  <c r="D17" i="26"/>
  <c r="E14" i="26"/>
  <c r="E37" i="23"/>
  <c r="N46" i="23" l="1"/>
  <c r="S46" i="23" s="1"/>
  <c r="G5" i="23" s="1"/>
  <c r="N14" i="23"/>
  <c r="S14" i="23" s="1"/>
  <c r="N30" i="23"/>
  <c r="S30" i="23" s="1"/>
  <c r="N22" i="23"/>
  <c r="S22" i="23" s="1"/>
  <c r="E5" i="23" s="1"/>
  <c r="N45" i="23"/>
  <c r="N48" i="23"/>
  <c r="S48" i="23" s="1"/>
  <c r="G7" i="23" s="1"/>
  <c r="S56" i="23"/>
  <c r="N49" i="23"/>
  <c r="S49" i="23" s="1"/>
  <c r="G8" i="23" s="1"/>
  <c r="S57" i="23"/>
  <c r="N32" i="23"/>
  <c r="S32" i="23" s="1"/>
  <c r="N33" i="23"/>
  <c r="S33" i="23" s="1"/>
  <c r="N25" i="23"/>
  <c r="S25" i="23" s="1"/>
  <c r="N13" i="23"/>
  <c r="S13" i="23" s="1"/>
  <c r="N16" i="23"/>
  <c r="S16" i="23" s="1"/>
  <c r="N29" i="23"/>
  <c r="S29" i="23" s="1"/>
  <c r="N21" i="23"/>
  <c r="S21" i="23" s="1"/>
  <c r="N24" i="23"/>
  <c r="S24" i="23" s="1"/>
  <c r="N17" i="23"/>
  <c r="S17" i="23" s="1"/>
  <c r="F25" i="5"/>
  <c r="D4" i="26" s="1"/>
  <c r="E25" i="5"/>
  <c r="D25" i="5"/>
  <c r="B4" i="26" s="1"/>
  <c r="F13" i="26"/>
  <c r="E13" i="26"/>
  <c r="D13" i="26"/>
  <c r="B13" i="26"/>
  <c r="S45" i="23" l="1"/>
  <c r="G4" i="23" s="1"/>
  <c r="N50" i="23"/>
  <c r="D40" i="5"/>
  <c r="D41" i="5"/>
  <c r="D42" i="5"/>
  <c r="D43" i="5"/>
  <c r="D44" i="5"/>
  <c r="A14" i="1" l="1"/>
  <c r="A14" i="27"/>
  <c r="B2" i="4"/>
  <c r="A14" i="4" s="1"/>
  <c r="B2" i="7"/>
  <c r="A14" i="7" s="1"/>
  <c r="D7" i="2" l="1"/>
  <c r="D9" i="2" s="1"/>
  <c r="G12" i="2" l="1"/>
  <c r="D5" i="22" s="1"/>
  <c r="D13" i="22" s="1"/>
  <c r="I12" i="2"/>
  <c r="F5" i="22" s="1"/>
  <c r="F13" i="22" s="1"/>
  <c r="K12" i="2"/>
  <c r="H5" i="22" s="1"/>
  <c r="H13" i="22" s="1"/>
  <c r="M12" i="2"/>
  <c r="J5" i="22" s="1"/>
  <c r="J13" i="22" s="1"/>
  <c r="H12" i="2"/>
  <c r="E5" i="22" s="1"/>
  <c r="E13" i="22" s="1"/>
  <c r="J12" i="2"/>
  <c r="G5" i="22" s="1"/>
  <c r="G13" i="22" s="1"/>
  <c r="L12" i="2"/>
  <c r="I5" i="22" s="1"/>
  <c r="I13" i="22" s="1"/>
  <c r="N12" i="2"/>
  <c r="K5" i="22" s="1"/>
  <c r="K13" i="22" s="1"/>
  <c r="F12" i="2"/>
  <c r="C5" i="22" s="1"/>
  <c r="C13" i="22" s="1"/>
  <c r="M11" i="2"/>
  <c r="J6" i="22" s="1"/>
  <c r="K11" i="2"/>
  <c r="H6" i="22" s="1"/>
  <c r="I11" i="2"/>
  <c r="F6" i="22" s="1"/>
  <c r="G11" i="2"/>
  <c r="D6" i="22" s="1"/>
  <c r="N11" i="2"/>
  <c r="K6" i="22" s="1"/>
  <c r="L11" i="2"/>
  <c r="I6" i="22" s="1"/>
  <c r="J11" i="2"/>
  <c r="G6" i="22" s="1"/>
  <c r="H11" i="2"/>
  <c r="E6" i="22" s="1"/>
  <c r="F11" i="2"/>
  <c r="C6" i="22" s="1"/>
  <c r="F10" i="2"/>
  <c r="I15" i="22" l="1"/>
  <c r="I11" i="22"/>
  <c r="I12" i="22"/>
  <c r="I14" i="22"/>
  <c r="K11" i="22"/>
  <c r="K14" i="22"/>
  <c r="K12" i="22"/>
  <c r="K15" i="22"/>
  <c r="F14" i="22"/>
  <c r="F15" i="22"/>
  <c r="F11" i="22"/>
  <c r="F12" i="22"/>
  <c r="J11" i="22"/>
  <c r="J12" i="22"/>
  <c r="J15" i="22"/>
  <c r="J14" i="22"/>
  <c r="E14" i="22"/>
  <c r="E15" i="22"/>
  <c r="E11" i="22"/>
  <c r="E12" i="22"/>
  <c r="D11" i="22"/>
  <c r="D14" i="22"/>
  <c r="D15" i="22"/>
  <c r="D12" i="22"/>
  <c r="H15" i="22"/>
  <c r="H12" i="22"/>
  <c r="H11" i="22"/>
  <c r="H14" i="22"/>
  <c r="C11" i="22"/>
  <c r="C12" i="22"/>
  <c r="C15" i="22"/>
  <c r="C14" i="22"/>
  <c r="G14" i="22"/>
  <c r="G12" i="22"/>
  <c r="G15" i="22"/>
  <c r="G11" i="22"/>
  <c r="K3" i="7"/>
  <c r="K17" i="7" s="1"/>
  <c r="K3" i="1"/>
  <c r="K3" i="27"/>
  <c r="K17" i="27" s="1"/>
  <c r="J3" i="7"/>
  <c r="J17" i="7" s="1"/>
  <c r="J3" i="27"/>
  <c r="J17" i="27" s="1"/>
  <c r="J3" i="1"/>
  <c r="I4" i="7"/>
  <c r="I19" i="7" s="1"/>
  <c r="I4" i="27"/>
  <c r="I4" i="1"/>
  <c r="H4" i="7"/>
  <c r="H16" i="7" s="1"/>
  <c r="H4" i="27"/>
  <c r="H4" i="1"/>
  <c r="I3" i="7"/>
  <c r="I17" i="7" s="1"/>
  <c r="I3" i="27"/>
  <c r="I17" i="27" s="1"/>
  <c r="I3" i="1"/>
  <c r="H3" i="7"/>
  <c r="H17" i="7" s="1"/>
  <c r="H3" i="27"/>
  <c r="H17" i="27" s="1"/>
  <c r="H3" i="1"/>
  <c r="F4" i="7"/>
  <c r="F16" i="7" s="1"/>
  <c r="F4" i="1"/>
  <c r="F4" i="27"/>
  <c r="C4" i="27"/>
  <c r="C4" i="1"/>
  <c r="C15" i="1" s="1"/>
  <c r="G3" i="7"/>
  <c r="G17" i="7" s="1"/>
  <c r="G3" i="1"/>
  <c r="G3" i="27"/>
  <c r="G17" i="27" s="1"/>
  <c r="F3" i="7"/>
  <c r="F17" i="7" s="1"/>
  <c r="F3" i="27"/>
  <c r="F17" i="27" s="1"/>
  <c r="F3" i="1"/>
  <c r="G4" i="7"/>
  <c r="G15" i="7" s="1"/>
  <c r="G4" i="27"/>
  <c r="G4" i="1"/>
  <c r="K4" i="7"/>
  <c r="K15" i="7" s="1"/>
  <c r="K4" i="27"/>
  <c r="K4" i="1"/>
  <c r="J4" i="7"/>
  <c r="J18" i="7" s="1"/>
  <c r="J4" i="1"/>
  <c r="J4" i="27"/>
  <c r="E4" i="7"/>
  <c r="E16" i="7" s="1"/>
  <c r="E4" i="27"/>
  <c r="E4" i="1"/>
  <c r="D4" i="7"/>
  <c r="D19" i="7" s="1"/>
  <c r="D4" i="27"/>
  <c r="D4" i="1"/>
  <c r="C3" i="1"/>
  <c r="C3" i="27"/>
  <c r="E3" i="7"/>
  <c r="E17" i="7" s="1"/>
  <c r="E3" i="27"/>
  <c r="E17" i="27" s="1"/>
  <c r="E3" i="1"/>
  <c r="D3" i="7"/>
  <c r="D17" i="7" s="1"/>
  <c r="D3" i="27"/>
  <c r="D17" i="27" s="1"/>
  <c r="D3" i="1"/>
  <c r="C4" i="4"/>
  <c r="C4" i="7"/>
  <c r="E4" i="4"/>
  <c r="I4" i="4"/>
  <c r="F4" i="4"/>
  <c r="J4" i="4"/>
  <c r="C3" i="4"/>
  <c r="C3" i="7"/>
  <c r="I3" i="4"/>
  <c r="E3" i="4"/>
  <c r="J3" i="4"/>
  <c r="F3" i="4"/>
  <c r="G4" i="4"/>
  <c r="K4" i="4"/>
  <c r="D4" i="4"/>
  <c r="H4" i="4"/>
  <c r="K3" i="4"/>
  <c r="G3" i="4"/>
  <c r="H3" i="4"/>
  <c r="D3" i="4"/>
  <c r="B3" i="26"/>
  <c r="D14" i="1"/>
  <c r="E14" i="1"/>
  <c r="F14" i="1"/>
  <c r="G14" i="1"/>
  <c r="H14" i="1"/>
  <c r="I14" i="1"/>
  <c r="J14" i="1"/>
  <c r="K14" i="1"/>
  <c r="L14" i="1"/>
  <c r="C14" i="1"/>
  <c r="G19" i="7" l="1"/>
  <c r="G16" i="7"/>
  <c r="H19" i="7"/>
  <c r="K18" i="7"/>
  <c r="K16" i="7"/>
  <c r="K19" i="7"/>
  <c r="D18" i="7"/>
  <c r="D16" i="7"/>
  <c r="H15" i="7"/>
  <c r="I16" i="7"/>
  <c r="D15" i="7"/>
  <c r="I18" i="7"/>
  <c r="G18" i="7"/>
  <c r="H18" i="7"/>
  <c r="E18" i="7"/>
  <c r="F18" i="7"/>
  <c r="E15" i="7"/>
  <c r="F15" i="7"/>
  <c r="E19" i="7"/>
  <c r="I15" i="7"/>
  <c r="F19" i="7"/>
  <c r="J15" i="7"/>
  <c r="J19" i="7"/>
  <c r="J16" i="7"/>
  <c r="J18" i="27"/>
  <c r="J19" i="27"/>
  <c r="J16" i="27"/>
  <c r="J15" i="27"/>
  <c r="F18" i="27"/>
  <c r="F15" i="27"/>
  <c r="F19" i="27"/>
  <c r="F16" i="27"/>
  <c r="G18" i="27"/>
  <c r="G15" i="27"/>
  <c r="G16" i="27"/>
  <c r="G19" i="27"/>
  <c r="E19" i="27"/>
  <c r="E16" i="27"/>
  <c r="E18" i="27"/>
  <c r="E15" i="27"/>
  <c r="D15" i="27"/>
  <c r="D18" i="27"/>
  <c r="D19" i="27"/>
  <c r="D16" i="27"/>
  <c r="H18" i="27"/>
  <c r="H15" i="27"/>
  <c r="H19" i="27"/>
  <c r="H16" i="27"/>
  <c r="K18" i="27"/>
  <c r="K15" i="27"/>
  <c r="K19" i="27"/>
  <c r="K16" i="27"/>
  <c r="I19" i="27"/>
  <c r="I18" i="27"/>
  <c r="I15" i="27"/>
  <c r="I16" i="27"/>
  <c r="E16" i="5" l="1"/>
  <c r="E40" i="5" l="1"/>
  <c r="I40" i="5"/>
  <c r="E41" i="5"/>
  <c r="I41" i="5"/>
  <c r="E42" i="5"/>
  <c r="I42" i="5"/>
  <c r="E43" i="5"/>
  <c r="I43" i="5"/>
  <c r="E44" i="5"/>
  <c r="I44" i="5"/>
  <c r="F40" i="5"/>
  <c r="J40" i="5"/>
  <c r="F41" i="5"/>
  <c r="J41" i="5"/>
  <c r="F42" i="5"/>
  <c r="F43" i="5"/>
  <c r="F44" i="5"/>
  <c r="G40" i="5"/>
  <c r="K40" i="5"/>
  <c r="G41" i="5"/>
  <c r="K41" i="5"/>
  <c r="G42" i="5"/>
  <c r="K42" i="5"/>
  <c r="G43" i="5"/>
  <c r="K43" i="5"/>
  <c r="G44" i="5"/>
  <c r="K44" i="5"/>
  <c r="H40" i="5"/>
  <c r="L40" i="5"/>
  <c r="H41" i="5"/>
  <c r="L41" i="5"/>
  <c r="H42" i="5"/>
  <c r="L42" i="5"/>
  <c r="H43" i="5"/>
  <c r="L43" i="5"/>
  <c r="H44" i="5"/>
  <c r="L44" i="5"/>
  <c r="J42" i="5"/>
  <c r="J43" i="5"/>
  <c r="J44" i="5"/>
  <c r="L7" i="1" l="1"/>
  <c r="B9" i="26" l="1"/>
  <c r="B8" i="26"/>
  <c r="B6" i="26"/>
  <c r="B5" i="26"/>
  <c r="B7" i="26"/>
  <c r="A18" i="22" l="1"/>
  <c r="A10" i="22" l="1"/>
  <c r="D7" i="1"/>
  <c r="E7" i="1"/>
  <c r="F7" i="1"/>
  <c r="G7" i="1"/>
  <c r="H7" i="1"/>
  <c r="I7" i="1"/>
  <c r="J7" i="1"/>
  <c r="K7" i="1"/>
  <c r="C7" i="1"/>
  <c r="C17" i="22" l="1"/>
  <c r="C3" i="26"/>
  <c r="D3" i="26"/>
  <c r="A5" i="26"/>
  <c r="A6" i="26"/>
  <c r="A7" i="26"/>
  <c r="A8" i="26"/>
  <c r="A9" i="26"/>
  <c r="B9" i="22" l="1"/>
  <c r="C8" i="26" l="1"/>
  <c r="C7" i="26"/>
  <c r="C6" i="26"/>
  <c r="D6" i="26"/>
  <c r="C9" i="26"/>
  <c r="D9" i="26"/>
  <c r="D8" i="26"/>
  <c r="D7" i="26"/>
  <c r="C17" i="7" l="1"/>
  <c r="C18" i="7" l="1"/>
  <c r="C15" i="7"/>
  <c r="C19" i="7"/>
  <c r="C16" i="7"/>
  <c r="L17" i="4" l="1"/>
  <c r="K17" i="4"/>
  <c r="I17" i="4"/>
  <c r="G17" i="4"/>
  <c r="E17" i="4"/>
  <c r="C17" i="4"/>
  <c r="J17" i="4"/>
  <c r="H17" i="4"/>
  <c r="F17" i="4"/>
  <c r="D17" i="4"/>
  <c r="F21" i="22" l="1"/>
  <c r="D21" i="22"/>
  <c r="G21" i="22"/>
  <c r="I21" i="22"/>
  <c r="H21" i="22"/>
  <c r="J21" i="22"/>
  <c r="E21" i="22"/>
  <c r="B16" i="26"/>
  <c r="D39" i="23"/>
  <c r="K21" i="22"/>
  <c r="L21" i="22"/>
  <c r="M55" i="23" s="1"/>
  <c r="C16" i="4"/>
  <c r="C15" i="4"/>
  <c r="C19" i="4"/>
  <c r="C18" i="4"/>
  <c r="L15" i="4"/>
  <c r="L19" i="4"/>
  <c r="L16" i="4"/>
  <c r="L18" i="4"/>
  <c r="L17" i="1"/>
  <c r="C16" i="26" s="1"/>
  <c r="K16" i="4"/>
  <c r="K18" i="4"/>
  <c r="K15" i="4"/>
  <c r="K19" i="4"/>
  <c r="K17" i="1"/>
  <c r="C17" i="1"/>
  <c r="C17" i="27"/>
  <c r="F19" i="4"/>
  <c r="F18" i="4"/>
  <c r="F16" i="4"/>
  <c r="J19" i="4"/>
  <c r="J18" i="4"/>
  <c r="J16" i="4"/>
  <c r="E19" i="4"/>
  <c r="E18" i="4"/>
  <c r="E16" i="4"/>
  <c r="I19" i="4"/>
  <c r="I18" i="4"/>
  <c r="I16" i="4"/>
  <c r="D19" i="4"/>
  <c r="D18" i="4"/>
  <c r="D16" i="4"/>
  <c r="H19" i="4"/>
  <c r="H18" i="4"/>
  <c r="H16" i="4"/>
  <c r="G19" i="4"/>
  <c r="G18" i="4"/>
  <c r="G16" i="4"/>
  <c r="D20" i="22" l="1"/>
  <c r="D22" i="22"/>
  <c r="J20" i="22"/>
  <c r="E22" i="22"/>
  <c r="I20" i="22"/>
  <c r="G23" i="22"/>
  <c r="H23" i="22"/>
  <c r="E23" i="22"/>
  <c r="D23" i="22"/>
  <c r="J23" i="22"/>
  <c r="I22" i="22"/>
  <c r="I23" i="22"/>
  <c r="F22" i="22"/>
  <c r="G20" i="22"/>
  <c r="J22" i="22"/>
  <c r="G22" i="22"/>
  <c r="F20" i="22"/>
  <c r="H20" i="22"/>
  <c r="H22" i="22"/>
  <c r="E20" i="22"/>
  <c r="F23" i="22"/>
  <c r="D38" i="23"/>
  <c r="B15" i="26"/>
  <c r="D41" i="23"/>
  <c r="B18" i="26"/>
  <c r="B14" i="26"/>
  <c r="L22" i="22"/>
  <c r="M56" i="23" s="1"/>
  <c r="M47" i="23"/>
  <c r="M31" i="23"/>
  <c r="M23" i="23"/>
  <c r="K23" i="22"/>
  <c r="K19" i="22"/>
  <c r="L53" i="23" s="1"/>
  <c r="L21" i="23" s="1"/>
  <c r="K22" i="22"/>
  <c r="L56" i="23" s="1"/>
  <c r="L20" i="22"/>
  <c r="M54" i="23" s="1"/>
  <c r="L19" i="22"/>
  <c r="M53" i="23" s="1"/>
  <c r="K20" i="22"/>
  <c r="L54" i="23" s="1"/>
  <c r="L22" i="23" s="1"/>
  <c r="L23" i="22"/>
  <c r="M57" i="23" s="1"/>
  <c r="C19" i="27"/>
  <c r="C18" i="27"/>
  <c r="C15" i="27"/>
  <c r="C16" i="27"/>
  <c r="C18" i="1"/>
  <c r="C16" i="1"/>
  <c r="C19" i="1"/>
  <c r="M15" i="23"/>
  <c r="L16" i="1"/>
  <c r="C15" i="26" s="1"/>
  <c r="L18" i="1"/>
  <c r="C17" i="26" s="1"/>
  <c r="L15" i="1"/>
  <c r="C14" i="26" s="1"/>
  <c r="L19" i="1"/>
  <c r="C18" i="26" s="1"/>
  <c r="L55" i="23"/>
  <c r="K16" i="1"/>
  <c r="K19" i="1"/>
  <c r="K18" i="1"/>
  <c r="K15" i="1"/>
  <c r="B17" i="26" l="1"/>
  <c r="D40" i="23"/>
  <c r="M49" i="23"/>
  <c r="M21" i="23"/>
  <c r="M48" i="23"/>
  <c r="M25" i="23"/>
  <c r="M22" i="23"/>
  <c r="M46" i="23"/>
  <c r="M30" i="23"/>
  <c r="M33" i="23"/>
  <c r="M45" i="23"/>
  <c r="L48" i="23"/>
  <c r="L45" i="23"/>
  <c r="L46" i="23"/>
  <c r="L47" i="23"/>
  <c r="M29" i="23"/>
  <c r="M13" i="23"/>
  <c r="L31" i="23"/>
  <c r="L23" i="23"/>
  <c r="L32" i="23"/>
  <c r="L24" i="23"/>
  <c r="M32" i="23"/>
  <c r="M24" i="23"/>
  <c r="L30" i="23"/>
  <c r="M17" i="23"/>
  <c r="M16" i="23"/>
  <c r="M14" i="23"/>
  <c r="L57" i="23"/>
  <c r="M50" i="23" l="1"/>
  <c r="F4" i="23"/>
  <c r="L49" i="23"/>
  <c r="L50" i="23" s="1"/>
  <c r="L29" i="23"/>
  <c r="L13" i="23"/>
  <c r="L33" i="23"/>
  <c r="L25" i="23"/>
  <c r="L14" i="23"/>
  <c r="L16" i="23"/>
  <c r="L15" i="23"/>
  <c r="J15" i="4"/>
  <c r="D15" i="1"/>
  <c r="F15" i="1"/>
  <c r="H15" i="1"/>
  <c r="J15" i="1"/>
  <c r="E15" i="1"/>
  <c r="G15" i="1"/>
  <c r="I15" i="1"/>
  <c r="G19" i="1"/>
  <c r="D19" i="1"/>
  <c r="H19" i="1"/>
  <c r="E19" i="1"/>
  <c r="I19" i="1"/>
  <c r="F19" i="1"/>
  <c r="J19" i="1"/>
  <c r="E18" i="1"/>
  <c r="I18" i="1"/>
  <c r="F18" i="1"/>
  <c r="J18" i="1"/>
  <c r="G18" i="1"/>
  <c r="D18" i="1"/>
  <c r="H18" i="1"/>
  <c r="E17" i="1"/>
  <c r="I17" i="1"/>
  <c r="D17" i="1"/>
  <c r="H17" i="1"/>
  <c r="G17" i="1"/>
  <c r="F17" i="1"/>
  <c r="J17" i="1"/>
  <c r="E55" i="23"/>
  <c r="E47" i="23" s="1"/>
  <c r="D16" i="1"/>
  <c r="F16" i="1"/>
  <c r="H16" i="1"/>
  <c r="J16" i="1"/>
  <c r="E16" i="1"/>
  <c r="G16" i="1"/>
  <c r="I16" i="1"/>
  <c r="J19" i="22" l="1"/>
  <c r="K53" i="23" s="1"/>
  <c r="F55" i="23"/>
  <c r="F47" i="23" s="1"/>
  <c r="J55" i="23"/>
  <c r="J47" i="23" s="1"/>
  <c r="L17" i="23"/>
  <c r="C21" i="22"/>
  <c r="G54" i="23"/>
  <c r="F54" i="23"/>
  <c r="I56" i="23"/>
  <c r="I48" i="23" s="1"/>
  <c r="H56" i="23"/>
  <c r="H48" i="23" s="1"/>
  <c r="I57" i="23"/>
  <c r="I49" i="23" s="1"/>
  <c r="H57" i="23"/>
  <c r="H49" i="23" s="1"/>
  <c r="H54" i="23"/>
  <c r="C20" i="22"/>
  <c r="I54" i="23"/>
  <c r="E54" i="23"/>
  <c r="C5" i="26"/>
  <c r="G55" i="23"/>
  <c r="G47" i="23" s="1"/>
  <c r="G56" i="23"/>
  <c r="G48" i="23" s="1"/>
  <c r="G57" i="23"/>
  <c r="G49" i="23" s="1"/>
  <c r="E56" i="23"/>
  <c r="E48" i="23" s="1"/>
  <c r="C22" i="22"/>
  <c r="F56" i="23"/>
  <c r="F48" i="23" s="1"/>
  <c r="F57" i="23"/>
  <c r="F49" i="23" s="1"/>
  <c r="E57" i="23"/>
  <c r="E49" i="23" s="1"/>
  <c r="C23" i="22"/>
  <c r="C19" i="22" l="1"/>
  <c r="D53" i="23" s="1"/>
  <c r="I46" i="23"/>
  <c r="I22" i="23"/>
  <c r="F46" i="23"/>
  <c r="F22" i="23"/>
  <c r="K45" i="23"/>
  <c r="K21" i="23"/>
  <c r="G46" i="23"/>
  <c r="G22" i="23"/>
  <c r="E46" i="23"/>
  <c r="E22" i="23"/>
  <c r="H46" i="23"/>
  <c r="H22" i="23"/>
  <c r="I30" i="23"/>
  <c r="H33" i="23"/>
  <c r="H25" i="23"/>
  <c r="K54" i="23"/>
  <c r="E33" i="23"/>
  <c r="E25" i="23"/>
  <c r="G31" i="23"/>
  <c r="G23" i="23"/>
  <c r="I33" i="23"/>
  <c r="I25" i="23"/>
  <c r="K56" i="23"/>
  <c r="K48" i="23" s="1"/>
  <c r="F30" i="23"/>
  <c r="J31" i="23"/>
  <c r="J23" i="23"/>
  <c r="F31" i="23"/>
  <c r="F23" i="23"/>
  <c r="E31" i="23"/>
  <c r="E23" i="23"/>
  <c r="F33" i="23"/>
  <c r="F25" i="23"/>
  <c r="G33" i="23"/>
  <c r="G25" i="23"/>
  <c r="H30" i="23"/>
  <c r="E30" i="23"/>
  <c r="K57" i="23"/>
  <c r="K49" i="23" s="1"/>
  <c r="G30" i="23"/>
  <c r="J57" i="23"/>
  <c r="J49" i="23" s="1"/>
  <c r="J56" i="23"/>
  <c r="J48" i="23" s="1"/>
  <c r="J54" i="23"/>
  <c r="F15" i="23"/>
  <c r="J15" i="23"/>
  <c r="H55" i="23"/>
  <c r="H47" i="23" s="1"/>
  <c r="I55" i="23"/>
  <c r="I47" i="23" s="1"/>
  <c r="E15" i="23"/>
  <c r="D55" i="23"/>
  <c r="D31" i="23" s="1"/>
  <c r="T31" i="23" s="1"/>
  <c r="D5" i="26"/>
  <c r="G15" i="4"/>
  <c r="F15" i="4"/>
  <c r="E15" i="4"/>
  <c r="D15" i="4"/>
  <c r="I15" i="4"/>
  <c r="H15" i="4"/>
  <c r="D57" i="23"/>
  <c r="D33" i="23" s="1"/>
  <c r="T33" i="23" s="1"/>
  <c r="D56" i="23"/>
  <c r="D32" i="23" s="1"/>
  <c r="T32" i="23" s="1"/>
  <c r="D54" i="23"/>
  <c r="D30" i="23" s="1"/>
  <c r="T30" i="23" s="1"/>
  <c r="H19" i="22" l="1"/>
  <c r="I19" i="22"/>
  <c r="D29" i="23"/>
  <c r="T29" i="23" s="1"/>
  <c r="D45" i="23"/>
  <c r="D21" i="23"/>
  <c r="T21" i="23" s="1"/>
  <c r="D13" i="23"/>
  <c r="T13" i="23" s="1"/>
  <c r="G19" i="22"/>
  <c r="H53" i="23" s="1"/>
  <c r="D19" i="22"/>
  <c r="E53" i="23" s="1"/>
  <c r="E45" i="23" s="1"/>
  <c r="E50" i="23" s="1"/>
  <c r="E19" i="22"/>
  <c r="F53" i="23" s="1"/>
  <c r="F19" i="22"/>
  <c r="G53" i="23" s="1"/>
  <c r="K46" i="23"/>
  <c r="K22" i="23"/>
  <c r="J46" i="23"/>
  <c r="J22" i="23"/>
  <c r="K55" i="23"/>
  <c r="K47" i="23" s="1"/>
  <c r="G32" i="23"/>
  <c r="G24" i="23"/>
  <c r="H32" i="23"/>
  <c r="H24" i="23"/>
  <c r="K32" i="23"/>
  <c r="K24" i="23"/>
  <c r="I31" i="23"/>
  <c r="I23" i="23"/>
  <c r="J32" i="23"/>
  <c r="J24" i="23"/>
  <c r="K29" i="23"/>
  <c r="K13" i="23"/>
  <c r="H31" i="23"/>
  <c r="H23" i="23"/>
  <c r="J33" i="23"/>
  <c r="J25" i="23"/>
  <c r="K30" i="23"/>
  <c r="K33" i="23"/>
  <c r="K25" i="23"/>
  <c r="F32" i="23"/>
  <c r="F24" i="23"/>
  <c r="I32" i="23"/>
  <c r="I24" i="23"/>
  <c r="E32" i="23"/>
  <c r="E24" i="23"/>
  <c r="J30" i="23"/>
  <c r="J53" i="23"/>
  <c r="I53" i="23"/>
  <c r="H15" i="23"/>
  <c r="G14" i="23"/>
  <c r="J16" i="23"/>
  <c r="E14" i="23"/>
  <c r="F16" i="23"/>
  <c r="K17" i="23"/>
  <c r="F14" i="23"/>
  <c r="H16" i="23"/>
  <c r="J17" i="23"/>
  <c r="D46" i="23"/>
  <c r="T46" i="23" s="1"/>
  <c r="D22" i="23"/>
  <c r="T22" i="23" s="1"/>
  <c r="D14" i="23"/>
  <c r="T14" i="23" s="1"/>
  <c r="G15" i="23"/>
  <c r="D48" i="23"/>
  <c r="T48" i="23" s="1"/>
  <c r="D24" i="23"/>
  <c r="T24" i="23" s="1"/>
  <c r="D16" i="23"/>
  <c r="T16" i="23" s="1"/>
  <c r="F17" i="23"/>
  <c r="J14" i="23"/>
  <c r="K16" i="23"/>
  <c r="I17" i="23"/>
  <c r="H14" i="23"/>
  <c r="G16" i="23"/>
  <c r="E17" i="23"/>
  <c r="D47" i="23"/>
  <c r="T47" i="23" s="1"/>
  <c r="D23" i="23"/>
  <c r="T23" i="23" s="1"/>
  <c r="D15" i="23"/>
  <c r="T15" i="23" s="1"/>
  <c r="I15" i="23"/>
  <c r="K14" i="23"/>
  <c r="H17" i="23"/>
  <c r="G17" i="23"/>
  <c r="D49" i="23"/>
  <c r="T49" i="23" s="1"/>
  <c r="D25" i="23"/>
  <c r="T25" i="23" s="1"/>
  <c r="D17" i="23"/>
  <c r="T17" i="23" s="1"/>
  <c r="I16" i="23"/>
  <c r="I14" i="23"/>
  <c r="E16" i="23"/>
  <c r="K50" i="23" l="1"/>
  <c r="T45" i="23"/>
  <c r="D50" i="23"/>
  <c r="K31" i="23"/>
  <c r="G45" i="23"/>
  <c r="G50" i="23" s="1"/>
  <c r="G21" i="23"/>
  <c r="H45" i="23"/>
  <c r="H50" i="23" s="1"/>
  <c r="H21" i="23"/>
  <c r="F45" i="23"/>
  <c r="F50" i="23" s="1"/>
  <c r="F21" i="23"/>
  <c r="E21" i="23"/>
  <c r="K23" i="23"/>
  <c r="J45" i="23"/>
  <c r="J50" i="23" s="1"/>
  <c r="J21" i="23"/>
  <c r="I45" i="23"/>
  <c r="I50" i="23" s="1"/>
  <c r="I21" i="23"/>
  <c r="K15" i="23"/>
  <c r="H29" i="23"/>
  <c r="H13" i="23"/>
  <c r="F29" i="23"/>
  <c r="F13" i="23"/>
  <c r="G29" i="23"/>
  <c r="G13" i="23"/>
  <c r="I29" i="23"/>
  <c r="I13" i="23"/>
  <c r="J29" i="23"/>
  <c r="J13" i="23"/>
  <c r="E29" i="23"/>
  <c r="E13" i="23"/>
  <c r="D6" i="23"/>
  <c r="D5" i="23"/>
  <c r="F5" i="23"/>
  <c r="E8" i="23"/>
  <c r="D7" i="23"/>
  <c r="F7" i="23"/>
  <c r="E7" i="23"/>
  <c r="F8" i="23"/>
  <c r="F6" i="23"/>
  <c r="D8" i="23"/>
  <c r="E6" i="23"/>
  <c r="E4" i="23" l="1"/>
  <c r="D4" i="23"/>
</calcChain>
</file>

<file path=xl/sharedStrings.xml><?xml version="1.0" encoding="utf-8"?>
<sst xmlns="http://schemas.openxmlformats.org/spreadsheetml/2006/main" count="479" uniqueCount="140">
  <si>
    <t>CPI (Dec)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</si>
  <si>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</si>
  <si>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</si>
  <si>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</si>
  <si>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</si>
  <si>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</si>
  <si>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</si>
  <si>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</si>
  <si>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</si>
  <si>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</si>
  <si>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Index Numbers ;  All groups CPI ;  Australia ;</t>
  </si>
  <si>
    <t>Index Numbers</t>
  </si>
  <si>
    <t>Original</t>
  </si>
  <si>
    <t>INDEX</t>
  </si>
  <si>
    <t>Quarter</t>
  </si>
  <si>
    <t>A2325846C</t>
  </si>
  <si>
    <t>Financial year data (Real December previous year)</t>
  </si>
  <si>
    <t>Calander year data (Real June same year)</t>
  </si>
  <si>
    <t>$ '000</t>
  </si>
  <si>
    <t>Maximum demand</t>
  </si>
  <si>
    <t>DNSP Network services capex</t>
  </si>
  <si>
    <t>Powerlink</t>
  </si>
  <si>
    <t>Energy transported</t>
  </si>
  <si>
    <t>Depreciation</t>
  </si>
  <si>
    <t>5 year average</t>
  </si>
  <si>
    <t>Opex</t>
  </si>
  <si>
    <t>Capex</t>
  </si>
  <si>
    <t>RAB</t>
  </si>
  <si>
    <t>Asset cost</t>
  </si>
  <si>
    <t>TasNetworks</t>
  </si>
  <si>
    <t>Prescribed transmission services RAB</t>
  </si>
  <si>
    <t>Average real WACC</t>
  </si>
  <si>
    <t>Benchmarking metrics</t>
  </si>
  <si>
    <t>Total user cost per MWh energy</t>
  </si>
  <si>
    <t>Return on assets</t>
  </si>
  <si>
    <t>AusNet Services</t>
  </si>
  <si>
    <t>Circuit line length</t>
  </si>
  <si>
    <t>ElectraNet</t>
  </si>
  <si>
    <t>TransGrid</t>
  </si>
  <si>
    <t>AVG Last 5YRs</t>
  </si>
  <si>
    <t>total overhead circuit kilometres</t>
  </si>
  <si>
    <t>total underground circuit kilometres</t>
  </si>
  <si>
    <t>CPI conversion</t>
  </si>
  <si>
    <t>Total user cost ($)</t>
  </si>
  <si>
    <t>Transmission system non-coincident summated maximum demand (MVA)</t>
  </si>
  <si>
    <t>Voltage of entry/exit points (kV)</t>
  </si>
  <si>
    <t>Circuit line length (km)</t>
  </si>
  <si>
    <t>Connection density (kV/km)</t>
  </si>
  <si>
    <t>Total user cost per MVA of maximum demand ($/MVA)</t>
  </si>
  <si>
    <t>Total user cost per km of transmission circuit length ($/km)</t>
  </si>
  <si>
    <t>Total energy transported</t>
  </si>
  <si>
    <t>Prescribed transmission services opex ($'000)</t>
  </si>
  <si>
    <t>TNSP Asset cost ($'000)</t>
  </si>
  <si>
    <t>Transmission inputs (avg last 5 years)</t>
  </si>
  <si>
    <t>Transmission outputs (avg last 5 yrs)</t>
  </si>
  <si>
    <t>Total user cost per MWh of energy transported ($/MWh)</t>
  </si>
  <si>
    <t>Convert to real (Financial year TNSP)</t>
  </si>
  <si>
    <t>Convert to real (March ending TNSP)</t>
  </si>
  <si>
    <t>March ending data (Real September previous year)</t>
  </si>
  <si>
    <t>Summary tables used in the annual benchmarking report</t>
  </si>
  <si>
    <t>TNSP depreciation</t>
  </si>
  <si>
    <t>Nominal</t>
  </si>
  <si>
    <t>$'000</t>
  </si>
  <si>
    <t>Nominal - Prescribed transmission services capex ($'000)</t>
  </si>
  <si>
    <t>MWh</t>
  </si>
  <si>
    <t>TOPED01</t>
  </si>
  <si>
    <t>MVA</t>
  </si>
  <si>
    <t>TOPSD0204</t>
  </si>
  <si>
    <t>kV</t>
  </si>
  <si>
    <t>km</t>
  </si>
  <si>
    <t>TPA01+TPA02</t>
  </si>
  <si>
    <t>GWh</t>
  </si>
  <si>
    <t>Total user cost per MVA MD</t>
  </si>
  <si>
    <t>Summary</t>
  </si>
  <si>
    <t>Data worksheets</t>
  </si>
  <si>
    <t xml:space="preserve">– CPI: this contains consumer price index sourced from the Australian Bureau of Statistics.  This index is used to convert nominal values into real values. </t>
  </si>
  <si>
    <t>Analysis worksheets</t>
  </si>
  <si>
    <t>AER TNSP Partial Performance Indicator Analysis</t>
  </si>
  <si>
    <t>– Asset cost and total user cost: this calculates asset cost and total user costs.</t>
  </si>
  <si>
    <t>– Data analysis: TNSP Analysis</t>
  </si>
  <si>
    <t>– Data analysis: Network Size Table</t>
  </si>
  <si>
    <t>Asset cost and total user cost</t>
  </si>
  <si>
    <t>CPI</t>
  </si>
  <si>
    <t>Physical data</t>
  </si>
  <si>
    <t>Network Characteristics Charts</t>
  </si>
  <si>
    <t xml:space="preserve">TNSP Analysis </t>
  </si>
  <si>
    <t>TNSP Charts</t>
  </si>
  <si>
    <t>– Graphical analysis: Network Characteristics Charts</t>
  </si>
  <si>
    <t>End User Number</t>
  </si>
  <si>
    <t>#</t>
  </si>
  <si>
    <t>Total user cost per total end user number ($/#)</t>
  </si>
  <si>
    <t>ENT</t>
  </si>
  <si>
    <t>PLK</t>
  </si>
  <si>
    <t>ANT</t>
  </si>
  <si>
    <t>TNT</t>
  </si>
  <si>
    <t>TRG</t>
  </si>
  <si>
    <t>Old WACC used for reference</t>
  </si>
  <si>
    <t>– Physical data: this presents key operational data submitted under TNSP EBRINs.</t>
  </si>
  <si>
    <t>– Capex: this presents network services capex data submitted under TNSP EBRINs.</t>
  </si>
  <si>
    <t>– Depreciation: this presents network services depreciation data submitted under TNSP EBRINs.</t>
  </si>
  <si>
    <t>– Opex: this presents network services opex data submitted under TNSP EBRINs.</t>
  </si>
  <si>
    <t>– RAB: this presents network services RAB data submitted under TNSP EBRINs.</t>
  </si>
  <si>
    <t>– Graphical analysis: TNSP Charts-updated</t>
  </si>
  <si>
    <t>Total user cost per end user number</t>
  </si>
  <si>
    <t>asset additions (recognised in RAB)</t>
  </si>
  <si>
    <t>currency_base (Calendar year TNSP)</t>
  </si>
  <si>
    <t xml:space="preserve"> Average 2016-20</t>
  </si>
  <si>
    <t>Average 2016-20</t>
  </si>
  <si>
    <t>Energy transported in 2020</t>
  </si>
  <si>
    <t>Change between 2020 and 2006</t>
  </si>
  <si>
    <t>Average NSP performance 2016-2020</t>
  </si>
  <si>
    <t>Five year average circuit length by TNSP (2016 to 2020)</t>
  </si>
  <si>
    <t>Connection density (end user per circuit km, 2016-20 average)</t>
  </si>
  <si>
    <t>Five year average circuit length by TNSP (2016-20)</t>
  </si>
  <si>
    <t>Energy transported in 2020 (MWh)</t>
  </si>
  <si>
    <t>Maximum demand for 2020 (MVA)</t>
  </si>
  <si>
    <t>End User Number (millions, 2020)</t>
  </si>
  <si>
    <t>Energy transported in 2020 (GWh)</t>
  </si>
  <si>
    <t>Maximum demand in 2020 (MVA)</t>
  </si>
  <si>
    <t>Total cost per MVA of maximum demand served ($2020), 2006 to 2020</t>
  </si>
  <si>
    <t>Total cost per MWh of energy transported ($2020), 2006 to 2020</t>
  </si>
  <si>
    <t>Total cost per end user ($2020), 2006 to 2020</t>
  </si>
  <si>
    <t>Total cost per km of transmission circuit length ($2020), 2006 to 2020</t>
  </si>
  <si>
    <t>*These are used to convert to $2020</t>
  </si>
  <si>
    <t>Average(2016-2020)</t>
  </si>
  <si>
    <t>$'000 2020</t>
  </si>
  <si>
    <t>$, 000</t>
  </si>
  <si>
    <t>$, 2020</t>
  </si>
  <si>
    <t>#/km</t>
  </si>
  <si>
    <t>$ 2020/km</t>
  </si>
  <si>
    <t>$ 2020/MVA</t>
  </si>
  <si>
    <t>$ 2020/MWh</t>
  </si>
  <si>
    <t>$ 2020/kV</t>
  </si>
  <si>
    <t>$2020/mva</t>
  </si>
  <si>
    <t>$2020/mwh</t>
  </si>
  <si>
    <t>$2020/kV</t>
  </si>
  <si>
    <t>$2020/km</t>
  </si>
  <si>
    <t xml:space="preserve">Total user cost per km of circuit length </t>
  </si>
  <si>
    <t>Date: September 2021</t>
  </si>
  <si>
    <t>This spreadsheet contains the PPI analysis on Electricity Transmission Network Service Providers for the years up to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</si>
</sst>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m\-yyyy"/>
    <numFmt numFmtId="168" formatCode="0.0;\-0.0;0.0;@"/>
    <numFmt numFmtId="169" formatCode="#,##0.000"/>
    <numFmt numFmtId="170" formatCode="#,##0.0"/>
    <numFmt numFmtId="171" formatCode="_-&quot;$&quot;* #,##0_-;\-&quot;$&quot;* #,##0_-;_-&quot;$&quot;* &quot;-&quot;??_-;_-@_-"/>
    <numFmt numFmtId="172" formatCode="_-* #,##0_-;\-* #,##0_-;_-* &quot;-&quot;??_-;_-@_-"/>
    <numFmt numFmtId="173" formatCode="#,##0.0000"/>
    <numFmt numFmtId="174" formatCode="0.000"/>
    <numFmt numFmtId="175" formatCode="0.0"/>
    <numFmt numFmtId="176" formatCode="[$-C09]mmm\-yyyy;@"/>
    <numFmt numFmtId="177" formatCode="0.0%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165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wrapText="1"/>
    </xf>
    <xf numFmtId="0" fontId="0" fillId="0" borderId="0" xfId="0"/>
    <xf numFmtId="0" fontId="3" fillId="0" borderId="0" xfId="0" applyFont="1" applyAlignment="1"/>
    <xf numFmtId="167" fontId="3" fillId="0" borderId="0" xfId="0" applyNumberFormat="1" applyFont="1" applyAlignment="1"/>
    <xf numFmtId="167" fontId="2" fillId="0" borderId="0" xfId="0" applyNumberFormat="1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/>
    <xf numFmtId="0" fontId="4" fillId="0" borderId="0" xfId="0" applyFont="1"/>
    <xf numFmtId="0" fontId="5" fillId="0" borderId="0" xfId="0" applyFont="1"/>
    <xf numFmtId="3" fontId="0" fillId="0" borderId="0" xfId="0" applyNumberFormat="1"/>
    <xf numFmtId="3" fontId="0" fillId="0" borderId="0" xfId="0" applyNumberFormat="1" applyBorder="1"/>
    <xf numFmtId="0" fontId="5" fillId="0" borderId="0" xfId="0" applyFont="1" applyFill="1" applyBorder="1"/>
    <xf numFmtId="171" fontId="0" fillId="0" borderId="0" xfId="3" applyNumberFormat="1" applyFont="1"/>
    <xf numFmtId="0" fontId="5" fillId="0" borderId="0" xfId="0" applyFont="1" applyAlignment="1">
      <alignment wrapText="1"/>
    </xf>
    <xf numFmtId="0" fontId="0" fillId="0" borderId="0" xfId="0"/>
    <xf numFmtId="0" fontId="5" fillId="0" borderId="1" xfId="0" applyFont="1" applyFill="1" applyBorder="1"/>
    <xf numFmtId="1" fontId="0" fillId="0" borderId="0" xfId="0" applyNumberFormat="1"/>
    <xf numFmtId="0" fontId="7" fillId="0" borderId="0" xfId="0" applyFont="1"/>
    <xf numFmtId="169" fontId="0" fillId="0" borderId="0" xfId="0" applyNumberFormat="1"/>
    <xf numFmtId="0" fontId="0" fillId="0" borderId="0" xfId="0" applyFill="1" applyBorder="1"/>
    <xf numFmtId="173" fontId="0" fillId="0" borderId="0" xfId="0" applyNumberFormat="1"/>
    <xf numFmtId="0" fontId="0" fillId="0" borderId="0" xfId="0" applyFill="1"/>
    <xf numFmtId="0" fontId="5" fillId="0" borderId="0" xfId="0" applyFont="1" applyFill="1"/>
    <xf numFmtId="0" fontId="0" fillId="0" borderId="0" xfId="0" applyFont="1" applyFill="1"/>
    <xf numFmtId="1" fontId="0" fillId="0" borderId="1" xfId="0" applyNumberFormat="1" applyFill="1" applyBorder="1"/>
    <xf numFmtId="3" fontId="0" fillId="0" borderId="1" xfId="0" applyNumberFormat="1" applyFill="1" applyBorder="1"/>
    <xf numFmtId="0" fontId="0" fillId="0" borderId="0" xfId="0" applyFont="1"/>
    <xf numFmtId="0" fontId="9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vertical="center"/>
    </xf>
    <xf numFmtId="10" fontId="0" fillId="0" borderId="0" xfId="8" applyNumberFormat="1" applyFont="1" applyFill="1"/>
    <xf numFmtId="169" fontId="0" fillId="0" borderId="0" xfId="0" applyNumberFormat="1" applyFill="1" applyBorder="1"/>
    <xf numFmtId="0" fontId="0" fillId="0" borderId="1" xfId="0" applyFill="1" applyBorder="1"/>
    <xf numFmtId="10" fontId="0" fillId="0" borderId="0" xfId="0" applyNumberFormat="1" applyFill="1"/>
    <xf numFmtId="3" fontId="0" fillId="0" borderId="0" xfId="0" applyNumberFormat="1" applyFill="1"/>
    <xf numFmtId="0" fontId="5" fillId="0" borderId="0" xfId="0" applyFont="1" applyFill="1" applyAlignment="1">
      <alignment wrapText="1"/>
    </xf>
    <xf numFmtId="0" fontId="5" fillId="0" borderId="1" xfId="6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4" fontId="0" fillId="0" borderId="1" xfId="0" applyNumberFormat="1" applyFill="1" applyBorder="1"/>
    <xf numFmtId="3" fontId="0" fillId="0" borderId="0" xfId="0" applyNumberFormat="1" applyFill="1" applyBorder="1"/>
    <xf numFmtId="171" fontId="0" fillId="0" borderId="0" xfId="3" applyNumberFormat="1" applyFont="1" applyFill="1"/>
    <xf numFmtId="0" fontId="0" fillId="0" borderId="0" xfId="3" applyNumberFormat="1" applyFont="1" applyFill="1"/>
    <xf numFmtId="1" fontId="0" fillId="0" borderId="0" xfId="0" applyNumberFormat="1" applyFill="1"/>
    <xf numFmtId="170" fontId="0" fillId="0" borderId="1" xfId="0" applyNumberFormat="1" applyFill="1" applyBorder="1"/>
    <xf numFmtId="0" fontId="7" fillId="0" borderId="0" xfId="0" applyFont="1" applyFill="1"/>
    <xf numFmtId="172" fontId="0" fillId="0" borderId="0" xfId="7" applyNumberFormat="1" applyFont="1" applyFill="1"/>
    <xf numFmtId="172" fontId="5" fillId="0" borderId="0" xfId="7" applyNumberFormat="1" applyFont="1" applyFill="1"/>
    <xf numFmtId="0" fontId="5" fillId="0" borderId="0" xfId="0" applyFont="1" applyAlignment="1">
      <alignment vertical="top"/>
    </xf>
    <xf numFmtId="9" fontId="0" fillId="0" borderId="0" xfId="8" applyFont="1" applyFill="1" applyBorder="1"/>
    <xf numFmtId="168" fontId="10" fillId="0" borderId="0" xfId="0" applyNumberFormat="1" applyFont="1" applyAlignment="1"/>
    <xf numFmtId="0" fontId="0" fillId="0" borderId="0" xfId="0"/>
    <xf numFmtId="167" fontId="10" fillId="0" borderId="0" xfId="0" applyNumberFormat="1" applyFont="1" applyAlignment="1">
      <alignment horizontal="left"/>
    </xf>
    <xf numFmtId="1" fontId="0" fillId="0" borderId="1" xfId="0" applyNumberFormat="1" applyFont="1" applyFill="1" applyBorder="1" applyAlignment="1">
      <alignment wrapText="1"/>
    </xf>
    <xf numFmtId="167" fontId="10" fillId="0" borderId="0" xfId="0" applyNumberFormat="1" applyFont="1" applyFill="1" applyAlignment="1">
      <alignment horizontal="left"/>
    </xf>
    <xf numFmtId="175" fontId="2" fillId="0" borderId="0" xfId="0" applyNumberFormat="1" applyFont="1" applyAlignment="1"/>
    <xf numFmtId="168" fontId="0" fillId="0" borderId="0" xfId="0" applyNumberFormat="1" applyFill="1" applyBorder="1"/>
    <xf numFmtId="0" fontId="0" fillId="0" borderId="0" xfId="0" applyNumberFormat="1" applyFill="1" applyBorder="1"/>
    <xf numFmtId="168" fontId="0" fillId="0" borderId="0" xfId="0" applyNumberFormat="1" applyFill="1"/>
    <xf numFmtId="175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ont="1" applyFill="1" applyAlignment="1">
      <alignment horizontal="left"/>
    </xf>
    <xf numFmtId="174" fontId="0" fillId="0" borderId="0" xfId="0" applyNumberFormat="1" applyFill="1" applyBorder="1"/>
    <xf numFmtId="0" fontId="8" fillId="0" borderId="0" xfId="0" applyFont="1" applyFill="1"/>
    <xf numFmtId="175" fontId="2" fillId="3" borderId="0" xfId="0" applyNumberFormat="1" applyFont="1" applyFill="1" applyAlignment="1"/>
    <xf numFmtId="164" fontId="0" fillId="0" borderId="1" xfId="0" applyNumberFormat="1" applyFill="1" applyBorder="1"/>
    <xf numFmtId="9" fontId="0" fillId="0" borderId="0" xfId="8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Border="1"/>
    <xf numFmtId="168" fontId="0" fillId="0" borderId="0" xfId="0" applyNumberFormat="1"/>
    <xf numFmtId="175" fontId="0" fillId="0" borderId="0" xfId="0" applyNumberFormat="1"/>
    <xf numFmtId="166" fontId="0" fillId="0" borderId="0" xfId="7" applyFont="1" applyFill="1"/>
    <xf numFmtId="166" fontId="0" fillId="0" borderId="1" xfId="7" applyFont="1" applyBorder="1"/>
    <xf numFmtId="3" fontId="11" fillId="0" borderId="1" xfId="0" applyNumberFormat="1" applyFont="1" applyFill="1" applyBorder="1"/>
    <xf numFmtId="0" fontId="10" fillId="0" borderId="0" xfId="0" applyFont="1" applyFill="1" applyAlignment="1" applyProtection="1">
      <protection locked="0"/>
    </xf>
    <xf numFmtId="175" fontId="10" fillId="0" borderId="0" xfId="0" applyNumberFormat="1" applyFont="1" applyFill="1" applyAlignment="1"/>
    <xf numFmtId="176" fontId="12" fillId="0" borderId="0" xfId="0" applyNumberFormat="1" applyFont="1" applyAlignment="1" applyProtection="1">
      <alignment horizontal="left"/>
    </xf>
    <xf numFmtId="0" fontId="10" fillId="0" borderId="0" xfId="0" applyFont="1" applyAlignment="1" applyProtection="1">
      <protection locked="0"/>
    </xf>
    <xf numFmtId="2" fontId="0" fillId="0" borderId="0" xfId="8" applyNumberFormat="1" applyFont="1" applyFill="1"/>
    <xf numFmtId="177" fontId="0" fillId="0" borderId="0" xfId="8" applyNumberFormat="1" applyFont="1" applyFill="1"/>
    <xf numFmtId="3" fontId="0" fillId="0" borderId="2" xfId="0" applyNumberFormat="1" applyFill="1" applyBorder="1"/>
    <xf numFmtId="1" fontId="0" fillId="0" borderId="1" xfId="0" applyNumberFormat="1" applyBorder="1"/>
    <xf numFmtId="2" fontId="0" fillId="0" borderId="0" xfId="0" applyNumberFormat="1" applyFill="1"/>
    <xf numFmtId="10" fontId="11" fillId="0" borderId="0" xfId="0" applyNumberFormat="1" applyFont="1" applyFill="1"/>
    <xf numFmtId="0" fontId="11" fillId="0" borderId="1" xfId="0" applyFont="1" applyFill="1" applyBorder="1"/>
    <xf numFmtId="0" fontId="0" fillId="0" borderId="0" xfId="0" applyFont="1" applyFill="1" applyAlignment="1">
      <alignment wrapText="1"/>
    </xf>
    <xf numFmtId="0" fontId="11" fillId="0" borderId="0" xfId="0" applyFont="1" applyFill="1"/>
    <xf numFmtId="0" fontId="13" fillId="0" borderId="1" xfId="6" applyFont="1" applyFill="1" applyBorder="1" applyAlignment="1">
      <alignment wrapText="1"/>
    </xf>
    <xf numFmtId="164" fontId="11" fillId="0" borderId="1" xfId="0" applyNumberFormat="1" applyFont="1" applyFill="1" applyBorder="1"/>
    <xf numFmtId="0" fontId="14" fillId="0" borderId="0" xfId="0" applyFont="1" applyFill="1"/>
    <xf numFmtId="166" fontId="11" fillId="0" borderId="1" xfId="7" applyFont="1" applyBorder="1"/>
  </cellXfs>
  <cellStyles count="9">
    <cellStyle name="20% - Accent4" xfId="6" builtinId="42"/>
    <cellStyle name="Comma" xfId="7" builtinId="3"/>
    <cellStyle name="Comma 2" xfId="4"/>
    <cellStyle name="Currency" xfId="3" builtinId="4"/>
    <cellStyle name="Normal" xfId="0" builtinId="0"/>
    <cellStyle name="Normal 2" xfId="2"/>
    <cellStyle name="Normal 3" xfId="1"/>
    <cellStyle name="Percent" xfId="8" builtinId="5"/>
    <cellStyle name="Percent 2" xfId="5"/>
  </cellStyles>
  <dxfs count="0"/>
  <tableStyles count="0" defaultTableStyle="TableStyleMedium2" defaultPivotStyle="PivotStyleLight16"/>
  <colors>
    <mruColors>
      <color rgb="FFFCC0C0"/>
      <color rgb="FFA1D99B"/>
      <color rgb="FFBD0026"/>
      <color rgb="FFC6DBEF"/>
      <color rgb="FFAC0000"/>
      <color rgb="FF006D2C"/>
      <color rgb="FF238B45"/>
      <color rgb="FF74C476"/>
      <color rgb="FF41AB5D"/>
      <color rgb="FFDE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34" Type="http://schemas.openxmlformats.org/officeDocument/2006/relationships/externalLink" Target="externalLinks/externalLink2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20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externalLink" Target="externalLinks/externalLink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externalLink" Target="externalLinks/externalLink18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Analysis'!$B$13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Analysis'!$D$12:$R$12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Analysis'!$D$13:$R$13</c:f>
              <c:numCache>
                <c:formatCode>#,##0</c:formatCode>
                <c:ptCount val="15"/>
                <c:pt idx="0">
                  <c:v>51273.715144251517</c:v>
                </c:pt>
                <c:pt idx="1">
                  <c:v>55902.932489210871</c:v>
                </c:pt>
                <c:pt idx="2">
                  <c:v>44332.301387736108</c:v>
                </c:pt>
                <c:pt idx="3">
                  <c:v>58401.352884288579</c:v>
                </c:pt>
                <c:pt idx="4">
                  <c:v>55570.961060031383</c:v>
                </c:pt>
                <c:pt idx="5">
                  <c:v>56690.313611575199</c:v>
                </c:pt>
                <c:pt idx="6">
                  <c:v>68854.085661863021</c:v>
                </c:pt>
                <c:pt idx="7">
                  <c:v>60570.787368445526</c:v>
                </c:pt>
                <c:pt idx="8">
                  <c:v>70618.927531038105</c:v>
                </c:pt>
                <c:pt idx="9">
                  <c:v>97509.3031888353</c:v>
                </c:pt>
                <c:pt idx="10">
                  <c:v>91229.409897651509</c:v>
                </c:pt>
                <c:pt idx="11">
                  <c:v>84108.776248952519</c:v>
                </c:pt>
                <c:pt idx="12">
                  <c:v>87608.560317442782</c:v>
                </c:pt>
                <c:pt idx="13">
                  <c:v>79982.655688475788</c:v>
                </c:pt>
                <c:pt idx="14">
                  <c:v>85974.372358007182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EA8E-449F-8386-CE6506D8A256}"/>
            </c:ext>
          </c:extLst>
        </c:ser>
        <c:ser>
          <c:idx val="3"/>
          <c:order val="1"/>
          <c:tx>
            <c:strRef>
              <c:f>'TNSP Analysis'!$B$14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Analysis'!$D$12:$R$12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Analysis'!$D$14:$R$14</c:f>
              <c:numCache>
                <c:formatCode>#,##0</c:formatCode>
                <c:ptCount val="15"/>
                <c:pt idx="0">
                  <c:v>48576.114338248699</c:v>
                </c:pt>
                <c:pt idx="1">
                  <c:v>49303.041334168767</c:v>
                </c:pt>
                <c:pt idx="2">
                  <c:v>48109.235117268887</c:v>
                </c:pt>
                <c:pt idx="3">
                  <c:v>62532.579172799677</c:v>
                </c:pt>
                <c:pt idx="4">
                  <c:v>61133.439150427417</c:v>
                </c:pt>
                <c:pt idx="5">
                  <c:v>66509.022125918767</c:v>
                </c:pt>
                <c:pt idx="6">
                  <c:v>81287.198086298929</c:v>
                </c:pt>
                <c:pt idx="7">
                  <c:v>66829.852440624003</c:v>
                </c:pt>
                <c:pt idx="8">
                  <c:v>61687.998124414909</c:v>
                </c:pt>
                <c:pt idx="9">
                  <c:v>78858.4887582222</c:v>
                </c:pt>
                <c:pt idx="10">
                  <c:v>72145.436246918034</c:v>
                </c:pt>
                <c:pt idx="11">
                  <c:v>63734.554280946722</c:v>
                </c:pt>
                <c:pt idx="12">
                  <c:v>58199.671789048298</c:v>
                </c:pt>
                <c:pt idx="13">
                  <c:v>59392.012156217337</c:v>
                </c:pt>
                <c:pt idx="14">
                  <c:v>55743.950589720407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EA8E-449F-8386-CE6506D8A256}"/>
            </c:ext>
          </c:extLst>
        </c:ser>
        <c:ser>
          <c:idx val="4"/>
          <c:order val="2"/>
          <c:tx>
            <c:strRef>
              <c:f>'TNSP Analysis'!$B$15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Analysis'!$D$12:$R$12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Analysis'!$D$15:$R$15</c:f>
              <c:numCache>
                <c:formatCode>#,##0</c:formatCode>
                <c:ptCount val="15"/>
                <c:pt idx="0">
                  <c:v>43368.66144713269</c:v>
                </c:pt>
                <c:pt idx="1">
                  <c:v>33785.582657140709</c:v>
                </c:pt>
                <c:pt idx="2">
                  <c:v>35687.191786135998</c:v>
                </c:pt>
                <c:pt idx="3">
                  <c:v>36881.470108183436</c:v>
                </c:pt>
                <c:pt idx="4">
                  <c:v>43873.245136413214</c:v>
                </c:pt>
                <c:pt idx="5">
                  <c:v>43188.985818965761</c:v>
                </c:pt>
                <c:pt idx="6">
                  <c:v>44828.992163308962</c:v>
                </c:pt>
                <c:pt idx="7">
                  <c:v>42476.956607111293</c:v>
                </c:pt>
                <c:pt idx="8">
                  <c:v>33898.170906679377</c:v>
                </c:pt>
                <c:pt idx="9">
                  <c:v>43979.559466879946</c:v>
                </c:pt>
                <c:pt idx="10">
                  <c:v>39132.442023406416</c:v>
                </c:pt>
                <c:pt idx="11">
                  <c:v>42526.962986227452</c:v>
                </c:pt>
                <c:pt idx="12">
                  <c:v>37410.644602448549</c:v>
                </c:pt>
                <c:pt idx="13">
                  <c:v>38262.634737195425</c:v>
                </c:pt>
                <c:pt idx="14">
                  <c:v>36284.184567397548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2-EA8E-449F-8386-CE6506D8A256}"/>
            </c:ext>
          </c:extLst>
        </c:ser>
        <c:ser>
          <c:idx val="5"/>
          <c:order val="3"/>
          <c:tx>
            <c:strRef>
              <c:f>'TNSP Analysis'!$B$16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Analysis'!$D$12:$R$12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Analysis'!$D$16:$R$16</c:f>
              <c:numCache>
                <c:formatCode>#,##0</c:formatCode>
                <c:ptCount val="15"/>
                <c:pt idx="0">
                  <c:v>55809.242270693532</c:v>
                </c:pt>
                <c:pt idx="1">
                  <c:v>52445.547040033482</c:v>
                </c:pt>
                <c:pt idx="2">
                  <c:v>64485.819398318599</c:v>
                </c:pt>
                <c:pt idx="3">
                  <c:v>59984.513270393261</c:v>
                </c:pt>
                <c:pt idx="4">
                  <c:v>68973.963618387948</c:v>
                </c:pt>
                <c:pt idx="5">
                  <c:v>71501.151817475067</c:v>
                </c:pt>
                <c:pt idx="6">
                  <c:v>85271.290721418714</c:v>
                </c:pt>
                <c:pt idx="7">
                  <c:v>72849.673745970344</c:v>
                </c:pt>
                <c:pt idx="8">
                  <c:v>67503.297716063156</c:v>
                </c:pt>
                <c:pt idx="9">
                  <c:v>70370.802883563898</c:v>
                </c:pt>
                <c:pt idx="10">
                  <c:v>65258.256915692786</c:v>
                </c:pt>
                <c:pt idx="11">
                  <c:v>64634.932467332059</c:v>
                </c:pt>
                <c:pt idx="12">
                  <c:v>57233.85164638851</c:v>
                </c:pt>
                <c:pt idx="13">
                  <c:v>61562.62791991431</c:v>
                </c:pt>
                <c:pt idx="14">
                  <c:v>50493.617450501064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EA8E-449F-8386-CE6506D8A256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Analysis'!$D$12:$R$12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Analysis'!$D$17:$R$17</c:f>
              <c:numCache>
                <c:formatCode>#,##0</c:formatCode>
                <c:ptCount val="15"/>
                <c:pt idx="0">
                  <c:v>29502.561888739714</c:v>
                </c:pt>
                <c:pt idx="1">
                  <c:v>30128.170659693049</c:v>
                </c:pt>
                <c:pt idx="2">
                  <c:v>26573.460780720976</c:v>
                </c:pt>
                <c:pt idx="3">
                  <c:v>34740.08030762335</c:v>
                </c:pt>
                <c:pt idx="4">
                  <c:v>35682.73936942478</c:v>
                </c:pt>
                <c:pt idx="5">
                  <c:v>34994.34313898359</c:v>
                </c:pt>
                <c:pt idx="6">
                  <c:v>44549.444858092415</c:v>
                </c:pt>
                <c:pt idx="7">
                  <c:v>38870.10557799325</c:v>
                </c:pt>
                <c:pt idx="8">
                  <c:v>38339.956603652565</c:v>
                </c:pt>
                <c:pt idx="9">
                  <c:v>46650.557663183645</c:v>
                </c:pt>
                <c:pt idx="10">
                  <c:v>39879.675645534022</c:v>
                </c:pt>
                <c:pt idx="11">
                  <c:v>39645.381439698664</c:v>
                </c:pt>
                <c:pt idx="12">
                  <c:v>34890.183410499041</c:v>
                </c:pt>
                <c:pt idx="13">
                  <c:v>33918.141440180261</c:v>
                </c:pt>
                <c:pt idx="14">
                  <c:v>32263.777779908116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A8E-449F-8386-CE6506D8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</a:t>
                </a:r>
                <a:r>
                  <a:rPr lang="en-AU" b="1" baseline="0"/>
                  <a:t> cost per MVA of maximum demand served</a:t>
                </a:r>
                <a:endParaRPr lang="en-AU" b="1"/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98856362812389"/>
          <c:y val="3.7448969862505802E-2"/>
          <c:w val="0.86501143637187616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data'!$D$24</c:f>
              <c:strCache>
                <c:ptCount val="1"/>
                <c:pt idx="0">
                  <c:v>Circuit line length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F89-4C87-9955-3AE49454F5F4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F89-4C87-9955-3AE49454F5F4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F89-4C87-9955-3AE49454F5F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F89-4C87-9955-3AE49454F5F4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F89-4C87-9955-3AE49454F5F4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F89-4C87-9955-3AE49454F5F4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F89-4C87-9955-3AE49454F5F4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F89-4C87-9955-3AE49454F5F4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F89-4C87-9955-3AE49454F5F4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F89-4C87-9955-3AE49454F5F4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F89-4C87-9955-3AE49454F5F4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F89-4C87-9955-3AE49454F5F4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F89-4C87-9955-3AE49454F5F4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5519.5789999999997</c:v>
                </c:pt>
                <c:pt idx="1">
                  <c:v>14528.2</c:v>
                </c:pt>
                <c:pt idx="2">
                  <c:v>6731.1111999999994</c:v>
                </c:pt>
                <c:pt idx="3">
                  <c:v>3350.5371820000005</c:v>
                </c:pt>
                <c:pt idx="4">
                  <c:v>13052.451309999999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F89-4C87-9955-3AE49454F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22656"/>
        <c:axId val="46024192"/>
      </c:barChart>
      <c:catAx>
        <c:axId val="4602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24192"/>
        <c:crosses val="autoZero"/>
        <c:auto val="1"/>
        <c:lblAlgn val="ctr"/>
        <c:lblOffset val="100"/>
        <c:noMultiLvlLbl val="0"/>
      </c:catAx>
      <c:valAx>
        <c:axId val="46024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Circuit length (km)</a:t>
                </a:r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0226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75266890192175"/>
          <c:y val="4.4929835603229447E-2"/>
          <c:w val="0.86724733109807828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data'!$B$2</c:f>
              <c:strCache>
                <c:ptCount val="1"/>
                <c:pt idx="0">
                  <c:v>Total energy transported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770-4DA2-84B7-6AE3FBF867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770-4DA2-84B7-6AE3FBF867D7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770-4DA2-84B7-6AE3FBF867D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770-4DA2-84B7-6AE3FBF867D7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770-4DA2-84B7-6AE3FBF867D7}"/>
              </c:ext>
            </c:extLst>
          </c:dPt>
          <c:cat>
            <c:strRef>
              <c:f>'Physical data'!$B$3:$B$7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data'!$R$3:$R$7</c:f>
              <c:numCache>
                <c:formatCode>#,##0</c:formatCode>
                <c:ptCount val="5"/>
                <c:pt idx="0">
                  <c:v>13856515.144038128</c:v>
                </c:pt>
                <c:pt idx="1">
                  <c:v>53076368.905469991</c:v>
                </c:pt>
                <c:pt idx="2">
                  <c:v>41527840.000000007</c:v>
                </c:pt>
                <c:pt idx="3">
                  <c:v>12412888.664812012</c:v>
                </c:pt>
                <c:pt idx="4">
                  <c:v>72900000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70-4DA2-84B7-6AE3FBF86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068864"/>
        <c:axId val="46070400"/>
      </c:barChart>
      <c:catAx>
        <c:axId val="46068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070400"/>
        <c:crosses val="autoZero"/>
        <c:auto val="1"/>
        <c:lblAlgn val="ctr"/>
        <c:lblOffset val="100"/>
        <c:noMultiLvlLbl val="0"/>
      </c:catAx>
      <c:valAx>
        <c:axId val="4607040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Energy transported (MWh)</a:t>
                </a:r>
              </a:p>
            </c:rich>
          </c:tx>
          <c:layout>
            <c:manualLayout>
              <c:xMode val="edge"/>
              <c:yMode val="edge"/>
              <c:x val="2.5688295758768721E-3"/>
              <c:y val="0.253381135500766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46068864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89063691747995"/>
          <c:y val="3.7449071656417712E-2"/>
          <c:w val="0.87279650154287303"/>
          <c:h val="0.87210594643411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data'!$B$9</c:f>
              <c:strCache>
                <c:ptCount val="1"/>
                <c:pt idx="0">
                  <c:v>Transmission system non-coincident summated maximum demand (MVA)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F7F-4C16-98C2-A5EC7FB7C6B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F7F-4C16-98C2-A5EC7FB7C6BF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F7F-4C16-98C2-A5EC7FB7C6B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F7F-4C16-98C2-A5EC7FB7C6BF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F7F-4C16-98C2-A5EC7FB7C6BF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data'!$R$11:$R$15</c:f>
              <c:numCache>
                <c:formatCode>#,##0</c:formatCode>
                <c:ptCount val="5"/>
                <c:pt idx="0">
                  <c:v>3512.323547</c:v>
                </c:pt>
                <c:pt idx="1">
                  <c:v>12583.453072999999</c:v>
                </c:pt>
                <c:pt idx="2">
                  <c:v>10139.175999999999</c:v>
                </c:pt>
                <c:pt idx="3">
                  <c:v>2460.3122380799996</c:v>
                </c:pt>
                <c:pt idx="4">
                  <c:v>18900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F-4C16-98C2-A5EC7FB7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46105344"/>
        <c:axId val="46106880"/>
      </c:barChart>
      <c:catAx>
        <c:axId val="4610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6106880"/>
        <c:crosses val="autoZero"/>
        <c:auto val="1"/>
        <c:lblAlgn val="ctr"/>
        <c:lblOffset val="100"/>
        <c:noMultiLvlLbl val="0"/>
      </c:catAx>
      <c:valAx>
        <c:axId val="461068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AU" b="0"/>
                  <a:t>Maximum</a:t>
                </a:r>
                <a:r>
                  <a:rPr lang="en-AU" b="0" baseline="0"/>
                  <a:t> demand (MVA)</a:t>
                </a:r>
                <a:endParaRPr lang="en-AU" b="0"/>
              </a:p>
            </c:rich>
          </c:tx>
          <c:layout/>
          <c:overlay val="0"/>
        </c:title>
        <c:numFmt formatCode="#,##0" sourceLinked="1"/>
        <c:majorTickMark val="out"/>
        <c:minorTickMark val="none"/>
        <c:tickLblPos val="nextTo"/>
        <c:crossAx val="46105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30B-45FE-BDB3-CBA5F4893EA7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30B-45FE-BDB3-CBA5F4893EA7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30B-45FE-BDB3-CBA5F4893EA7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30B-45FE-BDB3-CBA5F4893EA7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630B-45FE-BDB3-CBA5F4893EA7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630B-45FE-BDB3-CBA5F4893EA7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630B-45FE-BDB3-CBA5F4893EA7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630B-45FE-BDB3-CBA5F4893EA7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630B-45FE-BDB3-CBA5F4893EA7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630B-45FE-BDB3-CBA5F4893EA7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630B-45FE-BDB3-CBA5F4893EA7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630B-45FE-BDB3-CBA5F4893EA7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630B-45FE-BDB3-CBA5F4893EA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0B-45FE-BDB3-CBA5F4893EA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0B-45FE-BDB3-CBA5F4893EA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0B-45FE-BDB3-CBA5F4893EA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0B-45FE-BDB3-CBA5F4893EA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0B-45FE-BDB3-CBA5F4893EA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0B-45FE-BDB3-CBA5F4893EA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0B-45FE-BDB3-CBA5F4893EA7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0B-45FE-BDB3-CBA5F4893EA7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0B-45FE-BDB3-CBA5F4893EA7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0B-45FE-BDB3-CBA5F4893EA7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30B-45FE-BDB3-CBA5F4893EA7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0B-45FE-BDB3-CBA5F4893EA7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30B-45FE-BDB3-CBA5F4893EA7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169074</c:v>
                </c:pt>
                <c:pt idx="1">
                  <c:v>1609696.2</c:v>
                </c:pt>
                <c:pt idx="2">
                  <c:v>314395.72017981031</c:v>
                </c:pt>
                <c:pt idx="3">
                  <c:v>896579.25652216526</c:v>
                </c:pt>
                <c:pt idx="4">
                  <c:v>1325025.9033333333</c:v>
                </c:pt>
                <c:pt idx="5">
                  <c:v>687766</c:v>
                </c:pt>
                <c:pt idx="6">
                  <c:v>832767.6</c:v>
                </c:pt>
                <c:pt idx="7">
                  <c:v>312816.59999999998</c:v>
                </c:pt>
                <c:pt idx="8">
                  <c:v>728996.13955593482</c:v>
                </c:pt>
                <c:pt idx="9">
                  <c:v>833881</c:v>
                </c:pt>
                <c:pt idx="10">
                  <c:v>657790.19999999995</c:v>
                </c:pt>
                <c:pt idx="11">
                  <c:v>274036.43045142054</c:v>
                </c:pt>
                <c:pt idx="12">
                  <c:v>641496.15483870974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30B-45FE-BDB3-CBA5F4893EA7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46194048"/>
        <c:axId val="46199936"/>
      </c:scatterChart>
      <c:valAx>
        <c:axId val="461940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crossAx val="46199936"/>
        <c:crosses val="autoZero"/>
        <c:crossBetween val="midCat"/>
      </c:valAx>
      <c:valAx>
        <c:axId val="4619993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46194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solidFill>
                  <a:schemeClr val="tx1"/>
                </a:solidFill>
              </a:ln>
            </c:spPr>
          </c:marker>
          <c:dPt>
            <c:idx val="0"/>
            <c:marker>
              <c:spPr>
                <a:solidFill>
                  <a:srgbClr val="FCC0C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A5B-41C0-B388-7571ACEDBFAB}"/>
              </c:ext>
            </c:extLst>
          </c:dPt>
          <c:dPt>
            <c:idx val="1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A5B-41C0-B388-7571ACEDBFAB}"/>
              </c:ext>
            </c:extLst>
          </c:dPt>
          <c:dPt>
            <c:idx val="2"/>
            <c:marker>
              <c:symbol val="diamond"/>
              <c:size val="7"/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A5B-41C0-B388-7571ACEDBFAB}"/>
              </c:ext>
            </c:extLst>
          </c:dPt>
          <c:dPt>
            <c:idx val="3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7A5B-41C0-B388-7571ACEDBFAB}"/>
              </c:ext>
            </c:extLst>
          </c:dPt>
          <c:dPt>
            <c:idx val="4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7A5B-41C0-B388-7571ACEDBFAB}"/>
              </c:ext>
            </c:extLst>
          </c:dPt>
          <c:dPt>
            <c:idx val="5"/>
            <c:marker>
              <c:spPr>
                <a:solidFill>
                  <a:srgbClr val="800026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7A5B-41C0-B388-7571ACEDBFAB}"/>
              </c:ext>
            </c:extLst>
          </c:dPt>
          <c:dPt>
            <c:idx val="6"/>
            <c:marker>
              <c:spPr>
                <a:solidFill>
                  <a:srgbClr val="2171B5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7A5B-41C0-B388-7571ACEDBFAB}"/>
              </c:ext>
            </c:extLst>
          </c:dPt>
          <c:dPt>
            <c:idx val="7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7A5B-41C0-B388-7571ACEDBFAB}"/>
              </c:ext>
            </c:extLst>
          </c:dPt>
          <c:dPt>
            <c:idx val="8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A5B-41C0-B388-7571ACEDBFAB}"/>
              </c:ext>
            </c:extLst>
          </c:dPt>
          <c:dPt>
            <c:idx val="9"/>
            <c:marker>
              <c:spPr>
                <a:solidFill>
                  <a:srgbClr val="FD8D3C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A5B-41C0-B388-7571ACEDBFAB}"/>
              </c:ext>
            </c:extLst>
          </c:dPt>
          <c:dPt>
            <c:idx val="10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7A5B-41C0-B388-7571ACEDBFAB}"/>
              </c:ext>
            </c:extLst>
          </c:dPt>
          <c:dPt>
            <c:idx val="11"/>
            <c:marker>
              <c:spPr>
                <a:solidFill>
                  <a:srgbClr val="E7E1EF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7A5B-41C0-B388-7571ACEDBFAB}"/>
              </c:ext>
            </c:extLst>
          </c:dPt>
          <c:dPt>
            <c:idx val="12"/>
            <c:marker>
              <c:spPr>
                <a:solidFill>
                  <a:srgbClr val="A1D99B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7A5B-41C0-B388-7571ACEDBF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ACT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B-41C0-B388-7571ACEDBF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AGD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5B-41C0-B388-7571ACEDBF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CIT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5B-41C0-B388-7571ACEDBF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END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5B-41C0-B388-7571ACEDBF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ENX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5B-41C0-B388-7571ACEDBF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ERG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5B-41C0-B388-7571ACEDBF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/>
                      <a:t>ESS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5B-41C0-B388-7571ACEDBFAB}"/>
                </c:ext>
              </c:extLst>
            </c:dLbl>
            <c:dLbl>
              <c:idx val="7"/>
              <c:layout>
                <c:manualLayout>
                  <c:x val="0"/>
                  <c:y val="-1.433691756272401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JEN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5B-41C0-B388-7571ACEDBFA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PCR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5B-41C0-B388-7571ACEDBFA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SAPN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5B-41C0-B388-7571ACEDBFA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SPD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5B-41C0-B388-7571ACEDBFA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TND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5B-41C0-B388-7571ACEDBFAB}"/>
                </c:ext>
              </c:extLst>
            </c:dLbl>
            <c:dLbl>
              <c:idx val="12"/>
              <c:layout>
                <c:manualLayout>
                  <c:x val="7.1492397224518778E-3"/>
                  <c:y val="3.22580645161290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UED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5B-41C0-B388-7571ACEDBFAB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numFmt formatCode="General" sourceLinked="0"/>
            </c:trendlineLbl>
          </c:trendline>
          <c:xVal>
            <c:numRef>
              <c:f>#REF!</c:f>
              <c:numCache>
                <c:formatCode>#,##0.00</c:formatCode>
                <c:ptCount val="13"/>
                <c:pt idx="0">
                  <c:v>650.64659999999992</c:v>
                </c:pt>
                <c:pt idx="1">
                  <c:v>6239.1921308135725</c:v>
                </c:pt>
                <c:pt idx="2">
                  <c:v>1415.44</c:v>
                </c:pt>
                <c:pt idx="3">
                  <c:v>3859.4410659514933</c:v>
                </c:pt>
                <c:pt idx="4">
                  <c:v>4938.7225829315184</c:v>
                </c:pt>
                <c:pt idx="5">
                  <c:v>3139.6704</c:v>
                </c:pt>
                <c:pt idx="6">
                  <c:v>2549.3371293861064</c:v>
                </c:pt>
                <c:pt idx="7">
                  <c:v>979.92228880000005</c:v>
                </c:pt>
                <c:pt idx="8">
                  <c:v>2405.4639999999999</c:v>
                </c:pt>
                <c:pt idx="9">
                  <c:v>3011.1711388000003</c:v>
                </c:pt>
                <c:pt idx="10">
                  <c:v>1868.1995999999999</c:v>
                </c:pt>
                <c:pt idx="11">
                  <c:v>1078.2</c:v>
                </c:pt>
                <c:pt idx="12">
                  <c:v>2000.5300010968608</c:v>
                </c:pt>
              </c:numCache>
            </c:numRef>
          </c:xVal>
          <c:yVal>
            <c:numRef>
              <c:f>#REF!</c:f>
              <c:numCache>
                <c:formatCode>#,##0</c:formatCode>
                <c:ptCount val="13"/>
                <c:pt idx="0">
                  <c:v>2894863.3612000002</c:v>
                </c:pt>
                <c:pt idx="1">
                  <c:v>29498623.453123212</c:v>
                </c:pt>
                <c:pt idx="2">
                  <c:v>6095543.732903216</c:v>
                </c:pt>
                <c:pt idx="3">
                  <c:v>16968905.781588919</c:v>
                </c:pt>
                <c:pt idx="4">
                  <c:v>21581200</c:v>
                </c:pt>
                <c:pt idx="5">
                  <c:v>13760201.800000001</c:v>
                </c:pt>
                <c:pt idx="6">
                  <c:v>12062537.723719694</c:v>
                </c:pt>
                <c:pt idx="7">
                  <c:v>4372000</c:v>
                </c:pt>
                <c:pt idx="8">
                  <c:v>10587837.423770327</c:v>
                </c:pt>
                <c:pt idx="9">
                  <c:v>11211160</c:v>
                </c:pt>
                <c:pt idx="10">
                  <c:v>7676879.5999999996</c:v>
                </c:pt>
                <c:pt idx="11">
                  <c:v>4428349.8270545658</c:v>
                </c:pt>
                <c:pt idx="12">
                  <c:v>8035224.7425093148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A5B-41C0-B388-7571ACEDBFAB}"/>
            </c:ext>
          </c:extLst>
        </c:ser>
        <c:dLbls>
          <c:dLblPos val="r"/>
          <c:showLegendKey val="0"/>
          <c:showVal val="1"/>
          <c:showCatName val="0"/>
          <c:showSerName val="0"/>
          <c:showPercent val="0"/>
          <c:showBubbleSize val="0"/>
        </c:dLbls>
        <c:axId val="52325760"/>
        <c:axId val="52327936"/>
      </c:scatterChart>
      <c:valAx>
        <c:axId val="52325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2327936"/>
        <c:crosses val="autoZero"/>
        <c:crossBetween val="midCat"/>
      </c:valAx>
      <c:valAx>
        <c:axId val="5232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MWh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5232576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Analysis'!$B$21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Analysis'!$D$20:$R$20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Analysis'!$D$21:$R$21</c:f>
              <c:numCache>
                <c:formatCode>#,##0.00</c:formatCode>
                <c:ptCount val="15"/>
                <c:pt idx="0">
                  <c:v>13.508107557451185</c:v>
                </c:pt>
                <c:pt idx="1">
                  <c:v>15.889674847908623</c:v>
                </c:pt>
                <c:pt idx="2">
                  <c:v>14.308764629233462</c:v>
                </c:pt>
                <c:pt idx="3">
                  <c:v>18.433125375033473</c:v>
                </c:pt>
                <c:pt idx="4">
                  <c:v>17.198145821619207</c:v>
                </c:pt>
                <c:pt idx="5">
                  <c:v>17.872829475089723</c:v>
                </c:pt>
                <c:pt idx="6">
                  <c:v>20.705861665014591</c:v>
                </c:pt>
                <c:pt idx="7">
                  <c:v>18.672655368527028</c:v>
                </c:pt>
                <c:pt idx="8">
                  <c:v>17.352563626533001</c:v>
                </c:pt>
                <c:pt idx="9">
                  <c:v>23.011155759199855</c:v>
                </c:pt>
                <c:pt idx="10">
                  <c:v>20.94793849267003</c:v>
                </c:pt>
                <c:pt idx="11">
                  <c:v>19.963485768752964</c:v>
                </c:pt>
                <c:pt idx="12">
                  <c:v>25.46926782381458</c:v>
                </c:pt>
                <c:pt idx="13">
                  <c:v>21.382648340760287</c:v>
                </c:pt>
                <c:pt idx="14">
                  <c:v>21.792623133060939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CEA0-496A-88BF-61D2C64237FC}"/>
            </c:ext>
          </c:extLst>
        </c:ser>
        <c:ser>
          <c:idx val="3"/>
          <c:order val="1"/>
          <c:tx>
            <c:strRef>
              <c:f>'TNSP Analysis'!$B$22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Analysis'!$D$20:$R$20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Analysis'!$D$22:$R$22</c:f>
              <c:numCache>
                <c:formatCode>#,##0.00</c:formatCode>
                <c:ptCount val="15"/>
                <c:pt idx="0">
                  <c:v>10.496857066128621</c:v>
                </c:pt>
                <c:pt idx="1">
                  <c:v>11.13623856943709</c:v>
                </c:pt>
                <c:pt idx="2">
                  <c:v>10.914026236729555</c:v>
                </c:pt>
                <c:pt idx="3">
                  <c:v>14.459859114251028</c:v>
                </c:pt>
                <c:pt idx="4">
                  <c:v>14.167397236558754</c:v>
                </c:pt>
                <c:pt idx="5">
                  <c:v>15.292860765352589</c:v>
                </c:pt>
                <c:pt idx="6">
                  <c:v>18.65225097917639</c:v>
                </c:pt>
                <c:pt idx="7">
                  <c:v>15.801707197723298</c:v>
                </c:pt>
                <c:pt idx="8">
                  <c:v>14.915182498649285</c:v>
                </c:pt>
                <c:pt idx="9">
                  <c:v>17.57621150109842</c:v>
                </c:pt>
                <c:pt idx="10">
                  <c:v>16.367831676740721</c:v>
                </c:pt>
                <c:pt idx="11">
                  <c:v>14.554034163250671</c:v>
                </c:pt>
                <c:pt idx="12">
                  <c:v>13.0736593545888</c:v>
                </c:pt>
                <c:pt idx="13">
                  <c:v>13.804598262815144</c:v>
                </c:pt>
                <c:pt idx="14">
                  <c:v>13.215888743231012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CEA0-496A-88BF-61D2C64237FC}"/>
            </c:ext>
          </c:extLst>
        </c:ser>
        <c:ser>
          <c:idx val="4"/>
          <c:order val="2"/>
          <c:tx>
            <c:strRef>
              <c:f>'TNSP Analysis'!$B$23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Analysis'!$D$20:$R$20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Analysis'!$D$23:$R$23</c:f>
              <c:numCache>
                <c:formatCode>#,##0.00</c:formatCode>
                <c:ptCount val="15"/>
                <c:pt idx="0">
                  <c:v>7.7231087417821804</c:v>
                </c:pt>
                <c:pt idx="1">
                  <c:v>6.9974670925137668</c:v>
                </c:pt>
                <c:pt idx="2">
                  <c:v>7.7810673831898045</c:v>
                </c:pt>
                <c:pt idx="3">
                  <c:v>7.963517035004684</c:v>
                </c:pt>
                <c:pt idx="4">
                  <c:v>8.846363631004829</c:v>
                </c:pt>
                <c:pt idx="5">
                  <c:v>8.6407061903518283</c:v>
                </c:pt>
                <c:pt idx="6">
                  <c:v>8.4251020511002572</c:v>
                </c:pt>
                <c:pt idx="7">
                  <c:v>8.2864162252819344</c:v>
                </c:pt>
                <c:pt idx="8">
                  <c:v>7.169220157213652</c:v>
                </c:pt>
                <c:pt idx="9">
                  <c:v>8.3417936325858566</c:v>
                </c:pt>
                <c:pt idx="10">
                  <c:v>7.9218887491571097</c:v>
                </c:pt>
                <c:pt idx="11">
                  <c:v>8.7557865849977663</c:v>
                </c:pt>
                <c:pt idx="12">
                  <c:v>9.2046432118193504</c:v>
                </c:pt>
                <c:pt idx="13">
                  <c:v>9.1412767605053951</c:v>
                </c:pt>
                <c:pt idx="14">
                  <c:v>8.8589180979633788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8-CEA0-496A-88BF-61D2C64237FC}"/>
            </c:ext>
          </c:extLst>
        </c:ser>
        <c:ser>
          <c:idx val="5"/>
          <c:order val="3"/>
          <c:tx>
            <c:strRef>
              <c:f>'TNSP Analysis'!$B$24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Analysis'!$D$20:$R$20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Analysis'!$D$24:$R$24</c:f>
              <c:numCache>
                <c:formatCode>#,##0.00</c:formatCode>
                <c:ptCount val="15"/>
                <c:pt idx="0">
                  <c:v>14.22640796547662</c:v>
                </c:pt>
                <c:pt idx="1">
                  <c:v>10.999773186249117</c:v>
                </c:pt>
                <c:pt idx="2">
                  <c:v>12.535071190139206</c:v>
                </c:pt>
                <c:pt idx="3">
                  <c:v>11.87888003343855</c:v>
                </c:pt>
                <c:pt idx="4">
                  <c:v>13.945292204730743</c:v>
                </c:pt>
                <c:pt idx="5">
                  <c:v>14.16944789629682</c:v>
                </c:pt>
                <c:pt idx="6">
                  <c:v>17.53803076317854</c:v>
                </c:pt>
                <c:pt idx="7">
                  <c:v>14.408618055016513</c:v>
                </c:pt>
                <c:pt idx="8">
                  <c:v>12.677113235807873</c:v>
                </c:pt>
                <c:pt idx="9">
                  <c:v>13.445941016387456</c:v>
                </c:pt>
                <c:pt idx="10">
                  <c:v>14.107609567077827</c:v>
                </c:pt>
                <c:pt idx="11">
                  <c:v>13.12622408385724</c:v>
                </c:pt>
                <c:pt idx="12">
                  <c:v>11.669940699753747</c:v>
                </c:pt>
                <c:pt idx="13">
                  <c:v>11.438571885940149</c:v>
                </c:pt>
                <c:pt idx="14">
                  <c:v>10.008151068861537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A-CEA0-496A-88BF-61D2C64237FC}"/>
            </c:ext>
          </c:extLst>
        </c:ser>
        <c:ser>
          <c:idx val="0"/>
          <c:order val="4"/>
          <c:tx>
            <c:strRef>
              <c:f>'TNSP Analysis'!$B$25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Analysis'!$D$20:$R$20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Analysis'!$D$25:$R$25</c:f>
              <c:numCache>
                <c:formatCode>#,##0.00</c:formatCode>
                <c:ptCount val="15"/>
                <c:pt idx="0">
                  <c:v>6.5883021641111998</c:v>
                </c:pt>
                <c:pt idx="1">
                  <c:v>6.7516141478348279</c:v>
                </c:pt>
                <c:pt idx="2">
                  <c:v>5.9911075214716387</c:v>
                </c:pt>
                <c:pt idx="3">
                  <c:v>8.0103514396122897</c:v>
                </c:pt>
                <c:pt idx="4">
                  <c:v>8.3672924824085406</c:v>
                </c:pt>
                <c:pt idx="5">
                  <c:v>8.5073967029609214</c:v>
                </c:pt>
                <c:pt idx="6">
                  <c:v>10.468537956209707</c:v>
                </c:pt>
                <c:pt idx="7">
                  <c:v>9.5125152891291496</c:v>
                </c:pt>
                <c:pt idx="8">
                  <c:v>9.6132634061249274</c:v>
                </c:pt>
                <c:pt idx="9">
                  <c:v>10.345889804335084</c:v>
                </c:pt>
                <c:pt idx="10">
                  <c:v>9.942301407473856</c:v>
                </c:pt>
                <c:pt idx="11">
                  <c:v>9.8849151056315332</c:v>
                </c:pt>
                <c:pt idx="12">
                  <c:v>8.5266630527639649</c:v>
                </c:pt>
                <c:pt idx="13">
                  <c:v>8.5251242598302532</c:v>
                </c:pt>
                <c:pt idx="14">
                  <c:v>8.3646831281243266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CEA0-496A-88BF-61D2C642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MWh of energy transported </a:t>
                </a:r>
              </a:p>
            </c:rich>
          </c:tx>
          <c:layout>
            <c:manualLayout>
              <c:xMode val="edge"/>
              <c:yMode val="edge"/>
              <c:x val="2.5935179811358646E-2"/>
              <c:y val="9.3092357912083853E-2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Analysis'!$B$45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Analysis'!$D$44:$R$44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Analysis'!$D$45:$R$45</c:f>
              <c:numCache>
                <c:formatCode>#,##0</c:formatCode>
                <c:ptCount val="15"/>
                <c:pt idx="0">
                  <c:v>36422.732760726343</c:v>
                </c:pt>
                <c:pt idx="1">
                  <c:v>40279.704064340687</c:v>
                </c:pt>
                <c:pt idx="2">
                  <c:v>33922.350004664178</c:v>
                </c:pt>
                <c:pt idx="3">
                  <c:v>45260.289137468804</c:v>
                </c:pt>
                <c:pt idx="4">
                  <c:v>43284.627495410386</c:v>
                </c:pt>
                <c:pt idx="5">
                  <c:v>45071.256359977648</c:v>
                </c:pt>
                <c:pt idx="6">
                  <c:v>52692.799486746866</c:v>
                </c:pt>
                <c:pt idx="7">
                  <c:v>48253.265099636046</c:v>
                </c:pt>
                <c:pt idx="8">
                  <c:v>43800.339416443829</c:v>
                </c:pt>
                <c:pt idx="9">
                  <c:v>56077.363374661334</c:v>
                </c:pt>
                <c:pt idx="10">
                  <c:v>54027.321686538111</c:v>
                </c:pt>
                <c:pt idx="11">
                  <c:v>52534.907260653534</c:v>
                </c:pt>
                <c:pt idx="12">
                  <c:v>52785.690223988655</c:v>
                </c:pt>
                <c:pt idx="13">
                  <c:v>53476.178589277115</c:v>
                </c:pt>
                <c:pt idx="14">
                  <c:v>54708.848713203406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0A-4E0A-B7DF-0179FE5A49E3}"/>
            </c:ext>
          </c:extLst>
        </c:ser>
        <c:ser>
          <c:idx val="3"/>
          <c:order val="1"/>
          <c:tx>
            <c:strRef>
              <c:f>'TNSP Analysis'!$B$46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Analysis'!$D$44:$R$44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Analysis'!$D$46:$R$46</c:f>
              <c:numCache>
                <c:formatCode>#,##0</c:formatCode>
                <c:ptCount val="15"/>
                <c:pt idx="0">
                  <c:v>45793.636510084121</c:v>
                </c:pt>
                <c:pt idx="1">
                  <c:v>48658.74200731091</c:v>
                </c:pt>
                <c:pt idx="2">
                  <c:v>44948.815361119552</c:v>
                </c:pt>
                <c:pt idx="3">
                  <c:v>58661.667514624147</c:v>
                </c:pt>
                <c:pt idx="4">
                  <c:v>56206.01790228048</c:v>
                </c:pt>
                <c:pt idx="5">
                  <c:v>57791.33968174347</c:v>
                </c:pt>
                <c:pt idx="6">
                  <c:v>69257.939283176558</c:v>
                </c:pt>
                <c:pt idx="7">
                  <c:v>54463.30064517288</c:v>
                </c:pt>
                <c:pt idx="8">
                  <c:v>48073.464634479758</c:v>
                </c:pt>
                <c:pt idx="9">
                  <c:v>63240.2482521114</c:v>
                </c:pt>
                <c:pt idx="10">
                  <c:v>58649.74689366058</c:v>
                </c:pt>
                <c:pt idx="11">
                  <c:v>54333.69220540861</c:v>
                </c:pt>
                <c:pt idx="12">
                  <c:v>49360.75440517105</c:v>
                </c:pt>
                <c:pt idx="13">
                  <c:v>51094.456034288829</c:v>
                </c:pt>
                <c:pt idx="14">
                  <c:v>48282.057402112951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0A-4E0A-B7DF-0179FE5A49E3}"/>
            </c:ext>
          </c:extLst>
        </c:ser>
        <c:ser>
          <c:idx val="4"/>
          <c:order val="2"/>
          <c:tx>
            <c:strRef>
              <c:f>'TNSP Analysis'!$B$47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Analysis'!$D$44:$R$44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Analysis'!$D$47:$R$47</c:f>
              <c:numCache>
                <c:formatCode>#,##0</c:formatCode>
                <c:ptCount val="15"/>
                <c:pt idx="0">
                  <c:v>53092.75917498432</c:v>
                </c:pt>
                <c:pt idx="1">
                  <c:v>48924.183190720425</c:v>
                </c:pt>
                <c:pt idx="2">
                  <c:v>53325.962024782391</c:v>
                </c:pt>
                <c:pt idx="3">
                  <c:v>57450.698330146653</c:v>
                </c:pt>
                <c:pt idx="4">
                  <c:v>65915.888272062119</c:v>
                </c:pt>
                <c:pt idx="5">
                  <c:v>63162.69593621479</c:v>
                </c:pt>
                <c:pt idx="6">
                  <c:v>60921.910707553317</c:v>
                </c:pt>
                <c:pt idx="7">
                  <c:v>61844.20887152564</c:v>
                </c:pt>
                <c:pt idx="8">
                  <c:v>52903.425649611803</c:v>
                </c:pt>
                <c:pt idx="9">
                  <c:v>60873.160354705549</c:v>
                </c:pt>
                <c:pt idx="10">
                  <c:v>57740.021768140687</c:v>
                </c:pt>
                <c:pt idx="11">
                  <c:v>62504.438413278971</c:v>
                </c:pt>
                <c:pt idx="12">
                  <c:v>57983.08775328099</c:v>
                </c:pt>
                <c:pt idx="13">
                  <c:v>57210.812744926952</c:v>
                </c:pt>
                <c:pt idx="14">
                  <c:v>54655.423512439906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60A-4E0A-B7DF-0179FE5A49E3}"/>
            </c:ext>
          </c:extLst>
        </c:ser>
        <c:ser>
          <c:idx val="5"/>
          <c:order val="3"/>
          <c:tx>
            <c:strRef>
              <c:f>'TNSP Analysis'!$B$48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Analysis'!$D$44:$R$44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Analysis'!$D$48:$R$48</c:f>
              <c:numCache>
                <c:formatCode>#,##0</c:formatCode>
                <c:ptCount val="15"/>
                <c:pt idx="0">
                  <c:v>41829.95663855457</c:v>
                </c:pt>
                <c:pt idx="1">
                  <c:v>38956.053701069621</c:v>
                </c:pt>
                <c:pt idx="2">
                  <c:v>46718.296492800255</c:v>
                </c:pt>
                <c:pt idx="3">
                  <c:v>45259.774704480187</c:v>
                </c:pt>
                <c:pt idx="4">
                  <c:v>52196.051426073296</c:v>
                </c:pt>
                <c:pt idx="5">
                  <c:v>53170.182947378344</c:v>
                </c:pt>
                <c:pt idx="6">
                  <c:v>63207.011661634555</c:v>
                </c:pt>
                <c:pt idx="7">
                  <c:v>52918.622374474922</c:v>
                </c:pt>
                <c:pt idx="8">
                  <c:v>48337.740159142202</c:v>
                </c:pt>
                <c:pt idx="9">
                  <c:v>49462.982899111696</c:v>
                </c:pt>
                <c:pt idx="10">
                  <c:v>46136.930240785689</c:v>
                </c:pt>
                <c:pt idx="11">
                  <c:v>45771.431047189377</c:v>
                </c:pt>
                <c:pt idx="12">
                  <c:v>40930.793315445051</c:v>
                </c:pt>
                <c:pt idx="13">
                  <c:v>41571.987883520342</c:v>
                </c:pt>
                <c:pt idx="14">
                  <c:v>37077.655972837842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60A-4E0A-B7DF-0179FE5A49E3}"/>
            </c:ext>
          </c:extLst>
        </c:ser>
        <c:ser>
          <c:idx val="0"/>
          <c:order val="4"/>
          <c:tx>
            <c:strRef>
              <c:f>'TNSP Analysis'!$B$49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Analysis'!$D$44:$R$44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Analysis'!$D$49:$R$49</c:f>
              <c:numCache>
                <c:formatCode>#,##0</c:formatCode>
                <c:ptCount val="15"/>
                <c:pt idx="0">
                  <c:v>42896.598007583525</c:v>
                </c:pt>
                <c:pt idx="1">
                  <c:v>44735.89930832127</c:v>
                </c:pt>
                <c:pt idx="2">
                  <c:v>39467.067351975653</c:v>
                </c:pt>
                <c:pt idx="3">
                  <c:v>51874.263166550452</c:v>
                </c:pt>
                <c:pt idx="4">
                  <c:v>53176.105208156281</c:v>
                </c:pt>
                <c:pt idx="5">
                  <c:v>53532.375873819292</c:v>
                </c:pt>
                <c:pt idx="6">
                  <c:v>63154.834558943825</c:v>
                </c:pt>
                <c:pt idx="7">
                  <c:v>52455.399990327183</c:v>
                </c:pt>
                <c:pt idx="8">
                  <c:v>50409.597762393358</c:v>
                </c:pt>
                <c:pt idx="9">
                  <c:v>59097.74336148773</c:v>
                </c:pt>
                <c:pt idx="10">
                  <c:v>55052.030560139065</c:v>
                </c:pt>
                <c:pt idx="11">
                  <c:v>56687.735485590223</c:v>
                </c:pt>
                <c:pt idx="12">
                  <c:v>49311.941219940927</c:v>
                </c:pt>
                <c:pt idx="13">
                  <c:v>48594.162690900826</c:v>
                </c:pt>
                <c:pt idx="14">
                  <c:v>46718.075061738229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60A-4E0A-B7DF-0179FE5A4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km of transmission circuit length </a:t>
                </a:r>
              </a:p>
            </c:rich>
          </c:tx>
          <c:layout>
            <c:manualLayout>
              <c:xMode val="edge"/>
              <c:yMode val="edge"/>
              <c:x val="3.2768806438034599E-2"/>
              <c:y val="0.11602531056241923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6916367231011364"/>
          <c:y val="4.5778984791770873E-2"/>
          <c:w val="0.64753789185043431"/>
          <c:h val="0.87172906062808597"/>
        </c:manualLayout>
      </c:layout>
      <c:lineChart>
        <c:grouping val="standard"/>
        <c:varyColors val="0"/>
        <c:ser>
          <c:idx val="2"/>
          <c:order val="0"/>
          <c:tx>
            <c:strRef>
              <c:f>'TNSP Analysis'!$B$29</c:f>
              <c:strCache>
                <c:ptCount val="1"/>
                <c:pt idx="0">
                  <c:v>ENT</c:v>
                </c:pt>
              </c:strCache>
            </c:strRef>
          </c:tx>
          <c:spPr>
            <a:ln w="25400">
              <a:solidFill>
                <a:srgbClr val="F79646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79646"/>
              </a:solidFill>
              <a:ln>
                <a:solidFill>
                  <a:srgbClr val="F79646"/>
                </a:solidFill>
              </a:ln>
            </c:spPr>
          </c:marker>
          <c:cat>
            <c:numRef>
              <c:f>'TNSP Analysis'!$D$28:$R$28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Analysis'!$D$29:$R$29</c:f>
              <c:numCache>
                <c:formatCode>#,##0</c:formatCode>
                <c:ptCount val="15"/>
                <c:pt idx="0">
                  <c:v>261.91155721917562</c:v>
                </c:pt>
                <c:pt idx="1">
                  <c:v>285.19750964049308</c:v>
                </c:pt>
                <c:pt idx="2">
                  <c:v>239.66691167427129</c:v>
                </c:pt>
                <c:pt idx="3">
                  <c:v>305.84130511969641</c:v>
                </c:pt>
                <c:pt idx="4">
                  <c:v>287.96621529842525</c:v>
                </c:pt>
                <c:pt idx="5">
                  <c:v>296.75361988843053</c:v>
                </c:pt>
                <c:pt idx="6">
                  <c:v>344.94226256013752</c:v>
                </c:pt>
                <c:pt idx="7">
                  <c:v>314.60643219379898</c:v>
                </c:pt>
                <c:pt idx="8">
                  <c:v>284.33817312082726</c:v>
                </c:pt>
                <c:pt idx="9">
                  <c:v>362.58174669539977</c:v>
                </c:pt>
                <c:pt idx="10">
                  <c:v>347.60029946165872</c:v>
                </c:pt>
                <c:pt idx="11">
                  <c:v>330.14939156150962</c:v>
                </c:pt>
                <c:pt idx="12">
                  <c:v>325.90840778593088</c:v>
                </c:pt>
                <c:pt idx="13">
                  <c:v>325.31150433274388</c:v>
                </c:pt>
                <c:pt idx="14">
                  <c:v>330.16490485114815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F9-4EE8-A140-D8A934B90B89}"/>
            </c:ext>
          </c:extLst>
        </c:ser>
        <c:ser>
          <c:idx val="3"/>
          <c:order val="1"/>
          <c:tx>
            <c:strRef>
              <c:f>'TNSP Analysis'!$B$30</c:f>
              <c:strCache>
                <c:ptCount val="1"/>
                <c:pt idx="0">
                  <c:v>PLK</c:v>
                </c:pt>
              </c:strCache>
            </c:strRef>
          </c:tx>
          <c:spPr>
            <a:ln w="25400">
              <a:solidFill>
                <a:srgbClr val="C0504D"/>
              </a:solidFill>
            </a:ln>
          </c:spPr>
          <c:marker>
            <c:symbol val="square"/>
            <c:size val="5"/>
            <c:spPr>
              <a:solidFill>
                <a:srgbClr val="C0504D"/>
              </a:solidFill>
              <a:ln>
                <a:solidFill>
                  <a:srgbClr val="C0504D"/>
                </a:solidFill>
              </a:ln>
            </c:spPr>
          </c:marker>
          <c:cat>
            <c:numRef>
              <c:f>'TNSP Analysis'!$D$28:$R$28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Analysis'!$D$30:$R$30</c:f>
              <c:numCache>
                <c:formatCode>#,##0</c:formatCode>
                <c:ptCount val="15"/>
                <c:pt idx="0">
                  <c:v>291.81138255511956</c:v>
                </c:pt>
                <c:pt idx="1">
                  <c:v>309.25677212377764</c:v>
                </c:pt>
                <c:pt idx="2">
                  <c:v>292.26376721529419</c:v>
                </c:pt>
                <c:pt idx="3">
                  <c:v>386.89030193887089</c:v>
                </c:pt>
                <c:pt idx="4">
                  <c:v>377.28424154057853</c:v>
                </c:pt>
                <c:pt idx="5">
                  <c:v>393.92293615361194</c:v>
                </c:pt>
                <c:pt idx="6">
                  <c:v>464.48374991284356</c:v>
                </c:pt>
                <c:pt idx="7">
                  <c:v>376.57332950977326</c:v>
                </c:pt>
                <c:pt idx="8">
                  <c:v>338.42968772727403</c:v>
                </c:pt>
                <c:pt idx="9">
                  <c:v>438.99617231943802</c:v>
                </c:pt>
                <c:pt idx="10">
                  <c:v>400.4887557332242</c:v>
                </c:pt>
                <c:pt idx="11">
                  <c:v>359.93394955806258</c:v>
                </c:pt>
                <c:pt idx="12">
                  <c:v>320.99901188406</c:v>
                </c:pt>
                <c:pt idx="13">
                  <c:v>328.08541938957273</c:v>
                </c:pt>
                <c:pt idx="14">
                  <c:v>307.85651897865193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F9-4EE8-A140-D8A934B90B89}"/>
            </c:ext>
          </c:extLst>
        </c:ser>
        <c:ser>
          <c:idx val="4"/>
          <c:order val="2"/>
          <c:tx>
            <c:strRef>
              <c:f>'TNSP Analysis'!$B$31</c:f>
              <c:strCache>
                <c:ptCount val="1"/>
                <c:pt idx="0">
                  <c:v>ANT</c:v>
                </c:pt>
              </c:strCache>
            </c:strRef>
          </c:tx>
          <c:spPr>
            <a:ln w="25400">
              <a:solidFill>
                <a:srgbClr val="9BBB59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BBB59"/>
              </a:solidFill>
              <a:ln>
                <a:solidFill>
                  <a:srgbClr val="9BBB59"/>
                </a:solidFill>
              </a:ln>
            </c:spPr>
          </c:marker>
          <c:cat>
            <c:numRef>
              <c:f>'TNSP Analysis'!$D$28:$R$28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Analysis'!$D$31:$R$31</c:f>
              <c:numCache>
                <c:formatCode>#,##0</c:formatCode>
                <c:ptCount val="15"/>
                <c:pt idx="0">
                  <c:v>141.2726543901546</c:v>
                </c:pt>
                <c:pt idx="1">
                  <c:v>128.13292877674129</c:v>
                </c:pt>
                <c:pt idx="2">
                  <c:v>137.68324071490838</c:v>
                </c:pt>
                <c:pt idx="3">
                  <c:v>146.42435623489862</c:v>
                </c:pt>
                <c:pt idx="4">
                  <c:v>165.71560529609448</c:v>
                </c:pt>
                <c:pt idx="5">
                  <c:v>156.74522509219872</c:v>
                </c:pt>
                <c:pt idx="6">
                  <c:v>148.77171806123846</c:v>
                </c:pt>
                <c:pt idx="7">
                  <c:v>148.68097032958536</c:v>
                </c:pt>
                <c:pt idx="8">
                  <c:v>125.95725718701715</c:v>
                </c:pt>
                <c:pt idx="9">
                  <c:v>142.48132024780247</c:v>
                </c:pt>
                <c:pt idx="10">
                  <c:v>132.52329311253945</c:v>
                </c:pt>
                <c:pt idx="11">
                  <c:v>140.70526067016144</c:v>
                </c:pt>
                <c:pt idx="12">
                  <c:v>129.79335798541499</c:v>
                </c:pt>
                <c:pt idx="13">
                  <c:v>125.59013681048725</c:v>
                </c:pt>
                <c:pt idx="14">
                  <c:v>120.35624592134876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F9-4EE8-A140-D8A934B90B89}"/>
            </c:ext>
          </c:extLst>
        </c:ser>
        <c:ser>
          <c:idx val="5"/>
          <c:order val="3"/>
          <c:tx>
            <c:strRef>
              <c:f>'TNSP Analysis'!$B$32</c:f>
              <c:strCache>
                <c:ptCount val="1"/>
                <c:pt idx="0">
                  <c:v>TNT</c:v>
                </c:pt>
              </c:strCache>
            </c:strRef>
          </c:tx>
          <c:spPr>
            <a:ln w="19050">
              <a:solidFill>
                <a:srgbClr val="8064A2"/>
              </a:solidFill>
            </a:ln>
          </c:spPr>
          <c:marker>
            <c:symbol val="triangle"/>
            <c:size val="5"/>
            <c:spPr>
              <a:solidFill>
                <a:srgbClr val="8064A2"/>
              </a:solidFill>
              <a:ln w="19050">
                <a:solidFill>
                  <a:srgbClr val="8064A2"/>
                </a:solidFill>
              </a:ln>
            </c:spPr>
          </c:marker>
          <c:cat>
            <c:numRef>
              <c:f>'TNSP Analysis'!$D$28:$R$28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Analysis'!$D$32:$R$32</c:f>
              <c:numCache>
                <c:formatCode>#,##0</c:formatCode>
                <c:ptCount val="15"/>
                <c:pt idx="0">
                  <c:v>597.6863829752258</c:v>
                </c:pt>
                <c:pt idx="1">
                  <c:v>552.32539189864724</c:v>
                </c:pt>
                <c:pt idx="2">
                  <c:v>649.81536567469959</c:v>
                </c:pt>
                <c:pt idx="3">
                  <c:v>600.18649130110236</c:v>
                </c:pt>
                <c:pt idx="4">
                  <c:v>671.49323755592604</c:v>
                </c:pt>
                <c:pt idx="5">
                  <c:v>673.32990186797088</c:v>
                </c:pt>
                <c:pt idx="6">
                  <c:v>793.13002470471838</c:v>
                </c:pt>
                <c:pt idx="7">
                  <c:v>662.39794730388405</c:v>
                </c:pt>
                <c:pt idx="8">
                  <c:v>603.26188413037391</c:v>
                </c:pt>
                <c:pt idx="9">
                  <c:v>622.73671622370023</c:v>
                </c:pt>
                <c:pt idx="10">
                  <c:v>576.24876298637685</c:v>
                </c:pt>
                <c:pt idx="11">
                  <c:v>567.05996237169893</c:v>
                </c:pt>
                <c:pt idx="12">
                  <c:v>503.95868686762265</c:v>
                </c:pt>
                <c:pt idx="13">
                  <c:v>507.42999195945652</c:v>
                </c:pt>
                <c:pt idx="14">
                  <c:v>422.62455377768794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F9-4EE8-A140-D8A934B90B89}"/>
            </c:ext>
          </c:extLst>
        </c:ser>
        <c:ser>
          <c:idx val="0"/>
          <c:order val="4"/>
          <c:tx>
            <c:strRef>
              <c:f>'TNSP Analysis'!$B$33</c:f>
              <c:strCache>
                <c:ptCount val="1"/>
                <c:pt idx="0">
                  <c:v>TRG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pPr>
              <a:solidFill>
                <a:srgbClr val="4F81BD"/>
              </a:solidFill>
              <a:ln>
                <a:solidFill>
                  <a:srgbClr val="4F81BD"/>
                </a:solidFill>
              </a:ln>
            </c:spPr>
          </c:marker>
          <c:cat>
            <c:numRef>
              <c:f>'TNSP Analysis'!$D$28:$R$28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'TNSP Analysis'!$D$33:$R$33</c:f>
              <c:numCache>
                <c:formatCode>#,##0</c:formatCode>
                <c:ptCount val="15"/>
                <c:pt idx="0">
                  <c:v>160.31699326281452</c:v>
                </c:pt>
                <c:pt idx="1">
                  <c:v>165.65261841418015</c:v>
                </c:pt>
                <c:pt idx="2">
                  <c:v>144.63683316523108</c:v>
                </c:pt>
                <c:pt idx="3">
                  <c:v>188.44221551041102</c:v>
                </c:pt>
                <c:pt idx="4">
                  <c:v>194.18049594971853</c:v>
                </c:pt>
                <c:pt idx="5">
                  <c:v>193.57172491050665</c:v>
                </c:pt>
                <c:pt idx="6">
                  <c:v>226.71625838959824</c:v>
                </c:pt>
                <c:pt idx="7">
                  <c:v>189.13643191488364</c:v>
                </c:pt>
                <c:pt idx="8">
                  <c:v>179.84438806181944</c:v>
                </c:pt>
                <c:pt idx="9">
                  <c:v>209.49463643056004</c:v>
                </c:pt>
                <c:pt idx="10">
                  <c:v>192.93182746714766</c:v>
                </c:pt>
                <c:pt idx="11">
                  <c:v>196.41196089831593</c:v>
                </c:pt>
                <c:pt idx="12">
                  <c:v>168.2500829807378</c:v>
                </c:pt>
                <c:pt idx="13">
                  <c:v>163.1030857193845</c:v>
                </c:pt>
                <c:pt idx="14">
                  <c:v>154.59340113758998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F9-4EE8-A140-D8A934B90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36448"/>
        <c:axId val="48938368"/>
      </c:lineChart>
      <c:catAx>
        <c:axId val="4893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8938368"/>
        <c:crosses val="autoZero"/>
        <c:auto val="1"/>
        <c:lblAlgn val="ctr"/>
        <c:lblOffset val="100"/>
        <c:noMultiLvlLbl val="0"/>
      </c:catAx>
      <c:valAx>
        <c:axId val="4893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Total cost per end user</a:t>
                </a:r>
              </a:p>
            </c:rich>
          </c:tx>
          <c:layout>
            <c:manualLayout>
              <c:xMode val="edge"/>
              <c:yMode val="edge"/>
              <c:x val="3.1167807013700782E-2"/>
              <c:y val="0.30775903354731399"/>
            </c:manualLayout>
          </c:layout>
          <c:overlay val="0"/>
        </c:title>
        <c:numFmt formatCode="&quot;$&quot;#,##0" sourceLinked="0"/>
        <c:majorTickMark val="out"/>
        <c:minorTickMark val="none"/>
        <c:tickLblPos val="nextTo"/>
        <c:crossAx val="4893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1942566998820454"/>
          <c:y val="0.18641190757817613"/>
          <c:w val="0.12400639505969771"/>
          <c:h val="0.4573373507581238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899903690436"/>
          <c:y val="3.7448982602920851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2A-459E-8AE3-FCE64AB8F02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2A-459E-8AE3-FCE64AB8F02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2A-459E-8AE3-FCE64AB8F02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2A-459E-8AE3-FCE64AB8F02D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2A-459E-8AE3-FCE64AB8F02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2A-459E-8AE3-FCE64AB8F02D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2A-459E-8AE3-FCE64AB8F02D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2A-459E-8AE3-FCE64AB8F02D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2A-459E-8AE3-FCE64AB8F02D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2A-459E-8AE3-FCE64AB8F02D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2A-459E-8AE3-FCE64AB8F02D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202A-459E-8AE3-FCE64AB8F02D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202A-459E-8AE3-FCE64AB8F02D}"/>
              </c:ext>
            </c:extLst>
          </c:dPt>
          <c:cat>
            <c:strRef>
              <c:f>'Physical data'!$B$40:$B$44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data'!$S$40:$S$44</c:f>
              <c:numCache>
                <c:formatCode>#,##0.0</c:formatCode>
                <c:ptCount val="5"/>
                <c:pt idx="0">
                  <c:v>161.32100296268931</c:v>
                </c:pt>
                <c:pt idx="1">
                  <c:v>152.74811002883143</c:v>
                </c:pt>
                <c:pt idx="2">
                  <c:v>447.26061724577369</c:v>
                </c:pt>
                <c:pt idx="3">
                  <c:v>82.331670111599536</c:v>
                </c:pt>
                <c:pt idx="4">
                  <c:v>293.43662131824715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202A-459E-8AE3-FCE64AB8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Connection density (end user per 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'Physical data'!$R$47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8D-440C-ACD2-0230351807CD}"/>
              </c:ext>
            </c:extLst>
          </c:dPt>
          <c:dPt>
            <c:idx val="1"/>
            <c:invertIfNegative val="0"/>
            <c:bubble3D val="0"/>
            <c:spPr>
              <a:solidFill>
                <a:srgbClr val="AC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8D-440C-ACD2-0230351807CD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98D-440C-ACD2-0230351807C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98D-440C-ACD2-0230351807CD}"/>
              </c:ext>
            </c:extLst>
          </c:dPt>
          <c:dPt>
            <c:idx val="4"/>
            <c:invertIfNegative val="0"/>
            <c:bubble3D val="0"/>
            <c:spPr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98D-440C-ACD2-0230351807CD}"/>
              </c:ext>
            </c:extLst>
          </c:dPt>
          <c:cat>
            <c:strRef>
              <c:f>'Physical data'!$B$48:$B$52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data'!$R$48:$R$52</c:f>
              <c:numCache>
                <c:formatCode>General</c:formatCode>
                <c:ptCount val="5"/>
                <c:pt idx="0">
                  <c:v>914602.99999999965</c:v>
                </c:pt>
                <c:pt idx="1">
                  <c:v>2278501</c:v>
                </c:pt>
                <c:pt idx="2">
                  <c:v>3056690</c:v>
                </c:pt>
                <c:pt idx="3">
                  <c:v>293949</c:v>
                </c:pt>
                <c:pt idx="4">
                  <c:v>3944446.5000000042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98D-440C-ACD2-023035180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51554176"/>
        <c:axId val="51555712"/>
      </c:barChart>
      <c:catAx>
        <c:axId val="5155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555712"/>
        <c:crosses val="autoZero"/>
        <c:auto val="1"/>
        <c:lblAlgn val="ctr"/>
        <c:lblOffset val="100"/>
        <c:noMultiLvlLbl val="0"/>
      </c:catAx>
      <c:valAx>
        <c:axId val="5155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541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5216357584403234E-2"/>
                <c:y val="0.22497317692965069"/>
              </c:manualLayout>
            </c:layout>
            <c:tx>
              <c:rich>
                <a:bodyPr/>
                <a:lstStyle/>
                <a:p>
                  <a:pPr>
                    <a:defRPr b="1"/>
                  </a:pPr>
                  <a:r>
                    <a:rPr lang="en-US" b="1"/>
                    <a:t>Total number of end users (millons)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data'!$D$25</c:f>
              <c:strCache>
                <c:ptCount val="1"/>
                <c:pt idx="0">
                  <c:v>km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AB-4F81-8570-1F2106DA406C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2AB-4F81-8570-1F2106DA406C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2AB-4F81-8570-1F2106DA406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AB-4F81-8570-1F2106DA406C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2AB-4F81-8570-1F2106DA406C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2AB-4F81-8570-1F2106DA406C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2AB-4F81-8570-1F2106DA406C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2AB-4F81-8570-1F2106DA406C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2AB-4F81-8570-1F2106DA406C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2AB-4F81-8570-1F2106DA406C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2AB-4F81-8570-1F2106DA406C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2AB-4F81-8570-1F2106DA406C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2AB-4F81-8570-1F2106DA406C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data'!$D$26:$D$30</c:f>
              <c:numCache>
                <c:formatCode>#,##0</c:formatCode>
                <c:ptCount val="5"/>
                <c:pt idx="0">
                  <c:v>5519.5789999999997</c:v>
                </c:pt>
                <c:pt idx="1">
                  <c:v>14528.2</c:v>
                </c:pt>
                <c:pt idx="2">
                  <c:v>6731.1111999999994</c:v>
                </c:pt>
                <c:pt idx="3">
                  <c:v>3350.5371820000005</c:v>
                </c:pt>
                <c:pt idx="4">
                  <c:v>13052.451309999999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2AB-4F81-8570-1F2106DA4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Circuit length (km)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90222956095064"/>
          <c:y val="4.3180537606820828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data'!$G$25</c:f>
              <c:strCache>
                <c:ptCount val="1"/>
                <c:pt idx="0">
                  <c:v>GWh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C4-441F-8B9B-1C0359DA9B10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C4-441F-8B9B-1C0359DA9B10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C4-441F-8B9B-1C0359DA9B1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C4-441F-8B9B-1C0359DA9B10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C4-441F-8B9B-1C0359DA9B10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2C4-441F-8B9B-1C0359DA9B10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02C4-441F-8B9B-1C0359DA9B10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02C4-441F-8B9B-1C0359DA9B10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02C4-441F-8B9B-1C0359DA9B10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02C4-441F-8B9B-1C0359DA9B10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02C4-441F-8B9B-1C0359DA9B10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02C4-441F-8B9B-1C0359DA9B10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02C4-441F-8B9B-1C0359DA9B10}"/>
              </c:ext>
            </c:extLst>
          </c:dPt>
          <c:cat>
            <c:strRef>
              <c:f>'Physical data'!$B$26:$B$30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data'!$G$26:$G$30</c:f>
              <c:numCache>
                <c:formatCode>0</c:formatCode>
                <c:ptCount val="5"/>
                <c:pt idx="0">
                  <c:v>13856.515144038127</c:v>
                </c:pt>
                <c:pt idx="1">
                  <c:v>53076.368905469993</c:v>
                </c:pt>
                <c:pt idx="2">
                  <c:v>41527.840000000011</c:v>
                </c:pt>
                <c:pt idx="3">
                  <c:v>12412.888664812011</c:v>
                </c:pt>
                <c:pt idx="4">
                  <c:v>72900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C4-441F-8B9B-1C0359DA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Energy transported  (GWh)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4902056719393"/>
          <c:y val="3.7448969862505802E-2"/>
          <c:w val="0.88555097943280603"/>
          <c:h val="0.86135325826207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'Physical data'!$R$10</c:f>
              <c:strCache>
                <c:ptCount val="1"/>
                <c:pt idx="0">
                  <c:v>2020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004-42D3-88F4-0CCB8E87E972}"/>
              </c:ext>
            </c:extLst>
          </c:dPt>
          <c:dPt>
            <c:idx val="1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004-42D3-88F4-0CCB8E87E972}"/>
              </c:ext>
            </c:extLst>
          </c:dPt>
          <c:dPt>
            <c:idx val="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004-42D3-88F4-0CCB8E87E9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004-42D3-88F4-0CCB8E87E972}"/>
              </c:ext>
            </c:extLst>
          </c:dPt>
          <c:dPt>
            <c:idx val="4"/>
            <c:invertIfNegative val="0"/>
            <c:bubble3D val="0"/>
            <c:spPr>
              <a:solidFill>
                <a:srgbClr val="2171B5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004-42D3-88F4-0CCB8E87E972}"/>
              </c:ext>
            </c:extLst>
          </c:dPt>
          <c:dPt>
            <c:idx val="5"/>
            <c:invertIfNegative val="0"/>
            <c:bubble3D val="0"/>
            <c:spPr>
              <a:solidFill>
                <a:srgbClr val="800026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D004-42D3-88F4-0CCB8E87E972}"/>
              </c:ext>
            </c:extLst>
          </c:dPt>
          <c:dPt>
            <c:idx val="6"/>
            <c:invertIfNegative val="0"/>
            <c:bubble3D val="0"/>
            <c:spPr>
              <a:solidFill>
                <a:srgbClr val="FD8D3C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D004-42D3-88F4-0CCB8E87E972}"/>
              </c:ext>
            </c:extLst>
          </c:dPt>
          <c:dPt>
            <c:idx val="7"/>
            <c:invertIfNegative val="0"/>
            <c:bubble3D val="0"/>
            <c:spPr>
              <a:solidFill>
                <a:srgbClr val="E7E1EF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D004-42D3-88F4-0CCB8E87E972}"/>
              </c:ext>
            </c:extLst>
          </c:dPt>
          <c:dPt>
            <c:idx val="8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D004-42D3-88F4-0CCB8E87E972}"/>
              </c:ext>
            </c:extLst>
          </c:dPt>
          <c:dPt>
            <c:idx val="9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D004-42D3-88F4-0CCB8E87E972}"/>
              </c:ext>
            </c:extLst>
          </c:dPt>
          <c:dPt>
            <c:idx val="10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D004-42D3-88F4-0CCB8E87E972}"/>
              </c:ext>
            </c:extLst>
          </c:dPt>
          <c:dPt>
            <c:idx val="11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D004-42D3-88F4-0CCB8E87E972}"/>
              </c:ext>
            </c:extLst>
          </c:dPt>
          <c:dPt>
            <c:idx val="12"/>
            <c:invertIfNegative val="0"/>
            <c:bubble3D val="0"/>
            <c:spPr>
              <a:solidFill>
                <a:srgbClr val="A1D99B"/>
              </a:solid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D004-42D3-88F4-0CCB8E87E972}"/>
              </c:ext>
            </c:extLst>
          </c:dPt>
          <c:cat>
            <c:strRef>
              <c:f>'Physical data'!$B$11:$B$15</c:f>
              <c:strCache>
                <c:ptCount val="5"/>
                <c:pt idx="0">
                  <c:v>ENT</c:v>
                </c:pt>
                <c:pt idx="1">
                  <c:v>PLK</c:v>
                </c:pt>
                <c:pt idx="2">
                  <c:v>ANT</c:v>
                </c:pt>
                <c:pt idx="3">
                  <c:v>TNT</c:v>
                </c:pt>
                <c:pt idx="4">
                  <c:v>TRG</c:v>
                </c:pt>
              </c:strCache>
            </c:strRef>
          </c:cat>
          <c:val>
            <c:numRef>
              <c:f>'Physical data'!$R$11:$R$15</c:f>
              <c:numCache>
                <c:formatCode>#,##0</c:formatCode>
                <c:ptCount val="5"/>
                <c:pt idx="0">
                  <c:v>3512.323547</c:v>
                </c:pt>
                <c:pt idx="1">
                  <c:v>12583.453072999999</c:v>
                </c:pt>
                <c:pt idx="2">
                  <c:v>10139.175999999999</c:v>
                </c:pt>
                <c:pt idx="3">
                  <c:v>2460.3122380799996</c:v>
                </c:pt>
                <c:pt idx="4">
                  <c:v>18900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004-42D3-88F4-0CCB8E87E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50229632"/>
        <c:axId val="50231168"/>
      </c:barChart>
      <c:catAx>
        <c:axId val="5022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231168"/>
        <c:crosses val="autoZero"/>
        <c:auto val="1"/>
        <c:lblAlgn val="ctr"/>
        <c:lblOffset val="100"/>
        <c:noMultiLvlLbl val="0"/>
      </c:catAx>
      <c:valAx>
        <c:axId val="50231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AU" b="1"/>
                  <a:t>Maximum demand (MVA)</a:t>
                </a:r>
              </a:p>
            </c:rich>
          </c:tx>
          <c:layout>
            <c:manualLayout>
              <c:xMode val="edge"/>
              <c:yMode val="edge"/>
              <c:x val="1.7142283159470512E-3"/>
              <c:y val="0.257757662055871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2296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 b="0">
          <a:latin typeface="Calibri (body)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2875" y="333375"/>
          <a:ext cx="431346" cy="2009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Total user</a:t>
          </a:r>
          <a:r>
            <a:rPr lang="en-AU" sz="2400" b="1" baseline="0"/>
            <a:t> cost</a:t>
          </a:r>
          <a:endParaRPr lang="en-AU" sz="24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61925" y="3952875"/>
          <a:ext cx="431346" cy="8667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AUCC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52400" y="7572375"/>
          <a:ext cx="431346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270" wrap="square" rtlCol="0" anchor="t"/>
        <a:lstStyle/>
        <a:p>
          <a:r>
            <a:rPr lang="en-AU" sz="2400" b="1"/>
            <a:t>Opex</a:t>
          </a:r>
        </a:p>
      </xdr:txBody>
    </xdr:sp>
    <xdr:clientData/>
  </xdr:twoCellAnchor>
  <xdr:twoCellAnchor>
    <xdr:from>
      <xdr:col>0</xdr:col>
      <xdr:colOff>37619</xdr:colOff>
      <xdr:row>3</xdr:row>
      <xdr:rowOff>2399</xdr:rowOff>
    </xdr:from>
    <xdr:to>
      <xdr:col>12</xdr:col>
      <xdr:colOff>11206</xdr:colOff>
      <xdr:row>24</xdr:row>
      <xdr:rowOff>78442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27</xdr:row>
      <xdr:rowOff>180975</xdr:rowOff>
    </xdr:from>
    <xdr:to>
      <xdr:col>11</xdr:col>
      <xdr:colOff>590550</xdr:colOff>
      <xdr:row>49</xdr:row>
      <xdr:rowOff>169767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9286</xdr:colOff>
      <xdr:row>78</xdr:row>
      <xdr:rowOff>166129</xdr:rowOff>
    </xdr:from>
    <xdr:to>
      <xdr:col>12</xdr:col>
      <xdr:colOff>593912</xdr:colOff>
      <xdr:row>99</xdr:row>
      <xdr:rowOff>169333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126465</xdr:colOff>
      <xdr:row>53</xdr:row>
      <xdr:rowOff>95249</xdr:rowOff>
    </xdr:from>
    <xdr:to>
      <xdr:col>12</xdr:col>
      <xdr:colOff>59871</xdr:colOff>
      <xdr:row>74</xdr:row>
      <xdr:rowOff>95251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466725</xdr:colOff>
      <xdr:row>53</xdr:row>
      <xdr:rowOff>161925</xdr:rowOff>
    </xdr:from>
    <xdr:to>
      <xdr:col>25</xdr:col>
      <xdr:colOff>600075</xdr:colOff>
      <xdr:row>70</xdr:row>
      <xdr:rowOff>138546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38099</xdr:colOff>
      <xdr:row>28</xdr:row>
      <xdr:rowOff>61911</xdr:rowOff>
    </xdr:from>
    <xdr:to>
      <xdr:col>26</xdr:col>
      <xdr:colOff>9524</xdr:colOff>
      <xdr:row>51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2</xdr:row>
      <xdr:rowOff>5868</xdr:rowOff>
    </xdr:from>
    <xdr:to>
      <xdr:col>25</xdr:col>
      <xdr:colOff>133350</xdr:colOff>
      <xdr:row>25</xdr:row>
      <xdr:rowOff>42899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74</xdr:row>
      <xdr:rowOff>190499</xdr:rowOff>
    </xdr:from>
    <xdr:to>
      <xdr:col>26</xdr:col>
      <xdr:colOff>133350</xdr:colOff>
      <xdr:row>97</xdr:row>
      <xdr:rowOff>9281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102</xdr:row>
      <xdr:rowOff>0</xdr:rowOff>
    </xdr:from>
    <xdr:to>
      <xdr:col>26</xdr:col>
      <xdr:colOff>133350</xdr:colOff>
      <xdr:row>125</xdr:row>
      <xdr:rowOff>42900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11206</xdr:rowOff>
    </xdr:from>
    <xdr:to>
      <xdr:col>9</xdr:col>
      <xdr:colOff>593912</xdr:colOff>
      <xdr:row>21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593911</xdr:colOff>
      <xdr:row>3</xdr:row>
      <xdr:rowOff>11206</xdr:rowOff>
    </xdr:from>
    <xdr:to>
      <xdr:col>20</xdr:col>
      <xdr:colOff>593912</xdr:colOff>
      <xdr:row>20</xdr:row>
      <xdr:rowOff>168089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22411</xdr:colOff>
      <xdr:row>2</xdr:row>
      <xdr:rowOff>184337</xdr:rowOff>
    </xdr:from>
    <xdr:to>
      <xdr:col>32</xdr:col>
      <xdr:colOff>0</xdr:colOff>
      <xdr:row>20</xdr:row>
      <xdr:rowOff>22412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533399</xdr:colOff>
      <xdr:row>44</xdr:row>
      <xdr:rowOff>0</xdr:rowOff>
    </xdr:from>
    <xdr:to>
      <xdr:col>9</xdr:col>
      <xdr:colOff>294409</xdr:colOff>
      <xdr:row>44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A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329045</xdr:colOff>
      <xdr:row>44</xdr:row>
      <xdr:rowOff>0</xdr:rowOff>
    </xdr:from>
    <xdr:to>
      <xdr:col>9</xdr:col>
      <xdr:colOff>69272</xdr:colOff>
      <xdr:row>44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tran/AppData/Local/Microsoft/Windows/INetCache/Content.Outlook/RPBKME7N/DNSP%20PPI%20maste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Powerlink%202017-18%20-%20RIN%20response%20-%20Economic%20Benchmarking%20-%20Consolidated%20-%20PUBLIC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19%20data%20analysis/TNSP%20data%20files/RINs/Powerlink%202018-19%20-%20RIN%20Response%20-%20Economic%20Benchmarking%20-%20Consolidated%20-%20PUBLIC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RINs/Powerlink%202019-20%20-%20Economic%20Benchmarking%20-%20RIN%20Response%20-%20Consolidated%20-%2023%20October%202020%20%20-%20PUBLIC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AusNet%20Services%20(T)%20(SP%20AusNet)%202017-18%20-%20RIN%20response%20-%20Economic%20Benchmarking%20-%20Consolidated%20-%20PUBLIC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19%20data%20analysis/TNSP%20data%20files/RINs/Ausnet%20(T)%202018-19%20-%20Economic%20Benchmarking%20-%20RIN%20Response%20-%20Consolidated%20-%20PUBLIC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RINs/Ausnet%20(T)%202019-20%20-%20Economic%20Benchmarking%20-%20RIN%20Response%20-%20Consolidated%20-%2028%20July%202020%20-%20PUBLIC%20(2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Tasnetworks%20(Transend)%202017-18%20-%20RIN%20response%20-%20Economic%20benchmarking%20-%20Consolidated%20-%20PUBLIC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19%20data%20analysis/TNSP%20data%20files/RINs/Tasnetworks%20(Transend)%202018-19%20-%20RIN%20Response%20-%20Economic%20Benchmarking%20-%20Consolidated%20-%20PUBLIC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RINs/TNSP%20-%20EB%20-%20TasNetworks%202019-20%20REDACTED%20AMENDED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TransGrid%202017-18%20-%20RIN%20response%20-%20Economic%20benchmarking%20-%20Consolidated%20-%20PUBLIC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cheu/Local%20Settings/Temporary%20Internet%20Files/Content.Outlook/SMGVD7WK/Database%20%20mockup%20-%20EBT%20RIN%20data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19%20data%20analysis/TNSP%20data%20files/RINs/Transgrid%202018-19%20-%20Economic%20Benchmarking%20-%20RIN%20Response%20-%20Consolidated%20-%20PUBLIC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RINs/TransGrid%202019-20%20-%20Economic%20Benchmarking%20-%20RIN%20Response%20-%20Consolidated%20-%2030%20October%202020%20-%20PUBLIC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Opex%20modelling/AER%20opex%20models/18.%20AusNet%20Tx%202022-27/DD/AER%20opex%20model%20-%20AusNet%202022-27%20-%20draft%20decisio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saf/AppData/Local/Temp/1/Temp1_Economic%20Insights%20AER%20TNSP%20BM%20Files%2019Aug2021.zip/TNSP%20Benchmarking%20Data%20Files%20(2020%20update)%20AER/TNSP%20AUC%20(2020%20update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WACC%20Confidential/CONFIDENTIAL%20-%20WACC%20data%20-%202019%20upd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AER%20benchmarking%20spreadsheets%20MASTER/WACC%20(Confidential)/CONFIDENTIAL%20-%20WACC%20data%20-%202020%20upda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TNSP%20consolidated%20benchmarking%20data%20(2020%20update)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00AER%20modelling/2018/TNSP%20data%20files/RINs/ElectraNet%202017-18%20-%20RIN%20response%20-%20Economic%20benchmarking%20-%20Consolidated%20-%20PUBL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19%20data%20analysis/TNSP%20data%20files/RINs/ElectraNet%202018-19%20-%20RIN%20Response%20-%20Economic%20Benchmarking%20-%20Consolidated%20-%20PUBLIC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ER/EBTRIN/1.%20AER%20modelling/Data%20analysis/2020%20data%20analysis%20(for%202021%20ABR)/TNSP%20data%20files/RINs/ElectraNet%202019-20%20-%20Economic%20Benchmarking%20-%20RIN%20Response%20-%20Consolidated%20-%2030%20October%202020%20-%20PUBLIC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LogofChanges"/>
      <sheetName val="Financial charts"/>
      <sheetName val="Non-Financial charts"/>
      <sheetName val="Analysis"/>
      <sheetName val="Total cost"/>
      <sheetName val="Asset cost"/>
      <sheetName val="RAB"/>
      <sheetName val="Opex"/>
      <sheetName val="Depreciation"/>
      <sheetName val="Capex"/>
      <sheetName val="Zonesubstationtransformation"/>
      <sheetName val="CPI"/>
      <sheetName val="Reliability"/>
      <sheetName val="Physical data"/>
      <sheetName val="State Charts and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E6">
            <v>2016</v>
          </cell>
        </row>
        <row r="8">
          <cell r="E8">
            <v>110</v>
          </cell>
        </row>
      </sheetData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7-18 - RIN respons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187614234.28</v>
          </cell>
        </row>
      </sheetData>
      <sheetData sheetId="6" refreshError="1"/>
      <sheetData sheetId="7">
        <row r="14">
          <cell r="C14">
            <v>-261276591.77307546</v>
          </cell>
        </row>
        <row r="15">
          <cell r="C15">
            <v>124148142.40923423</v>
          </cell>
        </row>
        <row r="69">
          <cell r="C69">
            <v>3256246357.7334156</v>
          </cell>
        </row>
        <row r="70">
          <cell r="C70">
            <v>47022732.370214231</v>
          </cell>
        </row>
        <row r="71">
          <cell r="C71">
            <v>2504489309.2515402</v>
          </cell>
        </row>
        <row r="72">
          <cell r="C72">
            <v>453534648.28906929</v>
          </cell>
        </row>
        <row r="73">
          <cell r="C73">
            <v>217861311.74114609</v>
          </cell>
        </row>
        <row r="74">
          <cell r="C74">
            <v>62201548.125697955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8-19 - RIN Respons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>
            <v>789083699.45808303</v>
          </cell>
        </row>
      </sheetData>
      <sheetData sheetId="8">
        <row r="56">
          <cell r="C56">
            <v>199366949.91747183</v>
          </cell>
        </row>
      </sheetData>
      <sheetData sheetId="9"/>
      <sheetData sheetId="10">
        <row r="14">
          <cell r="C14">
            <v>-286093596.74934685</v>
          </cell>
        </row>
        <row r="15">
          <cell r="C15">
            <v>214676636.14106682</v>
          </cell>
        </row>
        <row r="69">
          <cell r="C69">
            <v>3218167115.8518128</v>
          </cell>
        </row>
        <row r="70">
          <cell r="C70">
            <v>45406758.002117097</v>
          </cell>
        </row>
        <row r="71">
          <cell r="C71">
            <v>2532523372.1245866</v>
          </cell>
        </row>
        <row r="72">
          <cell r="C72">
            <v>465054035.06458426</v>
          </cell>
        </row>
        <row r="73">
          <cell r="C73">
            <v>212623922.26240173</v>
          </cell>
        </row>
        <row r="74">
          <cell r="C74">
            <v>82340270.961058527</v>
          </cell>
        </row>
      </sheetData>
      <sheetData sheetId="11">
        <row r="25">
          <cell r="D25">
            <v>53765.29422406599</v>
          </cell>
        </row>
      </sheetData>
      <sheetData sheetId="12">
        <row r="12">
          <cell r="D12">
            <v>0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Powerlink 2019-20 - Economic Be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C14">
            <v>-303179941.85928893</v>
          </cell>
        </row>
        <row r="15">
          <cell r="C15">
            <v>77521510.38817513</v>
          </cell>
        </row>
        <row r="69">
          <cell r="C69">
            <v>3172642143.463089</v>
          </cell>
        </row>
        <row r="70">
          <cell r="C70">
            <v>43700719.219563745</v>
          </cell>
        </row>
        <row r="71">
          <cell r="C71">
            <v>2531769995.3647962</v>
          </cell>
        </row>
        <row r="72">
          <cell r="C72">
            <v>474662176.38155037</v>
          </cell>
        </row>
        <row r="73">
          <cell r="C73">
            <v>204886688.53643554</v>
          </cell>
        </row>
        <row r="74">
          <cell r="C74">
            <v>97580515.507603168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Services (T) (SP AusNet)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">
          <cell r="C20">
            <v>136365015</v>
          </cell>
        </row>
      </sheetData>
      <sheetData sheetId="6" refreshError="1"/>
      <sheetData sheetId="7">
        <row r="14">
          <cell r="C14">
            <v>-170906180.48810545</v>
          </cell>
        </row>
        <row r="15">
          <cell r="C15">
            <v>113724564.13357373</v>
          </cell>
        </row>
        <row r="69">
          <cell r="C69">
            <v>1066690898.8027428</v>
          </cell>
        </row>
        <row r="70">
          <cell r="C70">
            <v>32836051.702854056</v>
          </cell>
        </row>
        <row r="71">
          <cell r="C71">
            <v>1335948360.1540978</v>
          </cell>
        </row>
        <row r="72">
          <cell r="C72">
            <v>136103397.91513449</v>
          </cell>
        </row>
        <row r="73">
          <cell r="C73">
            <v>310175653.48011422</v>
          </cell>
        </row>
        <row r="74">
          <cell r="C74">
            <v>66888511.85758172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(T) 2018-19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0">
          <cell r="C20">
            <v>136365015</v>
          </cell>
        </row>
      </sheetData>
      <sheetData sheetId="6" refreshError="1"/>
      <sheetData sheetId="7">
        <row r="14">
          <cell r="C14">
            <v>-174346823.83437318</v>
          </cell>
        </row>
        <row r="15">
          <cell r="C15">
            <v>119668703.06964719</v>
          </cell>
        </row>
        <row r="69">
          <cell r="C69">
            <v>1055626652.7758466</v>
          </cell>
        </row>
        <row r="70">
          <cell r="C70">
            <v>31955065.820731748</v>
          </cell>
        </row>
        <row r="71">
          <cell r="C71">
            <v>1360695041.295763</v>
          </cell>
        </row>
        <row r="72">
          <cell r="C72">
            <v>138630680.21337748</v>
          </cell>
        </row>
        <row r="73">
          <cell r="C73">
            <v>301181142.96953511</v>
          </cell>
        </row>
        <row r="74">
          <cell r="C74">
            <v>56057521.247989282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Ausnet (T) 2019-20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C14">
            <v>-182669677.24412391</v>
          </cell>
        </row>
        <row r="15">
          <cell r="C15">
            <v>230006499.98383895</v>
          </cell>
        </row>
        <row r="69">
          <cell r="C69">
            <v>1040219561.1814386</v>
          </cell>
        </row>
        <row r="70">
          <cell r="C70">
            <v>31022068.293530893</v>
          </cell>
        </row>
        <row r="71">
          <cell r="C71">
            <v>1403429424.2632325</v>
          </cell>
        </row>
        <row r="72">
          <cell r="C72">
            <v>141096321.47995597</v>
          </cell>
        </row>
        <row r="73">
          <cell r="C73">
            <v>330373487.88248038</v>
          </cell>
        </row>
        <row r="74">
          <cell r="C74">
            <v>45114333.051534601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asnetworks (Transend) 2017-18 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28974888.076739792</v>
          </cell>
        </row>
      </sheetData>
      <sheetData sheetId="6" refreshError="1"/>
      <sheetData sheetId="7">
        <row r="14">
          <cell r="C14">
            <v>-61390494.942420773</v>
          </cell>
        </row>
        <row r="15">
          <cell r="C15">
            <v>47336276.340199895</v>
          </cell>
        </row>
        <row r="69">
          <cell r="C69">
            <v>499931478.36867225</v>
          </cell>
        </row>
        <row r="70">
          <cell r="C70">
            <v>28561437.39424032</v>
          </cell>
        </row>
        <row r="71">
          <cell r="C71">
            <v>647478513.11667204</v>
          </cell>
        </row>
        <row r="72">
          <cell r="C72">
            <v>107208649.6376372</v>
          </cell>
        </row>
        <row r="73">
          <cell r="C73">
            <v>78211077.64530462</v>
          </cell>
        </row>
        <row r="74">
          <cell r="C74">
            <v>9674250.1560120657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asnetworks (Transend) 2018-19 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C14">
            <v>-62790620.312088862</v>
          </cell>
        </row>
        <row r="15">
          <cell r="C15">
            <v>64485204.634988837</v>
          </cell>
        </row>
        <row r="69">
          <cell r="C69">
            <v>508912302.20302117</v>
          </cell>
        </row>
        <row r="70">
          <cell r="C70">
            <v>28045231.588185351</v>
          </cell>
        </row>
        <row r="71">
          <cell r="C71">
            <v>580299902.51785195</v>
          </cell>
        </row>
        <row r="72">
          <cell r="C72">
            <v>109187737.44310585</v>
          </cell>
        </row>
        <row r="73">
          <cell r="C73">
            <v>155570775.56417596</v>
          </cell>
        </row>
        <row r="74">
          <cell r="C74">
            <v>8053558.8299427573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NSP - EB - TasNetworks 2019-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2">
          <cell r="C12">
            <v>1375521128</v>
          </cell>
        </row>
        <row r="14">
          <cell r="C14">
            <v>-56413529.30933053</v>
          </cell>
        </row>
        <row r="15">
          <cell r="C15">
            <v>59472139.368714496</v>
          </cell>
        </row>
        <row r="17">
          <cell r="C17">
            <v>1404095762.1603251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7-18 - RIN respons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>
        <row r="20">
          <cell r="C20">
            <v>713126124.0323025</v>
          </cell>
        </row>
      </sheetData>
      <sheetData sheetId="5">
        <row r="56">
          <cell r="C56">
            <v>153556693.99000016</v>
          </cell>
        </row>
      </sheetData>
      <sheetData sheetId="6"/>
      <sheetData sheetId="7">
        <row r="14">
          <cell r="C14">
            <v>-265038966.94009852</v>
          </cell>
        </row>
        <row r="15">
          <cell r="C15">
            <v>239882389.90682527</v>
          </cell>
        </row>
        <row r="69">
          <cell r="C69">
            <v>1654041871.7922373</v>
          </cell>
        </row>
        <row r="70">
          <cell r="C70">
            <v>202801368.48791707</v>
          </cell>
        </row>
        <row r="71">
          <cell r="C71">
            <v>2932398691.9981418</v>
          </cell>
        </row>
        <row r="72">
          <cell r="C72">
            <v>867646292.81098557</v>
          </cell>
        </row>
        <row r="73">
          <cell r="C73">
            <v>323711656.69487941</v>
          </cell>
        </row>
        <row r="74">
          <cell r="C74">
            <v>60938099.596239656</v>
          </cell>
        </row>
      </sheetData>
      <sheetData sheetId="8">
        <row r="25">
          <cell r="D25">
            <v>75700</v>
          </cell>
        </row>
      </sheetData>
      <sheetData sheetId="9">
        <row r="12">
          <cell r="D12">
            <v>1023.7574999236784</v>
          </cell>
        </row>
      </sheetData>
      <sheetData sheetId="10"/>
      <sheetData sheetId="11"/>
      <sheetData sheetId="12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efinitions"/>
      <sheetName val="Raw data"/>
      <sheetName val="Capex"/>
      <sheetName val="Capex data check"/>
      <sheetName val="Opex"/>
      <sheetName val="Opex data check"/>
      <sheetName val="Physical and other"/>
      <sheetName val="Physical and other data check"/>
      <sheetName val="Reliability"/>
      <sheetName val="Rel - Normalised - Unplanned"/>
      <sheetName val="Rel - Norm'd - Unplanned check"/>
      <sheetName val="Calculations and charts"/>
      <sheetName val="AS Testing Sheet"/>
      <sheetName val="Charts - Expenditure"/>
      <sheetName val="Charts - Reliability"/>
    </sheetNames>
    <sheetDataSet>
      <sheetData sheetId="0"/>
      <sheetData sheetId="1"/>
      <sheetData sheetId="2"/>
      <sheetData sheetId="3">
        <row r="1">
          <cell r="C1">
            <v>1999</v>
          </cell>
          <cell r="D1">
            <v>2000</v>
          </cell>
          <cell r="E1">
            <v>2001</v>
          </cell>
          <cell r="F1">
            <v>2002</v>
          </cell>
          <cell r="G1">
            <v>2003</v>
          </cell>
          <cell r="H1">
            <v>2004</v>
          </cell>
          <cell r="I1">
            <v>2005</v>
          </cell>
          <cell r="J1">
            <v>2006</v>
          </cell>
          <cell r="K1">
            <v>2007</v>
          </cell>
          <cell r="L1">
            <v>2008</v>
          </cell>
          <cell r="M1">
            <v>2009</v>
          </cell>
          <cell r="N1">
            <v>2010</v>
          </cell>
          <cell r="O1">
            <v>2011</v>
          </cell>
          <cell r="P1">
            <v>2012</v>
          </cell>
          <cell r="Q1">
            <v>2013</v>
          </cell>
          <cell r="R1">
            <v>2014</v>
          </cell>
          <cell r="S1">
            <v>2015</v>
          </cell>
          <cell r="T1">
            <v>2016</v>
          </cell>
          <cell r="U1">
            <v>2017</v>
          </cell>
          <cell r="V1">
            <v>2018</v>
          </cell>
          <cell r="W1">
            <v>2019</v>
          </cell>
          <cell r="X1">
            <v>2020</v>
          </cell>
          <cell r="Y1">
            <v>2021</v>
          </cell>
          <cell r="Z1">
            <v>2022</v>
          </cell>
          <cell r="AA1">
            <v>2023</v>
          </cell>
          <cell r="AB1">
            <v>2024</v>
          </cell>
          <cell r="AC1">
            <v>2025</v>
          </cell>
          <cell r="AD1">
            <v>2026</v>
          </cell>
          <cell r="AE1">
            <v>2027</v>
          </cell>
          <cell r="AF1">
            <v>2028</v>
          </cell>
          <cell r="AG1">
            <v>2029</v>
          </cell>
          <cell r="AH1">
            <v>2030</v>
          </cell>
          <cell r="AI1">
            <v>2031</v>
          </cell>
          <cell r="AJ1">
            <v>2032</v>
          </cell>
          <cell r="AK1">
            <v>2033</v>
          </cell>
          <cell r="AL1">
            <v>2034</v>
          </cell>
          <cell r="AM1">
            <v>2035</v>
          </cell>
          <cell r="AN1">
            <v>2036</v>
          </cell>
          <cell r="AO1">
            <v>2037</v>
          </cell>
          <cell r="AP1">
            <v>2038</v>
          </cell>
          <cell r="AQ1">
            <v>2039</v>
          </cell>
          <cell r="AR1">
            <v>2040</v>
          </cell>
          <cell r="AS1">
            <v>2041</v>
          </cell>
          <cell r="AT1">
            <v>2042</v>
          </cell>
          <cell r="AU1">
            <v>2043</v>
          </cell>
          <cell r="AV1">
            <v>2044</v>
          </cell>
          <cell r="AW1">
            <v>2045</v>
          </cell>
          <cell r="AX1">
            <v>2046</v>
          </cell>
          <cell r="AY1">
            <v>2047</v>
          </cell>
          <cell r="AZ1">
            <v>2048</v>
          </cell>
          <cell r="BA1">
            <v>2049</v>
          </cell>
          <cell r="BB1">
            <v>2050</v>
          </cell>
          <cell r="BC1">
            <v>2051</v>
          </cell>
          <cell r="BD1">
            <v>2052</v>
          </cell>
          <cell r="BE1">
            <v>2053</v>
          </cell>
          <cell r="BF1">
            <v>2054</v>
          </cell>
          <cell r="BG1">
            <v>2055</v>
          </cell>
          <cell r="BH1">
            <v>2056</v>
          </cell>
          <cell r="BI1">
            <v>2057</v>
          </cell>
          <cell r="BJ1">
            <v>2058</v>
          </cell>
          <cell r="BK1">
            <v>2059</v>
          </cell>
          <cell r="BL1">
            <v>2060</v>
          </cell>
          <cell r="BM1">
            <v>2061</v>
          </cell>
          <cell r="BN1">
            <v>2062</v>
          </cell>
          <cell r="BO1">
            <v>2063</v>
          </cell>
          <cell r="BP1">
            <v>2064</v>
          </cell>
          <cell r="BQ1">
            <v>2065</v>
          </cell>
          <cell r="BR1">
            <v>2066</v>
          </cell>
          <cell r="BS1">
            <v>2067</v>
          </cell>
          <cell r="BT1">
            <v>2068</v>
          </cell>
          <cell r="BU1">
            <v>2069</v>
          </cell>
          <cell r="BV1">
            <v>2070</v>
          </cell>
          <cell r="BW1">
            <v>2071</v>
          </cell>
          <cell r="BX1">
            <v>2072</v>
          </cell>
          <cell r="BY1">
            <v>2073</v>
          </cell>
          <cell r="BZ1">
            <v>2074</v>
          </cell>
          <cell r="CA1">
            <v>2075</v>
          </cell>
          <cell r="CB1">
            <v>2076</v>
          </cell>
          <cell r="CC1">
            <v>2077</v>
          </cell>
          <cell r="CD1">
            <v>2078</v>
          </cell>
          <cell r="CE1">
            <v>2079</v>
          </cell>
          <cell r="CF1">
            <v>2080</v>
          </cell>
          <cell r="CG1">
            <v>2081</v>
          </cell>
          <cell r="CH1">
            <v>2082</v>
          </cell>
          <cell r="CI1">
            <v>2083</v>
          </cell>
          <cell r="CJ1">
            <v>2084</v>
          </cell>
          <cell r="CK1">
            <v>2085</v>
          </cell>
          <cell r="CL1">
            <v>2086</v>
          </cell>
          <cell r="CM1">
            <v>2087</v>
          </cell>
          <cell r="CN1">
            <v>2088</v>
          </cell>
          <cell r="CO1">
            <v>2089</v>
          </cell>
          <cell r="CP1">
            <v>2090</v>
          </cell>
          <cell r="CQ1">
            <v>2091</v>
          </cell>
          <cell r="CR1">
            <v>2092</v>
          </cell>
          <cell r="CS1">
            <v>2093</v>
          </cell>
          <cell r="CT1">
            <v>2094</v>
          </cell>
          <cell r="CU1">
            <v>2095</v>
          </cell>
          <cell r="CV1">
            <v>2096</v>
          </cell>
          <cell r="CW1">
            <v>2097</v>
          </cell>
          <cell r="CX1">
            <v>2098</v>
          </cell>
          <cell r="CY1">
            <v>2099</v>
          </cell>
          <cell r="CZ1">
            <v>2100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8-19 - Economic Be"/>
    </sheetNames>
    <definedNames>
      <definedName name="dms_030303_01_Values" refersTo="='3.3 Assets (RAB)'!$C$69:$C$7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>
            <v>750080688.41414809</v>
          </cell>
        </row>
      </sheetData>
      <sheetData sheetId="8">
        <row r="56">
          <cell r="C56">
            <v>154447845.15999949</v>
          </cell>
        </row>
      </sheetData>
      <sheetData sheetId="9"/>
      <sheetData sheetId="10">
        <row r="14">
          <cell r="C14">
            <v>-255967763.14920798</v>
          </cell>
        </row>
        <row r="15">
          <cell r="C15">
            <v>265754537.29379684</v>
          </cell>
        </row>
        <row r="69">
          <cell r="C69">
            <v>1762515328.8275318</v>
          </cell>
        </row>
        <row r="70">
          <cell r="C70">
            <v>198828261.41022986</v>
          </cell>
        </row>
        <row r="71">
          <cell r="C71">
            <v>2958300077.9003768</v>
          </cell>
        </row>
        <row r="72">
          <cell r="C72">
            <v>895662755.14955902</v>
          </cell>
        </row>
        <row r="73">
          <cell r="C73">
            <v>372857499.75321573</v>
          </cell>
        </row>
        <row r="74">
          <cell r="C74">
            <v>70792162.941207498</v>
          </cell>
        </row>
      </sheetData>
      <sheetData sheetId="11">
        <row r="25">
          <cell r="D25">
            <v>74400</v>
          </cell>
        </row>
      </sheetData>
      <sheetData sheetId="12">
        <row r="12">
          <cell r="D12">
            <v>1022.8770999298056</v>
          </cell>
        </row>
      </sheetData>
      <sheetData sheetId="13"/>
      <sheetData sheetId="14"/>
      <sheetData sheetId="15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Business &amp; other details"/>
      <sheetName val="Content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TransGrid 2019-20 - Economic Be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4">
          <cell r="C14">
            <v>-274692067</v>
          </cell>
        </row>
        <row r="15">
          <cell r="C15">
            <v>217115573</v>
          </cell>
        </row>
        <row r="69">
          <cell r="C69">
            <v>1794112549</v>
          </cell>
        </row>
        <row r="70">
          <cell r="C70">
            <v>194690445</v>
          </cell>
        </row>
        <row r="71">
          <cell r="C71">
            <v>2983481379</v>
          </cell>
        </row>
        <row r="72">
          <cell r="C72">
            <v>914212670</v>
          </cell>
        </row>
        <row r="73">
          <cell r="C73">
            <v>383835051</v>
          </cell>
        </row>
        <row r="74">
          <cell r="C74">
            <v>74912510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 history"/>
      <sheetName val="Index"/>
      <sheetName val="Input|General"/>
      <sheetName val="Input|Inflation"/>
      <sheetName val="Input|Reported opex"/>
      <sheetName val="Input|Rate of change_final"/>
      <sheetName val="Input|Rate of change_base"/>
      <sheetName val="Input|Step changes"/>
      <sheetName val="Calc|Opex forecast_final"/>
      <sheetName val="Calc|Opex forecast_base"/>
      <sheetName val="Output|Models_final"/>
      <sheetName val="Output|Models_base"/>
      <sheetName val="Output|Decision tables_final"/>
      <sheetName val="Output|Decision tables_base"/>
      <sheetName val="Output|Decomposition_final"/>
      <sheetName val="Output|Decomposition_base"/>
      <sheetName val="Detailed"/>
      <sheetName val="Sheet1"/>
      <sheetName val="Issues paper"/>
      <sheetName val="Lookup|Tables"/>
      <sheetName val="Check|List"/>
    </sheetNames>
    <sheetDataSet>
      <sheetData sheetId="0" refreshError="1"/>
      <sheetData sheetId="1" refreshError="1"/>
      <sheetData sheetId="2" refreshError="1"/>
      <sheetData sheetId="3">
        <row r="47">
          <cell r="F47">
            <v>109.4</v>
          </cell>
        </row>
        <row r="66">
          <cell r="F66">
            <v>118.11800000000001</v>
          </cell>
        </row>
        <row r="67">
          <cell r="F67">
            <v>118.68450000000001</v>
          </cell>
        </row>
        <row r="68">
          <cell r="F68">
            <v>119.251</v>
          </cell>
        </row>
        <row r="69">
          <cell r="F69">
            <v>119.42273750000001</v>
          </cell>
        </row>
        <row r="70">
          <cell r="F70">
            <v>119.594475</v>
          </cell>
        </row>
        <row r="71">
          <cell r="F71">
            <v>120.31711999999999</v>
          </cell>
        </row>
        <row r="72">
          <cell r="F72">
            <v>121.03976499999999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C"/>
      <sheetName val="TNSP stacked data"/>
      <sheetName val="WACC"/>
      <sheetName val="Electranet"/>
      <sheetName val="Powerlink"/>
      <sheetName val="AusNet"/>
      <sheetName val="TasNetworks"/>
      <sheetName val="Transgrid"/>
    </sheetNames>
    <sheetDataSet>
      <sheetData sheetId="0"/>
      <sheetData sheetId="1"/>
      <sheetData sheetId="2">
        <row r="22">
          <cell r="M22">
            <v>3.272949331222863E-2</v>
          </cell>
          <cell r="N22">
            <v>3.2769986171209055E-2</v>
          </cell>
          <cell r="O22">
            <v>2.9808039416604527E-2</v>
          </cell>
          <cell r="P22">
            <v>2.8632346073876838E-2</v>
          </cell>
          <cell r="Q22">
            <v>2.3192738344074648E-2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inputs"/>
      <sheetName val="WACC - annual"/>
      <sheetName val="WACC - daily"/>
      <sheetName val="Derived cost of debt"/>
      <sheetName val="Raw CGS FVC"/>
      <sheetName val="Raw BBB FVC"/>
      <sheetName val="Raw A FVC"/>
      <sheetName val="Raw AA FVC"/>
      <sheetName val="Raw AAA FVC"/>
      <sheetName val="Sheet1"/>
    </sheetNames>
    <sheetDataSet>
      <sheetData sheetId="0" refreshError="1">
        <row r="26">
          <cell r="L26">
            <v>4.879259787239798E-2</v>
          </cell>
          <cell r="M26">
            <v>3.721950511548755E-2</v>
          </cell>
          <cell r="N26">
            <v>3.7046882206681842E-2</v>
          </cell>
          <cell r="O26">
            <v>3.3970570830889946E-2</v>
          </cell>
          <cell r="P26">
            <v>3.2952098699375432E-2</v>
          </cell>
        </row>
        <row r="28">
          <cell r="L28">
            <v>5.0931726553755663E-3</v>
          </cell>
          <cell r="M28">
            <v>4.4900118032589198E-3</v>
          </cell>
          <cell r="N28">
            <v>4.2768960354727867E-3</v>
          </cell>
          <cell r="O28">
            <v>4.162531414285419E-3</v>
          </cell>
          <cell r="P28">
            <v>4.3197526254985935E-3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RM inputs"/>
      <sheetName val="WACC - annual"/>
      <sheetName val="WACC - daily"/>
      <sheetName val="Derived cost of debt"/>
      <sheetName val="Raw CGS FVC"/>
      <sheetName val="Raw BBB FVC"/>
      <sheetName val="Raw A FVC"/>
      <sheetName val="Raw AA FVC"/>
      <sheetName val="Raw AAA FVC"/>
      <sheetName val="Sheet1"/>
    </sheetNames>
    <sheetDataSet>
      <sheetData sheetId="0" refreshError="1">
        <row r="26">
          <cell r="M26">
            <v>3.721950511548755E-2</v>
          </cell>
          <cell r="N26">
            <v>3.7046882206681842E-2</v>
          </cell>
          <cell r="O26">
            <v>3.3970570830889946E-2</v>
          </cell>
          <cell r="P26">
            <v>3.2952098699375432E-2</v>
          </cell>
          <cell r="Q26">
            <v>2.883235119834926E-2</v>
          </cell>
        </row>
        <row r="28">
          <cell r="M28">
            <v>4.4900118032589198E-3</v>
          </cell>
          <cell r="N28">
            <v>4.2768960354727867E-3</v>
          </cell>
          <cell r="O28">
            <v>4.162531414285419E-3</v>
          </cell>
          <cell r="P28">
            <v>4.3197526254985935E-3</v>
          </cell>
          <cell r="Q28">
            <v>4.0492255259237282E-3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ed Data"/>
      <sheetName val="TNSP Shazam Data"/>
      <sheetName val="Industry Data"/>
      <sheetName val="Extracted Data Check"/>
    </sheetNames>
    <sheetDataSet>
      <sheetData sheetId="0">
        <row r="7">
          <cell r="D7">
            <v>15101.074258214998</v>
          </cell>
          <cell r="E7">
            <v>13989.61</v>
          </cell>
          <cell r="F7">
            <v>13083.325236576969</v>
          </cell>
          <cell r="G7">
            <v>13513.587369959037</v>
          </cell>
          <cell r="H7">
            <v>13846.707414743054</v>
          </cell>
          <cell r="I7">
            <v>13881.537225071985</v>
          </cell>
          <cell r="J7">
            <v>14062.879897383038</v>
          </cell>
          <cell r="K7">
            <v>14283.594450350931</v>
          </cell>
          <cell r="L7">
            <v>13957</v>
          </cell>
          <cell r="M7">
            <v>13455.329989999998</v>
          </cell>
          <cell r="N7">
            <v>14247.978656044956</v>
          </cell>
          <cell r="O7">
            <v>14525.020775061335</v>
          </cell>
          <cell r="P7">
            <v>11444.832423724381</v>
          </cell>
          <cell r="Q7">
            <v>13786.714687984706</v>
          </cell>
          <cell r="R7">
            <v>13856.515144038127</v>
          </cell>
          <cell r="S7">
            <v>51045.963444256988</v>
          </cell>
          <cell r="T7">
            <v>51964.465679886969</v>
          </cell>
          <cell r="U7">
            <v>51187.327595034993</v>
          </cell>
          <cell r="V7">
            <v>52191.948260312034</v>
          </cell>
          <cell r="W7">
            <v>52848.520626357007</v>
          </cell>
          <cell r="X7">
            <v>51917.071191967989</v>
          </cell>
          <cell r="Y7">
            <v>50878.576976755998</v>
          </cell>
          <cell r="Z7">
            <v>49333.938670690004</v>
          </cell>
          <cell r="AA7">
            <v>47613.581421291005</v>
          </cell>
          <cell r="AB7">
            <v>53087.563425000044</v>
          </cell>
          <cell r="AC7">
            <v>52872.387581990006</v>
          </cell>
          <cell r="AD7">
            <v>54253.300021025992</v>
          </cell>
          <cell r="AE7">
            <v>54849.858036833997</v>
          </cell>
          <cell r="AF7">
            <v>53765.29422406599</v>
          </cell>
          <cell r="AG7">
            <v>53076.368905469993</v>
          </cell>
          <cell r="AH7">
            <v>45186.299678676005</v>
          </cell>
          <cell r="AI7">
            <v>45956.437073729998</v>
          </cell>
          <cell r="AJ7">
            <v>45046.718030759999</v>
          </cell>
          <cell r="AK7">
            <v>47419.179046665005</v>
          </cell>
          <cell r="AL7">
            <v>48976.636241105007</v>
          </cell>
          <cell r="AM7">
            <v>48047.970992499999</v>
          </cell>
          <cell r="AN7">
            <v>47529.361264941996</v>
          </cell>
          <cell r="AO7">
            <v>49056.428480179005</v>
          </cell>
          <cell r="AP7">
            <v>48503.771563634997</v>
          </cell>
          <cell r="AQ7">
            <v>47967.077018125005</v>
          </cell>
          <cell r="AR7">
            <v>47805.245822115998</v>
          </cell>
          <cell r="AS7">
            <v>46829.301624719003</v>
          </cell>
          <cell r="AT7">
            <v>41725</v>
          </cell>
          <cell r="AU7">
            <v>41479.994350973</v>
          </cell>
          <cell r="AV7">
            <v>41527.840000000004</v>
          </cell>
          <cell r="AW7">
            <v>10530.108800000002</v>
          </cell>
          <cell r="AX7">
            <v>12828.493</v>
          </cell>
          <cell r="AY7">
            <v>13500.337</v>
          </cell>
          <cell r="AZ7">
            <v>13412.710999999999</v>
          </cell>
          <cell r="BA7">
            <v>13030.212</v>
          </cell>
          <cell r="BB7">
            <v>13108.442999999999</v>
          </cell>
          <cell r="BC7">
            <v>12589.843000000001</v>
          </cell>
          <cell r="BD7">
            <v>12866.188</v>
          </cell>
          <cell r="BE7">
            <v>13359.963803999997</v>
          </cell>
          <cell r="BF7">
            <v>13109.624082295986</v>
          </cell>
          <cell r="BG7">
            <v>11654.573903348011</v>
          </cell>
          <cell r="BH7">
            <v>12426.7</v>
          </cell>
          <cell r="BI7">
            <v>12434.326120010001</v>
          </cell>
          <cell r="BJ7">
            <v>12884.563992276988</v>
          </cell>
          <cell r="BK7">
            <v>12412.888664812011</v>
          </cell>
          <cell r="BL7">
            <v>81500</v>
          </cell>
          <cell r="BM7">
            <v>83000</v>
          </cell>
          <cell r="BN7">
            <v>82500</v>
          </cell>
          <cell r="BO7">
            <v>81100</v>
          </cell>
          <cell r="BP7">
            <v>80600</v>
          </cell>
          <cell r="BQ7">
            <v>79800</v>
          </cell>
          <cell r="BR7">
            <v>76600</v>
          </cell>
          <cell r="BS7">
            <v>71100</v>
          </cell>
          <cell r="BT7">
            <v>67800.000346065994</v>
          </cell>
          <cell r="BU7">
            <v>74400</v>
          </cell>
          <cell r="BV7">
            <v>72200</v>
          </cell>
          <cell r="BW7">
            <v>75000</v>
          </cell>
          <cell r="BX7">
            <v>75700</v>
          </cell>
          <cell r="BY7">
            <v>74400</v>
          </cell>
          <cell r="BZ7">
            <v>72900</v>
          </cell>
        </row>
        <row r="8">
          <cell r="D8">
            <v>3978.391944861738</v>
          </cell>
          <cell r="E8">
            <v>3976.363032332024</v>
          </cell>
          <cell r="F8">
            <v>4222.7950166755372</v>
          </cell>
          <cell r="G8">
            <v>4265.2719150267712</v>
          </cell>
          <cell r="H8">
            <v>4285.2901718002513</v>
          </cell>
          <cell r="I8">
            <v>4376.4504351791684</v>
          </cell>
          <cell r="J8">
            <v>4229.0017065495522</v>
          </cell>
          <cell r="K8">
            <v>4403.3212738811562</v>
          </cell>
          <cell r="L8">
            <v>3429.53</v>
          </cell>
          <cell r="M8">
            <v>3175.3143963269999</v>
          </cell>
          <cell r="N8">
            <v>3271.5960879999998</v>
          </cell>
          <cell r="O8">
            <v>3447.559915454</v>
          </cell>
          <cell r="P8">
            <v>3327.2034278649999</v>
          </cell>
          <cell r="Q8">
            <v>3685.7549853780001</v>
          </cell>
          <cell r="R8">
            <v>3512.323547</v>
          </cell>
          <cell r="S8">
            <v>11030.569023</v>
          </cell>
          <cell r="T8">
            <v>11737.383156999998</v>
          </cell>
          <cell r="U8">
            <v>11612.320067000001</v>
          </cell>
          <cell r="V8">
            <v>12068.720476999999</v>
          </cell>
          <cell r="W8">
            <v>12247.404947000005</v>
          </cell>
          <cell r="X8">
            <v>11937.636665000005</v>
          </cell>
          <cell r="Y8">
            <v>11674.654921999996</v>
          </cell>
          <cell r="Z8">
            <v>11664.853734000002</v>
          </cell>
          <cell r="AA8">
            <v>11512.211092999996</v>
          </cell>
          <cell r="AB8">
            <v>11832.312</v>
          </cell>
          <cell r="AC8">
            <v>11995.302618000009</v>
          </cell>
          <cell r="AD8">
            <v>12388.952756999994</v>
          </cell>
          <cell r="AE8">
            <v>12321.175319</v>
          </cell>
          <cell r="AF8">
            <v>12496.769520000003</v>
          </cell>
          <cell r="AG8">
            <v>12583.453072999999</v>
          </cell>
          <cell r="AH8">
            <v>8046.7944919762931</v>
          </cell>
          <cell r="AI8">
            <v>9518.2214075162174</v>
          </cell>
          <cell r="AJ8">
            <v>9821.7744475221989</v>
          </cell>
          <cell r="AK8">
            <v>10238.839151920494</v>
          </cell>
          <cell r="AL8">
            <v>9875.383784927044</v>
          </cell>
          <cell r="AM8">
            <v>9612.8305056523277</v>
          </cell>
          <cell r="AN8">
            <v>8932.6058819697173</v>
          </cell>
          <cell r="AO8">
            <v>9569.9413842771264</v>
          </cell>
          <cell r="AP8">
            <v>10258.200000000001</v>
          </cell>
          <cell r="AQ8">
            <v>9098.1233667172328</v>
          </cell>
          <cell r="AR8">
            <v>9677.5927963400009</v>
          </cell>
          <cell r="AS8">
            <v>9641.5859999999993</v>
          </cell>
          <cell r="AT8">
            <v>10266.162</v>
          </cell>
          <cell r="AU8">
            <v>9909.9320000000007</v>
          </cell>
          <cell r="AV8">
            <v>10139.175999999999</v>
          </cell>
          <cell r="AW8">
            <v>2684.2440000000001</v>
          </cell>
          <cell r="AX8">
            <v>2690.61</v>
          </cell>
          <cell r="AY8">
            <v>2624.2620000000002</v>
          </cell>
          <cell r="AZ8">
            <v>2656.152</v>
          </cell>
          <cell r="BA8">
            <v>2634.4740000000002</v>
          </cell>
          <cell r="BB8">
            <v>2597.712</v>
          </cell>
          <cell r="BC8">
            <v>2589.395</v>
          </cell>
          <cell r="BD8">
            <v>2544.7469999999998</v>
          </cell>
          <cell r="BE8">
            <v>2509</v>
          </cell>
          <cell r="BF8">
            <v>2504.8915876265355</v>
          </cell>
          <cell r="BG8">
            <v>2519.5</v>
          </cell>
          <cell r="BH8">
            <v>2523.6453817803717</v>
          </cell>
          <cell r="BI8">
            <v>2535.3500470044319</v>
          </cell>
          <cell r="BJ8">
            <v>2394.0013028095805</v>
          </cell>
          <cell r="BK8">
            <v>2460.3122380799996</v>
          </cell>
          <cell r="BL8">
            <v>18200</v>
          </cell>
          <cell r="BM8">
            <v>18600</v>
          </cell>
          <cell r="BN8">
            <v>18600</v>
          </cell>
          <cell r="BO8">
            <v>18700</v>
          </cell>
          <cell r="BP8">
            <v>18900</v>
          </cell>
          <cell r="BQ8">
            <v>19400</v>
          </cell>
          <cell r="BR8">
            <v>18000</v>
          </cell>
          <cell r="BS8">
            <v>17400</v>
          </cell>
          <cell r="BT8">
            <v>17000</v>
          </cell>
          <cell r="BU8">
            <v>16500</v>
          </cell>
          <cell r="BV8">
            <v>18000</v>
          </cell>
          <cell r="BW8">
            <v>18700</v>
          </cell>
          <cell r="BX8">
            <v>18500</v>
          </cell>
          <cell r="BY8">
            <v>18700</v>
          </cell>
          <cell r="BZ8">
            <v>18900</v>
          </cell>
        </row>
        <row r="10">
          <cell r="D10">
            <v>48431</v>
          </cell>
          <cell r="E10">
            <v>52930</v>
          </cell>
          <cell r="F10">
            <v>49444.635999999999</v>
          </cell>
          <cell r="G10">
            <v>54853</v>
          </cell>
          <cell r="H10">
            <v>57567</v>
          </cell>
          <cell r="I10">
            <v>64370</v>
          </cell>
          <cell r="J10">
            <v>72584</v>
          </cell>
          <cell r="K10">
            <v>70527</v>
          </cell>
          <cell r="L10">
            <v>74159.945999999996</v>
          </cell>
          <cell r="M10">
            <v>79605.847320000015</v>
          </cell>
          <cell r="N10">
            <v>85108.198999999993</v>
          </cell>
          <cell r="O10">
            <v>89639.633000000002</v>
          </cell>
          <cell r="P10">
            <v>93127.422000000006</v>
          </cell>
          <cell r="Q10">
            <v>93342.453999999998</v>
          </cell>
          <cell r="R10">
            <v>99872.368640000001</v>
          </cell>
          <cell r="S10">
            <v>118781</v>
          </cell>
          <cell r="T10">
            <v>128265</v>
          </cell>
          <cell r="U10">
            <v>144112</v>
          </cell>
          <cell r="V10">
            <v>142796</v>
          </cell>
          <cell r="W10">
            <v>151902</v>
          </cell>
          <cell r="X10">
            <v>151029</v>
          </cell>
          <cell r="Y10">
            <v>160384</v>
          </cell>
          <cell r="Z10">
            <v>167377.59669000003</v>
          </cell>
          <cell r="AA10">
            <v>181019.7816758781</v>
          </cell>
          <cell r="AB10">
            <v>211260.9936596599</v>
          </cell>
          <cell r="AC10">
            <v>217661</v>
          </cell>
          <cell r="AD10">
            <v>226261.149</v>
          </cell>
          <cell r="AE10">
            <v>187614.23428</v>
          </cell>
          <cell r="AF10">
            <v>199366.94991747182</v>
          </cell>
          <cell r="AG10">
            <v>202101.092</v>
          </cell>
          <cell r="AH10">
            <v>61764.624702139656</v>
          </cell>
          <cell r="AI10">
            <v>61817.594227019435</v>
          </cell>
          <cell r="AJ10">
            <v>58269.389500000005</v>
          </cell>
          <cell r="AK10">
            <v>77590.490999999995</v>
          </cell>
          <cell r="AL10">
            <v>80063.390000000014</v>
          </cell>
          <cell r="AM10">
            <v>75097.619000000006</v>
          </cell>
          <cell r="AN10">
            <v>72741.886999999988</v>
          </cell>
          <cell r="AO10">
            <v>76129.812000000005</v>
          </cell>
          <cell r="AP10">
            <v>82734.26797981601</v>
          </cell>
          <cell r="AQ10">
            <v>84644.97681966683</v>
          </cell>
          <cell r="AR10">
            <v>89390.247875063069</v>
          </cell>
          <cell r="AS10">
            <v>87642.229003035784</v>
          </cell>
          <cell r="AT10">
            <v>81805.580155681397</v>
          </cell>
          <cell r="AU10">
            <v>86909.794011443286</v>
          </cell>
          <cell r="AV10">
            <v>79623.555988176173</v>
          </cell>
          <cell r="AW10">
            <v>35426.048000000003</v>
          </cell>
          <cell r="AX10">
            <v>37656.624000000003</v>
          </cell>
          <cell r="AY10">
            <v>46334.126000000004</v>
          </cell>
          <cell r="AZ10">
            <v>46642.640999999996</v>
          </cell>
          <cell r="BA10">
            <v>47779.507999999994</v>
          </cell>
          <cell r="BB10">
            <v>46557.578000000001</v>
          </cell>
          <cell r="BC10">
            <v>46923.140000000007</v>
          </cell>
          <cell r="BD10">
            <v>44976.582999999999</v>
          </cell>
          <cell r="BE10">
            <v>45598</v>
          </cell>
          <cell r="BF10">
            <v>34705.717769999996</v>
          </cell>
          <cell r="BG10">
            <v>37603.399744925264</v>
          </cell>
          <cell r="BH10">
            <v>32048.191384064245</v>
          </cell>
          <cell r="BI10">
            <v>28974.888076739793</v>
          </cell>
          <cell r="BJ10">
            <v>31115.319920176305</v>
          </cell>
          <cell r="BK10">
            <v>27222.588454563338</v>
          </cell>
          <cell r="BL10">
            <v>120730</v>
          </cell>
          <cell r="BM10">
            <v>123090</v>
          </cell>
          <cell r="BN10">
            <v>119710</v>
          </cell>
          <cell r="BO10">
            <v>124140</v>
          </cell>
          <cell r="BP10">
            <v>143240</v>
          </cell>
          <cell r="BQ10">
            <v>137770</v>
          </cell>
          <cell r="BR10">
            <v>152110</v>
          </cell>
          <cell r="BS10">
            <v>143050</v>
          </cell>
          <cell r="BT10">
            <v>175638</v>
          </cell>
          <cell r="BU10">
            <v>168228.603</v>
          </cell>
          <cell r="BV10">
            <v>169534.48734000002</v>
          </cell>
          <cell r="BW10">
            <v>170366.70697000079</v>
          </cell>
          <cell r="BX10">
            <v>153556.69399000015</v>
          </cell>
          <cell r="BY10">
            <v>154447.8451599995</v>
          </cell>
          <cell r="BZ10">
            <v>161451.859</v>
          </cell>
        </row>
        <row r="22">
          <cell r="D22">
            <v>5591.75</v>
          </cell>
          <cell r="E22">
            <v>5509.88</v>
          </cell>
          <cell r="F22">
            <v>5509.88</v>
          </cell>
          <cell r="G22">
            <v>5494.88</v>
          </cell>
          <cell r="H22">
            <v>5492.88</v>
          </cell>
          <cell r="I22">
            <v>5495.88</v>
          </cell>
          <cell r="J22">
            <v>5498.88</v>
          </cell>
          <cell r="K22">
            <v>5500.16</v>
          </cell>
          <cell r="L22">
            <v>5502.2140540000009</v>
          </cell>
          <cell r="M22">
            <v>5494.16</v>
          </cell>
          <cell r="N22">
            <v>5497.16</v>
          </cell>
          <cell r="O22">
            <v>5492.37</v>
          </cell>
          <cell r="P22">
            <v>5494.97</v>
          </cell>
          <cell r="Q22">
            <v>5485.47</v>
          </cell>
          <cell r="R22">
            <v>5492.38</v>
          </cell>
          <cell r="S22">
            <v>11685</v>
          </cell>
          <cell r="T22">
            <v>11877</v>
          </cell>
          <cell r="U22">
            <v>12413</v>
          </cell>
          <cell r="V22">
            <v>12848</v>
          </cell>
          <cell r="W22">
            <v>13304</v>
          </cell>
          <cell r="X22">
            <v>13717</v>
          </cell>
          <cell r="Y22">
            <v>13681</v>
          </cell>
          <cell r="Z22">
            <v>14292</v>
          </cell>
          <cell r="AA22">
            <v>14751</v>
          </cell>
          <cell r="AB22">
            <v>14733</v>
          </cell>
          <cell r="AC22">
            <v>14734</v>
          </cell>
          <cell r="AD22">
            <v>14511</v>
          </cell>
          <cell r="AE22">
            <v>14506</v>
          </cell>
          <cell r="AF22">
            <v>14506</v>
          </cell>
          <cell r="AG22">
            <v>14508</v>
          </cell>
          <cell r="AH22">
            <v>6562</v>
          </cell>
          <cell r="AI22">
            <v>6562</v>
          </cell>
          <cell r="AJ22">
            <v>6562</v>
          </cell>
          <cell r="AK22">
            <v>6562</v>
          </cell>
          <cell r="AL22">
            <v>6562</v>
          </cell>
          <cell r="AM22">
            <v>6562</v>
          </cell>
          <cell r="AN22">
            <v>6562</v>
          </cell>
          <cell r="AO22">
            <v>6562</v>
          </cell>
          <cell r="AP22">
            <v>6562</v>
          </cell>
          <cell r="AQ22">
            <v>6562</v>
          </cell>
          <cell r="AR22">
            <v>6547.6447567553732</v>
          </cell>
          <cell r="AS22">
            <v>6551.4297109999989</v>
          </cell>
          <cell r="AT22">
            <v>6615.18</v>
          </cell>
          <cell r="AU22">
            <v>6619.2300000000014</v>
          </cell>
          <cell r="AV22">
            <v>6722.5711999999994</v>
          </cell>
          <cell r="AW22">
            <v>3568</v>
          </cell>
          <cell r="AX22">
            <v>3609</v>
          </cell>
          <cell r="AY22">
            <v>3609</v>
          </cell>
          <cell r="AZ22">
            <v>3507</v>
          </cell>
          <cell r="BA22">
            <v>3468</v>
          </cell>
          <cell r="BB22">
            <v>3480</v>
          </cell>
          <cell r="BC22">
            <v>3480</v>
          </cell>
          <cell r="BD22">
            <v>3480</v>
          </cell>
          <cell r="BE22">
            <v>3480</v>
          </cell>
          <cell r="BF22">
            <v>3539.9</v>
          </cell>
          <cell r="BG22">
            <v>3539.9</v>
          </cell>
          <cell r="BH22">
            <v>3539.8999999999996</v>
          </cell>
          <cell r="BI22">
            <v>3521.3999999999996</v>
          </cell>
          <cell r="BJ22">
            <v>3521.3999999999996</v>
          </cell>
          <cell r="BK22">
            <v>3326.3731820000003</v>
          </cell>
          <cell r="BL22">
            <v>12469.323000000002</v>
          </cell>
          <cell r="BM22">
            <v>12478.586000000005</v>
          </cell>
          <cell r="BN22">
            <v>12475.606000000005</v>
          </cell>
          <cell r="BO22">
            <v>12475.441000000004</v>
          </cell>
          <cell r="BP22">
            <v>12634.550999999999</v>
          </cell>
          <cell r="BQ22">
            <v>12633.955000000002</v>
          </cell>
          <cell r="BR22">
            <v>12649.299000000001</v>
          </cell>
          <cell r="BS22">
            <v>12845.709000000003</v>
          </cell>
          <cell r="BT22">
            <v>12878.229000000003</v>
          </cell>
          <cell r="BU22">
            <v>12942.540697599999</v>
          </cell>
          <cell r="BV22">
            <v>12956.955</v>
          </cell>
          <cell r="BW22">
            <v>12996.5323974</v>
          </cell>
          <cell r="BX22">
            <v>13007.854696939969</v>
          </cell>
          <cell r="BY22">
            <v>12966.967219753231</v>
          </cell>
          <cell r="BZ22">
            <v>12966.743309999998</v>
          </cell>
        </row>
        <row r="34">
          <cell r="D34">
            <v>8.7889999999999997</v>
          </cell>
          <cell r="E34">
            <v>8.7889999999999997</v>
          </cell>
          <cell r="F34">
            <v>8.7889999999999997</v>
          </cell>
          <cell r="G34">
            <v>8.7889999999999997</v>
          </cell>
          <cell r="H34">
            <v>8.7889999999999997</v>
          </cell>
          <cell r="I34">
            <v>8.7889999999999997</v>
          </cell>
          <cell r="J34">
            <v>27.189</v>
          </cell>
          <cell r="K34">
            <v>27.189</v>
          </cell>
          <cell r="L34">
            <v>27.189</v>
          </cell>
          <cell r="M34">
            <v>27.189</v>
          </cell>
          <cell r="N34">
            <v>27.189</v>
          </cell>
          <cell r="O34">
            <v>27.199000000000002</v>
          </cell>
          <cell r="P34">
            <v>27.199000000000002</v>
          </cell>
          <cell r="Q34">
            <v>27.199000000000002</v>
          </cell>
          <cell r="R34">
            <v>27.199000000000002</v>
          </cell>
          <cell r="S34">
            <v>15.8</v>
          </cell>
          <cell r="T34">
            <v>15.8</v>
          </cell>
          <cell r="U34">
            <v>15.8</v>
          </cell>
          <cell r="V34">
            <v>17.100000000000001</v>
          </cell>
          <cell r="W34">
            <v>17.100000000000001</v>
          </cell>
          <cell r="X34">
            <v>21.4</v>
          </cell>
          <cell r="Y34">
            <v>21.4</v>
          </cell>
          <cell r="Z34">
            <v>21.5</v>
          </cell>
          <cell r="AA34">
            <v>21.500000000000004</v>
          </cell>
          <cell r="AB34">
            <v>21.500000000000004</v>
          </cell>
          <cell r="AC34">
            <v>21.500000000000004</v>
          </cell>
          <cell r="AD34">
            <v>21.500000000000004</v>
          </cell>
          <cell r="AE34">
            <v>21.500000000000004</v>
          </cell>
          <cell r="AF34">
            <v>20.200000000000003</v>
          </cell>
          <cell r="AG34">
            <v>20.200000000000003</v>
          </cell>
          <cell r="AH34">
            <v>11</v>
          </cell>
          <cell r="AI34">
            <v>11</v>
          </cell>
          <cell r="AJ34">
            <v>11</v>
          </cell>
          <cell r="AK34">
            <v>11</v>
          </cell>
          <cell r="AL34">
            <v>11</v>
          </cell>
          <cell r="AM34">
            <v>11</v>
          </cell>
          <cell r="AN34">
            <v>11</v>
          </cell>
          <cell r="AO34">
            <v>11</v>
          </cell>
          <cell r="AP34">
            <v>11</v>
          </cell>
          <cell r="AQ34">
            <v>11.2</v>
          </cell>
          <cell r="AR34">
            <v>11.2</v>
          </cell>
          <cell r="AS34">
            <v>8.5423703333333343</v>
          </cell>
          <cell r="AT34">
            <v>8.5399999999999991</v>
          </cell>
          <cell r="AU34">
            <v>8.5399999999999991</v>
          </cell>
          <cell r="AV34">
            <v>8.5399999999999991</v>
          </cell>
          <cell r="AW34">
            <v>13.3</v>
          </cell>
          <cell r="AX34">
            <v>13.3</v>
          </cell>
          <cell r="AY34">
            <v>13.3</v>
          </cell>
          <cell r="AZ34">
            <v>13.3</v>
          </cell>
          <cell r="BA34">
            <v>13.3</v>
          </cell>
          <cell r="BB34">
            <v>13.3</v>
          </cell>
          <cell r="BC34">
            <v>13.3</v>
          </cell>
          <cell r="BD34">
            <v>23.19</v>
          </cell>
          <cell r="BE34">
            <v>23.8</v>
          </cell>
          <cell r="BF34">
            <v>23.8</v>
          </cell>
          <cell r="BG34">
            <v>23.8</v>
          </cell>
          <cell r="BH34">
            <v>23.8</v>
          </cell>
          <cell r="BI34">
            <v>23.8</v>
          </cell>
          <cell r="BJ34">
            <v>23.8</v>
          </cell>
          <cell r="BK34">
            <v>24.164000000000001</v>
          </cell>
          <cell r="BL34">
            <v>47.908000000000001</v>
          </cell>
          <cell r="BM34">
            <v>47.908000000000001</v>
          </cell>
          <cell r="BN34">
            <v>47.908000000000001</v>
          </cell>
          <cell r="BO34">
            <v>47.908000000000001</v>
          </cell>
          <cell r="BP34">
            <v>47.908000000000001</v>
          </cell>
          <cell r="BQ34">
            <v>47.908000000000001</v>
          </cell>
          <cell r="BR34">
            <v>47.908000000000001</v>
          </cell>
          <cell r="BS34">
            <v>47.908000000000001</v>
          </cell>
          <cell r="BT34">
            <v>51.437000000000005</v>
          </cell>
          <cell r="BU34">
            <v>82.22399999999999</v>
          </cell>
          <cell r="BV34">
            <v>82.24</v>
          </cell>
          <cell r="BW34">
            <v>81.581000000000003</v>
          </cell>
          <cell r="BX34">
            <v>81.64</v>
          </cell>
          <cell r="BY34">
            <v>85.408000000000001</v>
          </cell>
          <cell r="BZ34">
            <v>85.707999999999998</v>
          </cell>
        </row>
        <row r="78">
          <cell r="D78">
            <v>40848.58972285183</v>
          </cell>
          <cell r="E78">
            <v>46556.181364905446</v>
          </cell>
          <cell r="F78">
            <v>41559.685178392239</v>
          </cell>
          <cell r="G78">
            <v>53339.663709232496</v>
          </cell>
          <cell r="H78">
            <v>50302.179445680078</v>
          </cell>
          <cell r="I78">
            <v>52192.619316895121</v>
          </cell>
          <cell r="J78">
            <v>64036.941253023455</v>
          </cell>
          <cell r="K78">
            <v>49396.363271709248</v>
          </cell>
          <cell r="L78">
            <v>42029.705960438725</v>
          </cell>
          <cell r="M78">
            <v>54815.960264278721</v>
          </cell>
          <cell r="N78">
            <v>53120.949614627338</v>
          </cell>
          <cell r="O78">
            <v>44096.63856032546</v>
          </cell>
          <cell r="P78">
            <v>40401.987846538104</v>
          </cell>
          <cell r="Q78">
            <v>41722.910523597122</v>
          </cell>
          <cell r="R78">
            <v>39222.5275534026</v>
          </cell>
          <cell r="S78">
            <v>158892.93557728812</v>
          </cell>
          <cell r="T78">
            <v>166906.47410346669</v>
          </cell>
          <cell r="U78">
            <v>115049.80109068542</v>
          </cell>
          <cell r="V78">
            <v>211737.15792296245</v>
          </cell>
          <cell r="W78">
            <v>213802.3066635069</v>
          </cell>
          <cell r="X78">
            <v>230762.25484814483</v>
          </cell>
          <cell r="Y78">
            <v>311006.64610965952</v>
          </cell>
          <cell r="Z78">
            <v>260643.84807002911</v>
          </cell>
          <cell r="AA78">
            <v>224153.77863015336</v>
          </cell>
          <cell r="AB78">
            <v>318753.35915112071</v>
          </cell>
          <cell r="AC78">
            <v>279105.05247038312</v>
          </cell>
          <cell r="AD78">
            <v>243813.46974416065</v>
          </cell>
          <cell r="AE78">
            <v>237192.8851473188</v>
          </cell>
          <cell r="AF78">
            <v>240512.44767215798</v>
          </cell>
          <cell r="AG78">
            <v>216887.13254384423</v>
          </cell>
          <cell r="AH78">
            <v>85905.290425398794</v>
          </cell>
          <cell r="AI78">
            <v>77823.179281485282</v>
          </cell>
          <cell r="AJ78">
            <v>89601.206276853947</v>
          </cell>
          <cell r="AK78">
            <v>91107.728284969839</v>
          </cell>
          <cell r="AL78">
            <v>112019.17422434536</v>
          </cell>
          <cell r="AM78">
            <v>109912.04991613424</v>
          </cell>
          <cell r="AN78">
            <v>107808.84832531324</v>
          </cell>
          <cell r="AO78">
            <v>111344.82273728331</v>
          </cell>
          <cell r="AP78">
            <v>88985.444018840557</v>
          </cell>
          <cell r="AQ78">
            <v>99595.797636198535</v>
          </cell>
          <cell r="AR78">
            <v>88964.465210905721</v>
          </cell>
          <cell r="AS78">
            <v>99974.014852483364</v>
          </cell>
          <cell r="AT78">
            <v>90429.292323353176</v>
          </cell>
          <cell r="AU78">
            <v>89215.866080168504</v>
          </cell>
          <cell r="AV78">
            <v>87531.739524595585</v>
          </cell>
          <cell r="AW78">
            <v>23370.982633722757</v>
          </cell>
          <cell r="AX78">
            <v>19818.798889169586</v>
          </cell>
          <cell r="AY78">
            <v>28103.330178434524</v>
          </cell>
          <cell r="AZ78">
            <v>26006.280866176447</v>
          </cell>
          <cell r="BA78">
            <v>31235.907077016629</v>
          </cell>
          <cell r="BB78">
            <v>32405.029803811332</v>
          </cell>
          <cell r="BC78">
            <v>50392.330544585886</v>
          </cell>
          <cell r="BD78">
            <v>40223.721337178984</v>
          </cell>
          <cell r="BE78">
            <v>34072.790464010002</v>
          </cell>
          <cell r="BF78">
            <v>38849.584370536431</v>
          </cell>
          <cell r="BG78">
            <v>33765.861198078375</v>
          </cell>
          <cell r="BH78">
            <v>35455.403306778062</v>
          </cell>
          <cell r="BI78">
            <v>31847.219134485931</v>
          </cell>
          <cell r="BJ78">
            <v>33265.858481685769</v>
          </cell>
          <cell r="BK78">
            <v>29787.479352965373</v>
          </cell>
          <cell r="BL78">
            <v>116849.86463797887</v>
          </cell>
          <cell r="BM78">
            <v>124948.76121829478</v>
          </cell>
          <cell r="BN78">
            <v>102087.61318240332</v>
          </cell>
          <cell r="BO78">
            <v>150089.91334066016</v>
          </cell>
          <cell r="BP78">
            <v>141919.930698955</v>
          </cell>
          <cell r="BQ78">
            <v>152972.11694854475</v>
          </cell>
          <cell r="BR78">
            <v>188506.55907135803</v>
          </cell>
          <cell r="BS78">
            <v>152097.87508652982</v>
          </cell>
          <cell r="BT78">
            <v>131109.79593950571</v>
          </cell>
          <cell r="BU78">
            <v>175138.59031283858</v>
          </cell>
          <cell r="BV78">
            <v>154371.08242350936</v>
          </cell>
          <cell r="BW78">
            <v>159619.29081469509</v>
          </cell>
          <cell r="BX78">
            <v>145629.03984970012</v>
          </cell>
          <cell r="BY78">
            <v>151640.66839290937</v>
          </cell>
          <cell r="BZ78">
            <v>141724.14388789976</v>
          </cell>
        </row>
        <row r="79">
          <cell r="D79">
            <v>1517.5732513855505</v>
          </cell>
          <cell r="E79">
            <v>3332.519926134969</v>
          </cell>
          <cell r="F79">
            <v>2749.8001967534128</v>
          </cell>
          <cell r="G79">
            <v>1652.7957775354391</v>
          </cell>
          <cell r="H79">
            <v>1476.2464232934685</v>
          </cell>
          <cell r="I79">
            <v>1508.5031926807278</v>
          </cell>
          <cell r="J79">
            <v>1762.2564299137132</v>
          </cell>
          <cell r="K79">
            <v>9410.1450644851302</v>
          </cell>
          <cell r="L79">
            <v>7278.1259325914871</v>
          </cell>
          <cell r="M79">
            <v>9784.0499763051248</v>
          </cell>
          <cell r="N79">
            <v>8451.2307110236688</v>
          </cell>
          <cell r="O79">
            <v>7323.0366114555982</v>
          </cell>
          <cell r="P79">
            <v>7309.683709511788</v>
          </cell>
          <cell r="Q79">
            <v>7484.4222930762799</v>
          </cell>
          <cell r="R79">
            <v>6880.7156020035181</v>
          </cell>
          <cell r="S79">
            <v>2999.4738141651796</v>
          </cell>
          <cell r="T79">
            <v>3058.8876860672167</v>
          </cell>
          <cell r="U79">
            <v>2414.8996465939995</v>
          </cell>
          <cell r="V79">
            <v>3348.7151119030482</v>
          </cell>
          <cell r="W79">
            <v>3511.1759693716667</v>
          </cell>
          <cell r="X79">
            <v>4877.793359753794</v>
          </cell>
          <cell r="Y79">
            <v>5855.106820929549</v>
          </cell>
          <cell r="Z79">
            <v>4797.0689329043526</v>
          </cell>
          <cell r="AA79">
            <v>3906.2876346940711</v>
          </cell>
          <cell r="AB79">
            <v>5017.7904493816368</v>
          </cell>
          <cell r="AC79">
            <v>4397.1542258497766</v>
          </cell>
          <cell r="AD79">
            <v>4002.9762614441456</v>
          </cell>
          <cell r="AE79">
            <v>4296.6490321897572</v>
          </cell>
          <cell r="AF79">
            <v>4311.9651636469407</v>
          </cell>
          <cell r="AG79">
            <v>3938.8803890489148</v>
          </cell>
          <cell r="AH79">
            <v>3536.6552069690283</v>
          </cell>
          <cell r="AI79">
            <v>3188.6479569717935</v>
          </cell>
          <cell r="AJ79">
            <v>3659.2860648841943</v>
          </cell>
          <cell r="AK79">
            <v>3490.8708347477259</v>
          </cell>
          <cell r="AL79">
            <v>4257.3264015642408</v>
          </cell>
          <cell r="AM79">
            <v>4103.2165423891011</v>
          </cell>
          <cell r="AN79">
            <v>3987.2775244454765</v>
          </cell>
          <cell r="AO79">
            <v>3936.3408441188885</v>
          </cell>
          <cell r="AP79">
            <v>3044.9647407938251</v>
          </cell>
          <cell r="AQ79">
            <v>3327.0284759063102</v>
          </cell>
          <cell r="AR79">
            <v>2902.6628105480804</v>
          </cell>
          <cell r="AS79">
            <v>3203.7838508625373</v>
          </cell>
          <cell r="AT79">
            <v>2817.3785101066164</v>
          </cell>
          <cell r="AU79">
            <v>2713.0202529619301</v>
          </cell>
          <cell r="AV79">
            <v>2637.3480155481984</v>
          </cell>
          <cell r="AW79">
            <v>993.77319164156597</v>
          </cell>
          <cell r="AX79">
            <v>1203.8226353160103</v>
          </cell>
          <cell r="AY79">
            <v>1374.9151395003307</v>
          </cell>
          <cell r="AZ79">
            <v>1270.160245669239</v>
          </cell>
          <cell r="BA79">
            <v>1477.2006587172211</v>
          </cell>
          <cell r="BB79">
            <v>1514.6817949812212</v>
          </cell>
          <cell r="BC79">
            <v>1650.0824608449195</v>
          </cell>
          <cell r="BD79">
            <v>2767.8124578518336</v>
          </cell>
          <cell r="BE79">
            <v>2684.362026691098</v>
          </cell>
          <cell r="BF79">
            <v>3369.0819912101992</v>
          </cell>
          <cell r="BG79">
            <v>2553.887221710253</v>
          </cell>
          <cell r="BH79">
            <v>2509.3447509526995</v>
          </cell>
          <cell r="BI79">
            <v>2388.9741252676918</v>
          </cell>
          <cell r="BJ79">
            <v>1906.0541745914882</v>
          </cell>
          <cell r="BK79">
            <v>1828.6301765400244</v>
          </cell>
          <cell r="BL79">
            <v>16298.41384793034</v>
          </cell>
          <cell r="BM79">
            <v>17694.468560384616</v>
          </cell>
          <cell r="BN79">
            <v>14210.387232350353</v>
          </cell>
          <cell r="BO79">
            <v>21518.272289111988</v>
          </cell>
          <cell r="BP79">
            <v>19644.70625561733</v>
          </cell>
          <cell r="BQ79">
            <v>20501.842106974007</v>
          </cell>
          <cell r="BR79">
            <v>25328.291058916548</v>
          </cell>
          <cell r="BS79">
            <v>19106.472424205818</v>
          </cell>
          <cell r="BT79">
            <v>15290.740059276426</v>
          </cell>
          <cell r="BU79">
            <v>19194.742430419006</v>
          </cell>
          <cell r="BV79">
            <v>16745.77251827054</v>
          </cell>
          <cell r="BW79">
            <v>17187.928264009031</v>
          </cell>
          <cell r="BX79">
            <v>15558.890065569731</v>
          </cell>
          <cell r="BY79">
            <v>15500.218192671005</v>
          </cell>
          <cell r="BZ79">
            <v>13932.621330424567</v>
          </cell>
        </row>
        <row r="80">
          <cell r="D80">
            <v>55056.976780297919</v>
          </cell>
          <cell r="E80">
            <v>61433.386331039896</v>
          </cell>
          <cell r="F80">
            <v>48567.331907874861</v>
          </cell>
          <cell r="G80">
            <v>86542.107780636143</v>
          </cell>
          <cell r="H80">
            <v>82261.950199088067</v>
          </cell>
          <cell r="I80">
            <v>87057.866311133461</v>
          </cell>
          <cell r="J80">
            <v>109570.45221074365</v>
          </cell>
          <cell r="K80">
            <v>102788.41088489123</v>
          </cell>
          <cell r="L80">
            <v>93097.78320016613</v>
          </cell>
          <cell r="M80">
            <v>137413.41889671155</v>
          </cell>
          <cell r="N80">
            <v>129375.00130264963</v>
          </cell>
          <cell r="O80">
            <v>131096.87790941005</v>
          </cell>
          <cell r="P80">
            <v>137968.05146488291</v>
          </cell>
          <cell r="Q80">
            <v>144449.16752818943</v>
          </cell>
          <cell r="R80">
            <v>153417.66644006281</v>
          </cell>
          <cell r="S80">
            <v>102448.59451698279</v>
          </cell>
          <cell r="T80">
            <v>129367.25160123224</v>
          </cell>
          <cell r="U80">
            <v>163138.24311682623</v>
          </cell>
          <cell r="V80">
            <v>237111.22774838476</v>
          </cell>
          <cell r="W80">
            <v>233215.06679427036</v>
          </cell>
          <cell r="X80">
            <v>269771.02372902184</v>
          </cell>
          <cell r="Y80">
            <v>330861.74473095604</v>
          </cell>
          <cell r="Z80">
            <v>245638.53652922992</v>
          </cell>
          <cell r="AA80">
            <v>225948.46999090345</v>
          </cell>
          <cell r="AB80">
            <v>313655.06396077538</v>
          </cell>
          <cell r="AC80">
            <v>299263.81794004608</v>
          </cell>
          <cell r="AD80">
            <v>267018.66794030869</v>
          </cell>
          <cell r="AE80">
            <v>256780.23421564355</v>
          </cell>
          <cell r="AF80">
            <v>278385.13532425894</v>
          </cell>
          <cell r="AG80">
            <v>272539.20132817898</v>
          </cell>
          <cell r="AH80">
            <v>97128.106160101219</v>
          </cell>
          <cell r="AI80">
            <v>95061.956392568594</v>
          </cell>
          <cell r="AJ80">
            <v>112550.06459801781</v>
          </cell>
          <cell r="AK80">
            <v>126494.2963947859</v>
          </cell>
          <cell r="AL80">
            <v>150420.08832315521</v>
          </cell>
          <cell r="AM80">
            <v>152727.99028817797</v>
          </cell>
          <cell r="AN80">
            <v>156450.75817633892</v>
          </cell>
          <cell r="AO80">
            <v>161676.92598938587</v>
          </cell>
          <cell r="AP80">
            <v>133804.93543349695</v>
          </cell>
          <cell r="AQ80">
            <v>175691.47260810703</v>
          </cell>
          <cell r="AR80">
            <v>167722.54402773519</v>
          </cell>
          <cell r="AS80">
            <v>191918.83220819043</v>
          </cell>
          <cell r="AT80">
            <v>190004.91978446196</v>
          </cell>
          <cell r="AU80">
            <v>188370.72496141144</v>
          </cell>
          <cell r="AV80">
            <v>192448.87548235245</v>
          </cell>
          <cell r="AW80">
            <v>47322.773537000248</v>
          </cell>
          <cell r="AX80">
            <v>45588.420462134687</v>
          </cell>
          <cell r="AY80">
            <v>52841.099397773753</v>
          </cell>
          <cell r="AZ80">
            <v>51694.448639328213</v>
          </cell>
          <cell r="BA80">
            <v>65712.706227834744</v>
          </cell>
          <cell r="BB80">
            <v>73090.524980801638</v>
          </cell>
          <cell r="BC80">
            <v>89054.457003027201</v>
          </cell>
          <cell r="BD80">
            <v>73372.897275240117</v>
          </cell>
          <cell r="BE80">
            <v>69091.375768806887</v>
          </cell>
          <cell r="BF80">
            <v>83404.228052522638</v>
          </cell>
          <cell r="BG80">
            <v>78149.637907138793</v>
          </cell>
          <cell r="BH80">
            <v>83081.952798098879</v>
          </cell>
          <cell r="BI80">
            <v>75582.347098496015</v>
          </cell>
          <cell r="BJ80">
            <v>77195.475664461832</v>
          </cell>
          <cell r="BK80">
            <v>64331.383484922742</v>
          </cell>
          <cell r="BL80">
            <v>130047.72228397359</v>
          </cell>
          <cell r="BM80">
            <v>148338.88772820777</v>
          </cell>
          <cell r="BN80">
            <v>139752.52529734228</v>
          </cell>
          <cell r="BO80">
            <v>216424.93691234587</v>
          </cell>
          <cell r="BP80">
            <v>237825.70345451217</v>
          </cell>
          <cell r="BQ80">
            <v>250056.94447050238</v>
          </cell>
          <cell r="BR80">
            <v>316893.22788232955</v>
          </cell>
          <cell r="BS80">
            <v>274369.06016692991</v>
          </cell>
          <cell r="BT80">
            <v>260781.14561442111</v>
          </cell>
          <cell r="BU80">
            <v>337554.66727528936</v>
          </cell>
          <cell r="BV80">
            <v>323284.0085677593</v>
          </cell>
          <cell r="BW80">
            <v>348649.87618218374</v>
          </cell>
          <cell r="BX80">
            <v>302635.98075226776</v>
          </cell>
          <cell r="BY80">
            <v>295903.76694613858</v>
          </cell>
          <cell r="BZ80">
            <v>287473.82872261945</v>
          </cell>
        </row>
        <row r="83">
          <cell r="D83">
            <v>778839</v>
          </cell>
          <cell r="E83">
            <v>779426</v>
          </cell>
          <cell r="F83">
            <v>781110</v>
          </cell>
          <cell r="G83">
            <v>814467</v>
          </cell>
          <cell r="H83">
            <v>826964</v>
          </cell>
          <cell r="I83">
            <v>836055</v>
          </cell>
          <cell r="J83">
            <v>844153</v>
          </cell>
          <cell r="K83">
            <v>847766</v>
          </cell>
          <cell r="L83">
            <v>851766.5</v>
          </cell>
          <cell r="M83">
            <v>853939</v>
          </cell>
          <cell r="N83">
            <v>858646.5</v>
          </cell>
          <cell r="O83">
            <v>878299.5</v>
          </cell>
          <cell r="P83">
            <v>894397</v>
          </cell>
          <cell r="Q83">
            <v>906197.5</v>
          </cell>
          <cell r="R83">
            <v>914602.99999999965</v>
          </cell>
          <cell r="S83">
            <v>1836193.56238094</v>
          </cell>
          <cell r="T83">
            <v>1871223.97666665</v>
          </cell>
          <cell r="U83">
            <v>1911491.9433333301</v>
          </cell>
          <cell r="V83">
            <v>1950651.6833333101</v>
          </cell>
          <cell r="W83">
            <v>1984514.33333332</v>
          </cell>
          <cell r="X83">
            <v>2015522.49999999</v>
          </cell>
          <cell r="Y83">
            <v>2043128.49999999</v>
          </cell>
          <cell r="Z83">
            <v>2070142.49999999</v>
          </cell>
          <cell r="AA83">
            <v>2098413</v>
          </cell>
          <cell r="AB83">
            <v>2125481.5</v>
          </cell>
          <cell r="AC83">
            <v>2160875.5</v>
          </cell>
          <cell r="AD83">
            <v>2193748</v>
          </cell>
          <cell r="AE83">
            <v>2233927</v>
          </cell>
          <cell r="AF83">
            <v>2262241</v>
          </cell>
          <cell r="AG83">
            <v>2278501</v>
          </cell>
          <cell r="AH83">
            <v>2470249.51547518</v>
          </cell>
          <cell r="AI83">
            <v>2509726.8842806499</v>
          </cell>
          <cell r="AJ83">
            <v>2545782.2358690398</v>
          </cell>
          <cell r="AK83">
            <v>2578966.0261046896</v>
          </cell>
          <cell r="AL83">
            <v>2614510.15936684</v>
          </cell>
          <cell r="AM83">
            <v>2648682.9193331702</v>
          </cell>
          <cell r="AN83">
            <v>2691638.7355015697</v>
          </cell>
          <cell r="AO83">
            <v>2734055.2325656302</v>
          </cell>
          <cell r="AP83">
            <v>2760731.8908079602</v>
          </cell>
          <cell r="AQ83">
            <v>2808308.1834702599</v>
          </cell>
          <cell r="AR83">
            <v>2857670</v>
          </cell>
          <cell r="AS83">
            <v>2914087</v>
          </cell>
          <cell r="AT83">
            <v>2959040</v>
          </cell>
          <cell r="AU83">
            <v>3019187</v>
          </cell>
          <cell r="AV83">
            <v>3056690</v>
          </cell>
          <cell r="AW83">
            <v>250642.5242013</v>
          </cell>
          <cell r="AX83">
            <v>255484.38545674999</v>
          </cell>
          <cell r="AY83">
            <v>260424.25945124001</v>
          </cell>
          <cell r="AZ83">
            <v>265464.13023523003</v>
          </cell>
          <cell r="BA83">
            <v>270606.02202186</v>
          </cell>
          <cell r="BB83">
            <v>275851.99999998999</v>
          </cell>
          <cell r="BC83">
            <v>278391.99999998999</v>
          </cell>
          <cell r="BD83">
            <v>279867.99999998999</v>
          </cell>
          <cell r="BE83">
            <v>280750</v>
          </cell>
          <cell r="BF83">
            <v>283059</v>
          </cell>
          <cell r="BG83">
            <v>285325</v>
          </cell>
          <cell r="BH83">
            <v>287651.5001</v>
          </cell>
          <cell r="BI83">
            <v>287936</v>
          </cell>
          <cell r="BJ83">
            <v>290446</v>
          </cell>
          <cell r="BK83">
            <v>293949</v>
          </cell>
          <cell r="BL83">
            <v>3349280.7933019502</v>
          </cell>
          <cell r="BM83">
            <v>3382886.3052992402</v>
          </cell>
          <cell r="BN83">
            <v>3417292.5367963999</v>
          </cell>
          <cell r="BO83">
            <v>3447420.2077966202</v>
          </cell>
          <cell r="BP83">
            <v>3473076.79272155</v>
          </cell>
          <cell r="BQ83">
            <v>3507176.7698001899</v>
          </cell>
          <cell r="BR83">
            <v>3536976.1883934401</v>
          </cell>
          <cell r="BS83">
            <v>3575936.323899</v>
          </cell>
          <cell r="BT83">
            <v>3624129</v>
          </cell>
          <cell r="BU83">
            <v>3674243</v>
          </cell>
          <cell r="BV83">
            <v>3720662.2206584597</v>
          </cell>
          <cell r="BW83">
            <v>3774559.4999999898</v>
          </cell>
          <cell r="BX83">
            <v>3836363</v>
          </cell>
          <cell r="BY83">
            <v>3888763</v>
          </cell>
          <cell r="BZ83">
            <v>3944446.5000000042</v>
          </cell>
        </row>
      </sheetData>
      <sheetData sheetId="1">
        <row r="3">
          <cell r="P3">
            <v>31392.32235701906</v>
          </cell>
        </row>
      </sheetData>
      <sheetData sheetId="2">
        <row r="3">
          <cell r="Q3">
            <v>37369028.60839688</v>
          </cell>
        </row>
      </sheetData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7-18 - RIN respon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6">
          <cell r="C56">
            <v>93127422</v>
          </cell>
        </row>
      </sheetData>
      <sheetData sheetId="6" refreshError="1"/>
      <sheetData sheetId="7">
        <row r="14">
          <cell r="C14">
            <v>-103984564.12373078</v>
          </cell>
        </row>
        <row r="15">
          <cell r="C15">
            <v>204289220.00560573</v>
          </cell>
        </row>
        <row r="69">
          <cell r="C69">
            <v>520532393.79215574</v>
          </cell>
        </row>
        <row r="70">
          <cell r="C70">
            <v>104051300.09404072</v>
          </cell>
        </row>
        <row r="71">
          <cell r="C71">
            <v>1090199476.440166</v>
          </cell>
        </row>
        <row r="72">
          <cell r="C72">
            <v>107913623.67676431</v>
          </cell>
        </row>
        <row r="73">
          <cell r="C73">
            <v>433372270.52274102</v>
          </cell>
        </row>
        <row r="74">
          <cell r="C74">
            <v>27253819.769905701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8-19 - RIN Respon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4">
          <cell r="C14">
            <v>-106385248.68914524</v>
          </cell>
        </row>
        <row r="15">
          <cell r="C15">
            <v>177293902.0082885</v>
          </cell>
        </row>
        <row r="69">
          <cell r="C69">
            <v>563302441.72471809</v>
          </cell>
        </row>
        <row r="70">
          <cell r="C70">
            <v>106023881.73579411</v>
          </cell>
        </row>
        <row r="71">
          <cell r="C71">
            <v>1146541190.6241651</v>
          </cell>
        </row>
        <row r="72">
          <cell r="C72">
            <v>116359515.33408327</v>
          </cell>
        </row>
        <row r="73">
          <cell r="C73">
            <v>442968943.33029634</v>
          </cell>
        </row>
        <row r="74">
          <cell r="C74">
            <v>35380923.009554505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3.1 Revenue"/>
      <sheetName val="3.2 Operating expenditure"/>
      <sheetName val="3.2.3 Provisions"/>
      <sheetName val="3.3 Assets (RAB)"/>
      <sheetName val="3.4 Operational data"/>
      <sheetName val="3.5 Physical assets"/>
      <sheetName val="3.6 Quality of services"/>
      <sheetName val="3.7 Operating environment"/>
      <sheetName val="NSP Amendments"/>
      <sheetName val="ElectraNet 2019-20 - Economic B"/>
    </sheetNames>
    <definedNames>
      <definedName name="dms_030303_01_Values" refersTo="='3.3 Assets (RAB)'!$C$69:$C$7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4">
          <cell r="C14">
            <v>-126424290</v>
          </cell>
        </row>
        <row r="15">
          <cell r="C15">
            <v>49311832</v>
          </cell>
        </row>
        <row r="69">
          <cell r="C69">
            <v>575798163</v>
          </cell>
        </row>
        <row r="70">
          <cell r="C70">
            <v>107373542</v>
          </cell>
        </row>
        <row r="71">
          <cell r="C71">
            <v>1162814316</v>
          </cell>
        </row>
        <row r="72">
          <cell r="C72">
            <v>118711442</v>
          </cell>
        </row>
        <row r="73">
          <cell r="C73">
            <v>450391583</v>
          </cell>
        </row>
        <row r="74">
          <cell r="C74">
            <v>32170370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/>
  </sheetViews>
  <sheetFormatPr defaultColWidth="8.77734375" defaultRowHeight="14.4" x14ac:dyDescent="0.3"/>
  <cols>
    <col min="1" max="1" width="101.5546875" style="29" customWidth="1"/>
    <col min="2" max="9" width="8.77734375" style="29"/>
    <col min="10" max="16384" width="8.77734375" style="17"/>
  </cols>
  <sheetData>
    <row r="1" spans="1:9" x14ac:dyDescent="0.3">
      <c r="A1" s="11" t="s">
        <v>77</v>
      </c>
    </row>
    <row r="2" spans="1:9" x14ac:dyDescent="0.3">
      <c r="A2" s="95" t="s">
        <v>138</v>
      </c>
    </row>
    <row r="4" spans="1:9" x14ac:dyDescent="0.3">
      <c r="A4" s="30" t="s">
        <v>73</v>
      </c>
    </row>
    <row r="5" spans="1:9" x14ac:dyDescent="0.3">
      <c r="A5" s="92" t="s">
        <v>139</v>
      </c>
    </row>
    <row r="7" spans="1:9" x14ac:dyDescent="0.3">
      <c r="A7" s="30" t="s">
        <v>74</v>
      </c>
    </row>
    <row r="8" spans="1:9" x14ac:dyDescent="0.3">
      <c r="A8" s="72" t="s">
        <v>97</v>
      </c>
    </row>
    <row r="9" spans="1:9" s="34" customFormat="1" ht="29.1" customHeight="1" x14ac:dyDescent="0.3">
      <c r="A9" s="32" t="s">
        <v>75</v>
      </c>
      <c r="B9" s="33"/>
      <c r="C9" s="33"/>
      <c r="D9" s="33"/>
      <c r="E9" s="33"/>
      <c r="F9" s="33"/>
      <c r="G9" s="33"/>
      <c r="H9" s="33"/>
      <c r="I9" s="33"/>
    </row>
    <row r="10" spans="1:9" ht="14.55" customHeight="1" x14ac:dyDescent="0.3">
      <c r="A10" s="73" t="s">
        <v>98</v>
      </c>
    </row>
    <row r="11" spans="1:9" s="34" customFormat="1" ht="14.55" customHeight="1" x14ac:dyDescent="0.3">
      <c r="A11" s="73" t="s">
        <v>99</v>
      </c>
      <c r="B11" s="33"/>
      <c r="C11" s="33"/>
      <c r="D11" s="33"/>
      <c r="E11" s="33"/>
      <c r="F11" s="33"/>
      <c r="G11" s="33"/>
      <c r="H11" s="33"/>
      <c r="I11" s="33"/>
    </row>
    <row r="12" spans="1:9" x14ac:dyDescent="0.3">
      <c r="A12" s="73" t="s">
        <v>101</v>
      </c>
    </row>
    <row r="13" spans="1:9" s="34" customFormat="1" ht="14.55" customHeight="1" x14ac:dyDescent="0.3">
      <c r="A13" s="73" t="s">
        <v>100</v>
      </c>
      <c r="B13" s="33"/>
      <c r="C13" s="33"/>
      <c r="D13" s="33"/>
      <c r="E13" s="33"/>
      <c r="F13" s="33"/>
      <c r="G13" s="33"/>
      <c r="H13" s="33"/>
      <c r="I13" s="33"/>
    </row>
    <row r="14" spans="1:9" x14ac:dyDescent="0.3">
      <c r="A14" s="31" t="s">
        <v>78</v>
      </c>
    </row>
    <row r="15" spans="1:9" s="29" customFormat="1" x14ac:dyDescent="0.3"/>
    <row r="17" spans="1:1" s="29" customFormat="1" x14ac:dyDescent="0.3">
      <c r="A17" s="35" t="s">
        <v>76</v>
      </c>
    </row>
    <row r="18" spans="1:1" s="29" customFormat="1" x14ac:dyDescent="0.3">
      <c r="A18" s="31" t="s">
        <v>80</v>
      </c>
    </row>
    <row r="19" spans="1:1" s="29" customFormat="1" x14ac:dyDescent="0.3">
      <c r="A19" s="31" t="s">
        <v>79</v>
      </c>
    </row>
    <row r="20" spans="1:1" s="29" customFormat="1" x14ac:dyDescent="0.3">
      <c r="A20" s="31" t="s">
        <v>87</v>
      </c>
    </row>
    <row r="21" spans="1:1" s="29" customFormat="1" x14ac:dyDescent="0.3">
      <c r="A21" s="72" t="s">
        <v>102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U52"/>
  <sheetViews>
    <sheetView zoomScaleNormal="100" workbookViewId="0"/>
  </sheetViews>
  <sheetFormatPr defaultRowHeight="14.4" x14ac:dyDescent="0.3"/>
  <cols>
    <col min="1" max="1" width="30.77734375" style="56" bestFit="1" customWidth="1"/>
    <col min="2" max="2" width="32.21875" customWidth="1"/>
    <col min="3" max="3" width="12.77734375" style="17" bestFit="1" customWidth="1"/>
    <col min="4" max="13" width="12.21875" customWidth="1"/>
    <col min="14" max="16" width="12.21875" style="17" customWidth="1"/>
    <col min="17" max="17" width="12.21875" customWidth="1"/>
    <col min="18" max="19" width="18.77734375" bestFit="1" customWidth="1"/>
  </cols>
  <sheetData>
    <row r="1" spans="1:99" x14ac:dyDescent="0.3">
      <c r="A1" s="25" t="s">
        <v>83</v>
      </c>
      <c r="B1" s="25" t="s">
        <v>83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99" x14ac:dyDescent="0.3">
      <c r="A2" s="25" t="s">
        <v>50</v>
      </c>
      <c r="B2" s="25" t="s">
        <v>50</v>
      </c>
      <c r="C2" s="24" t="s">
        <v>65</v>
      </c>
      <c r="D2" s="18">
        <v>2006</v>
      </c>
      <c r="E2" s="18">
        <v>2007</v>
      </c>
      <c r="F2" s="18">
        <v>2008</v>
      </c>
      <c r="G2" s="18">
        <v>2009</v>
      </c>
      <c r="H2" s="18">
        <v>2010</v>
      </c>
      <c r="I2" s="18">
        <v>2011</v>
      </c>
      <c r="J2" s="18">
        <v>2012</v>
      </c>
      <c r="K2" s="18">
        <v>2013</v>
      </c>
      <c r="L2" s="18">
        <v>2014</v>
      </c>
      <c r="M2" s="18">
        <v>2015</v>
      </c>
      <c r="N2" s="18">
        <v>2016</v>
      </c>
      <c r="O2" s="18">
        <v>2017</v>
      </c>
      <c r="P2" s="18">
        <v>2018</v>
      </c>
      <c r="Q2" s="18">
        <v>2019</v>
      </c>
      <c r="R2" s="18">
        <v>2020</v>
      </c>
      <c r="S2" s="24"/>
      <c r="T2" s="24"/>
    </row>
    <row r="3" spans="1:99" x14ac:dyDescent="0.3">
      <c r="A3" s="38" t="s">
        <v>37</v>
      </c>
      <c r="B3" s="38" t="s">
        <v>91</v>
      </c>
      <c r="C3" s="38" t="s">
        <v>64</v>
      </c>
      <c r="D3" s="28">
        <f>'[6]Extracted Data'!D$7*1000</f>
        <v>15101074.258214997</v>
      </c>
      <c r="E3" s="28">
        <f>'[6]Extracted Data'!E$7*1000</f>
        <v>13989610</v>
      </c>
      <c r="F3" s="28">
        <f>'[6]Extracted Data'!F$7*1000</f>
        <v>13083325.236576969</v>
      </c>
      <c r="G3" s="28">
        <f>'[6]Extracted Data'!G$7*1000</f>
        <v>13513587.369959038</v>
      </c>
      <c r="H3" s="28">
        <f>'[6]Extracted Data'!H$7*1000</f>
        <v>13846707.414743055</v>
      </c>
      <c r="I3" s="28">
        <f>'[6]Extracted Data'!I$7*1000</f>
        <v>13881537.225071985</v>
      </c>
      <c r="J3" s="28">
        <f>'[6]Extracted Data'!J$7*1000</f>
        <v>14062879.897383038</v>
      </c>
      <c r="K3" s="28">
        <f>'[6]Extracted Data'!K$7*1000</f>
        <v>14283594.450350931</v>
      </c>
      <c r="L3" s="28">
        <f>'[6]Extracted Data'!L$7*1000</f>
        <v>13957000</v>
      </c>
      <c r="M3" s="28">
        <f>'[6]Extracted Data'!M$7*1000</f>
        <v>13455329.989999998</v>
      </c>
      <c r="N3" s="28">
        <f>'[6]Extracted Data'!N$7*1000</f>
        <v>14247978.656044956</v>
      </c>
      <c r="O3" s="28">
        <f>'[6]Extracted Data'!O$7*1000</f>
        <v>14525020.775061335</v>
      </c>
      <c r="P3" s="28">
        <f>'[6]Extracted Data'!P$7*1000</f>
        <v>11444832.423724381</v>
      </c>
      <c r="Q3" s="28">
        <f>'[6]Extracted Data'!Q$7*1000</f>
        <v>13786714.687984707</v>
      </c>
      <c r="R3" s="28">
        <f>'[6]Extracted Data'!R$7*1000</f>
        <v>13856515.144038128</v>
      </c>
      <c r="S3" s="24"/>
      <c r="T3" s="40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</row>
    <row r="4" spans="1:99" x14ac:dyDescent="0.3">
      <c r="A4" s="38" t="s">
        <v>21</v>
      </c>
      <c r="B4" s="38" t="s">
        <v>92</v>
      </c>
      <c r="C4" s="38" t="s">
        <v>64</v>
      </c>
      <c r="D4" s="28">
        <f>'[6]Extracted Data'!S$7*1000</f>
        <v>51045963.444256991</v>
      </c>
      <c r="E4" s="28">
        <f>'[6]Extracted Data'!T$7*1000</f>
        <v>51964465.679886967</v>
      </c>
      <c r="F4" s="28">
        <f>'[6]Extracted Data'!U$7*1000</f>
        <v>51187327.595034994</v>
      </c>
      <c r="G4" s="28">
        <f>'[6]Extracted Data'!V$7*1000</f>
        <v>52191948.260312036</v>
      </c>
      <c r="H4" s="28">
        <f>'[6]Extracted Data'!W$7*1000</f>
        <v>52848520.626357004</v>
      </c>
      <c r="I4" s="28">
        <f>'[6]Extracted Data'!X$7*1000</f>
        <v>51917071.191967987</v>
      </c>
      <c r="J4" s="28">
        <f>'[6]Extracted Data'!Y$7*1000</f>
        <v>50878576.976755999</v>
      </c>
      <c r="K4" s="28">
        <f>'[6]Extracted Data'!Z$7*1000</f>
        <v>49333938.670690008</v>
      </c>
      <c r="L4" s="28">
        <f>'[6]Extracted Data'!AA$7*1000</f>
        <v>47613581.421291001</v>
      </c>
      <c r="M4" s="28">
        <f>'[6]Extracted Data'!AB$7*1000</f>
        <v>53087563.425000042</v>
      </c>
      <c r="N4" s="28">
        <f>'[6]Extracted Data'!AC$7*1000</f>
        <v>52872387.581990004</v>
      </c>
      <c r="O4" s="28">
        <f>'[6]Extracted Data'!AD$7*1000</f>
        <v>54253300.021025993</v>
      </c>
      <c r="P4" s="28">
        <f>'[6]Extracted Data'!AE$7*1000</f>
        <v>54849858.036833994</v>
      </c>
      <c r="Q4" s="28">
        <f>'[6]Extracted Data'!AF$7*1000</f>
        <v>53765294.224065989</v>
      </c>
      <c r="R4" s="28">
        <f>'[6]Extracted Data'!AG$7*1000</f>
        <v>53076368.905469991</v>
      </c>
      <c r="S4" s="24"/>
      <c r="T4" s="24"/>
    </row>
    <row r="5" spans="1:99" x14ac:dyDescent="0.3">
      <c r="A5" s="38" t="s">
        <v>35</v>
      </c>
      <c r="B5" s="38" t="s">
        <v>93</v>
      </c>
      <c r="C5" s="38" t="s">
        <v>64</v>
      </c>
      <c r="D5" s="28">
        <f>'[6]Extracted Data'!AH$7*1000</f>
        <v>45186299.678676002</v>
      </c>
      <c r="E5" s="28">
        <f>'[6]Extracted Data'!AI$7*1000</f>
        <v>45956437.073729999</v>
      </c>
      <c r="F5" s="28">
        <f>'[6]Extracted Data'!AJ$7*1000</f>
        <v>45046718.030759998</v>
      </c>
      <c r="G5" s="28">
        <f>'[6]Extracted Data'!AK$7*1000</f>
        <v>47419179.046665005</v>
      </c>
      <c r="H5" s="28">
        <f>'[6]Extracted Data'!AL$7*1000</f>
        <v>48976636.241105005</v>
      </c>
      <c r="I5" s="28">
        <f>'[6]Extracted Data'!AM$7*1000</f>
        <v>48047970.9925</v>
      </c>
      <c r="J5" s="28">
        <f>'[6]Extracted Data'!AN$7*1000</f>
        <v>47529361.264941998</v>
      </c>
      <c r="K5" s="28">
        <f>'[6]Extracted Data'!AO$7*1000</f>
        <v>49056428.480179004</v>
      </c>
      <c r="L5" s="28">
        <f>'[6]Extracted Data'!AP$7*1000</f>
        <v>48503771.563634999</v>
      </c>
      <c r="M5" s="28">
        <f>'[6]Extracted Data'!AQ$7*1000</f>
        <v>47967077.018125005</v>
      </c>
      <c r="N5" s="28">
        <f>'[6]Extracted Data'!AR$7*1000</f>
        <v>47805245.822115995</v>
      </c>
      <c r="O5" s="28">
        <f>'[6]Extracted Data'!AS$7*1000</f>
        <v>46829301.624719001</v>
      </c>
      <c r="P5" s="28">
        <f>'[6]Extracted Data'!AT$7*1000</f>
        <v>41725000</v>
      </c>
      <c r="Q5" s="28">
        <f>'[6]Extracted Data'!AU$7*1000</f>
        <v>41479994.350973003</v>
      </c>
      <c r="R5" s="28">
        <f>'[6]Extracted Data'!AV$7*1000</f>
        <v>41527840.000000007</v>
      </c>
      <c r="S5" s="24"/>
      <c r="T5" s="24"/>
    </row>
    <row r="6" spans="1:99" x14ac:dyDescent="0.3">
      <c r="A6" s="38" t="s">
        <v>29</v>
      </c>
      <c r="B6" s="38" t="s">
        <v>94</v>
      </c>
      <c r="C6" s="38" t="s">
        <v>64</v>
      </c>
      <c r="D6" s="79">
        <f>'[6]Extracted Data'!AW$7*1000</f>
        <v>10530108.800000003</v>
      </c>
      <c r="E6" s="79">
        <f>'[6]Extracted Data'!AX$7*1000</f>
        <v>12828493</v>
      </c>
      <c r="F6" s="79">
        <f>'[6]Extracted Data'!AY$7*1000</f>
        <v>13500337</v>
      </c>
      <c r="G6" s="79">
        <f>'[6]Extracted Data'!AZ$7*1000</f>
        <v>13412711</v>
      </c>
      <c r="H6" s="79">
        <f>'[6]Extracted Data'!BA$7*1000</f>
        <v>13030212</v>
      </c>
      <c r="I6" s="79">
        <f>'[6]Extracted Data'!BB$7*1000</f>
        <v>13108443</v>
      </c>
      <c r="J6" s="79">
        <f>'[6]Extracted Data'!BC$7*1000</f>
        <v>12589843</v>
      </c>
      <c r="K6" s="79">
        <f>'[6]Extracted Data'!BD$7*1000</f>
        <v>12866188</v>
      </c>
      <c r="L6" s="79">
        <f>'[6]Extracted Data'!BE$7*1000</f>
        <v>13359963.803999998</v>
      </c>
      <c r="M6" s="79">
        <f>'[6]Extracted Data'!BF$7*1000</f>
        <v>13109624.082295986</v>
      </c>
      <c r="N6" s="79">
        <f>'[6]Extracted Data'!BG$7*1000</f>
        <v>11654573.903348012</v>
      </c>
      <c r="O6" s="79">
        <f>'[6]Extracted Data'!BH$7*1000</f>
        <v>12426700</v>
      </c>
      <c r="P6" s="79">
        <f>'[6]Extracted Data'!BI$7*1000</f>
        <v>12434326.12001</v>
      </c>
      <c r="Q6" s="79">
        <f>'[6]Extracted Data'!BJ$7*1000</f>
        <v>12884563.992276987</v>
      </c>
      <c r="R6" s="79">
        <f>'[6]Extracted Data'!BK$7*1000</f>
        <v>12412888.664812012</v>
      </c>
      <c r="S6" s="24"/>
      <c r="T6" s="24"/>
    </row>
    <row r="7" spans="1:99" x14ac:dyDescent="0.3">
      <c r="A7" s="38" t="s">
        <v>38</v>
      </c>
      <c r="B7" s="38" t="s">
        <v>95</v>
      </c>
      <c r="C7" s="38" t="s">
        <v>64</v>
      </c>
      <c r="D7" s="79">
        <f>'[6]Extracted Data'!BL$7*1000</f>
        <v>81500000</v>
      </c>
      <c r="E7" s="79">
        <f>'[6]Extracted Data'!BM$7*1000</f>
        <v>83000000</v>
      </c>
      <c r="F7" s="79">
        <f>'[6]Extracted Data'!BN$7*1000</f>
        <v>82500000</v>
      </c>
      <c r="G7" s="79">
        <f>'[6]Extracted Data'!BO$7*1000</f>
        <v>81100000</v>
      </c>
      <c r="H7" s="79">
        <f>'[6]Extracted Data'!BP$7*1000</f>
        <v>80600000</v>
      </c>
      <c r="I7" s="79">
        <f>'[6]Extracted Data'!BQ$7*1000</f>
        <v>79800000</v>
      </c>
      <c r="J7" s="79">
        <f>'[6]Extracted Data'!BR$7*1000</f>
        <v>76600000</v>
      </c>
      <c r="K7" s="79">
        <f>'[6]Extracted Data'!BS$7*1000</f>
        <v>71100000</v>
      </c>
      <c r="L7" s="79">
        <f>'[6]Extracted Data'!BT$7*1000</f>
        <v>67800000.346065998</v>
      </c>
      <c r="M7" s="79">
        <f>'[6]Extracted Data'!BU$7*1000</f>
        <v>74400000</v>
      </c>
      <c r="N7" s="79">
        <f>'[6]Extracted Data'!BV$7*1000</f>
        <v>72200000</v>
      </c>
      <c r="O7" s="79">
        <f>'[6]Extracted Data'!BW$7*1000</f>
        <v>75000000</v>
      </c>
      <c r="P7" s="79">
        <f>'[6]Extracted Data'!BX$7*1000</f>
        <v>75700000</v>
      </c>
      <c r="Q7" s="79">
        <f>'[6]Extracted Data'!BY$7*1000</f>
        <v>74400000</v>
      </c>
      <c r="R7" s="79">
        <f>'[6]Extracted Data'!BZ$7*1000</f>
        <v>72900000</v>
      </c>
      <c r="S7" s="24"/>
      <c r="T7" s="24"/>
    </row>
    <row r="8" spans="1:99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S8" s="24"/>
      <c r="T8" s="24"/>
    </row>
    <row r="9" spans="1:99" s="56" customFormat="1" ht="43.2" x14ac:dyDescent="0.3">
      <c r="A9" s="41" t="s">
        <v>44</v>
      </c>
      <c r="B9" s="41" t="s">
        <v>44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S9" s="24"/>
      <c r="T9" s="24"/>
    </row>
    <row r="10" spans="1:99" x14ac:dyDescent="0.3">
      <c r="A10" s="41"/>
      <c r="B10" s="41"/>
      <c r="C10" s="24" t="s">
        <v>67</v>
      </c>
      <c r="D10" s="18">
        <v>2006</v>
      </c>
      <c r="E10" s="18">
        <v>2007</v>
      </c>
      <c r="F10" s="18">
        <v>2008</v>
      </c>
      <c r="G10" s="18">
        <v>2009</v>
      </c>
      <c r="H10" s="18">
        <v>2010</v>
      </c>
      <c r="I10" s="18">
        <v>2011</v>
      </c>
      <c r="J10" s="18">
        <v>2012</v>
      </c>
      <c r="K10" s="18">
        <v>2013</v>
      </c>
      <c r="L10" s="18">
        <v>2014</v>
      </c>
      <c r="M10" s="18">
        <v>2015</v>
      </c>
      <c r="N10" s="18">
        <v>2016</v>
      </c>
      <c r="O10" s="18">
        <v>2017</v>
      </c>
      <c r="P10" s="18">
        <v>2018</v>
      </c>
      <c r="Q10" s="18">
        <v>2019</v>
      </c>
      <c r="R10" s="18">
        <v>2020</v>
      </c>
      <c r="S10" s="24"/>
      <c r="T10" s="24"/>
    </row>
    <row r="11" spans="1:99" x14ac:dyDescent="0.3">
      <c r="A11" s="38" t="s">
        <v>37</v>
      </c>
      <c r="B11" s="38" t="s">
        <v>91</v>
      </c>
      <c r="C11" s="38" t="s">
        <v>66</v>
      </c>
      <c r="D11" s="28">
        <f>'[6]Extracted Data'!D$8</f>
        <v>3978.391944861738</v>
      </c>
      <c r="E11" s="28">
        <f>'[6]Extracted Data'!E$8</f>
        <v>3976.363032332024</v>
      </c>
      <c r="F11" s="28">
        <f>'[6]Extracted Data'!F$8</f>
        <v>4222.7950166755372</v>
      </c>
      <c r="G11" s="28">
        <f>'[6]Extracted Data'!G$8</f>
        <v>4265.2719150267712</v>
      </c>
      <c r="H11" s="28">
        <f>'[6]Extracted Data'!H$8</f>
        <v>4285.2901718002513</v>
      </c>
      <c r="I11" s="28">
        <f>'[6]Extracted Data'!I$8</f>
        <v>4376.4504351791684</v>
      </c>
      <c r="J11" s="28">
        <f>'[6]Extracted Data'!J$8</f>
        <v>4229.0017065495522</v>
      </c>
      <c r="K11" s="28">
        <f>'[6]Extracted Data'!K$8</f>
        <v>4403.3212738811562</v>
      </c>
      <c r="L11" s="28">
        <f>'[6]Extracted Data'!L$8</f>
        <v>3429.53</v>
      </c>
      <c r="M11" s="28">
        <f>'[6]Extracted Data'!M$8</f>
        <v>3175.3143963269999</v>
      </c>
      <c r="N11" s="28">
        <f>'[6]Extracted Data'!N$8</f>
        <v>3271.5960879999998</v>
      </c>
      <c r="O11" s="28">
        <f>'[6]Extracted Data'!O$8</f>
        <v>3447.559915454</v>
      </c>
      <c r="P11" s="28">
        <f>'[6]Extracted Data'!P$8</f>
        <v>3327.2034278649999</v>
      </c>
      <c r="Q11" s="28">
        <f>'[6]Extracted Data'!Q$8</f>
        <v>3685.7549853780001</v>
      </c>
      <c r="R11" s="28">
        <f>'[6]Extracted Data'!R$8</f>
        <v>3512.323547</v>
      </c>
      <c r="S11" s="24"/>
      <c r="T11" s="24"/>
    </row>
    <row r="12" spans="1:99" x14ac:dyDescent="0.3">
      <c r="A12" s="38" t="s">
        <v>21</v>
      </c>
      <c r="B12" s="38" t="s">
        <v>92</v>
      </c>
      <c r="C12" s="38" t="s">
        <v>66</v>
      </c>
      <c r="D12" s="28">
        <f>'[6]Extracted Data'!S$8</f>
        <v>11030.569023</v>
      </c>
      <c r="E12" s="28">
        <f>'[6]Extracted Data'!T$8</f>
        <v>11737.383156999998</v>
      </c>
      <c r="F12" s="28">
        <f>'[6]Extracted Data'!U$8</f>
        <v>11612.320067000001</v>
      </c>
      <c r="G12" s="28">
        <f>'[6]Extracted Data'!V$8</f>
        <v>12068.720476999999</v>
      </c>
      <c r="H12" s="28">
        <f>'[6]Extracted Data'!W$8</f>
        <v>12247.404947000005</v>
      </c>
      <c r="I12" s="28">
        <f>'[6]Extracted Data'!X$8</f>
        <v>11937.636665000005</v>
      </c>
      <c r="J12" s="28">
        <f>'[6]Extracted Data'!Y$8</f>
        <v>11674.654921999996</v>
      </c>
      <c r="K12" s="28">
        <f>'[6]Extracted Data'!Z$8</f>
        <v>11664.853734000002</v>
      </c>
      <c r="L12" s="28">
        <f>'[6]Extracted Data'!AA$8</f>
        <v>11512.211092999996</v>
      </c>
      <c r="M12" s="28">
        <f>'[6]Extracted Data'!AB$8</f>
        <v>11832.312</v>
      </c>
      <c r="N12" s="28">
        <f>'[6]Extracted Data'!AC$8</f>
        <v>11995.302618000009</v>
      </c>
      <c r="O12" s="28">
        <f>'[6]Extracted Data'!AD$8</f>
        <v>12388.952756999994</v>
      </c>
      <c r="P12" s="28">
        <f>'[6]Extracted Data'!AE$8</f>
        <v>12321.175319</v>
      </c>
      <c r="Q12" s="28">
        <f>'[6]Extracted Data'!AF$8</f>
        <v>12496.769520000003</v>
      </c>
      <c r="R12" s="28">
        <f>'[6]Extracted Data'!AG$8</f>
        <v>12583.453072999999</v>
      </c>
      <c r="S12" s="24"/>
      <c r="T12" s="24"/>
    </row>
    <row r="13" spans="1:99" x14ac:dyDescent="0.3">
      <c r="A13" s="38" t="s">
        <v>35</v>
      </c>
      <c r="B13" s="38" t="s">
        <v>93</v>
      </c>
      <c r="C13" s="38" t="s">
        <v>66</v>
      </c>
      <c r="D13" s="28">
        <f>'[6]Extracted Data'!AH$8</f>
        <v>8046.7944919762931</v>
      </c>
      <c r="E13" s="28">
        <f>'[6]Extracted Data'!AI$8</f>
        <v>9518.2214075162174</v>
      </c>
      <c r="F13" s="28">
        <f>'[6]Extracted Data'!AJ$8</f>
        <v>9821.7744475221989</v>
      </c>
      <c r="G13" s="28">
        <f>'[6]Extracted Data'!AK$8</f>
        <v>10238.839151920494</v>
      </c>
      <c r="H13" s="28">
        <f>'[6]Extracted Data'!AL$8</f>
        <v>9875.383784927044</v>
      </c>
      <c r="I13" s="28">
        <f>'[6]Extracted Data'!AM$8</f>
        <v>9612.8305056523277</v>
      </c>
      <c r="J13" s="28">
        <f>'[6]Extracted Data'!AN$8</f>
        <v>8932.6058819697173</v>
      </c>
      <c r="K13" s="28">
        <f>'[6]Extracted Data'!AO$8</f>
        <v>9569.9413842771264</v>
      </c>
      <c r="L13" s="28">
        <f>'[6]Extracted Data'!AP$8</f>
        <v>10258.200000000001</v>
      </c>
      <c r="M13" s="28">
        <f>'[6]Extracted Data'!AQ$8</f>
        <v>9098.1233667172328</v>
      </c>
      <c r="N13" s="28">
        <f>'[6]Extracted Data'!AR$8</f>
        <v>9677.5927963400009</v>
      </c>
      <c r="O13" s="28">
        <f>'[6]Extracted Data'!AS$8</f>
        <v>9641.5859999999993</v>
      </c>
      <c r="P13" s="28">
        <f>'[6]Extracted Data'!AT$8</f>
        <v>10266.162</v>
      </c>
      <c r="Q13" s="28">
        <f>'[6]Extracted Data'!AU$8</f>
        <v>9909.9320000000007</v>
      </c>
      <c r="R13" s="28">
        <f>'[6]Extracted Data'!AV$8</f>
        <v>10139.175999999999</v>
      </c>
      <c r="S13" s="24"/>
      <c r="T13" s="24"/>
    </row>
    <row r="14" spans="1:99" x14ac:dyDescent="0.3">
      <c r="A14" s="38" t="s">
        <v>29</v>
      </c>
      <c r="B14" s="38" t="s">
        <v>94</v>
      </c>
      <c r="C14" s="38" t="s">
        <v>66</v>
      </c>
      <c r="D14" s="28">
        <f>'[6]Extracted Data'!AW$8</f>
        <v>2684.2440000000001</v>
      </c>
      <c r="E14" s="28">
        <f>'[6]Extracted Data'!AX$8</f>
        <v>2690.61</v>
      </c>
      <c r="F14" s="28">
        <f>'[6]Extracted Data'!AY$8</f>
        <v>2624.2620000000002</v>
      </c>
      <c r="G14" s="28">
        <f>'[6]Extracted Data'!AZ$8</f>
        <v>2656.152</v>
      </c>
      <c r="H14" s="28">
        <f>'[6]Extracted Data'!BA$8</f>
        <v>2634.4740000000002</v>
      </c>
      <c r="I14" s="28">
        <f>'[6]Extracted Data'!BB$8</f>
        <v>2597.712</v>
      </c>
      <c r="J14" s="28">
        <f>'[6]Extracted Data'!BC$8</f>
        <v>2589.395</v>
      </c>
      <c r="K14" s="28">
        <f>'[6]Extracted Data'!BD$8</f>
        <v>2544.7469999999998</v>
      </c>
      <c r="L14" s="28">
        <f>'[6]Extracted Data'!BE$8</f>
        <v>2509</v>
      </c>
      <c r="M14" s="28">
        <f>'[6]Extracted Data'!BF$8</f>
        <v>2504.8915876265355</v>
      </c>
      <c r="N14" s="28">
        <f>'[6]Extracted Data'!BG$8</f>
        <v>2519.5</v>
      </c>
      <c r="O14" s="28">
        <f>'[6]Extracted Data'!BH$8</f>
        <v>2523.6453817803717</v>
      </c>
      <c r="P14" s="28">
        <f>'[6]Extracted Data'!BI$8</f>
        <v>2535.3500470044319</v>
      </c>
      <c r="Q14" s="28">
        <f>'[6]Extracted Data'!BJ$8</f>
        <v>2394.0013028095805</v>
      </c>
      <c r="R14" s="28">
        <f>'[6]Extracted Data'!BK$8</f>
        <v>2460.3122380799996</v>
      </c>
      <c r="S14" s="24"/>
      <c r="T14" s="24"/>
    </row>
    <row r="15" spans="1:99" x14ac:dyDescent="0.3">
      <c r="A15" s="38" t="s">
        <v>38</v>
      </c>
      <c r="B15" s="38" t="s">
        <v>95</v>
      </c>
      <c r="C15" s="38" t="s">
        <v>66</v>
      </c>
      <c r="D15" s="28">
        <f>'[6]Extracted Data'!BL$8</f>
        <v>18200</v>
      </c>
      <c r="E15" s="28">
        <f>'[6]Extracted Data'!BM$8</f>
        <v>18600</v>
      </c>
      <c r="F15" s="28">
        <f>'[6]Extracted Data'!BN$8</f>
        <v>18600</v>
      </c>
      <c r="G15" s="28">
        <f>'[6]Extracted Data'!BO$8</f>
        <v>18700</v>
      </c>
      <c r="H15" s="28">
        <f>'[6]Extracted Data'!BP$8</f>
        <v>18900</v>
      </c>
      <c r="I15" s="28">
        <f>'[6]Extracted Data'!BQ$8</f>
        <v>19400</v>
      </c>
      <c r="J15" s="28">
        <f>'[6]Extracted Data'!BR$8</f>
        <v>18000</v>
      </c>
      <c r="K15" s="28">
        <f>'[6]Extracted Data'!BS$8</f>
        <v>17400</v>
      </c>
      <c r="L15" s="28">
        <f>'[6]Extracted Data'!BT$8</f>
        <v>17000</v>
      </c>
      <c r="M15" s="28">
        <f>'[6]Extracted Data'!BU$8</f>
        <v>16500</v>
      </c>
      <c r="N15" s="28">
        <f>'[6]Extracted Data'!BV$8</f>
        <v>18000</v>
      </c>
      <c r="O15" s="28">
        <f>'[6]Extracted Data'!BW$8</f>
        <v>18700</v>
      </c>
      <c r="P15" s="28">
        <f>'[6]Extracted Data'!BX$8</f>
        <v>18500</v>
      </c>
      <c r="Q15" s="28">
        <f>'[6]Extracted Data'!BY$8</f>
        <v>18700</v>
      </c>
      <c r="R15" s="28">
        <f>'[6]Extracted Data'!BZ$8</f>
        <v>18900</v>
      </c>
      <c r="S15" s="24"/>
      <c r="T15" s="24"/>
    </row>
    <row r="16" spans="1:99" x14ac:dyDescent="0.3">
      <c r="A16" s="24"/>
      <c r="B16" s="24"/>
      <c r="C16" s="24"/>
      <c r="D16" s="24"/>
      <c r="E16" s="36">
        <f>(E11-D11)/D11</f>
        <v>-5.0998306799169473E-4</v>
      </c>
      <c r="F16" s="36">
        <f t="shared" ref="F16:R16" si="0">(F11-E11)/E11</f>
        <v>6.197421672512328E-2</v>
      </c>
      <c r="G16" s="36">
        <f t="shared" si="0"/>
        <v>1.0058953414384444E-2</v>
      </c>
      <c r="H16" s="36">
        <f t="shared" si="0"/>
        <v>4.6933131514909328E-3</v>
      </c>
      <c r="I16" s="36">
        <f t="shared" si="0"/>
        <v>2.1272833279483764E-2</v>
      </c>
      <c r="J16" s="36">
        <f t="shared" si="0"/>
        <v>-3.3691396901100693E-2</v>
      </c>
      <c r="K16" s="36">
        <f t="shared" si="0"/>
        <v>4.1220027663179074E-2</v>
      </c>
      <c r="L16" s="36">
        <f t="shared" si="0"/>
        <v>-0.2211492674080629</v>
      </c>
      <c r="M16" s="36">
        <f t="shared" si="0"/>
        <v>-7.4125493485404773E-2</v>
      </c>
      <c r="N16" s="36">
        <f t="shared" si="0"/>
        <v>3.0321939705993312E-2</v>
      </c>
      <c r="O16" s="36">
        <f t="shared" si="0"/>
        <v>5.3785315399851479E-2</v>
      </c>
      <c r="P16" s="36">
        <f t="shared" si="0"/>
        <v>-3.4910629703487177E-2</v>
      </c>
      <c r="Q16" s="36">
        <f t="shared" si="0"/>
        <v>0.10776364153455914</v>
      </c>
      <c r="R16" s="36">
        <f t="shared" si="0"/>
        <v>-4.7054521818740362E-2</v>
      </c>
      <c r="S16" s="24"/>
      <c r="T16" s="24"/>
    </row>
    <row r="17" spans="1:42" x14ac:dyDescent="0.3">
      <c r="A17" s="25" t="s">
        <v>45</v>
      </c>
      <c r="B17" s="25" t="s">
        <v>45</v>
      </c>
      <c r="C17" s="25"/>
      <c r="D17" s="18">
        <v>2006</v>
      </c>
      <c r="E17" s="18">
        <v>2007</v>
      </c>
      <c r="F17" s="18">
        <v>2008</v>
      </c>
      <c r="G17" s="18">
        <v>2009</v>
      </c>
      <c r="H17" s="18">
        <v>2010</v>
      </c>
      <c r="I17" s="18">
        <v>2011</v>
      </c>
      <c r="J17" s="18">
        <v>2012</v>
      </c>
      <c r="K17" s="18">
        <v>2013</v>
      </c>
      <c r="L17" s="18">
        <v>2014</v>
      </c>
      <c r="M17" s="18">
        <v>2015</v>
      </c>
      <c r="N17" s="18">
        <v>2016</v>
      </c>
      <c r="O17" s="18">
        <v>2017</v>
      </c>
      <c r="P17" s="18">
        <v>2018</v>
      </c>
      <c r="Q17" s="18">
        <v>2019</v>
      </c>
      <c r="R17" s="18">
        <v>2020</v>
      </c>
      <c r="S17" s="24"/>
      <c r="T17" s="24"/>
    </row>
    <row r="18" spans="1:42" x14ac:dyDescent="0.3">
      <c r="A18" s="38" t="s">
        <v>37</v>
      </c>
      <c r="B18" s="38" t="s">
        <v>37</v>
      </c>
      <c r="C18" s="38" t="s">
        <v>68</v>
      </c>
      <c r="D18" s="27">
        <v>5875.1</v>
      </c>
      <c r="E18" s="27">
        <v>5974.1</v>
      </c>
      <c r="F18" s="27">
        <v>6007.1</v>
      </c>
      <c r="G18" s="27">
        <v>6546.1</v>
      </c>
      <c r="H18" s="27">
        <v>6953.1</v>
      </c>
      <c r="I18" s="27">
        <v>7052.1</v>
      </c>
      <c r="J18" s="27">
        <v>7129.1</v>
      </c>
      <c r="K18" s="27">
        <v>7129.1</v>
      </c>
      <c r="L18" s="27">
        <v>7195.1</v>
      </c>
      <c r="M18" s="27">
        <v>7470.1</v>
      </c>
      <c r="N18" s="27">
        <v>7470.1</v>
      </c>
      <c r="O18" s="27"/>
      <c r="P18" s="28"/>
      <c r="Q18" s="28"/>
      <c r="R18" s="28"/>
      <c r="S18" s="24"/>
      <c r="T18" s="48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</row>
    <row r="19" spans="1:42" x14ac:dyDescent="0.3">
      <c r="A19" s="38" t="s">
        <v>21</v>
      </c>
      <c r="B19" s="38" t="s">
        <v>21</v>
      </c>
      <c r="C19" s="38" t="s">
        <v>68</v>
      </c>
      <c r="D19" s="27">
        <v>12468.5</v>
      </c>
      <c r="E19" s="27">
        <v>12694</v>
      </c>
      <c r="F19" s="27">
        <v>13117.5</v>
      </c>
      <c r="G19" s="27">
        <v>13898.5</v>
      </c>
      <c r="H19" s="27">
        <v>14580.5</v>
      </c>
      <c r="I19" s="27">
        <v>15009.5</v>
      </c>
      <c r="J19" s="27">
        <v>15356</v>
      </c>
      <c r="K19" s="27">
        <v>16214</v>
      </c>
      <c r="L19" s="27">
        <v>17050</v>
      </c>
      <c r="M19" s="27">
        <v>17160</v>
      </c>
      <c r="N19" s="27">
        <v>17407.5</v>
      </c>
      <c r="O19" s="27"/>
      <c r="P19" s="28"/>
      <c r="Q19" s="28"/>
      <c r="R19" s="28"/>
      <c r="S19" s="24"/>
      <c r="T19" s="24"/>
    </row>
    <row r="20" spans="1:42" x14ac:dyDescent="0.3">
      <c r="A20" s="38" t="s">
        <v>35</v>
      </c>
      <c r="B20" s="38" t="s">
        <v>35</v>
      </c>
      <c r="C20" s="38" t="s">
        <v>68</v>
      </c>
      <c r="D20" s="27">
        <v>7330</v>
      </c>
      <c r="E20" s="27">
        <v>7264</v>
      </c>
      <c r="F20" s="27">
        <v>7544</v>
      </c>
      <c r="G20" s="27">
        <v>8336</v>
      </c>
      <c r="H20" s="27">
        <v>8402</v>
      </c>
      <c r="I20" s="27">
        <v>8424</v>
      </c>
      <c r="J20" s="27">
        <v>9144</v>
      </c>
      <c r="K20" s="27">
        <v>10210</v>
      </c>
      <c r="L20" s="27">
        <v>10260</v>
      </c>
      <c r="M20" s="27">
        <v>9320</v>
      </c>
      <c r="N20" s="27">
        <v>9320</v>
      </c>
      <c r="O20" s="27"/>
      <c r="P20" s="28"/>
      <c r="Q20" s="28"/>
      <c r="R20" s="28"/>
      <c r="S20" s="24"/>
      <c r="T20" s="24"/>
    </row>
    <row r="21" spans="1:42" x14ac:dyDescent="0.3">
      <c r="A21" s="38" t="s">
        <v>29</v>
      </c>
      <c r="B21" s="38" t="s">
        <v>29</v>
      </c>
      <c r="C21" s="38" t="s">
        <v>68</v>
      </c>
      <c r="D21" s="27">
        <v>5893.8</v>
      </c>
      <c r="E21" s="27">
        <v>5882.8</v>
      </c>
      <c r="F21" s="27">
        <v>5860.8</v>
      </c>
      <c r="G21" s="27">
        <v>5970.8</v>
      </c>
      <c r="H21" s="27">
        <v>5860.8</v>
      </c>
      <c r="I21" s="27">
        <v>5893.8</v>
      </c>
      <c r="J21" s="27">
        <v>5948.8</v>
      </c>
      <c r="K21" s="27">
        <v>6058.8</v>
      </c>
      <c r="L21" s="27">
        <v>6058.8</v>
      </c>
      <c r="M21" s="27">
        <v>6058.8</v>
      </c>
      <c r="N21" s="27">
        <v>6058.8</v>
      </c>
      <c r="O21" s="27"/>
      <c r="P21" s="28"/>
      <c r="Q21" s="28"/>
      <c r="R21" s="28"/>
      <c r="S21" s="24"/>
      <c r="T21" s="24"/>
    </row>
    <row r="22" spans="1:42" x14ac:dyDescent="0.3">
      <c r="A22" s="38" t="s">
        <v>38</v>
      </c>
      <c r="B22" s="38" t="s">
        <v>38</v>
      </c>
      <c r="C22" s="38" t="s">
        <v>68</v>
      </c>
      <c r="D22" s="27">
        <v>14481</v>
      </c>
      <c r="E22" s="27">
        <v>14481</v>
      </c>
      <c r="F22" s="27">
        <v>15108</v>
      </c>
      <c r="G22" s="27">
        <v>15883.5</v>
      </c>
      <c r="H22" s="27">
        <v>16348</v>
      </c>
      <c r="I22" s="27">
        <v>16895</v>
      </c>
      <c r="J22" s="27">
        <v>17192</v>
      </c>
      <c r="K22" s="27">
        <v>17456</v>
      </c>
      <c r="L22" s="27">
        <v>17621</v>
      </c>
      <c r="M22" s="27">
        <v>17720</v>
      </c>
      <c r="N22" s="27">
        <v>18182</v>
      </c>
      <c r="O22" s="27"/>
      <c r="P22" s="28"/>
      <c r="Q22" s="28"/>
      <c r="R22" s="28"/>
      <c r="S22" s="24"/>
      <c r="T22" s="24"/>
    </row>
    <row r="23" spans="1:42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S23" s="24"/>
      <c r="T23" s="24"/>
    </row>
    <row r="24" spans="1:42" ht="43.2" x14ac:dyDescent="0.3">
      <c r="A24" s="25" t="s">
        <v>39</v>
      </c>
      <c r="B24" s="25" t="s">
        <v>39</v>
      </c>
      <c r="C24" s="25"/>
      <c r="D24" s="41" t="s">
        <v>36</v>
      </c>
      <c r="E24" s="41" t="s">
        <v>22</v>
      </c>
      <c r="F24" s="41" t="s">
        <v>19</v>
      </c>
      <c r="G24" s="41" t="s">
        <v>108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S24" s="24"/>
      <c r="T24" s="24"/>
    </row>
    <row r="25" spans="1:42" s="17" customFormat="1" x14ac:dyDescent="0.3">
      <c r="A25" s="25"/>
      <c r="B25" s="25"/>
      <c r="C25" s="25"/>
      <c r="D25" s="41" t="str">
        <f>$C$33</f>
        <v>km</v>
      </c>
      <c r="E25" s="41" t="str">
        <f>$C$3</f>
        <v>MWh</v>
      </c>
      <c r="F25" s="41" t="str">
        <f>$C$11</f>
        <v>MVA</v>
      </c>
      <c r="G25" s="41" t="s">
        <v>71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S25" s="24"/>
      <c r="T25" s="24"/>
    </row>
    <row r="26" spans="1:42" x14ac:dyDescent="0.3">
      <c r="A26" s="38" t="s">
        <v>37</v>
      </c>
      <c r="B26" s="38" t="s">
        <v>91</v>
      </c>
      <c r="C26" s="38"/>
      <c r="D26" s="28">
        <f>R33</f>
        <v>5519.5789999999997</v>
      </c>
      <c r="E26" s="28">
        <f>ROUND(AVERAGE(N3:R3),0)</f>
        <v>13572212</v>
      </c>
      <c r="F26" s="28">
        <f>ROUND(AVERAGE(N11:R11),0)</f>
        <v>3449</v>
      </c>
      <c r="G26" s="58">
        <f>R3/1000</f>
        <v>13856.515144038127</v>
      </c>
      <c r="H26" s="24"/>
      <c r="I26" s="24"/>
      <c r="J26" s="24"/>
      <c r="K26" s="24"/>
      <c r="L26" s="24"/>
      <c r="M26" s="24"/>
      <c r="N26" s="24"/>
      <c r="O26" s="24"/>
      <c r="P26" s="24"/>
      <c r="Q26" s="24"/>
      <c r="S26" s="24"/>
      <c r="T26" s="24"/>
    </row>
    <row r="27" spans="1:42" x14ac:dyDescent="0.3">
      <c r="A27" s="38" t="s">
        <v>21</v>
      </c>
      <c r="B27" s="38" t="s">
        <v>92</v>
      </c>
      <c r="C27" s="38"/>
      <c r="D27" s="28">
        <f t="shared" ref="D27:D30" si="1">R34</f>
        <v>14528.2</v>
      </c>
      <c r="E27" s="28">
        <f t="shared" ref="E27:E30" si="2">ROUND(AVERAGE(N4:R4),0)</f>
        <v>53763442</v>
      </c>
      <c r="F27" s="28">
        <f t="shared" ref="F27:F30" si="3">ROUND(AVERAGE(N12:R12),0)</f>
        <v>12357</v>
      </c>
      <c r="G27" s="58">
        <f t="shared" ref="G27:G30" si="4">R4/1000</f>
        <v>53076.368905469993</v>
      </c>
      <c r="H27" s="24"/>
      <c r="I27" s="24"/>
      <c r="J27" s="24"/>
      <c r="K27" s="24"/>
      <c r="L27" s="24"/>
      <c r="M27" s="24"/>
      <c r="N27" s="24"/>
      <c r="O27" s="24"/>
      <c r="P27" s="24"/>
      <c r="Q27" s="24"/>
      <c r="S27" s="24"/>
      <c r="T27" s="24"/>
    </row>
    <row r="28" spans="1:42" x14ac:dyDescent="0.3">
      <c r="A28" s="38" t="s">
        <v>35</v>
      </c>
      <c r="B28" s="38" t="s">
        <v>93</v>
      </c>
      <c r="C28" s="38"/>
      <c r="D28" s="28">
        <f t="shared" si="1"/>
        <v>6731.1111999999994</v>
      </c>
      <c r="E28" s="28">
        <f t="shared" si="2"/>
        <v>43873476</v>
      </c>
      <c r="F28" s="28">
        <f t="shared" si="3"/>
        <v>9927</v>
      </c>
      <c r="G28" s="58">
        <f t="shared" si="4"/>
        <v>41527.840000000011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S28" s="24"/>
      <c r="T28" s="24"/>
    </row>
    <row r="29" spans="1:42" x14ac:dyDescent="0.3">
      <c r="A29" s="38" t="s">
        <v>29</v>
      </c>
      <c r="B29" s="38" t="s">
        <v>94</v>
      </c>
      <c r="C29" s="38"/>
      <c r="D29" s="28">
        <f t="shared" si="1"/>
        <v>3350.5371820000005</v>
      </c>
      <c r="E29" s="28">
        <f t="shared" si="2"/>
        <v>12362611</v>
      </c>
      <c r="F29" s="28">
        <f t="shared" si="3"/>
        <v>2487</v>
      </c>
      <c r="G29" s="58">
        <f t="shared" si="4"/>
        <v>12412.888664812011</v>
      </c>
      <c r="H29" s="24"/>
      <c r="I29" s="24"/>
      <c r="J29" s="24"/>
      <c r="K29" s="24"/>
      <c r="L29" s="24"/>
      <c r="M29" s="24" t="s">
        <v>40</v>
      </c>
      <c r="N29" s="24"/>
      <c r="O29" s="24"/>
      <c r="P29" s="24"/>
      <c r="Q29" s="24"/>
      <c r="S29" s="24"/>
      <c r="T29" s="24"/>
    </row>
    <row r="30" spans="1:42" x14ac:dyDescent="0.3">
      <c r="A30" s="38" t="s">
        <v>38</v>
      </c>
      <c r="B30" s="38" t="s">
        <v>95</v>
      </c>
      <c r="C30" s="38"/>
      <c r="D30" s="28">
        <f t="shared" si="1"/>
        <v>13052.451309999999</v>
      </c>
      <c r="E30" s="28">
        <f t="shared" si="2"/>
        <v>74040000</v>
      </c>
      <c r="F30" s="28">
        <f t="shared" si="3"/>
        <v>18560</v>
      </c>
      <c r="G30" s="58">
        <f t="shared" si="4"/>
        <v>72900</v>
      </c>
      <c r="H30" s="24"/>
      <c r="I30" s="24"/>
      <c r="J30" s="24"/>
      <c r="K30" s="24"/>
      <c r="L30" s="24"/>
      <c r="M30" s="24" t="s">
        <v>41</v>
      </c>
      <c r="N30" s="24"/>
      <c r="O30" s="24"/>
      <c r="P30" s="24"/>
      <c r="Q30" s="24"/>
      <c r="S30" s="24"/>
      <c r="T30" s="24"/>
    </row>
    <row r="31" spans="1:42" x14ac:dyDescent="0.3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S31" s="24"/>
      <c r="T31" s="24"/>
    </row>
    <row r="32" spans="1:42" s="17" customFormat="1" x14ac:dyDescent="0.3">
      <c r="A32" s="25" t="s">
        <v>46</v>
      </c>
      <c r="B32" s="25" t="s">
        <v>46</v>
      </c>
      <c r="C32" s="26" t="s">
        <v>70</v>
      </c>
      <c r="D32" s="18">
        <v>2006</v>
      </c>
      <c r="E32" s="18">
        <v>2007</v>
      </c>
      <c r="F32" s="18">
        <v>2008</v>
      </c>
      <c r="G32" s="18">
        <v>2009</v>
      </c>
      <c r="H32" s="18">
        <v>2010</v>
      </c>
      <c r="I32" s="18">
        <v>2011</v>
      </c>
      <c r="J32" s="18">
        <v>2012</v>
      </c>
      <c r="K32" s="18">
        <v>2013</v>
      </c>
      <c r="L32" s="18">
        <v>2014</v>
      </c>
      <c r="M32" s="18">
        <v>2015</v>
      </c>
      <c r="N32" s="18">
        <v>2016</v>
      </c>
      <c r="O32" s="18">
        <v>2017</v>
      </c>
      <c r="P32" s="18">
        <v>2018</v>
      </c>
      <c r="Q32" s="18">
        <v>2019</v>
      </c>
      <c r="R32" s="18">
        <v>2020</v>
      </c>
      <c r="S32" s="24"/>
      <c r="T32" s="24"/>
    </row>
    <row r="33" spans="1:41" x14ac:dyDescent="0.3">
      <c r="A33" s="38" t="s">
        <v>37</v>
      </c>
      <c r="B33" s="38" t="s">
        <v>91</v>
      </c>
      <c r="C33" s="38" t="s">
        <v>69</v>
      </c>
      <c r="D33" s="79">
        <f>'[6]Extracted Data'!D$22+'[6]Extracted Data'!D$34</f>
        <v>5600.5389999999998</v>
      </c>
      <c r="E33" s="79">
        <f>'[6]Extracted Data'!E$22+'[6]Extracted Data'!E$34</f>
        <v>5518.6689999999999</v>
      </c>
      <c r="F33" s="79">
        <f>'[6]Extracted Data'!F$22+'[6]Extracted Data'!F$34</f>
        <v>5518.6689999999999</v>
      </c>
      <c r="G33" s="79">
        <f>'[6]Extracted Data'!G$22+'[6]Extracted Data'!G$34</f>
        <v>5503.6689999999999</v>
      </c>
      <c r="H33" s="79">
        <f>'[6]Extracted Data'!H$22+'[6]Extracted Data'!H$34</f>
        <v>5501.6689999999999</v>
      </c>
      <c r="I33" s="79">
        <f>'[6]Extracted Data'!I$22+'[6]Extracted Data'!I$34</f>
        <v>5504.6689999999999</v>
      </c>
      <c r="J33" s="79">
        <f>'[6]Extracted Data'!J$22+'[6]Extracted Data'!J$34</f>
        <v>5526.0690000000004</v>
      </c>
      <c r="K33" s="79">
        <f>'[6]Extracted Data'!K$22+'[6]Extracted Data'!K$34</f>
        <v>5527.3490000000002</v>
      </c>
      <c r="L33" s="79">
        <f>'[6]Extracted Data'!L$22+'[6]Extracted Data'!L$34</f>
        <v>5529.4030540000012</v>
      </c>
      <c r="M33" s="79">
        <f>'[6]Extracted Data'!M$22+'[6]Extracted Data'!M$34</f>
        <v>5521.3490000000002</v>
      </c>
      <c r="N33" s="79">
        <f>'[6]Extracted Data'!N$22+'[6]Extracted Data'!N$34</f>
        <v>5524.3490000000002</v>
      </c>
      <c r="O33" s="79">
        <f>'[6]Extracted Data'!O$22+'[6]Extracted Data'!O$34</f>
        <v>5519.5689999999995</v>
      </c>
      <c r="P33" s="79">
        <f>'[6]Extracted Data'!P$22+'[6]Extracted Data'!P$34</f>
        <v>5522.1689999999999</v>
      </c>
      <c r="Q33" s="79">
        <f>'[6]Extracted Data'!Q$22+'[6]Extracted Data'!Q$34</f>
        <v>5512.6689999999999</v>
      </c>
      <c r="R33" s="79">
        <f>'[6]Extracted Data'!R$22+'[6]Extracted Data'!R$34</f>
        <v>5519.5789999999997</v>
      </c>
      <c r="S33" s="24"/>
      <c r="T33" s="48"/>
      <c r="AO33" s="19"/>
    </row>
    <row r="34" spans="1:41" x14ac:dyDescent="0.3">
      <c r="A34" s="38" t="s">
        <v>21</v>
      </c>
      <c r="B34" s="38" t="s">
        <v>92</v>
      </c>
      <c r="C34" s="38" t="s">
        <v>69</v>
      </c>
      <c r="D34" s="28">
        <f>'[6]Extracted Data'!S$22+'[6]Extracted Data'!S$34</f>
        <v>11700.8</v>
      </c>
      <c r="E34" s="28">
        <f>'[6]Extracted Data'!T$22+'[6]Extracted Data'!T$34</f>
        <v>11892.8</v>
      </c>
      <c r="F34" s="28">
        <f>'[6]Extracted Data'!U$22+'[6]Extracted Data'!U$34</f>
        <v>12428.8</v>
      </c>
      <c r="G34" s="28">
        <f>'[6]Extracted Data'!V$22+'[6]Extracted Data'!V$34</f>
        <v>12865.1</v>
      </c>
      <c r="H34" s="28">
        <f>'[6]Extracted Data'!W$22+'[6]Extracted Data'!W$34</f>
        <v>13321.1</v>
      </c>
      <c r="I34" s="28">
        <f>'[6]Extracted Data'!X$22+'[6]Extracted Data'!X$34</f>
        <v>13738.4</v>
      </c>
      <c r="J34" s="28">
        <f>'[6]Extracted Data'!Y$22+'[6]Extracted Data'!Y$34</f>
        <v>13702.4</v>
      </c>
      <c r="K34" s="28">
        <f>'[6]Extracted Data'!Z$22+'[6]Extracted Data'!Z$34</f>
        <v>14313.5</v>
      </c>
      <c r="L34" s="28">
        <f>'[6]Extracted Data'!AA$22+'[6]Extracted Data'!AA$34</f>
        <v>14772.5</v>
      </c>
      <c r="M34" s="28">
        <f>'[6]Extracted Data'!AB$22+'[6]Extracted Data'!AB$34</f>
        <v>14754.5</v>
      </c>
      <c r="N34" s="28">
        <f>'[6]Extracted Data'!AC$22+'[6]Extracted Data'!AC$34</f>
        <v>14755.5</v>
      </c>
      <c r="O34" s="28">
        <f>'[6]Extracted Data'!AD$22+'[6]Extracted Data'!AD$34</f>
        <v>14532.5</v>
      </c>
      <c r="P34" s="28">
        <f>'[6]Extracted Data'!AE$22+'[6]Extracted Data'!AE$34</f>
        <v>14527.5</v>
      </c>
      <c r="Q34" s="28">
        <f>'[6]Extracted Data'!AF$22+'[6]Extracted Data'!AF$34</f>
        <v>14526.2</v>
      </c>
      <c r="R34" s="28">
        <f>'[6]Extracted Data'!AG$22+'[6]Extracted Data'!AG$34</f>
        <v>14528.2</v>
      </c>
      <c r="S34" s="24"/>
      <c r="T34" s="48"/>
    </row>
    <row r="35" spans="1:41" x14ac:dyDescent="0.3">
      <c r="A35" s="38" t="s">
        <v>35</v>
      </c>
      <c r="B35" s="38" t="s">
        <v>93</v>
      </c>
      <c r="C35" s="38" t="s">
        <v>69</v>
      </c>
      <c r="D35" s="28">
        <f>'[6]Extracted Data'!AH$22+'[6]Extracted Data'!AH$34</f>
        <v>6573</v>
      </c>
      <c r="E35" s="28">
        <f>'[6]Extracted Data'!AI$22+'[6]Extracted Data'!AI$34</f>
        <v>6573</v>
      </c>
      <c r="F35" s="28">
        <f>'[6]Extracted Data'!AJ$22+'[6]Extracted Data'!AJ$34</f>
        <v>6573</v>
      </c>
      <c r="G35" s="28">
        <f>'[6]Extracted Data'!AK$22+'[6]Extracted Data'!AK$34</f>
        <v>6573</v>
      </c>
      <c r="H35" s="28">
        <f>'[6]Extracted Data'!AL$22+'[6]Extracted Data'!AL$34</f>
        <v>6573</v>
      </c>
      <c r="I35" s="28">
        <f>'[6]Extracted Data'!AM$22+'[6]Extracted Data'!AM$34</f>
        <v>6573</v>
      </c>
      <c r="J35" s="28">
        <f>'[6]Extracted Data'!AN$22+'[6]Extracted Data'!AN$34</f>
        <v>6573</v>
      </c>
      <c r="K35" s="28">
        <f>'[6]Extracted Data'!AO$22+'[6]Extracted Data'!AO$34</f>
        <v>6573</v>
      </c>
      <c r="L35" s="28">
        <f>'[6]Extracted Data'!AP$22+'[6]Extracted Data'!AP$34</f>
        <v>6573</v>
      </c>
      <c r="M35" s="28">
        <f>'[6]Extracted Data'!AQ$22+'[6]Extracted Data'!AQ$34</f>
        <v>6573.2</v>
      </c>
      <c r="N35" s="28">
        <f>'[6]Extracted Data'!AR$22+'[6]Extracted Data'!AR$34</f>
        <v>6558.8447567553731</v>
      </c>
      <c r="O35" s="28">
        <f>'[6]Extracted Data'!AS$22+'[6]Extracted Data'!AS$34</f>
        <v>6559.9720813333324</v>
      </c>
      <c r="P35" s="28">
        <f>'[6]Extracted Data'!AT$22+'[6]Extracted Data'!AT$34</f>
        <v>6623.72</v>
      </c>
      <c r="Q35" s="28">
        <f>'[6]Extracted Data'!AU$22+'[6]Extracted Data'!AU$34</f>
        <v>6627.7700000000013</v>
      </c>
      <c r="R35" s="28">
        <f>'[6]Extracted Data'!AV$22+'[6]Extracted Data'!AV$34</f>
        <v>6731.1111999999994</v>
      </c>
      <c r="S35" s="24"/>
      <c r="T35" s="48"/>
    </row>
    <row r="36" spans="1:41" x14ac:dyDescent="0.3">
      <c r="A36" s="38" t="s">
        <v>29</v>
      </c>
      <c r="B36" s="38" t="s">
        <v>94</v>
      </c>
      <c r="C36" s="38" t="s">
        <v>69</v>
      </c>
      <c r="D36" s="28">
        <f>'[6]Extracted Data'!AW$22+'[6]Extracted Data'!AW$34</f>
        <v>3581.3</v>
      </c>
      <c r="E36" s="28">
        <f>'[6]Extracted Data'!AX$22+'[6]Extracted Data'!AX$34</f>
        <v>3622.3</v>
      </c>
      <c r="F36" s="28">
        <f>'[6]Extracted Data'!AY$22+'[6]Extracted Data'!AY$34</f>
        <v>3622.3</v>
      </c>
      <c r="G36" s="28">
        <f>'[6]Extracted Data'!AZ$22+'[6]Extracted Data'!AZ$34</f>
        <v>3520.3</v>
      </c>
      <c r="H36" s="28">
        <f>'[6]Extracted Data'!BA$22+'[6]Extracted Data'!BA$34</f>
        <v>3481.3</v>
      </c>
      <c r="I36" s="28">
        <f>'[6]Extracted Data'!BB$22+'[6]Extracted Data'!BB$34</f>
        <v>3493.3</v>
      </c>
      <c r="J36" s="28">
        <f>'[6]Extracted Data'!BC$22+'[6]Extracted Data'!BC$34</f>
        <v>3493.3</v>
      </c>
      <c r="K36" s="28">
        <f>'[6]Extracted Data'!BD$22+'[6]Extracted Data'!BD$34</f>
        <v>3503.19</v>
      </c>
      <c r="L36" s="28">
        <f>'[6]Extracted Data'!BE$22+'[6]Extracted Data'!BE$34</f>
        <v>3503.8</v>
      </c>
      <c r="M36" s="28">
        <f>'[6]Extracted Data'!BF$22+'[6]Extracted Data'!BF$34</f>
        <v>3563.7000000000003</v>
      </c>
      <c r="N36" s="28">
        <f>'[6]Extracted Data'!BG$22+'[6]Extracted Data'!BG$34</f>
        <v>3563.7000000000003</v>
      </c>
      <c r="O36" s="28">
        <f>'[6]Extracted Data'!BH$22+'[6]Extracted Data'!BH$34</f>
        <v>3563.7</v>
      </c>
      <c r="P36" s="28">
        <f>'[6]Extracted Data'!BI$22+'[6]Extracted Data'!BI$34</f>
        <v>3545.2</v>
      </c>
      <c r="Q36" s="28">
        <f>'[6]Extracted Data'!BJ$22+'[6]Extracted Data'!BJ$34</f>
        <v>3545.2</v>
      </c>
      <c r="R36" s="28">
        <f>'[6]Extracted Data'!BK$22+'[6]Extracted Data'!BK$34</f>
        <v>3350.5371820000005</v>
      </c>
      <c r="S36" s="24"/>
      <c r="T36" s="48"/>
    </row>
    <row r="37" spans="1:41" x14ac:dyDescent="0.3">
      <c r="A37" s="38" t="s">
        <v>38</v>
      </c>
      <c r="B37" s="38" t="s">
        <v>95</v>
      </c>
      <c r="C37" s="38" t="s">
        <v>69</v>
      </c>
      <c r="D37" s="28">
        <f>'[6]Extracted Data'!BL$22+'[6]Extracted Data'!BL$34</f>
        <v>12517.231000000002</v>
      </c>
      <c r="E37" s="28">
        <f>'[6]Extracted Data'!BM$22+'[6]Extracted Data'!BM$34</f>
        <v>12526.494000000004</v>
      </c>
      <c r="F37" s="28">
        <f>'[6]Extracted Data'!BN$22+'[6]Extracted Data'!BN$34</f>
        <v>12523.514000000005</v>
      </c>
      <c r="G37" s="28">
        <f>'[6]Extracted Data'!BO$22+'[6]Extracted Data'!BO$34</f>
        <v>12523.349000000004</v>
      </c>
      <c r="H37" s="28">
        <f>'[6]Extracted Data'!BP$22+'[6]Extracted Data'!BP$34</f>
        <v>12682.458999999999</v>
      </c>
      <c r="I37" s="28">
        <f>'[6]Extracted Data'!BQ$22+'[6]Extracted Data'!BQ$34</f>
        <v>12681.863000000001</v>
      </c>
      <c r="J37" s="28">
        <f>'[6]Extracted Data'!BR$22+'[6]Extracted Data'!BR$34</f>
        <v>12697.207</v>
      </c>
      <c r="K37" s="28">
        <f>'[6]Extracted Data'!BS$22+'[6]Extracted Data'!BS$34</f>
        <v>12893.617000000002</v>
      </c>
      <c r="L37" s="28">
        <f>'[6]Extracted Data'!BT$22+'[6]Extracted Data'!BT$34</f>
        <v>12929.666000000003</v>
      </c>
      <c r="M37" s="28">
        <f>'[6]Extracted Data'!BU$22+'[6]Extracted Data'!BU$34</f>
        <v>13024.7646976</v>
      </c>
      <c r="N37" s="28">
        <f>'[6]Extracted Data'!BV$22+'[6]Extracted Data'!BV$34</f>
        <v>13039.195</v>
      </c>
      <c r="O37" s="28">
        <f>'[6]Extracted Data'!BW$22+'[6]Extracted Data'!BW$34</f>
        <v>13078.1133974</v>
      </c>
      <c r="P37" s="28">
        <f>'[6]Extracted Data'!BX$22+'[6]Extracted Data'!BX$34</f>
        <v>13089.494696939968</v>
      </c>
      <c r="Q37" s="28">
        <f>'[6]Extracted Data'!BY$22+'[6]Extracted Data'!BY$34</f>
        <v>13052.37521975323</v>
      </c>
      <c r="R37" s="28">
        <f>'[6]Extracted Data'!BZ$22+'[6]Extracted Data'!BZ$34</f>
        <v>13052.451309999999</v>
      </c>
      <c r="S37" s="24"/>
      <c r="T37" s="48"/>
    </row>
    <row r="38" spans="1:41" s="17" customFormat="1" x14ac:dyDescent="0.3">
      <c r="A38" s="22"/>
      <c r="B38" s="22"/>
      <c r="C38" s="22"/>
      <c r="D38" s="45"/>
      <c r="E38" s="45"/>
      <c r="F38" s="45"/>
      <c r="G38" s="45"/>
      <c r="H38" s="45"/>
      <c r="I38" s="45"/>
      <c r="J38" s="45"/>
      <c r="K38" s="45"/>
      <c r="L38" s="45"/>
      <c r="M38" s="24"/>
      <c r="N38" s="24"/>
      <c r="O38" s="24"/>
      <c r="P38" s="24"/>
      <c r="Q38" s="24"/>
      <c r="S38" s="24"/>
      <c r="T38" s="24"/>
    </row>
    <row r="39" spans="1:41" x14ac:dyDescent="0.3">
      <c r="A39" s="25" t="s">
        <v>47</v>
      </c>
      <c r="B39" s="25" t="s">
        <v>47</v>
      </c>
      <c r="C39" s="25"/>
      <c r="D39" s="18">
        <v>2006</v>
      </c>
      <c r="E39" s="18">
        <v>2007</v>
      </c>
      <c r="F39" s="18">
        <v>2008</v>
      </c>
      <c r="G39" s="18">
        <v>2009</v>
      </c>
      <c r="H39" s="18">
        <v>2010</v>
      </c>
      <c r="I39" s="18">
        <v>2011</v>
      </c>
      <c r="J39" s="18">
        <v>2012</v>
      </c>
      <c r="K39" s="18">
        <v>2013</v>
      </c>
      <c r="L39" s="18">
        <v>2014</v>
      </c>
      <c r="M39" s="18">
        <v>2015</v>
      </c>
      <c r="N39" s="18">
        <v>2016</v>
      </c>
      <c r="O39" s="18">
        <v>2017</v>
      </c>
      <c r="P39" s="18">
        <v>2018</v>
      </c>
      <c r="Q39" s="18">
        <v>2019</v>
      </c>
      <c r="R39" s="18">
        <v>2020</v>
      </c>
      <c r="S39" s="18" t="s">
        <v>124</v>
      </c>
      <c r="T39" s="24"/>
    </row>
    <row r="40" spans="1:41" x14ac:dyDescent="0.3">
      <c r="A40" s="38" t="s">
        <v>37</v>
      </c>
      <c r="B40" s="38" t="s">
        <v>91</v>
      </c>
      <c r="C40" s="90" t="s">
        <v>128</v>
      </c>
      <c r="D40" s="49">
        <f>D48/D33</f>
        <v>139.06500785013728</v>
      </c>
      <c r="E40" s="49">
        <f t="shared" ref="E40:O40" si="5">E48/E33</f>
        <v>141.23441721183133</v>
      </c>
      <c r="F40" s="49">
        <f t="shared" si="5"/>
        <v>141.53956325338592</v>
      </c>
      <c r="G40" s="49">
        <f t="shared" si="5"/>
        <v>147.98618884965649</v>
      </c>
      <c r="H40" s="49">
        <f t="shared" si="5"/>
        <v>150.31147820779478</v>
      </c>
      <c r="I40" s="49">
        <f t="shared" si="5"/>
        <v>151.88106678167208</v>
      </c>
      <c r="J40" s="49">
        <f t="shared" si="5"/>
        <v>152.75831698807957</v>
      </c>
      <c r="K40" s="49">
        <f t="shared" si="5"/>
        <v>153.37660060908041</v>
      </c>
      <c r="L40" s="49">
        <f t="shared" si="5"/>
        <v>154.04312032992917</v>
      </c>
      <c r="M40" s="49">
        <f t="shared" si="5"/>
        <v>154.6612974474173</v>
      </c>
      <c r="N40" s="49">
        <f t="shared" si="5"/>
        <v>155.42944517082464</v>
      </c>
      <c r="O40" s="49">
        <f t="shared" si="5"/>
        <v>159.12465266762678</v>
      </c>
      <c r="P40" s="49">
        <f>P48/P33</f>
        <v>161.96480042534012</v>
      </c>
      <c r="Q40" s="49">
        <f>Q48/Q33</f>
        <v>164.38452952644172</v>
      </c>
      <c r="R40" s="49">
        <f>R48/R33</f>
        <v>165.70158702321314</v>
      </c>
      <c r="S40" s="49">
        <f>AVERAGE(N40:R40)</f>
        <v>161.32100296268931</v>
      </c>
      <c r="T40" s="24"/>
    </row>
    <row r="41" spans="1:41" x14ac:dyDescent="0.3">
      <c r="A41" s="38" t="s">
        <v>21</v>
      </c>
      <c r="B41" s="38" t="s">
        <v>92</v>
      </c>
      <c r="C41" s="90" t="s">
        <v>128</v>
      </c>
      <c r="D41" s="49">
        <f t="shared" ref="D41:O41" si="6">D49/D34</f>
        <v>156.92889053577022</v>
      </c>
      <c r="E41" s="49">
        <f t="shared" si="6"/>
        <v>157.34091018655405</v>
      </c>
      <c r="F41" s="49">
        <f t="shared" si="6"/>
        <v>153.79537391649478</v>
      </c>
      <c r="G41" s="49">
        <f t="shared" si="6"/>
        <v>151.62351503939416</v>
      </c>
      <c r="H41" s="49">
        <f t="shared" si="6"/>
        <v>148.9752598008663</v>
      </c>
      <c r="I41" s="49">
        <f t="shared" si="6"/>
        <v>146.70722209281939</v>
      </c>
      <c r="J41" s="49">
        <f t="shared" si="6"/>
        <v>149.1073461583365</v>
      </c>
      <c r="K41" s="49">
        <f t="shared" si="6"/>
        <v>144.62867223250709</v>
      </c>
      <c r="L41" s="49">
        <f t="shared" si="6"/>
        <v>142.04860382467422</v>
      </c>
      <c r="M41" s="49">
        <f t="shared" si="6"/>
        <v>144.05649123996068</v>
      </c>
      <c r="N41" s="49">
        <f t="shared" si="6"/>
        <v>146.44542712886721</v>
      </c>
      <c r="O41" s="49">
        <f t="shared" si="6"/>
        <v>150.95461895750904</v>
      </c>
      <c r="P41" s="49">
        <f t="shared" ref="P41:Q41" si="7">P49/P34</f>
        <v>153.77229392531407</v>
      </c>
      <c r="Q41" s="49">
        <f t="shared" si="7"/>
        <v>155.73522325177953</v>
      </c>
      <c r="R41" s="49">
        <f t="shared" ref="R41" si="8">R49/R34</f>
        <v>156.8329868806872</v>
      </c>
      <c r="S41" s="49">
        <f t="shared" ref="S41:S44" si="9">AVERAGE(N41:R41)</f>
        <v>152.74811002883143</v>
      </c>
      <c r="T41" s="24"/>
    </row>
    <row r="42" spans="1:41" x14ac:dyDescent="0.3">
      <c r="A42" s="38" t="s">
        <v>35</v>
      </c>
      <c r="B42" s="38" t="s">
        <v>93</v>
      </c>
      <c r="C42" s="90" t="s">
        <v>128</v>
      </c>
      <c r="D42" s="49">
        <f t="shared" ref="D42:O42" si="10">D50/D35</f>
        <v>375.81766552185911</v>
      </c>
      <c r="E42" s="49">
        <f t="shared" si="10"/>
        <v>381.82365499477407</v>
      </c>
      <c r="F42" s="49">
        <f t="shared" si="10"/>
        <v>387.30902721269433</v>
      </c>
      <c r="G42" s="49">
        <f t="shared" si="10"/>
        <v>392.35752717247675</v>
      </c>
      <c r="H42" s="49">
        <f t="shared" si="10"/>
        <v>397.76512389576146</v>
      </c>
      <c r="I42" s="49">
        <f t="shared" si="10"/>
        <v>402.96408326991786</v>
      </c>
      <c r="J42" s="49">
        <f t="shared" si="10"/>
        <v>409.49927514096601</v>
      </c>
      <c r="K42" s="49">
        <f t="shared" si="10"/>
        <v>415.95241633434205</v>
      </c>
      <c r="L42" s="49">
        <f t="shared" si="10"/>
        <v>420.01093729012024</v>
      </c>
      <c r="M42" s="49">
        <f t="shared" si="10"/>
        <v>427.23607732463029</v>
      </c>
      <c r="N42" s="49">
        <f t="shared" si="10"/>
        <v>435.69715490776071</v>
      </c>
      <c r="O42" s="49">
        <f t="shared" si="10"/>
        <v>444.222469832174</v>
      </c>
      <c r="P42" s="49">
        <f t="shared" ref="P42:Q42" si="11">P50/P35</f>
        <v>446.73385952304744</v>
      </c>
      <c r="Q42" s="49">
        <f t="shared" si="11"/>
        <v>455.53587405718656</v>
      </c>
      <c r="R42" s="49">
        <f t="shared" ref="R42" si="12">R50/R35</f>
        <v>454.11372790869956</v>
      </c>
      <c r="S42" s="49">
        <f t="shared" si="9"/>
        <v>447.26061724577369</v>
      </c>
      <c r="T42" s="24"/>
    </row>
    <row r="43" spans="1:41" x14ac:dyDescent="0.3">
      <c r="A43" s="38" t="s">
        <v>29</v>
      </c>
      <c r="B43" s="38" t="s">
        <v>94</v>
      </c>
      <c r="C43" s="90" t="s">
        <v>128</v>
      </c>
      <c r="D43" s="49">
        <f t="shared" ref="D43:O43" si="13">D51/D36</f>
        <v>69.986464189344645</v>
      </c>
      <c r="E43" s="49">
        <f t="shared" si="13"/>
        <v>70.530984583482862</v>
      </c>
      <c r="F43" s="49">
        <f t="shared" si="13"/>
        <v>71.894724194914829</v>
      </c>
      <c r="G43" s="49">
        <f t="shared" si="13"/>
        <v>75.409519141899835</v>
      </c>
      <c r="H43" s="49">
        <f t="shared" si="13"/>
        <v>77.731313596030219</v>
      </c>
      <c r="I43" s="49">
        <f t="shared" si="13"/>
        <v>78.966020668133282</v>
      </c>
      <c r="J43" s="49">
        <f t="shared" si="13"/>
        <v>79.693126842810514</v>
      </c>
      <c r="K43" s="49">
        <f t="shared" si="13"/>
        <v>79.889472166793695</v>
      </c>
      <c r="L43" s="49">
        <f t="shared" si="13"/>
        <v>80.127290370454929</v>
      </c>
      <c r="M43" s="49">
        <f t="shared" si="13"/>
        <v>79.428403064230992</v>
      </c>
      <c r="N43" s="49">
        <f t="shared" si="13"/>
        <v>80.064259056598473</v>
      </c>
      <c r="O43" s="49">
        <f t="shared" si="13"/>
        <v>80.717091814686995</v>
      </c>
      <c r="P43" s="49">
        <f t="shared" ref="P43:Q43" si="14">P51/P36</f>
        <v>81.218549024032498</v>
      </c>
      <c r="Q43" s="49">
        <f t="shared" si="14"/>
        <v>81.926548572718048</v>
      </c>
      <c r="R43" s="49">
        <f t="shared" ref="R43" si="15">R51/R36</f>
        <v>87.731902089961636</v>
      </c>
      <c r="S43" s="49">
        <f t="shared" si="9"/>
        <v>82.331670111599536</v>
      </c>
      <c r="T43" s="24"/>
    </row>
    <row r="44" spans="1:41" x14ac:dyDescent="0.3">
      <c r="A44" s="38" t="s">
        <v>38</v>
      </c>
      <c r="B44" s="38" t="s">
        <v>95</v>
      </c>
      <c r="C44" s="90" t="s">
        <v>128</v>
      </c>
      <c r="D44" s="49">
        <f t="shared" ref="D44:O44" si="16">D52/D37</f>
        <v>267.57361858241251</v>
      </c>
      <c r="E44" s="49">
        <f t="shared" si="16"/>
        <v>270.058510010801</v>
      </c>
      <c r="F44" s="49">
        <f t="shared" si="16"/>
        <v>272.87010153830613</v>
      </c>
      <c r="G44" s="49">
        <f t="shared" si="16"/>
        <v>275.27941669569532</v>
      </c>
      <c r="H44" s="49">
        <f t="shared" si="16"/>
        <v>273.84884845451109</v>
      </c>
      <c r="I44" s="49">
        <f t="shared" si="16"/>
        <v>276.55059590221009</v>
      </c>
      <c r="J44" s="49">
        <f t="shared" si="16"/>
        <v>278.5633240754002</v>
      </c>
      <c r="K44" s="49">
        <f t="shared" si="16"/>
        <v>277.34159653563461</v>
      </c>
      <c r="L44" s="49">
        <f t="shared" si="16"/>
        <v>280.29563950066455</v>
      </c>
      <c r="M44" s="49">
        <f t="shared" si="16"/>
        <v>282.09668929197869</v>
      </c>
      <c r="N44" s="49">
        <f t="shared" si="16"/>
        <v>285.34447261954898</v>
      </c>
      <c r="O44" s="49">
        <f t="shared" si="16"/>
        <v>288.6165141181902</v>
      </c>
      <c r="P44" s="49">
        <f t="shared" ref="P44:Q44" si="17">P52/P37</f>
        <v>293.08717325022917</v>
      </c>
      <c r="Q44" s="49">
        <f t="shared" si="17"/>
        <v>297.9352749616649</v>
      </c>
      <c r="R44" s="49">
        <f t="shared" ref="R44" si="18">R52/R37</f>
        <v>302.19967164160249</v>
      </c>
      <c r="S44" s="49">
        <f t="shared" si="9"/>
        <v>293.43662131824715</v>
      </c>
      <c r="T44" s="24"/>
    </row>
    <row r="45" spans="1:4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S45" s="24"/>
      <c r="T45" s="24"/>
    </row>
    <row r="46" spans="1:41" x14ac:dyDescent="0.3">
      <c r="A46" s="25" t="s">
        <v>88</v>
      </c>
      <c r="B46" s="25" t="s">
        <v>88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S46" s="24"/>
      <c r="T46" s="24"/>
    </row>
    <row r="47" spans="1:41" x14ac:dyDescent="0.3">
      <c r="C47" s="25"/>
      <c r="D47" s="18">
        <v>2006</v>
      </c>
      <c r="E47" s="18">
        <v>2007</v>
      </c>
      <c r="F47" s="18">
        <v>2008</v>
      </c>
      <c r="G47" s="18">
        <v>2009</v>
      </c>
      <c r="H47" s="18">
        <v>2010</v>
      </c>
      <c r="I47" s="18">
        <v>2011</v>
      </c>
      <c r="J47" s="18">
        <v>2012</v>
      </c>
      <c r="K47" s="18">
        <v>2013</v>
      </c>
      <c r="L47" s="18">
        <v>2014</v>
      </c>
      <c r="M47" s="18">
        <v>2015</v>
      </c>
      <c r="N47" s="18">
        <v>2016</v>
      </c>
      <c r="O47" s="18">
        <v>2017</v>
      </c>
      <c r="P47" s="18">
        <v>2018</v>
      </c>
      <c r="Q47" s="18">
        <v>2019</v>
      </c>
      <c r="R47" s="18">
        <v>2020</v>
      </c>
      <c r="S47" s="18" t="s">
        <v>124</v>
      </c>
      <c r="T47" s="24"/>
    </row>
    <row r="48" spans="1:41" x14ac:dyDescent="0.3">
      <c r="A48" s="38" t="s">
        <v>37</v>
      </c>
      <c r="B48" s="38" t="s">
        <v>91</v>
      </c>
      <c r="C48" s="38" t="s">
        <v>89</v>
      </c>
      <c r="D48" s="74">
        <f>'[6]Extracted Data'!D$83</f>
        <v>778839</v>
      </c>
      <c r="E48" s="74">
        <f>'[6]Extracted Data'!E$83</f>
        <v>779426</v>
      </c>
      <c r="F48" s="74">
        <f>'[6]Extracted Data'!F$83</f>
        <v>781110</v>
      </c>
      <c r="G48" s="74">
        <f>'[6]Extracted Data'!G$83</f>
        <v>814467</v>
      </c>
      <c r="H48" s="74">
        <f>'[6]Extracted Data'!H$83</f>
        <v>826964</v>
      </c>
      <c r="I48" s="74">
        <f>'[6]Extracted Data'!I$83</f>
        <v>836055</v>
      </c>
      <c r="J48" s="74">
        <f>'[6]Extracted Data'!J$83</f>
        <v>844153</v>
      </c>
      <c r="K48" s="74">
        <f>'[6]Extracted Data'!K$83</f>
        <v>847766</v>
      </c>
      <c r="L48" s="74">
        <f>'[6]Extracted Data'!L$83</f>
        <v>851766.5</v>
      </c>
      <c r="M48" s="74">
        <f>'[6]Extracted Data'!M$83</f>
        <v>853939</v>
      </c>
      <c r="N48" s="74">
        <f>'[6]Extracted Data'!N$83</f>
        <v>858646.5</v>
      </c>
      <c r="O48" s="74">
        <f>'[6]Extracted Data'!O$83</f>
        <v>878299.5</v>
      </c>
      <c r="P48" s="74">
        <f>'[6]Extracted Data'!P$83</f>
        <v>894397</v>
      </c>
      <c r="Q48" s="74">
        <f>'[6]Extracted Data'!Q$83</f>
        <v>906197.5</v>
      </c>
      <c r="R48" s="74">
        <f>'[6]Extracted Data'!R$83</f>
        <v>914602.99999999965</v>
      </c>
      <c r="S48" s="49">
        <f>AVERAGE(N48:R48)</f>
        <v>890428.7</v>
      </c>
      <c r="T48" s="24"/>
    </row>
    <row r="49" spans="1:20" x14ac:dyDescent="0.3">
      <c r="A49" s="38" t="s">
        <v>21</v>
      </c>
      <c r="B49" s="38" t="s">
        <v>92</v>
      </c>
      <c r="C49" s="38" t="s">
        <v>89</v>
      </c>
      <c r="D49" s="74">
        <f>'[6]Extracted Data'!S$83</f>
        <v>1836193.56238094</v>
      </c>
      <c r="E49" s="74">
        <f>'[6]Extracted Data'!T$83</f>
        <v>1871223.97666665</v>
      </c>
      <c r="F49" s="74">
        <f>'[6]Extracted Data'!U$83</f>
        <v>1911491.9433333301</v>
      </c>
      <c r="G49" s="74">
        <f>'[6]Extracted Data'!V$83</f>
        <v>1950651.6833333101</v>
      </c>
      <c r="H49" s="74">
        <f>'[6]Extracted Data'!W$83</f>
        <v>1984514.33333332</v>
      </c>
      <c r="I49" s="74">
        <f>'[6]Extracted Data'!X$83</f>
        <v>2015522.49999999</v>
      </c>
      <c r="J49" s="74">
        <f>'[6]Extracted Data'!Y$83</f>
        <v>2043128.49999999</v>
      </c>
      <c r="K49" s="74">
        <f>'[6]Extracted Data'!Z$83</f>
        <v>2070142.49999999</v>
      </c>
      <c r="L49" s="74">
        <f>'[6]Extracted Data'!AA$83</f>
        <v>2098413</v>
      </c>
      <c r="M49" s="74">
        <f>'[6]Extracted Data'!AB$83</f>
        <v>2125481.5</v>
      </c>
      <c r="N49" s="74">
        <f>'[6]Extracted Data'!AC$83</f>
        <v>2160875.5</v>
      </c>
      <c r="O49" s="74">
        <f>'[6]Extracted Data'!AD$83</f>
        <v>2193748</v>
      </c>
      <c r="P49" s="74">
        <f>'[6]Extracted Data'!AE$83</f>
        <v>2233927</v>
      </c>
      <c r="Q49" s="74">
        <f>'[6]Extracted Data'!AF$83</f>
        <v>2262241</v>
      </c>
      <c r="R49" s="74">
        <f>'[6]Extracted Data'!AG$83</f>
        <v>2278501</v>
      </c>
      <c r="S49" s="49">
        <f t="shared" ref="S49:S52" si="19">AVERAGE(N49:R49)</f>
        <v>2225858.5</v>
      </c>
      <c r="T49" s="24"/>
    </row>
    <row r="50" spans="1:20" x14ac:dyDescent="0.3">
      <c r="A50" s="38" t="s">
        <v>35</v>
      </c>
      <c r="B50" s="38" t="s">
        <v>93</v>
      </c>
      <c r="C50" s="38" t="s">
        <v>89</v>
      </c>
      <c r="D50" s="74">
        <f>'[6]Extracted Data'!AH$83</f>
        <v>2470249.51547518</v>
      </c>
      <c r="E50" s="74">
        <f>'[6]Extracted Data'!AI$83</f>
        <v>2509726.8842806499</v>
      </c>
      <c r="F50" s="74">
        <f>'[6]Extracted Data'!AJ$83</f>
        <v>2545782.2358690398</v>
      </c>
      <c r="G50" s="74">
        <f>'[6]Extracted Data'!AK$83</f>
        <v>2578966.0261046896</v>
      </c>
      <c r="H50" s="74">
        <f>'[6]Extracted Data'!AL$83</f>
        <v>2614510.15936684</v>
      </c>
      <c r="I50" s="74">
        <f>'[6]Extracted Data'!AM$83</f>
        <v>2648682.9193331702</v>
      </c>
      <c r="J50" s="74">
        <f>'[6]Extracted Data'!AN$83</f>
        <v>2691638.7355015697</v>
      </c>
      <c r="K50" s="74">
        <f>'[6]Extracted Data'!AO$83</f>
        <v>2734055.2325656302</v>
      </c>
      <c r="L50" s="74">
        <f>'[6]Extracted Data'!AP$83</f>
        <v>2760731.8908079602</v>
      </c>
      <c r="M50" s="74">
        <f>'[6]Extracted Data'!AQ$83</f>
        <v>2808308.1834702599</v>
      </c>
      <c r="N50" s="74">
        <f>'[6]Extracted Data'!AR$83</f>
        <v>2857670</v>
      </c>
      <c r="O50" s="74">
        <f>'[6]Extracted Data'!AS$83</f>
        <v>2914087</v>
      </c>
      <c r="P50" s="74">
        <f>'[6]Extracted Data'!AT$83</f>
        <v>2959040</v>
      </c>
      <c r="Q50" s="74">
        <f>'[6]Extracted Data'!AU$83</f>
        <v>3019187</v>
      </c>
      <c r="R50" s="74">
        <f>'[6]Extracted Data'!AV$83</f>
        <v>3056690</v>
      </c>
      <c r="S50" s="49">
        <f t="shared" si="19"/>
        <v>2961334.8</v>
      </c>
      <c r="T50" s="24"/>
    </row>
    <row r="51" spans="1:20" x14ac:dyDescent="0.3">
      <c r="A51" s="38" t="s">
        <v>29</v>
      </c>
      <c r="B51" s="38" t="s">
        <v>94</v>
      </c>
      <c r="C51" s="38" t="s">
        <v>89</v>
      </c>
      <c r="D51" s="74">
        <f>'[6]Extracted Data'!AW$83</f>
        <v>250642.5242013</v>
      </c>
      <c r="E51" s="74">
        <f>'[6]Extracted Data'!AX$83</f>
        <v>255484.38545674999</v>
      </c>
      <c r="F51" s="74">
        <f>'[6]Extracted Data'!AY$83</f>
        <v>260424.25945124001</v>
      </c>
      <c r="G51" s="74">
        <f>'[6]Extracted Data'!AZ$83</f>
        <v>265464.13023523003</v>
      </c>
      <c r="H51" s="74">
        <f>'[6]Extracted Data'!BA$83</f>
        <v>270606.02202186</v>
      </c>
      <c r="I51" s="74">
        <f>'[6]Extracted Data'!BB$83</f>
        <v>275851.99999998999</v>
      </c>
      <c r="J51" s="74">
        <f>'[6]Extracted Data'!BC$83</f>
        <v>278391.99999998999</v>
      </c>
      <c r="K51" s="74">
        <f>'[6]Extracted Data'!BD$83</f>
        <v>279867.99999998999</v>
      </c>
      <c r="L51" s="74">
        <f>'[6]Extracted Data'!BE$83</f>
        <v>280750</v>
      </c>
      <c r="M51" s="74">
        <f>'[6]Extracted Data'!BF$83</f>
        <v>283059</v>
      </c>
      <c r="N51" s="74">
        <f>'[6]Extracted Data'!BG$83</f>
        <v>285325</v>
      </c>
      <c r="O51" s="74">
        <f>'[6]Extracted Data'!BH$83</f>
        <v>287651.5001</v>
      </c>
      <c r="P51" s="74">
        <f>'[6]Extracted Data'!BI$83</f>
        <v>287936</v>
      </c>
      <c r="Q51" s="74">
        <f>'[6]Extracted Data'!BJ$83</f>
        <v>290446</v>
      </c>
      <c r="R51" s="74">
        <f>'[6]Extracted Data'!BK$83</f>
        <v>293949</v>
      </c>
      <c r="S51" s="49">
        <f t="shared" si="19"/>
        <v>289061.50002000004</v>
      </c>
      <c r="T51" s="22"/>
    </row>
    <row r="52" spans="1:20" x14ac:dyDescent="0.3">
      <c r="A52" s="38" t="s">
        <v>38</v>
      </c>
      <c r="B52" s="38" t="s">
        <v>95</v>
      </c>
      <c r="C52" s="38" t="s">
        <v>89</v>
      </c>
      <c r="D52" s="74">
        <f>'[6]Extracted Data'!BL$83</f>
        <v>3349280.7933019502</v>
      </c>
      <c r="E52" s="74">
        <f>'[6]Extracted Data'!BM$83</f>
        <v>3382886.3052992402</v>
      </c>
      <c r="F52" s="74">
        <f>'[6]Extracted Data'!BN$83</f>
        <v>3417292.5367963999</v>
      </c>
      <c r="G52" s="74">
        <f>'[6]Extracted Data'!BO$83</f>
        <v>3447420.2077966202</v>
      </c>
      <c r="H52" s="74">
        <f>'[6]Extracted Data'!BP$83</f>
        <v>3473076.79272155</v>
      </c>
      <c r="I52" s="74">
        <f>'[6]Extracted Data'!BQ$83</f>
        <v>3507176.7698001899</v>
      </c>
      <c r="J52" s="74">
        <f>'[6]Extracted Data'!BR$83</f>
        <v>3536976.1883934401</v>
      </c>
      <c r="K52" s="74">
        <f>'[6]Extracted Data'!BS$83</f>
        <v>3575936.323899</v>
      </c>
      <c r="L52" s="74">
        <f>'[6]Extracted Data'!BT$83</f>
        <v>3624129</v>
      </c>
      <c r="M52" s="74">
        <f>'[6]Extracted Data'!BU$83</f>
        <v>3674243</v>
      </c>
      <c r="N52" s="74">
        <f>'[6]Extracted Data'!BV$83</f>
        <v>3720662.2206584597</v>
      </c>
      <c r="O52" s="74">
        <f>'[6]Extracted Data'!BW$83</f>
        <v>3774559.4999999898</v>
      </c>
      <c r="P52" s="74">
        <f>'[6]Extracted Data'!BX$83</f>
        <v>3836363</v>
      </c>
      <c r="Q52" s="74">
        <f>'[6]Extracted Data'!BY$83</f>
        <v>3888763</v>
      </c>
      <c r="R52" s="74">
        <f>'[6]Extracted Data'!BZ$83</f>
        <v>3944446.5000000042</v>
      </c>
      <c r="S52" s="49">
        <f t="shared" si="19"/>
        <v>3832958.8441316909</v>
      </c>
      <c r="T52" s="22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data'!D3:Q3</xm:f>
              <xm:sqref>S3</xm:sqref>
            </x14:sparkline>
            <x14:sparkline>
              <xm:f>'Physical data'!D4:Q4</xm:f>
              <xm:sqref>S4</xm:sqref>
            </x14:sparkline>
            <x14:sparkline>
              <xm:f>'Physical data'!D5:Q5</xm:f>
              <xm:sqref>S5</xm:sqref>
            </x14:sparkline>
            <x14:sparkline>
              <xm:f>'Physical data'!D6:Q6</xm:f>
              <xm:sqref>S6</xm:sqref>
            </x14:sparkline>
            <x14:sparkline>
              <xm:f>'Physical data'!D7:Q7</xm:f>
              <xm:sqref>S7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data'!D37:M37</xm:f>
              <xm:sqref>S37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data'!D36:M36</xm:f>
              <xm:sqref>S36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data'!D35:M35</xm:f>
              <xm:sqref>S35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data'!D34:M34</xm:f>
              <xm:sqref>S34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data'!D33:M33</xm:f>
              <xm:sqref>S33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data'!D22:M22</xm:f>
              <xm:sqref>S22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data'!D21:M21</xm:f>
              <xm:sqref>S21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data'!D20:M20</xm:f>
              <xm:sqref>S20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data'!D19:M19</xm:f>
              <xm:sqref>S19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data'!D18:M18</xm:f>
              <xm:sqref>S18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data'!D15:M15</xm:f>
              <xm:sqref>S15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data'!D14:M14</xm:f>
              <xm:sqref>S14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data'!D13:M13</xm:f>
              <xm:sqref>S13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data'!D12:M12</xm:f>
              <xm:sqref>S12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'Physical data'!D11:M11</xm:f>
              <xm:sqref>S11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workbookViewId="0"/>
  </sheetViews>
  <sheetFormatPr defaultRowHeight="14.4" x14ac:dyDescent="0.3"/>
  <sheetData>
    <row r="1" spans="1:47" x14ac:dyDescent="0.3">
      <c r="A1" s="11" t="s">
        <v>84</v>
      </c>
    </row>
    <row r="2" spans="1:47" ht="25.8" x14ac:dyDescent="0.5">
      <c r="B2" s="20" t="s">
        <v>113</v>
      </c>
      <c r="M2" s="50" t="s">
        <v>114</v>
      </c>
      <c r="X2" s="50" t="s">
        <v>115</v>
      </c>
      <c r="AC2" s="10"/>
      <c r="AU2" s="10"/>
    </row>
    <row r="22" spans="2:13" s="17" customFormat="1" x14ac:dyDescent="0.3"/>
    <row r="24" spans="2:13" ht="25.8" x14ac:dyDescent="0.5">
      <c r="B24" s="50"/>
      <c r="C24" s="24"/>
      <c r="L24" s="10"/>
      <c r="M24" s="20"/>
    </row>
    <row r="25" spans="2:13" x14ac:dyDescent="0.3">
      <c r="B25" s="24"/>
      <c r="C25" s="24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4.4" x14ac:dyDescent="0.3"/>
  <cols>
    <col min="1" max="1" width="17.5546875" customWidth="1"/>
    <col min="2" max="6" width="20" customWidth="1"/>
    <col min="7" max="7" width="19.21875" customWidth="1"/>
    <col min="8" max="9" width="17.77734375" customWidth="1"/>
  </cols>
  <sheetData>
    <row r="1" spans="1:9" x14ac:dyDescent="0.3">
      <c r="A1" s="25" t="s">
        <v>59</v>
      </c>
      <c r="B1" s="24"/>
      <c r="C1" s="24"/>
      <c r="D1" s="24"/>
      <c r="E1" s="24"/>
      <c r="F1" s="24"/>
      <c r="G1" s="24"/>
      <c r="H1" s="2"/>
      <c r="I1" s="2"/>
    </row>
    <row r="2" spans="1:9" x14ac:dyDescent="0.3">
      <c r="A2" s="25" t="s">
        <v>54</v>
      </c>
      <c r="B2" s="24"/>
      <c r="C2" s="24"/>
      <c r="D2" s="24"/>
      <c r="E2" s="24"/>
      <c r="F2" s="24"/>
      <c r="G2" s="24"/>
      <c r="H2" s="2"/>
      <c r="I2" s="2"/>
    </row>
    <row r="3" spans="1:9" x14ac:dyDescent="0.3">
      <c r="A3" s="24"/>
      <c r="B3" s="24" t="str">
        <f>'Physical data'!D24</f>
        <v>Circuit line length</v>
      </c>
      <c r="C3" s="24" t="str">
        <f>'Physical data'!E24</f>
        <v>Energy transported</v>
      </c>
      <c r="D3" s="24" t="str">
        <f>'Physical data'!F24</f>
        <v>Maximum demand</v>
      </c>
      <c r="E3" s="24"/>
      <c r="F3" s="24"/>
      <c r="G3" s="24"/>
      <c r="H3" s="2"/>
      <c r="I3" s="2"/>
    </row>
    <row r="4" spans="1:9" s="17" customFormat="1" x14ac:dyDescent="0.3">
      <c r="A4" s="24"/>
      <c r="B4" s="51" t="str">
        <f>'Physical data'!D25</f>
        <v>km</v>
      </c>
      <c r="C4" s="52" t="s">
        <v>71</v>
      </c>
      <c r="D4" s="51" t="str">
        <f>'Physical data'!F25</f>
        <v>MVA</v>
      </c>
      <c r="E4" s="51"/>
      <c r="F4" s="24"/>
      <c r="G4" s="24"/>
    </row>
    <row r="5" spans="1:9" x14ac:dyDescent="0.3">
      <c r="A5" s="24" t="str">
        <f>'Physical data'!B26</f>
        <v>ENT</v>
      </c>
      <c r="B5" s="51">
        <f>'Physical data'!D26</f>
        <v>5519.5789999999997</v>
      </c>
      <c r="C5" s="51">
        <f>'Physical data'!E26/1000</f>
        <v>13572.212</v>
      </c>
      <c r="D5" s="51">
        <f>'Physical data'!F26</f>
        <v>3449</v>
      </c>
      <c r="E5" s="51"/>
      <c r="F5" s="24"/>
      <c r="G5" s="24"/>
      <c r="H5" s="2"/>
      <c r="I5" s="2"/>
    </row>
    <row r="6" spans="1:9" x14ac:dyDescent="0.3">
      <c r="A6" s="24" t="str">
        <f>'Physical data'!B27</f>
        <v>PLK</v>
      </c>
      <c r="B6" s="51">
        <f>'Physical data'!D27</f>
        <v>14528.2</v>
      </c>
      <c r="C6" s="51">
        <f>'Physical data'!E27/1000</f>
        <v>53763.442000000003</v>
      </c>
      <c r="D6" s="51">
        <f>'Physical data'!F27</f>
        <v>12357</v>
      </c>
      <c r="E6" s="51"/>
      <c r="F6" s="24"/>
      <c r="G6" s="24"/>
      <c r="H6" s="2"/>
      <c r="I6" s="2"/>
    </row>
    <row r="7" spans="1:9" x14ac:dyDescent="0.3">
      <c r="A7" s="24" t="str">
        <f>'Physical data'!B28</f>
        <v>ANT</v>
      </c>
      <c r="B7" s="51">
        <f>'Physical data'!D28</f>
        <v>6731.1111999999994</v>
      </c>
      <c r="C7" s="51">
        <f>'Physical data'!E28/1000</f>
        <v>43873.476000000002</v>
      </c>
      <c r="D7" s="51">
        <f>'Physical data'!F28</f>
        <v>9927</v>
      </c>
      <c r="E7" s="51"/>
      <c r="F7" s="24"/>
      <c r="G7" s="24"/>
      <c r="H7" s="2"/>
      <c r="I7" s="2"/>
    </row>
    <row r="8" spans="1:9" x14ac:dyDescent="0.3">
      <c r="A8" s="24" t="str">
        <f>'Physical data'!B29</f>
        <v>TNT</v>
      </c>
      <c r="B8" s="51">
        <f>'Physical data'!D29</f>
        <v>3350.5371820000005</v>
      </c>
      <c r="C8" s="51">
        <f>'Physical data'!E29/1000</f>
        <v>12362.611000000001</v>
      </c>
      <c r="D8" s="51">
        <f>'Physical data'!F29</f>
        <v>2487</v>
      </c>
      <c r="E8" s="51"/>
      <c r="F8" s="24"/>
      <c r="G8" s="24"/>
      <c r="H8" s="2"/>
      <c r="I8" s="2"/>
    </row>
    <row r="9" spans="1:9" x14ac:dyDescent="0.3">
      <c r="A9" s="24" t="str">
        <f>'Physical data'!B30</f>
        <v>TRG</v>
      </c>
      <c r="B9" s="51">
        <f>'Physical data'!D30</f>
        <v>13052.451309999999</v>
      </c>
      <c r="C9" s="51">
        <f>'Physical data'!E30/1000</f>
        <v>74040</v>
      </c>
      <c r="D9" s="51">
        <f>'Physical data'!F30</f>
        <v>18560</v>
      </c>
      <c r="E9" s="51"/>
      <c r="F9" s="24"/>
      <c r="G9" s="24"/>
      <c r="H9" s="2"/>
      <c r="I9" s="2"/>
    </row>
    <row r="10" spans="1:9" x14ac:dyDescent="0.3">
      <c r="A10" s="24"/>
      <c r="B10" s="24"/>
      <c r="C10" s="24"/>
      <c r="D10" s="24"/>
      <c r="E10" s="24"/>
      <c r="F10" s="24"/>
      <c r="G10" s="24"/>
      <c r="H10" s="2"/>
      <c r="I10" s="2"/>
    </row>
    <row r="11" spans="1:9" x14ac:dyDescent="0.3">
      <c r="A11" s="25" t="s">
        <v>53</v>
      </c>
      <c r="B11" s="24"/>
      <c r="C11" s="24"/>
      <c r="D11" s="24"/>
      <c r="E11" s="24"/>
      <c r="F11" s="24"/>
      <c r="G11" s="24"/>
      <c r="H11" s="2"/>
      <c r="I11" s="2"/>
    </row>
    <row r="12" spans="1:9" x14ac:dyDescent="0.3">
      <c r="A12" s="24"/>
      <c r="B12" s="24" t="s">
        <v>25</v>
      </c>
      <c r="C12" s="24" t="s">
        <v>26</v>
      </c>
      <c r="D12" s="24" t="s">
        <v>27</v>
      </c>
      <c r="E12" s="24" t="s">
        <v>23</v>
      </c>
      <c r="F12" s="24" t="s">
        <v>28</v>
      </c>
      <c r="G12" s="24"/>
    </row>
    <row r="13" spans="1:9" s="17" customFormat="1" x14ac:dyDescent="0.3">
      <c r="A13" s="24"/>
      <c r="B13" s="24" t="str">
        <f>Opex!$B$15</f>
        <v>$'000 2020</v>
      </c>
      <c r="C13" s="24" t="str">
        <f>Capex!$B$15</f>
        <v>$'000 2020</v>
      </c>
      <c r="D13" s="24" t="str">
        <f>RAB!$B$15</f>
        <v>$'000 2020</v>
      </c>
      <c r="E13" s="24" t="str">
        <f>Depreciation!$B$15</f>
        <v>$'000 2020</v>
      </c>
      <c r="F13" s="24" t="str">
        <f>'Asset cost and Total cost'!$B$11</f>
        <v>$'000 2020</v>
      </c>
      <c r="G13" s="24"/>
    </row>
    <row r="14" spans="1:9" x14ac:dyDescent="0.3">
      <c r="A14" s="24" t="s">
        <v>37</v>
      </c>
      <c r="B14" s="40">
        <f>Opex!R15</f>
        <v>96299.782697807415</v>
      </c>
      <c r="C14" s="40">
        <f>Capex!R15</f>
        <v>155972.5493573728</v>
      </c>
      <c r="D14" s="40">
        <f>RAB!R15</f>
        <v>2372909.5423982712</v>
      </c>
      <c r="E14" s="40">
        <f>ABS(Depreciation!R15)</f>
        <v>111865.72839083264</v>
      </c>
      <c r="F14" s="40">
        <f>'Asset cost and Total cost'!R11</f>
        <v>199038.9398388211</v>
      </c>
      <c r="G14" s="24"/>
    </row>
    <row r="15" spans="1:9" x14ac:dyDescent="0.3">
      <c r="A15" s="24" t="s">
        <v>21</v>
      </c>
      <c r="B15" s="40">
        <f>Opex!R16</f>
        <v>216235.11046474529</v>
      </c>
      <c r="C15" s="40">
        <f>Capex!R16</f>
        <v>147967.11598163305</v>
      </c>
      <c r="D15" s="40">
        <f>RAB!R16</f>
        <v>6874962.1600823756</v>
      </c>
      <c r="E15" s="40">
        <f>ABS(Depreciation!R16)</f>
        <v>292837.08453343995</v>
      </c>
      <c r="F15" s="40">
        <f>'Asset cost and Total cost'!R12</f>
        <v>546916.64063131378</v>
      </c>
      <c r="G15" s="24"/>
    </row>
    <row r="16" spans="1:9" x14ac:dyDescent="0.3">
      <c r="A16" s="24" t="s">
        <v>35</v>
      </c>
      <c r="B16" s="40">
        <f>Opex!R17</f>
        <v>89513.833709619445</v>
      </c>
      <c r="C16" s="40">
        <f>Capex!R17</f>
        <v>151199.74392566382</v>
      </c>
      <c r="D16" s="40">
        <f>RAB!R17</f>
        <v>3078139.0179752288</v>
      </c>
      <c r="E16" s="40">
        <f>ABS(Depreciation!R17)</f>
        <v>176738.91836871736</v>
      </c>
      <c r="F16" s="40">
        <f>'Asset cost and Total cost'!R13</f>
        <v>294460.32423525536</v>
      </c>
      <c r="G16" s="24"/>
    </row>
    <row r="17" spans="1:7" x14ac:dyDescent="0.3">
      <c r="A17" s="24" t="s">
        <v>29</v>
      </c>
      <c r="B17" s="40">
        <f>Opex!R18</f>
        <v>32902.525500413714</v>
      </c>
      <c r="C17" s="40">
        <f>Capex!R18</f>
        <v>46442.065254101683</v>
      </c>
      <c r="D17" s="40">
        <f>RAB!R18</f>
        <v>1443912.2602873235</v>
      </c>
      <c r="E17" s="40">
        <f>ABS(Depreciation!R18)</f>
        <v>62549.463705809299</v>
      </c>
      <c r="F17" s="40">
        <f>'Asset cost and Total cost'!R14</f>
        <v>115948.02489697158</v>
      </c>
      <c r="G17" s="24"/>
    </row>
    <row r="18" spans="1:7" x14ac:dyDescent="0.3">
      <c r="A18" s="24" t="s">
        <v>38</v>
      </c>
      <c r="B18" s="40">
        <f>Opex!R19</f>
        <v>169368.70775311714</v>
      </c>
      <c r="C18" s="40">
        <f>Capex!R19</f>
        <v>235047.095500975</v>
      </c>
      <c r="D18" s="40">
        <f>RAB!R19</f>
        <v>6424142.6794355055</v>
      </c>
      <c r="E18" s="40">
        <f>ABS(Depreciation!R19)</f>
        <v>279645.12223732693</v>
      </c>
      <c r="F18" s="40">
        <f>'Asset cost and Total cost'!R15</f>
        <v>500376.45876845159</v>
      </c>
      <c r="G18" s="24"/>
    </row>
    <row r="19" spans="1:7" x14ac:dyDescent="0.3">
      <c r="A19" s="24"/>
      <c r="B19" s="24"/>
      <c r="C19" s="24"/>
      <c r="D19" s="24"/>
      <c r="E19" s="24"/>
      <c r="F19" s="24"/>
      <c r="G19" s="24"/>
    </row>
    <row r="20" spans="1:7" x14ac:dyDescent="0.3">
      <c r="A20" s="24"/>
      <c r="B20" s="24"/>
      <c r="C20" s="24"/>
      <c r="D20" s="24"/>
      <c r="E20" s="24"/>
      <c r="F20" s="24"/>
      <c r="G20" s="24"/>
    </row>
    <row r="21" spans="1:7" x14ac:dyDescent="0.3">
      <c r="A21" s="24"/>
      <c r="B21" s="24"/>
      <c r="C21" s="24"/>
      <c r="D21" s="24"/>
      <c r="E21" s="24"/>
      <c r="F21" s="24"/>
      <c r="G21" s="24"/>
    </row>
    <row r="22" spans="1:7" x14ac:dyDescent="0.3">
      <c r="E22" s="2"/>
    </row>
    <row r="23" spans="1:7" x14ac:dyDescent="0.3">
      <c r="E23" s="2"/>
    </row>
    <row r="24" spans="1:7" x14ac:dyDescent="0.3">
      <c r="E24" s="2"/>
    </row>
    <row r="25" spans="1:7" x14ac:dyDescent="0.3">
      <c r="E25" s="2"/>
    </row>
    <row r="26" spans="1:7" x14ac:dyDescent="0.3">
      <c r="E26" s="2"/>
    </row>
    <row r="27" spans="1:7" x14ac:dyDescent="0.3">
      <c r="E2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"/>
  <sheetViews>
    <sheetView zoomScaleNormal="100" workbookViewId="0"/>
  </sheetViews>
  <sheetFormatPr defaultRowHeight="14.4" x14ac:dyDescent="0.3"/>
  <cols>
    <col min="21" max="21" width="9.21875" customWidth="1"/>
  </cols>
  <sheetData>
    <row r="1" spans="1:15" ht="21" x14ac:dyDescent="0.4">
      <c r="A1" s="11" t="s">
        <v>86</v>
      </c>
      <c r="O1" s="20" t="s">
        <v>111</v>
      </c>
    </row>
    <row r="2" spans="1:15" ht="21" x14ac:dyDescent="0.4">
      <c r="A2" s="50" t="s">
        <v>119</v>
      </c>
    </row>
    <row r="20" spans="1:16" s="17" customFormat="1" x14ac:dyDescent="0.3"/>
    <row r="21" spans="1:16" s="17" customFormat="1" x14ac:dyDescent="0.3"/>
    <row r="22" spans="1:16" s="17" customFormat="1" x14ac:dyDescent="0.3"/>
    <row r="23" spans="1:16" s="17" customFormat="1" x14ac:dyDescent="0.3"/>
    <row r="24" spans="1:16" s="17" customFormat="1" x14ac:dyDescent="0.3"/>
    <row r="25" spans="1:16" s="17" customFormat="1" x14ac:dyDescent="0.3"/>
    <row r="26" spans="1:16" s="17" customFormat="1" x14ac:dyDescent="0.3"/>
    <row r="27" spans="1:16" ht="21" x14ac:dyDescent="0.4">
      <c r="A27" s="50" t="s">
        <v>120</v>
      </c>
      <c r="P27" s="50" t="s">
        <v>116</v>
      </c>
    </row>
    <row r="31" spans="1:16" s="17" customFormat="1" x14ac:dyDescent="0.3"/>
    <row r="32" spans="1:16" s="17" customFormat="1" x14ac:dyDescent="0.3"/>
    <row r="33" s="17" customFormat="1" x14ac:dyDescent="0.3"/>
    <row r="34" s="17" customFormat="1" x14ac:dyDescent="0.3"/>
    <row r="35" s="17" customFormat="1" x14ac:dyDescent="0.3"/>
    <row r="36" s="17" customFormat="1" x14ac:dyDescent="0.3"/>
    <row r="37" s="17" customFormat="1" x14ac:dyDescent="0.3"/>
    <row r="38" s="17" customFormat="1" x14ac:dyDescent="0.3"/>
    <row r="39" s="17" customFormat="1" x14ac:dyDescent="0.3"/>
    <row r="40" s="17" customFormat="1" x14ac:dyDescent="0.3"/>
    <row r="41" s="17" customFormat="1" x14ac:dyDescent="0.3"/>
    <row r="50" spans="1:16" s="17" customFormat="1" x14ac:dyDescent="0.3"/>
    <row r="51" spans="1:16" s="17" customFormat="1" x14ac:dyDescent="0.3"/>
    <row r="53" spans="1:16" ht="25.8" x14ac:dyDescent="0.5">
      <c r="A53" s="50" t="s">
        <v>121</v>
      </c>
      <c r="J53" s="10"/>
      <c r="P53" s="50" t="s">
        <v>112</v>
      </c>
    </row>
    <row r="59" spans="1:16" s="17" customFormat="1" x14ac:dyDescent="0.3"/>
    <row r="60" spans="1:16" s="17" customFormat="1" x14ac:dyDescent="0.3"/>
    <row r="61" spans="1:16" s="17" customFormat="1" x14ac:dyDescent="0.3"/>
    <row r="62" spans="1:16" s="17" customFormat="1" x14ac:dyDescent="0.3"/>
    <row r="63" spans="1:16" s="17" customFormat="1" x14ac:dyDescent="0.3"/>
    <row r="64" spans="1:16" s="17" customFormat="1" x14ac:dyDescent="0.3"/>
    <row r="65" spans="1:26" s="17" customFormat="1" x14ac:dyDescent="0.3"/>
    <row r="66" spans="1:26" s="17" customFormat="1" x14ac:dyDescent="0.3"/>
    <row r="67" spans="1:26" s="17" customFormat="1" x14ac:dyDescent="0.3"/>
    <row r="74" spans="1:26" s="17" customFormat="1" ht="21" x14ac:dyDescent="0.4">
      <c r="P74" s="50" t="s">
        <v>117</v>
      </c>
    </row>
    <row r="75" spans="1:26" s="17" customFormat="1" x14ac:dyDescent="0.3"/>
    <row r="76" spans="1:26" ht="21" x14ac:dyDescent="0.4">
      <c r="P76" s="20"/>
      <c r="Z76" s="24"/>
    </row>
    <row r="78" spans="1:26" ht="25.8" x14ac:dyDescent="0.5">
      <c r="A78" s="50" t="s">
        <v>122</v>
      </c>
      <c r="B78" s="2"/>
      <c r="K78" s="10"/>
    </row>
    <row r="98" spans="16:16" s="17" customFormat="1" x14ac:dyDescent="0.3"/>
    <row r="99" spans="16:16" s="17" customFormat="1" x14ac:dyDescent="0.3"/>
    <row r="100" spans="16:16" ht="21" x14ac:dyDescent="0.4">
      <c r="P100" s="50" t="s">
        <v>118</v>
      </c>
    </row>
  </sheetData>
  <pageMargins left="0.7" right="0.7" top="0.75" bottom="0.75" header="0.3" footer="0.3"/>
  <pageSetup paperSize="9" scale="5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4"/>
  <sheetViews>
    <sheetView zoomScaleNormal="100" workbookViewId="0">
      <pane xSplit="2" topLeftCell="C1" activePane="topRight" state="frozen"/>
      <selection pane="topRight" activeCell="C1" sqref="C1"/>
    </sheetView>
  </sheetViews>
  <sheetFormatPr defaultColWidth="9.21875" defaultRowHeight="14.4" x14ac:dyDescent="0.3"/>
  <cols>
    <col min="1" max="1" width="56.21875" style="56" customWidth="1"/>
    <col min="2" max="2" width="50.21875" style="2" customWidth="1"/>
    <col min="3" max="3" width="13.77734375" style="24" bestFit="1" customWidth="1"/>
    <col min="4" max="4" width="13.88671875" style="24" customWidth="1"/>
    <col min="5" max="5" width="14.44140625" style="24" customWidth="1"/>
    <col min="6" max="6" width="15.44140625" style="24" customWidth="1"/>
    <col min="7" max="7" width="15.5546875" style="24" bestFit="1" customWidth="1"/>
    <col min="8" max="8" width="15.5546875" style="2" bestFit="1" customWidth="1"/>
    <col min="9" max="12" width="16.21875" style="2" bestFit="1" customWidth="1"/>
    <col min="13" max="16" width="16.21875" style="17" bestFit="1" customWidth="1"/>
    <col min="17" max="17" width="16.21875" bestFit="1" customWidth="1"/>
    <col min="18" max="18" width="16.21875" style="24" bestFit="1" customWidth="1"/>
    <col min="19" max="19" width="19.77734375" style="2" bestFit="1" customWidth="1"/>
    <col min="20" max="20" width="40.5546875" style="2" bestFit="1" customWidth="1"/>
    <col min="21" max="25" width="25.44140625" style="2" customWidth="1"/>
    <col min="26" max="26" width="14.77734375" style="2" customWidth="1"/>
    <col min="27" max="27" width="14.5546875" style="2" customWidth="1"/>
    <col min="28" max="28" width="19.77734375" style="2" customWidth="1"/>
    <col min="29" max="30" width="21" style="2" customWidth="1"/>
    <col min="31" max="31" width="12.77734375" style="2" customWidth="1"/>
    <col min="32" max="32" width="16" style="2" customWidth="1"/>
    <col min="33" max="33" width="21.21875" style="2" customWidth="1"/>
    <col min="34" max="35" width="18.5546875" style="2" customWidth="1"/>
    <col min="36" max="16384" width="9.21875" style="2"/>
  </cols>
  <sheetData>
    <row r="1" spans="1:25" x14ac:dyDescent="0.3">
      <c r="A1" s="25" t="s">
        <v>85</v>
      </c>
      <c r="B1" s="25" t="s">
        <v>85</v>
      </c>
      <c r="H1" s="24"/>
      <c r="I1" s="24"/>
      <c r="J1" s="24"/>
      <c r="K1" s="24"/>
      <c r="L1" s="24"/>
      <c r="M1" s="24"/>
      <c r="N1" s="24"/>
      <c r="O1" s="24"/>
      <c r="P1" s="24"/>
      <c r="S1" s="24"/>
      <c r="T1" s="24"/>
      <c r="U1" s="24"/>
      <c r="V1" s="24"/>
      <c r="W1" s="24"/>
      <c r="X1" s="24"/>
      <c r="Y1" s="24"/>
    </row>
    <row r="2" spans="1:25" s="16" customFormat="1" ht="43.2" x14ac:dyDescent="0.3">
      <c r="A2" s="25" t="s">
        <v>110</v>
      </c>
      <c r="B2" s="25" t="s">
        <v>110</v>
      </c>
      <c r="C2" s="25"/>
      <c r="D2" s="41" t="s">
        <v>72</v>
      </c>
      <c r="E2" s="41" t="s">
        <v>33</v>
      </c>
      <c r="F2" s="41" t="s">
        <v>103</v>
      </c>
      <c r="G2" s="41" t="s">
        <v>137</v>
      </c>
      <c r="H2" s="41"/>
      <c r="I2" s="41"/>
      <c r="J2" s="41"/>
      <c r="K2" s="41"/>
      <c r="L2" s="41"/>
      <c r="M2" s="41"/>
      <c r="N2" s="41"/>
      <c r="O2" s="41"/>
      <c r="P2" s="41"/>
      <c r="R2" s="41"/>
      <c r="S2" s="41"/>
      <c r="T2" s="41"/>
      <c r="U2" s="41"/>
      <c r="V2" s="41"/>
      <c r="W2" s="41"/>
      <c r="X2" s="41"/>
      <c r="Y2" s="41"/>
    </row>
    <row r="3" spans="1:25" s="16" customFormat="1" x14ac:dyDescent="0.3">
      <c r="A3" s="25"/>
      <c r="B3" s="25"/>
      <c r="C3" s="25"/>
      <c r="D3" s="91" t="s">
        <v>133</v>
      </c>
      <c r="E3" s="91" t="s">
        <v>134</v>
      </c>
      <c r="F3" s="91" t="s">
        <v>135</v>
      </c>
      <c r="G3" s="41" t="s">
        <v>136</v>
      </c>
      <c r="H3" s="41"/>
      <c r="I3" s="41"/>
      <c r="J3" s="41"/>
      <c r="K3" s="41"/>
      <c r="L3" s="41"/>
      <c r="M3" s="41"/>
      <c r="N3" s="41"/>
      <c r="O3" s="41"/>
      <c r="P3" s="41"/>
      <c r="R3" s="41"/>
      <c r="S3" s="41"/>
      <c r="T3" s="41"/>
      <c r="U3" s="41"/>
      <c r="V3" s="41"/>
      <c r="W3" s="41"/>
      <c r="X3" s="41"/>
      <c r="Y3" s="41"/>
    </row>
    <row r="4" spans="1:25" x14ac:dyDescent="0.3">
      <c r="A4" s="38" t="s">
        <v>37</v>
      </c>
      <c r="B4" s="38" t="s">
        <v>91</v>
      </c>
      <c r="C4" s="38"/>
      <c r="D4" s="28">
        <f>S13</f>
        <v>85780.754902105953</v>
      </c>
      <c r="E4" s="28">
        <f>S21</f>
        <v>21.911192711811758</v>
      </c>
      <c r="F4" s="28">
        <f>S29</f>
        <v>331.82690159859823</v>
      </c>
      <c r="G4" s="40">
        <f>S45</f>
        <v>53506.589294732163</v>
      </c>
      <c r="H4" s="88"/>
      <c r="I4" s="24"/>
      <c r="J4" s="24"/>
      <c r="K4" s="24"/>
      <c r="L4" s="24"/>
      <c r="M4" s="24"/>
      <c r="N4" s="24"/>
      <c r="O4" s="24"/>
      <c r="P4" s="24"/>
      <c r="S4" s="24"/>
      <c r="T4" s="24"/>
      <c r="U4" s="24"/>
      <c r="V4" s="24"/>
      <c r="W4" s="24"/>
      <c r="X4" s="24"/>
      <c r="Y4" s="24"/>
    </row>
    <row r="5" spans="1:25" x14ac:dyDescent="0.3">
      <c r="A5" s="38" t="s">
        <v>21</v>
      </c>
      <c r="B5" s="38" t="s">
        <v>92</v>
      </c>
      <c r="C5" s="38"/>
      <c r="D5" s="28">
        <f>S14</f>
        <v>61843.125012570155</v>
      </c>
      <c r="E5" s="28">
        <f>S22</f>
        <v>14.203202440125267</v>
      </c>
      <c r="F5" s="28">
        <f>S30</f>
        <v>343.4727311087143</v>
      </c>
      <c r="G5" s="40">
        <f t="shared" ref="G5:G8" si="0">S46</f>
        <v>52344.14138812841</v>
      </c>
      <c r="H5" s="88"/>
      <c r="I5" s="24"/>
      <c r="J5" s="24"/>
      <c r="K5" s="24"/>
      <c r="L5" s="24"/>
      <c r="M5" s="24"/>
      <c r="N5" s="24"/>
      <c r="O5" s="24"/>
      <c r="P5" s="24"/>
      <c r="S5" s="24"/>
      <c r="T5" s="24"/>
      <c r="U5" s="24"/>
      <c r="V5" s="24"/>
      <c r="W5" s="24"/>
      <c r="X5" s="24"/>
      <c r="Y5" s="24"/>
    </row>
    <row r="6" spans="1:25" x14ac:dyDescent="0.3">
      <c r="A6" s="38" t="s">
        <v>35</v>
      </c>
      <c r="B6" s="38" t="s">
        <v>93</v>
      </c>
      <c r="C6" s="38"/>
      <c r="D6" s="28">
        <f>S15</f>
        <v>38723.373783335075</v>
      </c>
      <c r="E6" s="28">
        <f>S23</f>
        <v>8.7765026808886013</v>
      </c>
      <c r="F6" s="28">
        <f>S31</f>
        <v>129.79365889999036</v>
      </c>
      <c r="G6" s="40">
        <f t="shared" si="0"/>
        <v>58018.756838413501</v>
      </c>
      <c r="H6" s="88"/>
      <c r="I6" s="24"/>
      <c r="J6" s="24"/>
      <c r="K6" s="24"/>
      <c r="L6" s="24"/>
      <c r="M6" s="24"/>
      <c r="N6" s="24"/>
      <c r="O6" s="24"/>
      <c r="P6" s="24"/>
      <c r="S6" s="24"/>
      <c r="T6" s="24"/>
      <c r="U6" s="24"/>
      <c r="V6" s="24"/>
      <c r="W6" s="24"/>
      <c r="X6" s="24"/>
      <c r="Y6" s="24"/>
    </row>
    <row r="7" spans="1:25" x14ac:dyDescent="0.3">
      <c r="A7" s="38" t="s">
        <v>29</v>
      </c>
      <c r="B7" s="38" t="s">
        <v>94</v>
      </c>
      <c r="C7" s="38"/>
      <c r="D7" s="28">
        <f>S16</f>
        <v>59836.657279965744</v>
      </c>
      <c r="E7" s="28">
        <f>S24</f>
        <v>12.070099461098099</v>
      </c>
      <c r="F7" s="28">
        <f>S32</f>
        <v>515.46439159256863</v>
      </c>
      <c r="G7" s="40">
        <f t="shared" si="0"/>
        <v>42297.75969195566</v>
      </c>
      <c r="H7" s="88"/>
      <c r="I7" s="24"/>
      <c r="J7" s="24"/>
      <c r="K7" s="24"/>
      <c r="L7" s="24"/>
      <c r="M7" s="24"/>
      <c r="N7" s="24"/>
      <c r="O7" s="24"/>
      <c r="P7" s="24"/>
      <c r="S7" s="24"/>
      <c r="T7" s="24"/>
      <c r="U7" s="24"/>
      <c r="V7" s="24"/>
      <c r="W7" s="24"/>
      <c r="X7" s="24"/>
      <c r="Y7" s="24"/>
    </row>
    <row r="8" spans="1:25" x14ac:dyDescent="0.3">
      <c r="A8" s="38" t="s">
        <v>38</v>
      </c>
      <c r="B8" s="38" t="s">
        <v>95</v>
      </c>
      <c r="C8" s="38"/>
      <c r="D8" s="28">
        <f>S17</f>
        <v>36119.431943164025</v>
      </c>
      <c r="E8" s="28">
        <f>S25</f>
        <v>9.0487373907647886</v>
      </c>
      <c r="F8" s="28">
        <f>S33</f>
        <v>175.05807164063518</v>
      </c>
      <c r="G8" s="40">
        <f t="shared" si="0"/>
        <v>51272.789003661848</v>
      </c>
      <c r="H8" s="88"/>
      <c r="I8" s="24"/>
      <c r="J8" s="24"/>
      <c r="K8" s="24"/>
      <c r="L8" s="24"/>
      <c r="M8" s="24"/>
      <c r="N8" s="24"/>
      <c r="O8" s="24"/>
      <c r="P8" s="24"/>
      <c r="S8" s="24"/>
      <c r="T8" s="24"/>
      <c r="U8" s="24"/>
      <c r="V8" s="24"/>
      <c r="W8" s="24"/>
      <c r="X8" s="24"/>
      <c r="Y8" s="24"/>
    </row>
    <row r="9" spans="1:25" x14ac:dyDescent="0.3">
      <c r="A9" s="24"/>
      <c r="B9" s="24"/>
      <c r="H9" s="24"/>
      <c r="I9" s="24"/>
      <c r="J9" s="24"/>
      <c r="K9" s="24"/>
      <c r="L9" s="24"/>
      <c r="M9" s="24"/>
      <c r="N9" s="24"/>
      <c r="O9" s="24"/>
      <c r="P9" s="24"/>
      <c r="S9" s="24"/>
      <c r="T9" s="24"/>
      <c r="U9" s="24"/>
      <c r="V9" s="24"/>
      <c r="W9" s="24"/>
      <c r="X9" s="24"/>
      <c r="Y9" s="24"/>
    </row>
    <row r="10" spans="1:25" x14ac:dyDescent="0.3">
      <c r="A10" s="14" t="s">
        <v>32</v>
      </c>
      <c r="B10" s="14" t="s">
        <v>32</v>
      </c>
      <c r="C10" s="14"/>
      <c r="H10" s="24"/>
      <c r="I10" s="24"/>
      <c r="J10" s="24"/>
      <c r="K10" s="24"/>
      <c r="L10" s="24"/>
      <c r="M10" s="24"/>
      <c r="N10" s="24"/>
      <c r="O10" s="24"/>
      <c r="P10" s="24"/>
      <c r="S10" s="24"/>
      <c r="T10" s="24"/>
      <c r="U10" s="24"/>
      <c r="V10" s="24"/>
      <c r="W10" s="24"/>
      <c r="X10" s="24"/>
      <c r="Y10" s="24"/>
    </row>
    <row r="11" spans="1:25" x14ac:dyDescent="0.3">
      <c r="A11" s="24"/>
      <c r="B11" s="24"/>
      <c r="H11" s="24"/>
      <c r="I11" s="24"/>
      <c r="J11" s="24"/>
      <c r="K11" s="24"/>
      <c r="L11" s="24"/>
      <c r="M11" s="24"/>
      <c r="N11" s="24"/>
      <c r="O11" s="24"/>
      <c r="P11" s="24"/>
      <c r="S11" s="24"/>
      <c r="T11" s="24"/>
      <c r="U11" s="24"/>
      <c r="V11" s="24"/>
      <c r="W11" s="24"/>
      <c r="X11" s="24"/>
      <c r="Y11" s="24"/>
    </row>
    <row r="12" spans="1:25" s="11" customFormat="1" x14ac:dyDescent="0.3">
      <c r="A12" s="42" t="s">
        <v>48</v>
      </c>
      <c r="B12" s="42" t="s">
        <v>48</v>
      </c>
      <c r="C12" s="42"/>
      <c r="D12" s="43">
        <v>2006</v>
      </c>
      <c r="E12" s="43">
        <v>2007</v>
      </c>
      <c r="F12" s="43">
        <v>2008</v>
      </c>
      <c r="G12" s="43">
        <v>2009</v>
      </c>
      <c r="H12" s="43">
        <v>2010</v>
      </c>
      <c r="I12" s="43">
        <v>2011</v>
      </c>
      <c r="J12" s="43">
        <v>2012</v>
      </c>
      <c r="K12" s="43">
        <v>2013</v>
      </c>
      <c r="L12" s="43">
        <v>2014</v>
      </c>
      <c r="M12" s="43">
        <v>2015</v>
      </c>
      <c r="N12" s="43">
        <v>2016</v>
      </c>
      <c r="O12" s="43">
        <v>2017</v>
      </c>
      <c r="P12" s="43">
        <v>2018</v>
      </c>
      <c r="Q12" s="43">
        <v>2019</v>
      </c>
      <c r="R12" s="43">
        <v>2020</v>
      </c>
      <c r="S12" s="43" t="s">
        <v>24</v>
      </c>
      <c r="T12" s="25" t="s">
        <v>109</v>
      </c>
      <c r="U12" s="25"/>
      <c r="V12" s="25"/>
      <c r="W12" s="25"/>
      <c r="X12" s="25"/>
      <c r="Y12" s="25"/>
    </row>
    <row r="13" spans="1:25" x14ac:dyDescent="0.3">
      <c r="A13" s="38" t="s">
        <v>37</v>
      </c>
      <c r="B13" s="38" t="s">
        <v>91</v>
      </c>
      <c r="C13" s="38" t="s">
        <v>130</v>
      </c>
      <c r="D13" s="28">
        <f>D53/'Physical data'!D11</f>
        <v>51273.715144251517</v>
      </c>
      <c r="E13" s="28">
        <f>E53/'Physical data'!E11</f>
        <v>55902.932489210871</v>
      </c>
      <c r="F13" s="28">
        <f>F53/'Physical data'!F11</f>
        <v>44332.301387736108</v>
      </c>
      <c r="G13" s="28">
        <f>G53/'Physical data'!G11</f>
        <v>58401.352884288579</v>
      </c>
      <c r="H13" s="28">
        <f>H53/'Physical data'!H11</f>
        <v>55570.961060031383</v>
      </c>
      <c r="I13" s="28">
        <f>I53/'Physical data'!I11</f>
        <v>56690.313611575199</v>
      </c>
      <c r="J13" s="28">
        <f>J53/'Physical data'!J11</f>
        <v>68854.085661863021</v>
      </c>
      <c r="K13" s="28">
        <f>K53/'Physical data'!K11</f>
        <v>60570.787368445526</v>
      </c>
      <c r="L13" s="28">
        <f>L53/'Physical data'!L11</f>
        <v>70618.927531038105</v>
      </c>
      <c r="M13" s="28">
        <f>M53/'Physical data'!M11</f>
        <v>97509.3031888353</v>
      </c>
      <c r="N13" s="28">
        <f>N53/'Physical data'!N11</f>
        <v>91229.409897651509</v>
      </c>
      <c r="O13" s="28">
        <f>O53/'Physical data'!O11</f>
        <v>84108.776248952519</v>
      </c>
      <c r="P13" s="28">
        <f>P53/'Physical data'!P11</f>
        <v>87608.560317442782</v>
      </c>
      <c r="Q13" s="28">
        <f>Q53/'Physical data'!Q11</f>
        <v>79982.655688475788</v>
      </c>
      <c r="R13" s="28">
        <f>R53/'Physical data'!R11</f>
        <v>85974.372358007182</v>
      </c>
      <c r="S13" s="28">
        <f>AVERAGE(N13:R13)</f>
        <v>85780.754902105953</v>
      </c>
      <c r="T13" s="71">
        <f>R13/D13-1</f>
        <v>0.67677282826356855</v>
      </c>
      <c r="U13" s="64">
        <f>R13/R15</f>
        <v>2.3694723578067616</v>
      </c>
      <c r="V13" s="24"/>
      <c r="W13" s="24"/>
      <c r="X13" s="24"/>
      <c r="Y13" s="24"/>
    </row>
    <row r="14" spans="1:25" x14ac:dyDescent="0.3">
      <c r="A14" s="38" t="s">
        <v>21</v>
      </c>
      <c r="B14" s="38" t="s">
        <v>92</v>
      </c>
      <c r="C14" s="38" t="s">
        <v>130</v>
      </c>
      <c r="D14" s="28">
        <f>D54/'Physical data'!D12</f>
        <v>48576.114338248699</v>
      </c>
      <c r="E14" s="28">
        <f>E54/'Physical data'!E12</f>
        <v>49303.041334168767</v>
      </c>
      <c r="F14" s="28">
        <f>F54/'Physical data'!F12</f>
        <v>48109.235117268887</v>
      </c>
      <c r="G14" s="28">
        <f>G54/'Physical data'!G12</f>
        <v>62532.579172799677</v>
      </c>
      <c r="H14" s="28">
        <f>H54/'Physical data'!H12</f>
        <v>61133.439150427417</v>
      </c>
      <c r="I14" s="28">
        <f>I54/'Physical data'!I12</f>
        <v>66509.022125918767</v>
      </c>
      <c r="J14" s="28">
        <f>J54/'Physical data'!J12</f>
        <v>81287.198086298929</v>
      </c>
      <c r="K14" s="28">
        <f>K54/'Physical data'!K12</f>
        <v>66829.852440624003</v>
      </c>
      <c r="L14" s="28">
        <f>L54/'Physical data'!L12</f>
        <v>61687.998124414909</v>
      </c>
      <c r="M14" s="28">
        <f>M54/'Physical data'!M12</f>
        <v>78858.4887582222</v>
      </c>
      <c r="N14" s="28">
        <f>N54/'Physical data'!N12</f>
        <v>72145.436246918034</v>
      </c>
      <c r="O14" s="28">
        <f>O54/'Physical data'!O12</f>
        <v>63734.554280946722</v>
      </c>
      <c r="P14" s="28">
        <f>P54/'Physical data'!P12</f>
        <v>58199.671789048298</v>
      </c>
      <c r="Q14" s="28">
        <f>Q54/'Physical data'!Q12</f>
        <v>59392.012156217337</v>
      </c>
      <c r="R14" s="28">
        <f>R54/'Physical data'!R12</f>
        <v>55743.950589720407</v>
      </c>
      <c r="S14" s="28">
        <f t="shared" ref="S14:S17" si="1">AVERAGE(N14:R14)</f>
        <v>61843.125012570155</v>
      </c>
      <c r="T14" s="71">
        <f t="shared" ref="T14:T17" si="2">R14/D14-1</f>
        <v>0.14755886404499363</v>
      </c>
      <c r="U14" s="64">
        <f>R13/R17</f>
        <v>2.6647335889954804</v>
      </c>
      <c r="V14" s="24"/>
      <c r="W14" s="24"/>
      <c r="X14" s="24"/>
      <c r="Y14" s="24"/>
    </row>
    <row r="15" spans="1:25" x14ac:dyDescent="0.3">
      <c r="A15" s="38" t="s">
        <v>35</v>
      </c>
      <c r="B15" s="38" t="s">
        <v>93</v>
      </c>
      <c r="C15" s="38" t="s">
        <v>130</v>
      </c>
      <c r="D15" s="28">
        <f>D55/'Physical data'!D13</f>
        <v>43368.66144713269</v>
      </c>
      <c r="E15" s="28">
        <f>E55/'Physical data'!E13</f>
        <v>33785.582657140709</v>
      </c>
      <c r="F15" s="28">
        <f>F55/'Physical data'!F13</f>
        <v>35687.191786135998</v>
      </c>
      <c r="G15" s="28">
        <f>G55/'Physical data'!G13</f>
        <v>36881.470108183436</v>
      </c>
      <c r="H15" s="28">
        <f>H55/'Physical data'!H13</f>
        <v>43873.245136413214</v>
      </c>
      <c r="I15" s="28">
        <f>I55/'Physical data'!I13</f>
        <v>43188.985818965761</v>
      </c>
      <c r="J15" s="28">
        <f>J55/'Physical data'!J13</f>
        <v>44828.992163308962</v>
      </c>
      <c r="K15" s="28">
        <f>K55/'Physical data'!K13</f>
        <v>42476.956607111293</v>
      </c>
      <c r="L15" s="28">
        <f>L55/'Physical data'!L13</f>
        <v>33898.170906679377</v>
      </c>
      <c r="M15" s="28">
        <f>M55/'Physical data'!M13</f>
        <v>43979.559466879946</v>
      </c>
      <c r="N15" s="28">
        <f>N55/'Physical data'!N13</f>
        <v>39132.442023406416</v>
      </c>
      <c r="O15" s="28">
        <f>O55/'Physical data'!O13</f>
        <v>42526.962986227452</v>
      </c>
      <c r="P15" s="28">
        <f>P55/'Physical data'!P13</f>
        <v>37410.644602448549</v>
      </c>
      <c r="Q15" s="28">
        <f>Q55/'Physical data'!Q13</f>
        <v>38262.634737195425</v>
      </c>
      <c r="R15" s="28">
        <f>R55/'Physical data'!R13</f>
        <v>36284.184567397548</v>
      </c>
      <c r="S15" s="28">
        <f t="shared" si="1"/>
        <v>38723.373783335075</v>
      </c>
      <c r="T15" s="71">
        <f t="shared" si="2"/>
        <v>-0.163354750719509</v>
      </c>
      <c r="U15" s="24"/>
      <c r="V15" s="24"/>
      <c r="W15" s="24"/>
      <c r="X15" s="24"/>
      <c r="Y15" s="24"/>
    </row>
    <row r="16" spans="1:25" x14ac:dyDescent="0.3">
      <c r="A16" s="38" t="s">
        <v>29</v>
      </c>
      <c r="B16" s="38" t="s">
        <v>94</v>
      </c>
      <c r="C16" s="38" t="s">
        <v>130</v>
      </c>
      <c r="D16" s="28">
        <f>D56/'Physical data'!D14</f>
        <v>55809.242270693532</v>
      </c>
      <c r="E16" s="28">
        <f>E56/'Physical data'!E14</f>
        <v>52445.547040033482</v>
      </c>
      <c r="F16" s="28">
        <f>F56/'Physical data'!F14</f>
        <v>64485.819398318599</v>
      </c>
      <c r="G16" s="28">
        <f>G56/'Physical data'!G14</f>
        <v>59984.513270393261</v>
      </c>
      <c r="H16" s="28">
        <f>H56/'Physical data'!H14</f>
        <v>68973.963618387948</v>
      </c>
      <c r="I16" s="28">
        <f>I56/'Physical data'!I14</f>
        <v>71501.151817475067</v>
      </c>
      <c r="J16" s="28">
        <f>J56/'Physical data'!J14</f>
        <v>85271.290721418714</v>
      </c>
      <c r="K16" s="28">
        <f>K56/'Physical data'!K14</f>
        <v>72849.673745970344</v>
      </c>
      <c r="L16" s="28">
        <f>L56/'Physical data'!L14</f>
        <v>67503.297716063156</v>
      </c>
      <c r="M16" s="28">
        <f>M56/'Physical data'!M14</f>
        <v>70370.802883563898</v>
      </c>
      <c r="N16" s="28">
        <f>N56/'Physical data'!N14</f>
        <v>65258.256915692786</v>
      </c>
      <c r="O16" s="28">
        <f>O56/'Physical data'!O14</f>
        <v>64634.932467332059</v>
      </c>
      <c r="P16" s="28">
        <f>P56/'Physical data'!P14</f>
        <v>57233.85164638851</v>
      </c>
      <c r="Q16" s="28">
        <f>Q56/'Physical data'!Q14</f>
        <v>61562.62791991431</v>
      </c>
      <c r="R16" s="28">
        <f>R56/'Physical data'!R14</f>
        <v>50493.617450501064</v>
      </c>
      <c r="S16" s="28">
        <f t="shared" si="1"/>
        <v>59836.657279965744</v>
      </c>
      <c r="T16" s="71">
        <f t="shared" si="2"/>
        <v>-9.5246317705047989E-2</v>
      </c>
      <c r="U16" s="24"/>
      <c r="V16" s="24"/>
      <c r="W16" s="24"/>
      <c r="X16" s="24"/>
      <c r="Y16" s="24"/>
    </row>
    <row r="17" spans="1:34" x14ac:dyDescent="0.3">
      <c r="A17" s="38" t="s">
        <v>38</v>
      </c>
      <c r="B17" s="38" t="s">
        <v>95</v>
      </c>
      <c r="C17" s="38" t="s">
        <v>130</v>
      </c>
      <c r="D17" s="28">
        <f>D57/'Physical data'!D15</f>
        <v>29502.561888739714</v>
      </c>
      <c r="E17" s="28">
        <f>E57/'Physical data'!E15</f>
        <v>30128.170659693049</v>
      </c>
      <c r="F17" s="28">
        <f>F57/'Physical data'!F15</f>
        <v>26573.460780720976</v>
      </c>
      <c r="G17" s="28">
        <f>G57/'Physical data'!G15</f>
        <v>34740.08030762335</v>
      </c>
      <c r="H17" s="28">
        <f>H57/'Physical data'!H15</f>
        <v>35682.73936942478</v>
      </c>
      <c r="I17" s="28">
        <f>I57/'Physical data'!I15</f>
        <v>34994.34313898359</v>
      </c>
      <c r="J17" s="28">
        <f>J57/'Physical data'!J15</f>
        <v>44549.444858092415</v>
      </c>
      <c r="K17" s="28">
        <f>K57/'Physical data'!K15</f>
        <v>38870.10557799325</v>
      </c>
      <c r="L17" s="28">
        <f>L57/'Physical data'!L15</f>
        <v>38339.956603652565</v>
      </c>
      <c r="M17" s="28">
        <f>M57/'Physical data'!M15</f>
        <v>46650.557663183645</v>
      </c>
      <c r="N17" s="28">
        <f>N57/'Physical data'!N15</f>
        <v>39879.675645534022</v>
      </c>
      <c r="O17" s="28">
        <f>O57/'Physical data'!O15</f>
        <v>39645.381439698664</v>
      </c>
      <c r="P17" s="28">
        <f>P57/'Physical data'!P15</f>
        <v>34890.183410499041</v>
      </c>
      <c r="Q17" s="28">
        <f>Q57/'Physical data'!Q15</f>
        <v>33918.141440180261</v>
      </c>
      <c r="R17" s="28">
        <f>R57/'Physical data'!R15</f>
        <v>32263.777779908116</v>
      </c>
      <c r="S17" s="28">
        <f t="shared" si="1"/>
        <v>36119.431943164025</v>
      </c>
      <c r="T17" s="71">
        <f t="shared" si="2"/>
        <v>9.3592410773732704E-2</v>
      </c>
      <c r="U17" s="24"/>
      <c r="V17" s="24"/>
      <c r="W17" s="24"/>
      <c r="X17" s="24"/>
      <c r="Y17" s="24"/>
    </row>
    <row r="18" spans="1:34" x14ac:dyDescent="0.3">
      <c r="A18" s="24"/>
      <c r="B18" s="24"/>
      <c r="H18" s="24"/>
      <c r="I18" s="24"/>
      <c r="J18" s="24"/>
      <c r="K18" s="24"/>
      <c r="L18" s="24"/>
      <c r="M18" s="24"/>
      <c r="N18" s="24"/>
      <c r="O18" s="24"/>
      <c r="P18" s="24"/>
      <c r="S18" s="24"/>
      <c r="T18" s="24"/>
      <c r="U18" s="24"/>
      <c r="V18" s="24"/>
      <c r="W18" s="24"/>
      <c r="X18" s="24"/>
      <c r="Y18" s="24"/>
    </row>
    <row r="19" spans="1:34" x14ac:dyDescent="0.3">
      <c r="A19" s="24"/>
      <c r="B19" s="24"/>
      <c r="H19" s="24"/>
      <c r="I19" s="24"/>
      <c r="J19" s="24"/>
      <c r="K19" s="24"/>
      <c r="L19" s="24"/>
      <c r="M19" s="24"/>
      <c r="N19" s="24"/>
      <c r="O19" s="24"/>
      <c r="P19" s="24"/>
      <c r="S19" s="24"/>
      <c r="T19" s="24"/>
      <c r="U19" s="24"/>
      <c r="V19" s="24"/>
      <c r="W19" s="24"/>
      <c r="X19" s="24"/>
      <c r="Y19" s="22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11" customFormat="1" x14ac:dyDescent="0.3">
      <c r="A20" s="42" t="s">
        <v>55</v>
      </c>
      <c r="B20" s="42" t="s">
        <v>55</v>
      </c>
      <c r="C20" s="42"/>
      <c r="D20" s="43">
        <v>2006</v>
      </c>
      <c r="E20" s="43">
        <v>2007</v>
      </c>
      <c r="F20" s="43">
        <v>2008</v>
      </c>
      <c r="G20" s="43">
        <v>2009</v>
      </c>
      <c r="H20" s="43">
        <v>2010</v>
      </c>
      <c r="I20" s="43">
        <v>2011</v>
      </c>
      <c r="J20" s="43">
        <v>2012</v>
      </c>
      <c r="K20" s="43">
        <v>2013</v>
      </c>
      <c r="L20" s="43">
        <v>2014</v>
      </c>
      <c r="M20" s="43">
        <v>2015</v>
      </c>
      <c r="N20" s="43">
        <v>2016</v>
      </c>
      <c r="O20" s="43">
        <v>2017</v>
      </c>
      <c r="P20" s="43">
        <v>2018</v>
      </c>
      <c r="Q20" s="43">
        <v>2019</v>
      </c>
      <c r="R20" s="43">
        <v>2020</v>
      </c>
      <c r="S20" s="43" t="s">
        <v>24</v>
      </c>
      <c r="T20" s="25" t="s">
        <v>109</v>
      </c>
      <c r="U20" s="25"/>
      <c r="V20" s="25"/>
      <c r="W20" s="25"/>
      <c r="X20" s="25"/>
      <c r="Y20" s="25"/>
    </row>
    <row r="21" spans="1:34" x14ac:dyDescent="0.3">
      <c r="A21" s="38" t="s">
        <v>37</v>
      </c>
      <c r="B21" s="38" t="s">
        <v>91</v>
      </c>
      <c r="C21" s="38" t="s">
        <v>131</v>
      </c>
      <c r="D21" s="44">
        <f>D53/'Physical data'!D3</f>
        <v>13.508107557451185</v>
      </c>
      <c r="E21" s="44">
        <f>E53/'Physical data'!E3</f>
        <v>15.889674847908623</v>
      </c>
      <c r="F21" s="44">
        <f>F53/'Physical data'!F3</f>
        <v>14.308764629233462</v>
      </c>
      <c r="G21" s="44">
        <f>G53/'Physical data'!G3</f>
        <v>18.433125375033473</v>
      </c>
      <c r="H21" s="44">
        <f>H53/'Physical data'!H3</f>
        <v>17.198145821619207</v>
      </c>
      <c r="I21" s="44">
        <f>I53/'Physical data'!I3</f>
        <v>17.872829475089723</v>
      </c>
      <c r="J21" s="44">
        <f>J53/'Physical data'!J3</f>
        <v>20.705861665014591</v>
      </c>
      <c r="K21" s="44">
        <f>K53/'Physical data'!K3</f>
        <v>18.672655368527028</v>
      </c>
      <c r="L21" s="44">
        <f>L53/'Physical data'!L3</f>
        <v>17.352563626533001</v>
      </c>
      <c r="M21" s="44">
        <f>M53/'Physical data'!M3</f>
        <v>23.011155759199855</v>
      </c>
      <c r="N21" s="44">
        <f>N53/'Physical data'!N3</f>
        <v>20.94793849267003</v>
      </c>
      <c r="O21" s="44">
        <f>O53/'Physical data'!O3</f>
        <v>19.963485768752964</v>
      </c>
      <c r="P21" s="44">
        <f>P53/'Physical data'!P3</f>
        <v>25.46926782381458</v>
      </c>
      <c r="Q21" s="44">
        <f>Q53/'Physical data'!Q3</f>
        <v>21.382648340760287</v>
      </c>
      <c r="R21" s="44">
        <f>R53/'Physical data'!R3</f>
        <v>21.792623133060939</v>
      </c>
      <c r="S21" s="28">
        <f>AVERAGE(N21:R21)</f>
        <v>21.911192711811758</v>
      </c>
      <c r="T21" s="85">
        <f>R21/D21-1</f>
        <v>0.6132994973851793</v>
      </c>
      <c r="U21" s="24"/>
      <c r="V21" s="24"/>
      <c r="W21" s="24"/>
      <c r="X21" s="24"/>
      <c r="Y21" s="24"/>
    </row>
    <row r="22" spans="1:34" x14ac:dyDescent="0.3">
      <c r="A22" s="38" t="s">
        <v>21</v>
      </c>
      <c r="B22" s="38" t="s">
        <v>92</v>
      </c>
      <c r="C22" s="38" t="s">
        <v>131</v>
      </c>
      <c r="D22" s="44">
        <f>D54/'Physical data'!D4</f>
        <v>10.496857066128621</v>
      </c>
      <c r="E22" s="44">
        <f>E54/'Physical data'!E4</f>
        <v>11.13623856943709</v>
      </c>
      <c r="F22" s="44">
        <f>F54/'Physical data'!F4</f>
        <v>10.914026236729555</v>
      </c>
      <c r="G22" s="44">
        <f>G54/'Physical data'!G4</f>
        <v>14.459859114251028</v>
      </c>
      <c r="H22" s="44">
        <f>H54/'Physical data'!H4</f>
        <v>14.167397236558754</v>
      </c>
      <c r="I22" s="44">
        <f>I54/'Physical data'!I4</f>
        <v>15.292860765352589</v>
      </c>
      <c r="J22" s="44">
        <f>J54/'Physical data'!J4</f>
        <v>18.65225097917639</v>
      </c>
      <c r="K22" s="44">
        <f>K54/'Physical data'!K4</f>
        <v>15.801707197723298</v>
      </c>
      <c r="L22" s="44">
        <f>L54/'Physical data'!L4</f>
        <v>14.915182498649285</v>
      </c>
      <c r="M22" s="44">
        <f>M54/'Physical data'!M4</f>
        <v>17.57621150109842</v>
      </c>
      <c r="N22" s="44">
        <f>N54/'Physical data'!N4</f>
        <v>16.367831676740721</v>
      </c>
      <c r="O22" s="44">
        <f>O54/'Physical data'!O4</f>
        <v>14.554034163250671</v>
      </c>
      <c r="P22" s="44">
        <f>P54/'Physical data'!P4</f>
        <v>13.0736593545888</v>
      </c>
      <c r="Q22" s="44">
        <f>Q54/'Physical data'!Q4</f>
        <v>13.804598262815144</v>
      </c>
      <c r="R22" s="44">
        <f>R54/'Physical data'!R4</f>
        <v>13.215888743231012</v>
      </c>
      <c r="S22" s="28">
        <f t="shared" ref="S22:S25" si="3">AVERAGE(N22:R22)</f>
        <v>14.203202440125267</v>
      </c>
      <c r="T22" s="85">
        <f t="shared" ref="T22:T25" si="4">R22/D22-1</f>
        <v>0.2590329333792869</v>
      </c>
      <c r="U22" s="24"/>
      <c r="V22" s="24"/>
      <c r="W22" s="24"/>
      <c r="X22" s="24"/>
      <c r="Y22" s="24"/>
    </row>
    <row r="23" spans="1:34" x14ac:dyDescent="0.3">
      <c r="A23" s="38" t="s">
        <v>35</v>
      </c>
      <c r="B23" s="38" t="s">
        <v>93</v>
      </c>
      <c r="C23" s="38" t="s">
        <v>131</v>
      </c>
      <c r="D23" s="44">
        <f>D55/'Physical data'!D5</f>
        <v>7.7231087417821804</v>
      </c>
      <c r="E23" s="44">
        <f>E55/'Physical data'!E5</f>
        <v>6.9974670925137668</v>
      </c>
      <c r="F23" s="44">
        <f>F55/'Physical data'!F5</f>
        <v>7.7810673831898045</v>
      </c>
      <c r="G23" s="44">
        <f>G55/'Physical data'!G5</f>
        <v>7.963517035004684</v>
      </c>
      <c r="H23" s="44">
        <f>H55/'Physical data'!H5</f>
        <v>8.846363631004829</v>
      </c>
      <c r="I23" s="44">
        <f>I55/'Physical data'!I5</f>
        <v>8.6407061903518283</v>
      </c>
      <c r="J23" s="44">
        <f>J55/'Physical data'!J5</f>
        <v>8.4251020511002572</v>
      </c>
      <c r="K23" s="44">
        <f>K55/'Physical data'!K5</f>
        <v>8.2864162252819344</v>
      </c>
      <c r="L23" s="44">
        <f>L55/'Physical data'!L5</f>
        <v>7.169220157213652</v>
      </c>
      <c r="M23" s="44">
        <f>M55/'Physical data'!M5</f>
        <v>8.3417936325858566</v>
      </c>
      <c r="N23" s="44">
        <f>N55/'Physical data'!N5</f>
        <v>7.9218887491571097</v>
      </c>
      <c r="O23" s="44">
        <f>O55/'Physical data'!O5</f>
        <v>8.7557865849977663</v>
      </c>
      <c r="P23" s="44">
        <f>P55/'Physical data'!P5</f>
        <v>9.2046432118193504</v>
      </c>
      <c r="Q23" s="44">
        <f>Q55/'Physical data'!Q5</f>
        <v>9.1412767605053951</v>
      </c>
      <c r="R23" s="44">
        <f>R55/'Physical data'!R5</f>
        <v>8.8589180979633788</v>
      </c>
      <c r="S23" s="28">
        <f t="shared" si="3"/>
        <v>8.7765026808886013</v>
      </c>
      <c r="T23" s="85">
        <f t="shared" si="4"/>
        <v>0.14706634260326368</v>
      </c>
      <c r="U23" s="24"/>
      <c r="V23" s="24"/>
      <c r="W23" s="24"/>
      <c r="X23" s="24"/>
      <c r="Y23" s="24"/>
    </row>
    <row r="24" spans="1:34" x14ac:dyDescent="0.3">
      <c r="A24" s="38" t="s">
        <v>29</v>
      </c>
      <c r="B24" s="38" t="s">
        <v>94</v>
      </c>
      <c r="C24" s="38" t="s">
        <v>131</v>
      </c>
      <c r="D24" s="44">
        <f>D56/'Physical data'!D6</f>
        <v>14.22640796547662</v>
      </c>
      <c r="E24" s="44">
        <f>E56/'Physical data'!E6</f>
        <v>10.999773186249117</v>
      </c>
      <c r="F24" s="44">
        <f>F56/'Physical data'!F6</f>
        <v>12.535071190139206</v>
      </c>
      <c r="G24" s="44">
        <f>G56/'Physical data'!G6</f>
        <v>11.87888003343855</v>
      </c>
      <c r="H24" s="44">
        <f>H56/'Physical data'!H6</f>
        <v>13.945292204730743</v>
      </c>
      <c r="I24" s="44">
        <f>I56/'Physical data'!I6</f>
        <v>14.16944789629682</v>
      </c>
      <c r="J24" s="44">
        <f>J56/'Physical data'!J6</f>
        <v>17.53803076317854</v>
      </c>
      <c r="K24" s="44">
        <f>K56/'Physical data'!K6</f>
        <v>14.408618055016513</v>
      </c>
      <c r="L24" s="44">
        <f>L56/'Physical data'!L6</f>
        <v>12.677113235807873</v>
      </c>
      <c r="M24" s="44">
        <f>M56/'Physical data'!M6</f>
        <v>13.445941016387456</v>
      </c>
      <c r="N24" s="44">
        <f>N56/'Physical data'!N6</f>
        <v>14.107609567077827</v>
      </c>
      <c r="O24" s="44">
        <f>O56/'Physical data'!O6</f>
        <v>13.12622408385724</v>
      </c>
      <c r="P24" s="44">
        <f>P56/'Physical data'!P6</f>
        <v>11.669940699753747</v>
      </c>
      <c r="Q24" s="44">
        <f>Q56/'Physical data'!Q6</f>
        <v>11.438571885940149</v>
      </c>
      <c r="R24" s="44">
        <f>R56/'Physical data'!R6</f>
        <v>10.008151068861537</v>
      </c>
      <c r="S24" s="28">
        <f t="shared" si="3"/>
        <v>12.070099461098099</v>
      </c>
      <c r="T24" s="85">
        <f t="shared" si="4"/>
        <v>-0.29650892248075367</v>
      </c>
      <c r="U24" s="24"/>
      <c r="V24" s="24"/>
      <c r="W24" s="24"/>
      <c r="X24" s="24"/>
      <c r="Y24" s="24"/>
    </row>
    <row r="25" spans="1:34" x14ac:dyDescent="0.3">
      <c r="A25" s="38" t="s">
        <v>38</v>
      </c>
      <c r="B25" s="38" t="s">
        <v>95</v>
      </c>
      <c r="C25" s="38" t="s">
        <v>131</v>
      </c>
      <c r="D25" s="44">
        <f>D57/'Physical data'!D7</f>
        <v>6.5883021641111998</v>
      </c>
      <c r="E25" s="44">
        <f>E57/'Physical data'!E7</f>
        <v>6.7516141478348279</v>
      </c>
      <c r="F25" s="44">
        <f>F57/'Physical data'!F7</f>
        <v>5.9911075214716387</v>
      </c>
      <c r="G25" s="44">
        <f>G57/'Physical data'!G7</f>
        <v>8.0103514396122897</v>
      </c>
      <c r="H25" s="44">
        <f>H57/'Physical data'!H7</f>
        <v>8.3672924824085406</v>
      </c>
      <c r="I25" s="44">
        <f>I57/'Physical data'!I7</f>
        <v>8.5073967029609214</v>
      </c>
      <c r="J25" s="44">
        <f>J57/'Physical data'!J7</f>
        <v>10.468537956209707</v>
      </c>
      <c r="K25" s="44">
        <f>K57/'Physical data'!K7</f>
        <v>9.5125152891291496</v>
      </c>
      <c r="L25" s="44">
        <f>L57/'Physical data'!L7</f>
        <v>9.6132634061249274</v>
      </c>
      <c r="M25" s="44">
        <f>M57/'Physical data'!M7</f>
        <v>10.345889804335084</v>
      </c>
      <c r="N25" s="44">
        <f>N57/'Physical data'!N7</f>
        <v>9.942301407473856</v>
      </c>
      <c r="O25" s="44">
        <f>O57/'Physical data'!O7</f>
        <v>9.8849151056315332</v>
      </c>
      <c r="P25" s="44">
        <f>P57/'Physical data'!P7</f>
        <v>8.5266630527639649</v>
      </c>
      <c r="Q25" s="44">
        <f>Q57/'Physical data'!Q7</f>
        <v>8.5251242598302532</v>
      </c>
      <c r="R25" s="44">
        <f>R57/'Physical data'!R7</f>
        <v>8.3646831281243266</v>
      </c>
      <c r="S25" s="28">
        <f t="shared" si="3"/>
        <v>9.0487373907647886</v>
      </c>
      <c r="T25" s="85">
        <f t="shared" si="4"/>
        <v>0.26962651678147043</v>
      </c>
      <c r="U25" s="85">
        <f>R25/Q25-1</f>
        <v>-1.8819799784258073E-2</v>
      </c>
      <c r="V25" s="24"/>
      <c r="W25" s="24"/>
      <c r="X25" s="24"/>
      <c r="Y25" s="24"/>
    </row>
    <row r="26" spans="1:34" x14ac:dyDescent="0.3">
      <c r="A26" s="24"/>
      <c r="B26" s="24"/>
      <c r="H26" s="24"/>
      <c r="I26" s="24"/>
      <c r="J26" s="24"/>
      <c r="K26" s="24"/>
      <c r="L26" s="24"/>
      <c r="M26" s="24"/>
      <c r="N26" s="24"/>
      <c r="O26" s="24"/>
      <c r="P26" s="24"/>
      <c r="S26" s="86"/>
      <c r="T26" s="24"/>
      <c r="U26" s="24"/>
      <c r="V26" s="24"/>
      <c r="W26" s="24"/>
      <c r="X26" s="24"/>
      <c r="Y26" s="24"/>
    </row>
    <row r="27" spans="1:34" x14ac:dyDescent="0.3">
      <c r="A27" s="24"/>
      <c r="B27" s="24"/>
      <c r="H27" s="24"/>
      <c r="I27" s="24"/>
      <c r="J27" s="24"/>
      <c r="K27" s="24"/>
      <c r="L27" s="24"/>
      <c r="M27" s="24"/>
      <c r="N27" s="24"/>
      <c r="O27" s="24"/>
      <c r="P27" s="24"/>
      <c r="S27" s="24"/>
      <c r="T27" s="24"/>
      <c r="U27" s="24"/>
      <c r="V27" s="24"/>
      <c r="W27" s="24"/>
      <c r="X27" s="24"/>
      <c r="Y27" s="24"/>
    </row>
    <row r="28" spans="1:34" s="11" customFormat="1" x14ac:dyDescent="0.3">
      <c r="A28" s="42" t="s">
        <v>90</v>
      </c>
      <c r="B28" s="42" t="s">
        <v>90</v>
      </c>
      <c r="C28" s="42"/>
      <c r="D28" s="43">
        <v>2006</v>
      </c>
      <c r="E28" s="43">
        <v>2007</v>
      </c>
      <c r="F28" s="43">
        <v>2008</v>
      </c>
      <c r="G28" s="43">
        <v>2009</v>
      </c>
      <c r="H28" s="43">
        <v>2010</v>
      </c>
      <c r="I28" s="43">
        <v>2011</v>
      </c>
      <c r="J28" s="43">
        <v>2012</v>
      </c>
      <c r="K28" s="43">
        <v>2013</v>
      </c>
      <c r="L28" s="43">
        <v>2014</v>
      </c>
      <c r="M28" s="43">
        <v>2015</v>
      </c>
      <c r="N28" s="43">
        <v>2016</v>
      </c>
      <c r="O28" s="43">
        <v>2017</v>
      </c>
      <c r="P28" s="43">
        <v>2018</v>
      </c>
      <c r="Q28" s="43">
        <v>2019</v>
      </c>
      <c r="R28" s="43">
        <v>2020</v>
      </c>
      <c r="S28" s="43" t="s">
        <v>24</v>
      </c>
      <c r="T28" s="25" t="s">
        <v>109</v>
      </c>
      <c r="U28" s="25"/>
      <c r="V28" s="25"/>
      <c r="W28" s="25"/>
      <c r="X28" s="25"/>
      <c r="Y28" s="25"/>
    </row>
    <row r="29" spans="1:34" x14ac:dyDescent="0.3">
      <c r="A29" s="38" t="s">
        <v>37</v>
      </c>
      <c r="B29" s="38" t="s">
        <v>91</v>
      </c>
      <c r="C29" s="38" t="s">
        <v>132</v>
      </c>
      <c r="D29" s="28">
        <f>D53/'Physical data'!D48</f>
        <v>261.91155721917562</v>
      </c>
      <c r="E29" s="28">
        <f>E53/'Physical data'!E48</f>
        <v>285.19750964049308</v>
      </c>
      <c r="F29" s="28">
        <f>F53/'Physical data'!F48</f>
        <v>239.66691167427129</v>
      </c>
      <c r="G29" s="28">
        <f>G53/'Physical data'!G48</f>
        <v>305.84130511969641</v>
      </c>
      <c r="H29" s="28">
        <f>H53/'Physical data'!H48</f>
        <v>287.96621529842525</v>
      </c>
      <c r="I29" s="28">
        <f>I53/'Physical data'!I48</f>
        <v>296.75361988843053</v>
      </c>
      <c r="J29" s="28">
        <f>J53/'Physical data'!J48</f>
        <v>344.94226256013752</v>
      </c>
      <c r="K29" s="28">
        <f>K53/'Physical data'!K48</f>
        <v>314.60643219379898</v>
      </c>
      <c r="L29" s="28">
        <f>L53/'Physical data'!L48</f>
        <v>284.33817312082726</v>
      </c>
      <c r="M29" s="28">
        <f>M53/'Physical data'!M48</f>
        <v>362.58174669539977</v>
      </c>
      <c r="N29" s="28">
        <f>N53/'Physical data'!N48</f>
        <v>347.60029946165872</v>
      </c>
      <c r="O29" s="28">
        <f>O53/'Physical data'!O48</f>
        <v>330.14939156150962</v>
      </c>
      <c r="P29" s="28">
        <f>P53/'Physical data'!P48</f>
        <v>325.90840778593088</v>
      </c>
      <c r="Q29" s="28">
        <f>Q53/'Physical data'!Q48</f>
        <v>325.31150433274388</v>
      </c>
      <c r="R29" s="28">
        <f>R53/'Physical data'!R48</f>
        <v>330.16490485114815</v>
      </c>
      <c r="S29" s="28">
        <f>AVERAGE(N29:R29)</f>
        <v>331.82690159859823</v>
      </c>
      <c r="T29" s="71">
        <f>R29/D29-1</f>
        <v>0.2605969295767121</v>
      </c>
      <c r="U29" s="85">
        <f>R29/Q29-1</f>
        <v>1.4919240339683837E-2</v>
      </c>
      <c r="V29" s="36"/>
      <c r="W29" s="24"/>
      <c r="X29" s="24"/>
      <c r="Y29" s="24"/>
    </row>
    <row r="30" spans="1:34" x14ac:dyDescent="0.3">
      <c r="A30" s="38" t="s">
        <v>21</v>
      </c>
      <c r="B30" s="38" t="s">
        <v>92</v>
      </c>
      <c r="C30" s="38" t="s">
        <v>132</v>
      </c>
      <c r="D30" s="28">
        <f>D54/'Physical data'!D49</f>
        <v>291.81138255511956</v>
      </c>
      <c r="E30" s="28">
        <f>E54/'Physical data'!E49</f>
        <v>309.25677212377764</v>
      </c>
      <c r="F30" s="28">
        <f>F54/'Physical data'!F49</f>
        <v>292.26376721529419</v>
      </c>
      <c r="G30" s="28">
        <f>G54/'Physical data'!G49</f>
        <v>386.89030193887089</v>
      </c>
      <c r="H30" s="28">
        <f>H54/'Physical data'!H49</f>
        <v>377.28424154057853</v>
      </c>
      <c r="I30" s="28">
        <f>I54/'Physical data'!I49</f>
        <v>393.92293615361194</v>
      </c>
      <c r="J30" s="28">
        <f>J54/'Physical data'!J49</f>
        <v>464.48374991284356</v>
      </c>
      <c r="K30" s="28">
        <f>K54/'Physical data'!K49</f>
        <v>376.57332950977326</v>
      </c>
      <c r="L30" s="28">
        <f>L54/'Physical data'!L49</f>
        <v>338.42968772727403</v>
      </c>
      <c r="M30" s="28">
        <f>M54/'Physical data'!M49</f>
        <v>438.99617231943802</v>
      </c>
      <c r="N30" s="28">
        <f>N54/'Physical data'!N49</f>
        <v>400.4887557332242</v>
      </c>
      <c r="O30" s="28">
        <f>O54/'Physical data'!O49</f>
        <v>359.93394955806258</v>
      </c>
      <c r="P30" s="28">
        <f>P54/'Physical data'!P49</f>
        <v>320.99901188406</v>
      </c>
      <c r="Q30" s="28">
        <f>Q54/'Physical data'!Q49</f>
        <v>328.08541938957273</v>
      </c>
      <c r="R30" s="28">
        <f>R54/'Physical data'!R49</f>
        <v>307.85651897865193</v>
      </c>
      <c r="S30" s="28">
        <f t="shared" ref="S30:S33" si="5">AVERAGE(N30:R30)</f>
        <v>343.4727311087143</v>
      </c>
      <c r="T30" s="71">
        <f t="shared" ref="T30:T33" si="6">R30/D30-1</f>
        <v>5.4984614661155895E-2</v>
      </c>
      <c r="U30" s="85">
        <f t="shared" ref="U30:U33" si="7">R30/Q30-1</f>
        <v>-6.1657419730990037E-2</v>
      </c>
      <c r="V30" s="36"/>
      <c r="W30" s="24"/>
      <c r="X30" s="24"/>
      <c r="Y30" s="24"/>
    </row>
    <row r="31" spans="1:34" x14ac:dyDescent="0.3">
      <c r="A31" s="38" t="s">
        <v>35</v>
      </c>
      <c r="B31" s="38" t="s">
        <v>93</v>
      </c>
      <c r="C31" s="38" t="s">
        <v>132</v>
      </c>
      <c r="D31" s="28">
        <f>D55/'Physical data'!D50</f>
        <v>141.2726543901546</v>
      </c>
      <c r="E31" s="28">
        <f>E55/'Physical data'!E50</f>
        <v>128.13292877674129</v>
      </c>
      <c r="F31" s="28">
        <f>F55/'Physical data'!F50</f>
        <v>137.68324071490838</v>
      </c>
      <c r="G31" s="28">
        <f>G55/'Physical data'!G50</f>
        <v>146.42435623489862</v>
      </c>
      <c r="H31" s="28">
        <f>H55/'Physical data'!H50</f>
        <v>165.71560529609448</v>
      </c>
      <c r="I31" s="28">
        <f>I55/'Physical data'!I50</f>
        <v>156.74522509219872</v>
      </c>
      <c r="J31" s="28">
        <f>J55/'Physical data'!J50</f>
        <v>148.77171806123846</v>
      </c>
      <c r="K31" s="28">
        <f>K55/'Physical data'!K50</f>
        <v>148.68097032958536</v>
      </c>
      <c r="L31" s="28">
        <f>L55/'Physical data'!L50</f>
        <v>125.95725718701715</v>
      </c>
      <c r="M31" s="28">
        <f>M55/'Physical data'!M50</f>
        <v>142.48132024780247</v>
      </c>
      <c r="N31" s="28">
        <f>N55/'Physical data'!N50</f>
        <v>132.52329311253945</v>
      </c>
      <c r="O31" s="28">
        <f>O55/'Physical data'!O50</f>
        <v>140.70526067016144</v>
      </c>
      <c r="P31" s="28">
        <f>P55/'Physical data'!P50</f>
        <v>129.79335798541499</v>
      </c>
      <c r="Q31" s="28">
        <f>Q55/'Physical data'!Q50</f>
        <v>125.59013681048725</v>
      </c>
      <c r="R31" s="28">
        <f>R55/'Physical data'!R50</f>
        <v>120.35624592134876</v>
      </c>
      <c r="S31" s="28">
        <f t="shared" si="5"/>
        <v>129.79365889999036</v>
      </c>
      <c r="T31" s="71">
        <f t="shared" si="6"/>
        <v>-0.14805702178597646</v>
      </c>
      <c r="U31" s="85">
        <f t="shared" si="7"/>
        <v>-4.1674378434958803E-2</v>
      </c>
      <c r="V31" s="36"/>
      <c r="W31" s="24"/>
      <c r="X31" s="24"/>
      <c r="Y31" s="24"/>
    </row>
    <row r="32" spans="1:34" x14ac:dyDescent="0.3">
      <c r="A32" s="38" t="s">
        <v>29</v>
      </c>
      <c r="B32" s="38" t="s">
        <v>94</v>
      </c>
      <c r="C32" s="38" t="s">
        <v>132</v>
      </c>
      <c r="D32" s="28">
        <f>D56/'Physical data'!D51</f>
        <v>597.6863829752258</v>
      </c>
      <c r="E32" s="28">
        <f>E56/'Physical data'!E51</f>
        <v>552.32539189864724</v>
      </c>
      <c r="F32" s="28">
        <f>F56/'Physical data'!F51</f>
        <v>649.81536567469959</v>
      </c>
      <c r="G32" s="28">
        <f>G56/'Physical data'!G51</f>
        <v>600.18649130110236</v>
      </c>
      <c r="H32" s="28">
        <f>H56/'Physical data'!H51</f>
        <v>671.49323755592604</v>
      </c>
      <c r="I32" s="28">
        <f>I56/'Physical data'!I51</f>
        <v>673.32990186797088</v>
      </c>
      <c r="J32" s="28">
        <f>J56/'Physical data'!J51</f>
        <v>793.13002470471838</v>
      </c>
      <c r="K32" s="28">
        <f>K56/'Physical data'!K51</f>
        <v>662.39794730388405</v>
      </c>
      <c r="L32" s="28">
        <f>L56/'Physical data'!L51</f>
        <v>603.26188413037391</v>
      </c>
      <c r="M32" s="28">
        <f>M56/'Physical data'!M51</f>
        <v>622.73671622370023</v>
      </c>
      <c r="N32" s="28">
        <f>N56/'Physical data'!N51</f>
        <v>576.24876298637685</v>
      </c>
      <c r="O32" s="28">
        <f>O56/'Physical data'!O51</f>
        <v>567.05996237169893</v>
      </c>
      <c r="P32" s="28">
        <f>P56/'Physical data'!P51</f>
        <v>503.95868686762265</v>
      </c>
      <c r="Q32" s="28">
        <f>Q56/'Physical data'!Q51</f>
        <v>507.42999195945652</v>
      </c>
      <c r="R32" s="28">
        <f>R56/'Physical data'!R51</f>
        <v>422.62455377768794</v>
      </c>
      <c r="S32" s="28">
        <f t="shared" si="5"/>
        <v>515.46439159256863</v>
      </c>
      <c r="T32" s="71">
        <f t="shared" si="6"/>
        <v>-0.292899142734517</v>
      </c>
      <c r="U32" s="85">
        <f t="shared" si="7"/>
        <v>-0.16712736638662162</v>
      </c>
      <c r="V32" s="36"/>
      <c r="W32" s="24"/>
      <c r="X32" s="24"/>
      <c r="Y32" s="24"/>
    </row>
    <row r="33" spans="1:25" x14ac:dyDescent="0.3">
      <c r="A33" s="38" t="s">
        <v>38</v>
      </c>
      <c r="B33" s="38" t="s">
        <v>95</v>
      </c>
      <c r="C33" s="38" t="s">
        <v>132</v>
      </c>
      <c r="D33" s="28">
        <f>D57/'Physical data'!D52</f>
        <v>160.31699326281452</v>
      </c>
      <c r="E33" s="28">
        <f>E57/'Physical data'!E52</f>
        <v>165.65261841418015</v>
      </c>
      <c r="F33" s="28">
        <f>F57/'Physical data'!F52</f>
        <v>144.63683316523108</v>
      </c>
      <c r="G33" s="28">
        <f>G57/'Physical data'!G52</f>
        <v>188.44221551041102</v>
      </c>
      <c r="H33" s="28">
        <f>H57/'Physical data'!H52</f>
        <v>194.18049594971853</v>
      </c>
      <c r="I33" s="28">
        <f>I57/'Physical data'!I52</f>
        <v>193.57172491050665</v>
      </c>
      <c r="J33" s="28">
        <f>J57/'Physical data'!J52</f>
        <v>226.71625838959824</v>
      </c>
      <c r="K33" s="28">
        <f>K57/'Physical data'!K52</f>
        <v>189.13643191488364</v>
      </c>
      <c r="L33" s="28">
        <f>L57/'Physical data'!L52</f>
        <v>179.84438806181944</v>
      </c>
      <c r="M33" s="28">
        <f>M57/'Physical data'!M52</f>
        <v>209.49463643056004</v>
      </c>
      <c r="N33" s="28">
        <f>N57/'Physical data'!N52</f>
        <v>192.93182746714766</v>
      </c>
      <c r="O33" s="28">
        <f>O57/'Physical data'!O52</f>
        <v>196.41196089831593</v>
      </c>
      <c r="P33" s="28">
        <f>P57/'Physical data'!P52</f>
        <v>168.2500829807378</v>
      </c>
      <c r="Q33" s="28">
        <f>Q57/'Physical data'!Q52</f>
        <v>163.1030857193845</v>
      </c>
      <c r="R33" s="28">
        <f>R57/'Physical data'!R52</f>
        <v>154.59340113758998</v>
      </c>
      <c r="S33" s="28">
        <f t="shared" si="5"/>
        <v>175.05807164063518</v>
      </c>
      <c r="T33" s="71">
        <f t="shared" si="6"/>
        <v>-3.5701718256664239E-2</v>
      </c>
      <c r="U33" s="85">
        <f t="shared" si="7"/>
        <v>-5.2173657808260332E-2</v>
      </c>
      <c r="V33" s="36"/>
      <c r="W33" s="24"/>
      <c r="X33" s="24"/>
      <c r="Y33" s="24"/>
    </row>
    <row r="34" spans="1:25" ht="15" customHeight="1" x14ac:dyDescent="0.3">
      <c r="A34" s="22"/>
      <c r="B34" s="22"/>
      <c r="C34" s="2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54"/>
      <c r="O34" s="45"/>
      <c r="P34" s="54"/>
      <c r="Q34" s="84">
        <f>Q32/Q31</f>
        <v>4.0403649908046297</v>
      </c>
      <c r="R34" s="84">
        <f>R32/R31</f>
        <v>3.5114467931632527</v>
      </c>
      <c r="S34" s="24"/>
      <c r="T34" s="24"/>
      <c r="U34" s="24"/>
      <c r="V34" s="24"/>
      <c r="W34" s="24"/>
      <c r="X34" s="24"/>
      <c r="Y34" s="24"/>
    </row>
    <row r="35" spans="1:25" ht="15" customHeight="1" x14ac:dyDescent="0.3">
      <c r="A35" s="24"/>
      <c r="B35" s="25" t="s">
        <v>39</v>
      </c>
      <c r="D35" s="38" t="s">
        <v>125</v>
      </c>
      <c r="E35" s="38" t="s">
        <v>125</v>
      </c>
      <c r="F35" s="38" t="s">
        <v>125</v>
      </c>
      <c r="H35" s="24"/>
      <c r="I35" s="24"/>
      <c r="J35" s="24"/>
      <c r="K35" s="24"/>
      <c r="L35" s="24"/>
      <c r="M35" s="24"/>
      <c r="N35" s="24"/>
      <c r="O35" s="24"/>
      <c r="P35" s="54"/>
      <c r="Q35" s="71"/>
      <c r="S35" s="24"/>
      <c r="T35" s="24"/>
      <c r="U35" s="24"/>
      <c r="V35" s="24"/>
      <c r="W35" s="24"/>
      <c r="X35" s="24"/>
      <c r="Y35" s="24"/>
    </row>
    <row r="36" spans="1:25" s="11" customFormat="1" ht="15" customHeight="1" x14ac:dyDescent="0.3">
      <c r="A36" s="43"/>
      <c r="B36" s="43"/>
      <c r="C36" s="43"/>
      <c r="D36" s="43" t="s">
        <v>25</v>
      </c>
      <c r="E36" s="43" t="s">
        <v>23</v>
      </c>
      <c r="F36" s="43" t="s">
        <v>34</v>
      </c>
      <c r="G36" s="25"/>
      <c r="H36" s="25"/>
      <c r="I36" s="25"/>
      <c r="J36" s="25"/>
      <c r="K36" s="25"/>
      <c r="L36" s="25"/>
      <c r="M36" s="25"/>
      <c r="N36" s="25"/>
      <c r="O36" s="25"/>
      <c r="P36" s="54"/>
      <c r="Q36" s="71"/>
      <c r="R36" s="25"/>
      <c r="S36" s="25"/>
      <c r="T36" s="25"/>
      <c r="U36" s="25"/>
      <c r="V36" s="25"/>
      <c r="W36" s="25"/>
      <c r="X36" s="25"/>
      <c r="Y36" s="25"/>
    </row>
    <row r="37" spans="1:25" ht="15" customHeight="1" x14ac:dyDescent="0.3">
      <c r="A37" s="38" t="s">
        <v>37</v>
      </c>
      <c r="B37" s="38" t="s">
        <v>91</v>
      </c>
      <c r="C37" s="38"/>
      <c r="D37" s="28">
        <f>Opex!R15</f>
        <v>96299.782697807415</v>
      </c>
      <c r="E37" s="28">
        <f>ABS(Depreciation!R15)</f>
        <v>111865.72839083264</v>
      </c>
      <c r="F37" s="28">
        <f>RAB!R15*'Asset cost and Total cost'!$B$2</f>
        <v>69826.471682233343</v>
      </c>
      <c r="H37" s="24"/>
      <c r="I37" s="24"/>
      <c r="J37" s="24"/>
      <c r="K37" s="24"/>
      <c r="L37" s="24"/>
      <c r="M37" s="24"/>
      <c r="N37" s="24"/>
      <c r="O37" s="24"/>
      <c r="P37" s="54"/>
      <c r="Q37" s="71"/>
      <c r="S37" s="24"/>
      <c r="T37" s="24"/>
      <c r="U37" s="24"/>
      <c r="V37" s="24"/>
      <c r="W37" s="24"/>
      <c r="X37" s="24"/>
      <c r="Y37" s="24"/>
    </row>
    <row r="38" spans="1:25" ht="15" customHeight="1" x14ac:dyDescent="0.3">
      <c r="A38" s="38" t="s">
        <v>21</v>
      </c>
      <c r="B38" s="38" t="s">
        <v>92</v>
      </c>
      <c r="C38" s="38"/>
      <c r="D38" s="28">
        <f>Opex!R16</f>
        <v>216235.11046474529</v>
      </c>
      <c r="E38" s="28">
        <f>ABS(Depreciation!R16)</f>
        <v>292837.08453343995</v>
      </c>
      <c r="F38" s="28">
        <f>RAB!R16*'Asset cost and Total cost'!$B$2</f>
        <v>202306.21606512342</v>
      </c>
      <c r="H38" s="24"/>
      <c r="I38" s="24"/>
      <c r="J38" s="24"/>
      <c r="K38" s="24"/>
      <c r="L38" s="24"/>
      <c r="M38" s="24"/>
      <c r="N38" s="24"/>
      <c r="O38" s="24"/>
      <c r="P38" s="54"/>
      <c r="Q38" s="71"/>
      <c r="S38" s="24"/>
      <c r="T38" s="24"/>
      <c r="U38" s="24"/>
      <c r="V38" s="24"/>
      <c r="W38" s="24"/>
      <c r="X38" s="24"/>
      <c r="Y38" s="24"/>
    </row>
    <row r="39" spans="1:25" ht="15" customHeight="1" x14ac:dyDescent="0.3">
      <c r="A39" s="38" t="s">
        <v>35</v>
      </c>
      <c r="B39" s="38" t="s">
        <v>93</v>
      </c>
      <c r="C39" s="38"/>
      <c r="D39" s="28">
        <f>Opex!R17</f>
        <v>89513.833709619445</v>
      </c>
      <c r="E39" s="28">
        <f>ABS(Depreciation!R17)</f>
        <v>176738.91836871736</v>
      </c>
      <c r="F39" s="28">
        <f>RAB!R17*'Asset cost and Total cost'!$B$2</f>
        <v>90578.921417877587</v>
      </c>
      <c r="H39" s="24"/>
      <c r="I39" s="24"/>
      <c r="J39" s="24"/>
      <c r="K39" s="24"/>
      <c r="L39" s="24"/>
      <c r="M39" s="24"/>
      <c r="N39" s="24"/>
      <c r="O39" s="24"/>
      <c r="P39" s="54"/>
      <c r="S39" s="24"/>
      <c r="T39" s="24"/>
      <c r="U39" s="24"/>
      <c r="V39" s="24"/>
      <c r="W39" s="24"/>
      <c r="X39" s="24"/>
      <c r="Y39" s="24"/>
    </row>
    <row r="40" spans="1:25" ht="15" customHeight="1" x14ac:dyDescent="0.3">
      <c r="A40" s="38" t="s">
        <v>29</v>
      </c>
      <c r="B40" s="38" t="s">
        <v>94</v>
      </c>
      <c r="C40" s="38"/>
      <c r="D40" s="28">
        <f>Opex!R18</f>
        <v>32902.525500413714</v>
      </c>
      <c r="E40" s="28">
        <f>ABS(Depreciation!R18)</f>
        <v>62549.463705809299</v>
      </c>
      <c r="F40" s="28">
        <f>RAB!R18*'Asset cost and Total cost'!$B$2</f>
        <v>42489.31396376848</v>
      </c>
      <c r="H40" s="24"/>
      <c r="I40" s="24"/>
      <c r="J40" s="24"/>
      <c r="K40" s="24"/>
      <c r="L40" s="24"/>
      <c r="M40" s="24"/>
      <c r="N40" s="24"/>
      <c r="O40" s="24"/>
      <c r="P40" s="54"/>
      <c r="S40" s="24"/>
      <c r="T40" s="24"/>
      <c r="U40" s="24"/>
      <c r="V40" s="24"/>
      <c r="W40" s="24"/>
      <c r="X40" s="24"/>
      <c r="Y40" s="24"/>
    </row>
    <row r="41" spans="1:25" ht="15" customHeight="1" x14ac:dyDescent="0.3">
      <c r="A41" s="38" t="s">
        <v>38</v>
      </c>
      <c r="B41" s="38" t="s">
        <v>95</v>
      </c>
      <c r="C41" s="38"/>
      <c r="D41" s="28">
        <f>Opex!R19</f>
        <v>169368.70775311714</v>
      </c>
      <c r="E41" s="28">
        <f>ABS(Depreciation!R19)</f>
        <v>279645.12223732693</v>
      </c>
      <c r="F41" s="28">
        <f>RAB!R19*'Asset cost and Total cost'!$B$2</f>
        <v>189040.16730231544</v>
      </c>
      <c r="H41" s="24"/>
      <c r="I41" s="24"/>
      <c r="J41" s="24"/>
      <c r="K41" s="24"/>
      <c r="L41" s="24"/>
      <c r="M41" s="24"/>
      <c r="N41" s="24"/>
      <c r="O41" s="24"/>
      <c r="P41" s="54"/>
      <c r="S41" s="24"/>
      <c r="T41" s="24"/>
      <c r="U41" s="24"/>
      <c r="V41" s="24"/>
      <c r="W41" s="24"/>
      <c r="X41" s="24"/>
      <c r="Y41" s="24"/>
    </row>
    <row r="42" spans="1:25" ht="15" customHeight="1" x14ac:dyDescent="0.3">
      <c r="A42" s="24"/>
      <c r="B42" s="24"/>
      <c r="H42" s="24"/>
      <c r="I42" s="24"/>
      <c r="J42" s="24"/>
      <c r="K42" s="24"/>
      <c r="L42" s="24"/>
      <c r="M42" s="24"/>
      <c r="N42" s="24"/>
      <c r="O42" s="24"/>
      <c r="P42" s="24"/>
      <c r="S42" s="24"/>
      <c r="T42" s="24"/>
      <c r="U42" s="24"/>
      <c r="V42" s="24"/>
      <c r="W42" s="24"/>
      <c r="X42" s="24"/>
      <c r="Y42" s="24"/>
    </row>
    <row r="43" spans="1:25" ht="15" customHeight="1" x14ac:dyDescent="0.3">
      <c r="A43" s="24"/>
      <c r="B43" s="2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S43" s="24"/>
      <c r="T43" s="24"/>
      <c r="U43" s="24"/>
      <c r="V43" s="24"/>
      <c r="W43" s="24"/>
      <c r="X43" s="24"/>
      <c r="Y43" s="24"/>
    </row>
    <row r="44" spans="1:25" s="11" customFormat="1" ht="15" customHeight="1" x14ac:dyDescent="0.3">
      <c r="A44" s="42" t="s">
        <v>49</v>
      </c>
      <c r="B44" s="42" t="s">
        <v>49</v>
      </c>
      <c r="C44" s="42"/>
      <c r="D44" s="43">
        <v>2006</v>
      </c>
      <c r="E44" s="43">
        <v>2007</v>
      </c>
      <c r="F44" s="43">
        <v>2008</v>
      </c>
      <c r="G44" s="43">
        <v>2009</v>
      </c>
      <c r="H44" s="43">
        <v>2010</v>
      </c>
      <c r="I44" s="43">
        <v>2011</v>
      </c>
      <c r="J44" s="43">
        <v>2012</v>
      </c>
      <c r="K44" s="43">
        <v>2013</v>
      </c>
      <c r="L44" s="43">
        <v>2014</v>
      </c>
      <c r="M44" s="43">
        <v>2015</v>
      </c>
      <c r="N44" s="43">
        <v>2016</v>
      </c>
      <c r="O44" s="43">
        <v>2017</v>
      </c>
      <c r="P44" s="43">
        <v>2018</v>
      </c>
      <c r="Q44" s="43">
        <v>2019</v>
      </c>
      <c r="R44" s="43">
        <v>2020</v>
      </c>
      <c r="S44" s="43" t="s">
        <v>24</v>
      </c>
      <c r="T44" s="25" t="s">
        <v>109</v>
      </c>
      <c r="U44" s="25"/>
      <c r="V44" s="25"/>
      <c r="W44" s="25"/>
      <c r="X44" s="25"/>
      <c r="Y44" s="25"/>
    </row>
    <row r="45" spans="1:25" x14ac:dyDescent="0.3">
      <c r="A45" s="38" t="s">
        <v>37</v>
      </c>
      <c r="B45" s="38" t="s">
        <v>91</v>
      </c>
      <c r="C45" s="90" t="s">
        <v>129</v>
      </c>
      <c r="D45" s="28">
        <f>D53/'Physical data'!D33</f>
        <v>36422.732760726343</v>
      </c>
      <c r="E45" s="28">
        <f>E53/'Physical data'!E33</f>
        <v>40279.704064340687</v>
      </c>
      <c r="F45" s="28">
        <f>F53/'Physical data'!F33</f>
        <v>33922.350004664178</v>
      </c>
      <c r="G45" s="28">
        <f>G53/'Physical data'!G33</f>
        <v>45260.289137468804</v>
      </c>
      <c r="H45" s="28">
        <f>H53/'Physical data'!H33</f>
        <v>43284.627495410386</v>
      </c>
      <c r="I45" s="28">
        <f>I53/'Physical data'!I33</f>
        <v>45071.256359977648</v>
      </c>
      <c r="J45" s="28">
        <f>J53/'Physical data'!J33</f>
        <v>52692.799486746866</v>
      </c>
      <c r="K45" s="28">
        <f>K53/'Physical data'!K33</f>
        <v>48253.265099636046</v>
      </c>
      <c r="L45" s="28">
        <f>L53/'Physical data'!L33</f>
        <v>43800.339416443829</v>
      </c>
      <c r="M45" s="28">
        <f>M53/'Physical data'!M33</f>
        <v>56077.363374661334</v>
      </c>
      <c r="N45" s="28">
        <f>N53/'Physical data'!N33</f>
        <v>54027.321686538111</v>
      </c>
      <c r="O45" s="28">
        <f>O53/'Physical data'!O33</f>
        <v>52534.907260653534</v>
      </c>
      <c r="P45" s="28">
        <f>P53/'Physical data'!P33</f>
        <v>52785.690223988655</v>
      </c>
      <c r="Q45" s="28">
        <f>Q53/'Physical data'!Q33</f>
        <v>53476.178589277115</v>
      </c>
      <c r="R45" s="28">
        <f>R53/'Physical data'!R33</f>
        <v>54708.848713203406</v>
      </c>
      <c r="S45" s="28">
        <f>AVERAGE(N45:R45)</f>
        <v>53506.589294732163</v>
      </c>
      <c r="T45" s="85">
        <f>R45/D45-1</f>
        <v>0.50205227797169827</v>
      </c>
      <c r="U45" s="85">
        <f>R45/Q45-1</f>
        <v>2.3050826675439895E-2</v>
      </c>
      <c r="V45" s="85"/>
      <c r="W45" s="24"/>
      <c r="X45" s="24"/>
      <c r="Y45" s="24"/>
    </row>
    <row r="46" spans="1:25" x14ac:dyDescent="0.3">
      <c r="A46" s="38" t="s">
        <v>21</v>
      </c>
      <c r="B46" s="38" t="s">
        <v>92</v>
      </c>
      <c r="C46" s="90" t="s">
        <v>129</v>
      </c>
      <c r="D46" s="28">
        <f>D54/'Physical data'!D34</f>
        <v>45793.636510084121</v>
      </c>
      <c r="E46" s="28">
        <f>E54/'Physical data'!E34</f>
        <v>48658.74200731091</v>
      </c>
      <c r="F46" s="28">
        <f>F54/'Physical data'!F34</f>
        <v>44948.815361119552</v>
      </c>
      <c r="G46" s="28">
        <f>G54/'Physical data'!G34</f>
        <v>58661.667514624147</v>
      </c>
      <c r="H46" s="28">
        <f>H54/'Physical data'!H34</f>
        <v>56206.01790228048</v>
      </c>
      <c r="I46" s="28">
        <f>I54/'Physical data'!I34</f>
        <v>57791.33968174347</v>
      </c>
      <c r="J46" s="28">
        <f>J54/'Physical data'!J34</f>
        <v>69257.939283176558</v>
      </c>
      <c r="K46" s="28">
        <f>K54/'Physical data'!K34</f>
        <v>54463.30064517288</v>
      </c>
      <c r="L46" s="28">
        <f>L54/'Physical data'!L34</f>
        <v>48073.464634479758</v>
      </c>
      <c r="M46" s="28">
        <f>M54/'Physical data'!M34</f>
        <v>63240.2482521114</v>
      </c>
      <c r="N46" s="28">
        <f>N54/'Physical data'!N34</f>
        <v>58649.74689366058</v>
      </c>
      <c r="O46" s="28">
        <f>O54/'Physical data'!O34</f>
        <v>54333.69220540861</v>
      </c>
      <c r="P46" s="28">
        <f>P54/'Physical data'!P34</f>
        <v>49360.75440517105</v>
      </c>
      <c r="Q46" s="28">
        <f>Q54/'Physical data'!Q34</f>
        <v>51094.456034288829</v>
      </c>
      <c r="R46" s="28">
        <f>R54/'Physical data'!R34</f>
        <v>48282.057402112951</v>
      </c>
      <c r="S46" s="28">
        <f t="shared" ref="S46:S49" si="8">AVERAGE(N46:R46)</f>
        <v>52344.14138812841</v>
      </c>
      <c r="T46" s="85">
        <f t="shared" ref="T46:T49" si="9">R46/D46-1</f>
        <v>5.4339883915549336E-2</v>
      </c>
      <c r="U46" s="85">
        <f t="shared" ref="U46:U49" si="10">R46/Q46-1</f>
        <v>-5.5043126993827185E-2</v>
      </c>
      <c r="V46" s="85"/>
      <c r="W46" s="24"/>
      <c r="X46" s="24"/>
      <c r="Y46" s="24"/>
    </row>
    <row r="47" spans="1:25" x14ac:dyDescent="0.3">
      <c r="A47" s="38" t="s">
        <v>35</v>
      </c>
      <c r="B47" s="38" t="s">
        <v>93</v>
      </c>
      <c r="C47" s="90" t="s">
        <v>129</v>
      </c>
      <c r="D47" s="28">
        <f>D55/'Physical data'!D35</f>
        <v>53092.75917498432</v>
      </c>
      <c r="E47" s="28">
        <f>E55/'Physical data'!E35</f>
        <v>48924.183190720425</v>
      </c>
      <c r="F47" s="28">
        <f>F55/'Physical data'!F35</f>
        <v>53325.962024782391</v>
      </c>
      <c r="G47" s="28">
        <f>G55/'Physical data'!G35</f>
        <v>57450.698330146653</v>
      </c>
      <c r="H47" s="28">
        <f>H55/'Physical data'!H35</f>
        <v>65915.888272062119</v>
      </c>
      <c r="I47" s="28">
        <f>I55/'Physical data'!I35</f>
        <v>63162.69593621479</v>
      </c>
      <c r="J47" s="28">
        <f>J55/'Physical data'!J35</f>
        <v>60921.910707553317</v>
      </c>
      <c r="K47" s="28">
        <f>K55/'Physical data'!K35</f>
        <v>61844.20887152564</v>
      </c>
      <c r="L47" s="28">
        <f>L55/'Physical data'!L35</f>
        <v>52903.425649611803</v>
      </c>
      <c r="M47" s="28">
        <f>M55/'Physical data'!M35</f>
        <v>60873.160354705549</v>
      </c>
      <c r="N47" s="28">
        <f>N55/'Physical data'!N35</f>
        <v>57740.021768140687</v>
      </c>
      <c r="O47" s="28">
        <f>O55/'Physical data'!O35</f>
        <v>62504.438413278971</v>
      </c>
      <c r="P47" s="28">
        <f>P55/'Physical data'!P35</f>
        <v>57983.08775328099</v>
      </c>
      <c r="Q47" s="28">
        <f>Q55/'Physical data'!Q35</f>
        <v>57210.812744926952</v>
      </c>
      <c r="R47" s="28">
        <f>R55/'Physical data'!R35</f>
        <v>54655.423512439906</v>
      </c>
      <c r="S47" s="28">
        <f t="shared" si="8"/>
        <v>58018.756838413501</v>
      </c>
      <c r="T47" s="85">
        <f t="shared" si="9"/>
        <v>2.9432720426251002E-2</v>
      </c>
      <c r="U47" s="85">
        <f t="shared" si="10"/>
        <v>-4.466619350227008E-2</v>
      </c>
      <c r="V47" s="85"/>
      <c r="W47" s="24"/>
      <c r="X47" s="24"/>
      <c r="Y47" s="24"/>
    </row>
    <row r="48" spans="1:25" x14ac:dyDescent="0.3">
      <c r="A48" s="38" t="s">
        <v>29</v>
      </c>
      <c r="B48" s="38" t="s">
        <v>94</v>
      </c>
      <c r="C48" s="90" t="s">
        <v>129</v>
      </c>
      <c r="D48" s="28">
        <f>D56/'Physical data'!D36</f>
        <v>41829.95663855457</v>
      </c>
      <c r="E48" s="28">
        <f>E56/'Physical data'!E36</f>
        <v>38956.053701069621</v>
      </c>
      <c r="F48" s="28">
        <f>F56/'Physical data'!F36</f>
        <v>46718.296492800255</v>
      </c>
      <c r="G48" s="28">
        <f>G56/'Physical data'!G36</f>
        <v>45259.774704480187</v>
      </c>
      <c r="H48" s="28">
        <f>H56/'Physical data'!H36</f>
        <v>52196.051426073296</v>
      </c>
      <c r="I48" s="28">
        <f>I56/'Physical data'!I36</f>
        <v>53170.182947378344</v>
      </c>
      <c r="J48" s="28">
        <f>J56/'Physical data'!J36</f>
        <v>63207.011661634555</v>
      </c>
      <c r="K48" s="28">
        <f>K56/'Physical data'!K36</f>
        <v>52918.622374474922</v>
      </c>
      <c r="L48" s="28">
        <f>L56/'Physical data'!L36</f>
        <v>48337.740159142202</v>
      </c>
      <c r="M48" s="28">
        <f>M56/'Physical data'!M36</f>
        <v>49462.982899111696</v>
      </c>
      <c r="N48" s="28">
        <f>N56/'Physical data'!N36</f>
        <v>46136.930240785689</v>
      </c>
      <c r="O48" s="28">
        <f>O56/'Physical data'!O36</f>
        <v>45771.431047189377</v>
      </c>
      <c r="P48" s="28">
        <f>P56/'Physical data'!P36</f>
        <v>40930.793315445051</v>
      </c>
      <c r="Q48" s="28">
        <f>Q56/'Physical data'!Q36</f>
        <v>41571.987883520342</v>
      </c>
      <c r="R48" s="28">
        <f>R56/'Physical data'!R36</f>
        <v>37077.655972837842</v>
      </c>
      <c r="S48" s="28">
        <f t="shared" si="8"/>
        <v>42297.75969195566</v>
      </c>
      <c r="T48" s="85">
        <f t="shared" si="9"/>
        <v>-0.11360998307458303</v>
      </c>
      <c r="U48" s="85">
        <f t="shared" si="10"/>
        <v>-0.10810962235616617</v>
      </c>
      <c r="V48" s="85"/>
      <c r="W48" s="24"/>
      <c r="X48" s="24"/>
      <c r="Y48" s="24"/>
    </row>
    <row r="49" spans="1:25" x14ac:dyDescent="0.3">
      <c r="A49" s="38" t="s">
        <v>38</v>
      </c>
      <c r="B49" s="38" t="s">
        <v>95</v>
      </c>
      <c r="C49" s="90" t="s">
        <v>129</v>
      </c>
      <c r="D49" s="28">
        <f>D57/'Physical data'!D37</f>
        <v>42896.598007583525</v>
      </c>
      <c r="E49" s="28">
        <f>E57/'Physical data'!E37</f>
        <v>44735.89930832127</v>
      </c>
      <c r="F49" s="28">
        <f>F57/'Physical data'!F37</f>
        <v>39467.067351975653</v>
      </c>
      <c r="G49" s="28">
        <f>G57/'Physical data'!G37</f>
        <v>51874.263166550452</v>
      </c>
      <c r="H49" s="28">
        <f>H57/'Physical data'!H37</f>
        <v>53176.105208156281</v>
      </c>
      <c r="I49" s="28">
        <f>I57/'Physical data'!I37</f>
        <v>53532.375873819292</v>
      </c>
      <c r="J49" s="28">
        <f>J57/'Physical data'!J37</f>
        <v>63154.834558943825</v>
      </c>
      <c r="K49" s="28">
        <f>K57/'Physical data'!K37</f>
        <v>52455.399990327183</v>
      </c>
      <c r="L49" s="28">
        <f>L57/'Physical data'!L37</f>
        <v>50409.597762393358</v>
      </c>
      <c r="M49" s="28">
        <f>M57/'Physical data'!M37</f>
        <v>59097.74336148773</v>
      </c>
      <c r="N49" s="28">
        <f>N57/'Physical data'!N37</f>
        <v>55052.030560139065</v>
      </c>
      <c r="O49" s="28">
        <f>O57/'Physical data'!O37</f>
        <v>56687.735485590223</v>
      </c>
      <c r="P49" s="28">
        <f>P57/'Physical data'!P37</f>
        <v>49311.941219940927</v>
      </c>
      <c r="Q49" s="28">
        <f>Q57/'Physical data'!Q37</f>
        <v>48594.162690900826</v>
      </c>
      <c r="R49" s="28">
        <f>R57/'Physical data'!R37</f>
        <v>46718.075061738229</v>
      </c>
      <c r="S49" s="28">
        <f t="shared" si="8"/>
        <v>51272.789003661848</v>
      </c>
      <c r="T49" s="85">
        <f t="shared" si="9"/>
        <v>8.9085783760267434E-2</v>
      </c>
      <c r="U49" s="85">
        <f t="shared" si="10"/>
        <v>-3.8607263203526476E-2</v>
      </c>
      <c r="V49" s="85"/>
      <c r="W49" s="24"/>
      <c r="X49" s="24"/>
      <c r="Y49" s="24"/>
    </row>
    <row r="50" spans="1:25" x14ac:dyDescent="0.3">
      <c r="A50" s="24"/>
      <c r="B50" s="24"/>
      <c r="C50" s="92"/>
      <c r="D50" s="40">
        <f>MAX(D45:D49)-MIN(D45:D49)</f>
        <v>16670.026414257976</v>
      </c>
      <c r="E50" s="40">
        <f t="shared" ref="E50:R50" si="11">MAX(E45:E49)-MIN(E45:E49)</f>
        <v>9968.1294896508043</v>
      </c>
      <c r="F50" s="40">
        <f t="shared" si="11"/>
        <v>19403.612020118213</v>
      </c>
      <c r="G50" s="40">
        <f t="shared" si="11"/>
        <v>13401.89281014396</v>
      </c>
      <c r="H50" s="40">
        <f t="shared" si="11"/>
        <v>22631.260776651732</v>
      </c>
      <c r="I50" s="40">
        <f t="shared" si="11"/>
        <v>18091.439576237142</v>
      </c>
      <c r="J50" s="40">
        <f t="shared" si="11"/>
        <v>16565.139796429692</v>
      </c>
      <c r="K50" s="40">
        <f t="shared" si="11"/>
        <v>13590.943771889593</v>
      </c>
      <c r="L50" s="40">
        <f t="shared" si="11"/>
        <v>9103.0862331679746</v>
      </c>
      <c r="M50" s="40">
        <f t="shared" si="11"/>
        <v>13777.265352999704</v>
      </c>
      <c r="N50" s="40">
        <f t="shared" si="11"/>
        <v>12512.816652874892</v>
      </c>
      <c r="O50" s="40">
        <f t="shared" si="11"/>
        <v>16733.007366089594</v>
      </c>
      <c r="P50" s="40">
        <f t="shared" si="11"/>
        <v>17052.294437835939</v>
      </c>
      <c r="Q50" s="40">
        <f t="shared" si="11"/>
        <v>15638.824861406611</v>
      </c>
      <c r="R50" s="40">
        <f t="shared" si="11"/>
        <v>17631.192740365565</v>
      </c>
      <c r="S50" s="24"/>
      <c r="T50" s="24"/>
      <c r="U50" s="24"/>
      <c r="V50" s="24"/>
      <c r="W50" s="24"/>
      <c r="X50" s="24"/>
      <c r="Y50" s="24"/>
    </row>
    <row r="51" spans="1:25" x14ac:dyDescent="0.3">
      <c r="A51" s="24"/>
      <c r="B51" s="24"/>
      <c r="C51" s="92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S51" s="24"/>
      <c r="T51" s="24"/>
      <c r="U51" s="24"/>
      <c r="V51" s="24"/>
      <c r="W51" s="24"/>
      <c r="X51" s="24"/>
      <c r="Y51" s="24"/>
    </row>
    <row r="52" spans="1:25" x14ac:dyDescent="0.3">
      <c r="A52" s="42" t="s">
        <v>43</v>
      </c>
      <c r="B52" s="42" t="s">
        <v>43</v>
      </c>
      <c r="C52" s="93"/>
      <c r="D52" s="43">
        <v>2006</v>
      </c>
      <c r="E52" s="43">
        <v>2007</v>
      </c>
      <c r="F52" s="43">
        <v>2008</v>
      </c>
      <c r="G52" s="43">
        <v>2009</v>
      </c>
      <c r="H52" s="43">
        <v>2010</v>
      </c>
      <c r="I52" s="43">
        <v>2011</v>
      </c>
      <c r="J52" s="43">
        <v>2012</v>
      </c>
      <c r="K52" s="43">
        <v>2013</v>
      </c>
      <c r="L52" s="43">
        <v>2014</v>
      </c>
      <c r="M52" s="43">
        <v>2015</v>
      </c>
      <c r="N52" s="43">
        <v>2016</v>
      </c>
      <c r="O52" s="43">
        <v>2017</v>
      </c>
      <c r="P52" s="43">
        <v>2018</v>
      </c>
      <c r="Q52" s="43">
        <v>2019</v>
      </c>
      <c r="R52" s="43">
        <v>2020</v>
      </c>
      <c r="S52" s="43" t="s">
        <v>24</v>
      </c>
      <c r="T52" s="24"/>
      <c r="U52" s="24"/>
      <c r="V52" s="24"/>
      <c r="W52" s="24"/>
      <c r="X52" s="24"/>
      <c r="Y52" s="24"/>
    </row>
    <row r="53" spans="1:25" x14ac:dyDescent="0.3">
      <c r="A53" s="38" t="s">
        <v>37</v>
      </c>
      <c r="B53" s="38" t="s">
        <v>91</v>
      </c>
      <c r="C53" s="94" t="s">
        <v>127</v>
      </c>
      <c r="D53" s="44">
        <f>'Asset cost and Total cost'!C19</f>
        <v>203986935.31302553</v>
      </c>
      <c r="E53" s="44">
        <f>'Asset cost and Total cost'!D19</f>
        <v>222290354.14905095</v>
      </c>
      <c r="F53" s="44">
        <f>'Asset cost and Total cost'!E19</f>
        <v>187206221.37789005</v>
      </c>
      <c r="G53" s="44">
        <f>'Asset cost and Total cost'!F19</f>
        <v>249097650.25692379</v>
      </c>
      <c r="H53" s="44">
        <f>'Asset cost and Total cost'!G19</f>
        <v>238137693.26804695</v>
      </c>
      <c r="I53" s="44">
        <f>'Asset cost and Total cost'!H19</f>
        <v>248102347.67582181</v>
      </c>
      <c r="J53" s="44">
        <f>'Asset cost and Total cost'!I19</f>
        <v>291184045.76692778</v>
      </c>
      <c r="K53" s="44">
        <f>'Asset cost and Total cost'!J19</f>
        <v>266712636.5952082</v>
      </c>
      <c r="L53" s="44">
        <f>'Asset cost and Total cost'!K19</f>
        <v>242189730.53552112</v>
      </c>
      <c r="M53" s="44">
        <f>'Asset cost and Total cost'!L19</f>
        <v>309622694.19132298</v>
      </c>
      <c r="N53" s="44">
        <f>'Asset cost and Total cost'!M19</f>
        <v>298465780.53170514</v>
      </c>
      <c r="O53" s="44">
        <f>'Asset cost and Total cost'!N19</f>
        <v>289970045.53377813</v>
      </c>
      <c r="P53" s="44">
        <f>'Asset cost and Total cost'!O19</f>
        <v>291491502.19851321</v>
      </c>
      <c r="Q53" s="44">
        <f>'Asset cost and Total cost'!P19</f>
        <v>294796471.94757169</v>
      </c>
      <c r="R53" s="44">
        <f>'Asset cost and Total cost'!Q19</f>
        <v>301969812.47157454</v>
      </c>
      <c r="S53" s="28">
        <f>AVERAGE(N53:R53)</f>
        <v>295338722.5366286</v>
      </c>
      <c r="T53" s="24"/>
      <c r="U53" s="24"/>
      <c r="V53" s="24"/>
      <c r="W53" s="24"/>
      <c r="X53" s="24"/>
      <c r="Y53" s="24"/>
    </row>
    <row r="54" spans="1:25" x14ac:dyDescent="0.3">
      <c r="A54" s="38" t="s">
        <v>21</v>
      </c>
      <c r="B54" s="38" t="s">
        <v>92</v>
      </c>
      <c r="C54" s="94" t="s">
        <v>127</v>
      </c>
      <c r="D54" s="44">
        <f>'Asset cost and Total cost'!C20</f>
        <v>535822182.07719225</v>
      </c>
      <c r="E54" s="44">
        <f>'Asset cost and Total cost'!D20</f>
        <v>578688686.94454718</v>
      </c>
      <c r="F54" s="44">
        <f>'Asset cost and Total cost'!E20</f>
        <v>558659836.36028266</v>
      </c>
      <c r="G54" s="44">
        <f>'Asset cost and Total cost'!F20</f>
        <v>754688218.74239111</v>
      </c>
      <c r="H54" s="44">
        <f>'Asset cost and Total cost'!G20</f>
        <v>748725985.07806849</v>
      </c>
      <c r="I54" s="44">
        <f>'Asset cost and Total cost'!H20</f>
        <v>793960541.08366442</v>
      </c>
      <c r="J54" s="44">
        <f>'Asset cost and Total cost'!I20</f>
        <v>948999987.2337985</v>
      </c>
      <c r="K54" s="44">
        <f>'Asset cost and Total cost'!J20</f>
        <v>779560453.78468204</v>
      </c>
      <c r="L54" s="44">
        <f>'Asset cost and Total cost'!K20</f>
        <v>710165256.31285226</v>
      </c>
      <c r="M54" s="44">
        <f>'Asset cost and Total cost'!L20</f>
        <v>933078242.83577764</v>
      </c>
      <c r="N54" s="44">
        <f>'Asset cost and Total cost'!M20</f>
        <v>865406340.28940868</v>
      </c>
      <c r="O54" s="44">
        <f>'Asset cost and Total cost'!N20</f>
        <v>789604381.97510064</v>
      </c>
      <c r="P54" s="44">
        <f>'Asset cost and Total cost'!O20</f>
        <v>717088359.62112248</v>
      </c>
      <c r="Q54" s="44">
        <f>'Asset cost and Total cost'!P20</f>
        <v>742208287.24528646</v>
      </c>
      <c r="R54" s="44">
        <f>'Asset cost and Total cost'!Q20</f>
        <v>701451386.34937739</v>
      </c>
      <c r="S54" s="28">
        <f t="shared" ref="S54:S57" si="12">AVERAGE(N54:R54)</f>
        <v>763151751.09605908</v>
      </c>
      <c r="T54" s="24"/>
      <c r="U54" s="24"/>
      <c r="V54" s="24"/>
      <c r="W54" s="24"/>
      <c r="X54" s="24"/>
      <c r="Y54" s="24"/>
    </row>
    <row r="55" spans="1:25" x14ac:dyDescent="0.3">
      <c r="A55" s="38" t="s">
        <v>35</v>
      </c>
      <c r="B55" s="38" t="s">
        <v>93</v>
      </c>
      <c r="C55" s="94" t="s">
        <v>127</v>
      </c>
      <c r="D55" s="44">
        <f>'Asset cost and Total cost'!C21</f>
        <v>348978706.05717194</v>
      </c>
      <c r="E55" s="44">
        <f>'Asset cost and Total cost'!D21</f>
        <v>321578656.11260533</v>
      </c>
      <c r="F55" s="44">
        <f>'Asset cost and Total cost'!E21</f>
        <v>350511548.38889468</v>
      </c>
      <c r="G55" s="44">
        <f>'Asset cost and Total cost'!F21</f>
        <v>377623440.12405396</v>
      </c>
      <c r="H55" s="44">
        <f>'Asset cost and Total cost'!G21</f>
        <v>433265133.61226434</v>
      </c>
      <c r="I55" s="44">
        <f>'Asset cost and Total cost'!H21</f>
        <v>415168400.38873982</v>
      </c>
      <c r="J55" s="44">
        <f>'Asset cost and Total cost'!I21</f>
        <v>400439719.08074796</v>
      </c>
      <c r="K55" s="44">
        <f>'Asset cost and Total cost'!J21</f>
        <v>406501984.91253805</v>
      </c>
      <c r="L55" s="44">
        <f>'Asset cost and Total cost'!K21</f>
        <v>347734216.79489839</v>
      </c>
      <c r="M55" s="44">
        <f>'Asset cost and Total cost'!L21</f>
        <v>400131457.64355052</v>
      </c>
      <c r="N55" s="44">
        <f>'Asset cost and Total cost'!M21</f>
        <v>378707839.02891064</v>
      </c>
      <c r="O55" s="44">
        <f>'Asset cost and Total cost'!N21</f>
        <v>410027370.95052874</v>
      </c>
      <c r="P55" s="44">
        <f>'Asset cost and Total cost'!O21</f>
        <v>384063738.01316237</v>
      </c>
      <c r="Q55" s="44">
        <f>'Asset cost and Total cost'!P21</f>
        <v>379180108.38644457</v>
      </c>
      <c r="R55" s="44">
        <f>'Asset cost and Total cost'!Q21</f>
        <v>367891733.34532756</v>
      </c>
      <c r="S55" s="28">
        <f t="shared" si="12"/>
        <v>383974157.94487482</v>
      </c>
      <c r="T55" s="24"/>
      <c r="U55" s="24"/>
      <c r="V55" s="24"/>
      <c r="W55" s="24"/>
      <c r="X55" s="24"/>
      <c r="Y55" s="24"/>
    </row>
    <row r="56" spans="1:25" x14ac:dyDescent="0.3">
      <c r="A56" s="38" t="s">
        <v>29</v>
      </c>
      <c r="B56" s="38" t="s">
        <v>94</v>
      </c>
      <c r="C56" s="94" t="s">
        <v>127</v>
      </c>
      <c r="D56" s="44">
        <f>'Asset cost and Total cost'!C22</f>
        <v>149805623.70965549</v>
      </c>
      <c r="E56" s="44">
        <f>'Asset cost and Total cost'!D22</f>
        <v>141110513.32138449</v>
      </c>
      <c r="F56" s="44">
        <f>'Asset cost and Total cost'!E22</f>
        <v>169227685.38587037</v>
      </c>
      <c r="G56" s="44">
        <f>'Asset cost and Total cost'!F22</f>
        <v>159327984.89218161</v>
      </c>
      <c r="H56" s="44">
        <f>'Asset cost and Total cost'!G22</f>
        <v>181710113.82958898</v>
      </c>
      <c r="I56" s="44">
        <f>'Asset cost and Total cost'!H22</f>
        <v>185739400.09007677</v>
      </c>
      <c r="J56" s="44">
        <f>'Asset cost and Total cost'!I22</f>
        <v>220801053.83758801</v>
      </c>
      <c r="K56" s="44">
        <f>'Asset cost and Total cost'!J22</f>
        <v>185383988.7160368</v>
      </c>
      <c r="L56" s="44">
        <f>'Asset cost and Total cost'!K22</f>
        <v>169365773.96960247</v>
      </c>
      <c r="M56" s="44">
        <f>'Asset cost and Total cost'!L22</f>
        <v>176271232.15756437</v>
      </c>
      <c r="N56" s="44">
        <f>'Asset cost and Total cost'!M22</f>
        <v>164418178.29908797</v>
      </c>
      <c r="O56" s="44">
        <f>'Asset cost and Total cost'!N22</f>
        <v>163115648.82286876</v>
      </c>
      <c r="P56" s="44">
        <f>'Asset cost and Total cost'!O22</f>
        <v>145107848.46191579</v>
      </c>
      <c r="Q56" s="44">
        <f>'Asset cost and Total cost'!P22</f>
        <v>147381011.44465631</v>
      </c>
      <c r="R56" s="44">
        <f>'Asset cost and Total cost'!Q22</f>
        <v>124230064.9583976</v>
      </c>
      <c r="S56" s="28">
        <f t="shared" si="12"/>
        <v>148850550.3973853</v>
      </c>
      <c r="T56" s="24"/>
      <c r="U56" s="24"/>
      <c r="V56" s="24"/>
      <c r="W56" s="24"/>
      <c r="X56" s="24"/>
      <c r="Y56" s="24"/>
    </row>
    <row r="57" spans="1:25" x14ac:dyDescent="0.3">
      <c r="A57" s="38" t="s">
        <v>38</v>
      </c>
      <c r="B57" s="38" t="s">
        <v>95</v>
      </c>
      <c r="C57" s="94" t="s">
        <v>127</v>
      </c>
      <c r="D57" s="44">
        <f>'Asset cost and Total cost'!C23</f>
        <v>536946626.37506282</v>
      </c>
      <c r="E57" s="44">
        <f>'Asset cost and Total cost'!D23</f>
        <v>560383974.27029073</v>
      </c>
      <c r="F57" s="44">
        <f>'Asset cost and Total cost'!E23</f>
        <v>494266370.52141017</v>
      </c>
      <c r="G57" s="44">
        <f>'Asset cost and Total cost'!F23</f>
        <v>649639501.75255668</v>
      </c>
      <c r="H57" s="44">
        <f>'Asset cost and Total cost'!G23</f>
        <v>674403774.08212841</v>
      </c>
      <c r="I57" s="44">
        <f>'Asset cost and Total cost'!H23</f>
        <v>678890256.8962816</v>
      </c>
      <c r="J57" s="44">
        <f>'Asset cost and Total cost'!I23</f>
        <v>801890007.44566345</v>
      </c>
      <c r="K57" s="44">
        <f>'Asset cost and Total cost'!J23</f>
        <v>676339837.05708253</v>
      </c>
      <c r="L57" s="44">
        <f>'Asset cost and Total cost'!K23</f>
        <v>651779262.26209366</v>
      </c>
      <c r="M57" s="44">
        <f>'Asset cost and Total cost'!L23</f>
        <v>769734201.44253016</v>
      </c>
      <c r="N57" s="44">
        <f>'Asset cost and Total cost'!M23</f>
        <v>717834161.61961246</v>
      </c>
      <c r="O57" s="44">
        <f>'Asset cost and Total cost'!N23</f>
        <v>741368632.92236495</v>
      </c>
      <c r="P57" s="44">
        <f>'Asset cost and Total cost'!O23</f>
        <v>645468393.0942322</v>
      </c>
      <c r="Q57" s="44">
        <f>'Asset cost and Total cost'!P23</f>
        <v>634269244.93137085</v>
      </c>
      <c r="R57" s="44">
        <f>'Asset cost and Total cost'!Q23</f>
        <v>609785400.04026341</v>
      </c>
      <c r="S57" s="28">
        <f t="shared" si="12"/>
        <v>669745166.52156866</v>
      </c>
      <c r="T57" s="24"/>
      <c r="U57" s="24"/>
      <c r="V57" s="24"/>
      <c r="W57" s="24"/>
      <c r="X57" s="24"/>
      <c r="Y57" s="24"/>
    </row>
    <row r="58" spans="1:25" x14ac:dyDescent="0.3">
      <c r="A58" s="24"/>
      <c r="B58" s="24"/>
      <c r="H58" s="24"/>
      <c r="I58" s="24"/>
      <c r="J58" s="24"/>
      <c r="K58" s="24"/>
      <c r="L58" s="24"/>
      <c r="M58" s="24"/>
      <c r="N58" s="24"/>
      <c r="O58" s="24"/>
      <c r="P58" s="24"/>
      <c r="S58" s="24"/>
      <c r="T58" s="24"/>
      <c r="U58" s="24"/>
      <c r="V58" s="24"/>
      <c r="W58" s="24"/>
      <c r="X58" s="24"/>
      <c r="Y58" s="24"/>
    </row>
    <row r="59" spans="1:25" x14ac:dyDescent="0.3">
      <c r="A59" s="24"/>
      <c r="B59" s="24"/>
      <c r="H59" s="24"/>
      <c r="I59" s="24"/>
      <c r="J59" s="24"/>
      <c r="K59" s="24"/>
      <c r="L59" s="24"/>
      <c r="M59" s="24"/>
      <c r="N59" s="24"/>
      <c r="O59" s="24"/>
      <c r="P59" s="24"/>
      <c r="S59" s="24"/>
      <c r="T59" s="24"/>
      <c r="U59" s="24"/>
      <c r="V59" s="24"/>
      <c r="W59" s="24"/>
      <c r="X59" s="24"/>
      <c r="Y59" s="24"/>
    </row>
    <row r="60" spans="1:25" x14ac:dyDescent="0.3">
      <c r="A60" s="24"/>
      <c r="B60" s="24"/>
      <c r="H60" s="24"/>
      <c r="I60" s="24"/>
      <c r="J60" s="24"/>
      <c r="K60" s="24"/>
      <c r="L60" s="24"/>
      <c r="M60" s="24"/>
      <c r="N60" s="24"/>
      <c r="O60" s="24"/>
      <c r="P60" s="24"/>
      <c r="S60" s="24"/>
      <c r="T60" s="24"/>
      <c r="U60" s="24"/>
      <c r="V60" s="24"/>
      <c r="W60" s="24"/>
      <c r="X60" s="24"/>
      <c r="Y60" s="24"/>
    </row>
    <row r="61" spans="1:25" x14ac:dyDescent="0.3">
      <c r="A61" s="24"/>
      <c r="B61" s="24"/>
      <c r="H61" s="24"/>
      <c r="I61" s="24"/>
      <c r="J61" s="24"/>
      <c r="K61" s="24"/>
      <c r="L61" s="24"/>
      <c r="M61" s="24"/>
      <c r="N61" s="24"/>
      <c r="O61" s="24"/>
      <c r="P61" s="24"/>
      <c r="S61" s="24"/>
      <c r="T61" s="24"/>
      <c r="U61" s="24"/>
      <c r="V61" s="24"/>
      <c r="W61" s="24"/>
      <c r="X61" s="24"/>
      <c r="Y61" s="24"/>
    </row>
    <row r="62" spans="1:25" x14ac:dyDescent="0.3">
      <c r="A62" s="24"/>
      <c r="B62" s="24"/>
      <c r="H62" s="24"/>
      <c r="I62" s="24"/>
      <c r="J62" s="24"/>
      <c r="K62" s="24"/>
      <c r="L62" s="24"/>
      <c r="M62" s="24"/>
      <c r="N62" s="24"/>
      <c r="O62" s="24"/>
      <c r="P62" s="24"/>
      <c r="S62" s="24"/>
      <c r="T62" s="24"/>
      <c r="U62" s="24"/>
      <c r="V62" s="24"/>
      <c r="W62" s="24"/>
      <c r="X62" s="24"/>
      <c r="Y62" s="24"/>
    </row>
    <row r="63" spans="1:25" x14ac:dyDescent="0.3">
      <c r="A63" s="24"/>
      <c r="B63" s="24"/>
      <c r="H63" s="24"/>
      <c r="I63" s="24"/>
      <c r="J63" s="24"/>
      <c r="K63" s="24"/>
      <c r="L63" s="24"/>
      <c r="M63" s="24"/>
      <c r="N63" s="24"/>
      <c r="O63" s="24"/>
      <c r="P63" s="24"/>
      <c r="S63" s="24"/>
      <c r="T63" s="24"/>
      <c r="U63" s="24"/>
      <c r="V63" s="24"/>
      <c r="W63" s="24"/>
      <c r="X63" s="24"/>
      <c r="Y63" s="24"/>
    </row>
    <row r="64" spans="1:25" x14ac:dyDescent="0.3">
      <c r="A64" s="24"/>
      <c r="B64" s="24"/>
      <c r="H64" s="24"/>
      <c r="I64" s="24"/>
      <c r="J64" s="24"/>
      <c r="K64" s="24"/>
      <c r="L64" s="24"/>
      <c r="M64" s="24"/>
      <c r="N64" s="24"/>
      <c r="O64" s="24"/>
      <c r="P64" s="24"/>
      <c r="S64" s="24"/>
      <c r="T64" s="24"/>
      <c r="U64" s="24"/>
      <c r="V64" s="24"/>
      <c r="W64" s="24"/>
      <c r="X64" s="24"/>
      <c r="Y64" s="24"/>
    </row>
    <row r="65" spans="1:25" x14ac:dyDescent="0.3">
      <c r="A65" s="24"/>
      <c r="B65" s="24"/>
      <c r="H65" s="24"/>
      <c r="I65" s="24"/>
      <c r="J65" s="24"/>
      <c r="K65" s="24"/>
      <c r="L65" s="24"/>
      <c r="M65" s="24"/>
      <c r="N65" s="24"/>
      <c r="O65" s="24"/>
      <c r="P65" s="24"/>
      <c r="S65" s="24"/>
      <c r="T65" s="24"/>
      <c r="U65" s="24"/>
      <c r="V65" s="24"/>
      <c r="W65" s="24"/>
      <c r="X65" s="24"/>
      <c r="Y65" s="24"/>
    </row>
    <row r="66" spans="1:25" x14ac:dyDescent="0.3">
      <c r="A66" s="24"/>
      <c r="B66" s="24"/>
      <c r="H66" s="24"/>
      <c r="I66" s="24"/>
      <c r="J66" s="24"/>
      <c r="K66" s="24"/>
      <c r="L66" s="24"/>
      <c r="M66" s="24"/>
      <c r="N66" s="24"/>
      <c r="O66" s="24"/>
      <c r="P66" s="24"/>
      <c r="S66" s="24"/>
      <c r="T66" s="24"/>
      <c r="U66" s="24"/>
      <c r="V66" s="24"/>
      <c r="W66" s="24"/>
      <c r="X66" s="24"/>
      <c r="Y66" s="24"/>
    </row>
    <row r="67" spans="1:25" x14ac:dyDescent="0.3">
      <c r="A67" s="24"/>
      <c r="B67" s="24"/>
      <c r="H67" s="24"/>
      <c r="I67" s="24"/>
      <c r="J67" s="24"/>
      <c r="K67" s="24"/>
      <c r="L67" s="24"/>
      <c r="M67" s="24"/>
      <c r="N67" s="24"/>
      <c r="O67" s="24"/>
      <c r="P67" s="24"/>
      <c r="S67" s="24"/>
      <c r="T67" s="24"/>
      <c r="U67" s="24"/>
      <c r="V67" s="24"/>
      <c r="W67" s="24"/>
      <c r="X67" s="24"/>
      <c r="Y67" s="24"/>
    </row>
    <row r="68" spans="1:25" x14ac:dyDescent="0.3">
      <c r="A68" s="24"/>
      <c r="B68" s="24"/>
      <c r="H68" s="24"/>
      <c r="I68" s="24"/>
      <c r="J68" s="24"/>
      <c r="K68" s="24"/>
      <c r="L68" s="24"/>
      <c r="M68" s="24"/>
      <c r="N68" s="24"/>
      <c r="O68" s="24"/>
      <c r="P68" s="24"/>
      <c r="S68" s="24"/>
      <c r="T68" s="24"/>
      <c r="U68" s="24"/>
      <c r="V68" s="24"/>
      <c r="W68" s="24"/>
      <c r="X68" s="24"/>
      <c r="Y68" s="24"/>
    </row>
    <row r="69" spans="1:25" x14ac:dyDescent="0.3">
      <c r="A69" s="24"/>
      <c r="B69" s="24"/>
      <c r="H69" s="24"/>
      <c r="I69" s="24"/>
      <c r="J69" s="24"/>
      <c r="K69" s="24"/>
      <c r="L69" s="24"/>
      <c r="M69" s="24"/>
      <c r="N69" s="24"/>
      <c r="O69" s="24"/>
      <c r="P69" s="24"/>
      <c r="S69" s="24"/>
      <c r="T69" s="24"/>
      <c r="U69" s="24"/>
      <c r="V69" s="24"/>
      <c r="W69" s="24"/>
      <c r="X69" s="24"/>
      <c r="Y69" s="24"/>
    </row>
    <row r="70" spans="1:25" x14ac:dyDescent="0.3">
      <c r="A70" s="24"/>
      <c r="B70" s="24"/>
      <c r="H70" s="24"/>
      <c r="I70" s="24"/>
      <c r="J70" s="24"/>
      <c r="K70" s="24"/>
      <c r="L70" s="24"/>
      <c r="M70" s="24"/>
      <c r="N70" s="24"/>
      <c r="O70" s="24"/>
      <c r="P70" s="24"/>
      <c r="S70" s="24"/>
      <c r="T70" s="24"/>
      <c r="U70" s="24"/>
      <c r="V70" s="24"/>
      <c r="W70" s="24"/>
      <c r="X70" s="24"/>
      <c r="Y70" s="24"/>
    </row>
    <row r="71" spans="1:25" x14ac:dyDescent="0.3">
      <c r="A71" s="24"/>
      <c r="B71" s="24"/>
      <c r="H71" s="24"/>
      <c r="I71" s="24"/>
      <c r="J71" s="24"/>
      <c r="K71" s="24"/>
      <c r="L71" s="24"/>
      <c r="M71" s="24"/>
      <c r="N71" s="24"/>
      <c r="O71" s="24"/>
      <c r="P71" s="24"/>
      <c r="S71" s="24"/>
      <c r="T71" s="24"/>
      <c r="U71" s="24"/>
      <c r="V71" s="24"/>
      <c r="W71" s="24"/>
      <c r="X71" s="24"/>
      <c r="Y71" s="24"/>
    </row>
    <row r="72" spans="1:25" x14ac:dyDescent="0.3">
      <c r="A72" s="24"/>
      <c r="B72" s="24"/>
      <c r="H72" s="24"/>
      <c r="I72" s="24"/>
      <c r="J72" s="24"/>
      <c r="K72" s="24"/>
      <c r="L72" s="24"/>
      <c r="M72" s="24"/>
      <c r="N72" s="24"/>
      <c r="O72" s="24"/>
      <c r="P72" s="24"/>
      <c r="S72" s="24"/>
      <c r="T72" s="24"/>
      <c r="U72" s="24"/>
      <c r="V72" s="24"/>
      <c r="W72" s="24"/>
      <c r="X72" s="24"/>
      <c r="Y72" s="24"/>
    </row>
    <row r="73" spans="1:25" x14ac:dyDescent="0.3">
      <c r="A73" s="24"/>
      <c r="B73" s="24"/>
      <c r="H73" s="24"/>
      <c r="I73" s="24"/>
      <c r="J73" s="24"/>
      <c r="K73" s="24"/>
      <c r="L73" s="24"/>
      <c r="M73" s="24"/>
      <c r="N73" s="24"/>
      <c r="O73" s="24"/>
      <c r="P73" s="24"/>
      <c r="S73" s="24"/>
      <c r="T73" s="24"/>
      <c r="U73" s="24"/>
      <c r="V73" s="24"/>
      <c r="W73" s="24"/>
      <c r="X73" s="24"/>
      <c r="Y73" s="24"/>
    </row>
    <row r="74" spans="1:25" x14ac:dyDescent="0.3">
      <c r="A74" s="24"/>
      <c r="B74" s="24"/>
      <c r="H74" s="24"/>
      <c r="I74" s="24"/>
      <c r="J74" s="24"/>
      <c r="K74" s="24"/>
      <c r="L74" s="24"/>
      <c r="M74" s="24"/>
      <c r="N74" s="24"/>
      <c r="O74" s="24"/>
      <c r="P74" s="24"/>
      <c r="S74" s="24"/>
      <c r="T74" s="24"/>
      <c r="U74" s="24"/>
      <c r="V74" s="24"/>
      <c r="W74" s="24"/>
      <c r="X74" s="24"/>
      <c r="Y74" s="24"/>
    </row>
    <row r="75" spans="1:25" x14ac:dyDescent="0.3">
      <c r="A75" s="24"/>
      <c r="B75" s="24"/>
      <c r="H75" s="24"/>
      <c r="I75" s="24"/>
      <c r="J75" s="24"/>
      <c r="K75" s="24"/>
      <c r="L75" s="24"/>
      <c r="M75" s="24"/>
      <c r="N75" s="24"/>
      <c r="O75" s="24"/>
      <c r="P75" s="24"/>
      <c r="S75" s="24"/>
      <c r="T75" s="24"/>
      <c r="U75" s="24"/>
      <c r="V75" s="24"/>
      <c r="W75" s="24"/>
      <c r="X75" s="24"/>
      <c r="Y75" s="24"/>
    </row>
    <row r="76" spans="1:25" x14ac:dyDescent="0.3">
      <c r="A76" s="24"/>
      <c r="B76" s="24"/>
      <c r="H76" s="24"/>
      <c r="I76" s="24"/>
      <c r="J76" s="24"/>
      <c r="K76" s="24"/>
      <c r="L76" s="24"/>
      <c r="M76" s="24"/>
      <c r="N76" s="24"/>
      <c r="O76" s="24"/>
      <c r="P76" s="24"/>
      <c r="S76" s="24"/>
      <c r="T76" s="24"/>
      <c r="U76" s="24"/>
      <c r="V76" s="24"/>
      <c r="W76" s="24"/>
      <c r="X76" s="24"/>
      <c r="Y76" s="24"/>
    </row>
    <row r="77" spans="1:25" x14ac:dyDescent="0.3">
      <c r="A77" s="24"/>
      <c r="B77" s="24"/>
      <c r="H77" s="24"/>
      <c r="I77" s="24"/>
      <c r="J77" s="24"/>
      <c r="K77" s="24"/>
      <c r="L77" s="24"/>
      <c r="M77" s="24"/>
      <c r="N77" s="24"/>
      <c r="O77" s="24"/>
      <c r="P77" s="24"/>
      <c r="S77" s="24"/>
      <c r="T77" s="24"/>
      <c r="U77" s="24"/>
      <c r="V77" s="24"/>
      <c r="W77" s="24"/>
      <c r="X77" s="24"/>
      <c r="Y77" s="24"/>
    </row>
    <row r="78" spans="1:25" x14ac:dyDescent="0.3">
      <c r="A78" s="24"/>
      <c r="B78" s="24"/>
      <c r="H78" s="24"/>
      <c r="I78" s="24"/>
      <c r="J78" s="24"/>
      <c r="K78" s="24"/>
      <c r="L78" s="24"/>
      <c r="M78" s="24"/>
      <c r="N78" s="24"/>
      <c r="O78" s="24"/>
      <c r="P78" s="24"/>
      <c r="S78" s="24"/>
      <c r="T78" s="24"/>
      <c r="U78" s="24"/>
      <c r="V78" s="24"/>
      <c r="W78" s="24"/>
      <c r="X78" s="24"/>
      <c r="Y78" s="24"/>
    </row>
    <row r="79" spans="1:25" x14ac:dyDescent="0.3">
      <c r="A79" s="24"/>
      <c r="B79" s="24"/>
      <c r="H79" s="24"/>
      <c r="I79" s="24"/>
      <c r="J79" s="24"/>
      <c r="K79" s="24"/>
      <c r="L79" s="24"/>
      <c r="M79" s="24"/>
      <c r="N79" s="24"/>
      <c r="O79" s="24"/>
      <c r="P79" s="24"/>
      <c r="S79" s="24"/>
      <c r="T79" s="24"/>
      <c r="U79" s="24"/>
      <c r="V79" s="24"/>
      <c r="W79" s="24"/>
      <c r="X79" s="24"/>
      <c r="Y79" s="24"/>
    </row>
    <row r="80" spans="1:25" x14ac:dyDescent="0.3">
      <c r="A80" s="24"/>
      <c r="B80" s="24"/>
      <c r="H80" s="24"/>
      <c r="I80" s="24"/>
      <c r="J80" s="24"/>
      <c r="K80" s="24"/>
      <c r="L80" s="24"/>
      <c r="M80" s="24"/>
      <c r="N80" s="24"/>
      <c r="O80" s="24"/>
      <c r="P80" s="24"/>
      <c r="S80" s="24"/>
      <c r="T80" s="24"/>
      <c r="U80" s="24"/>
      <c r="V80" s="24"/>
      <c r="W80" s="24"/>
      <c r="X80" s="24"/>
      <c r="Y80" s="24"/>
    </row>
    <row r="81" spans="1:25" x14ac:dyDescent="0.3">
      <c r="A81" s="24"/>
      <c r="B81" s="24"/>
      <c r="H81" s="24"/>
      <c r="I81" s="24"/>
      <c r="J81" s="24"/>
      <c r="K81" s="24"/>
      <c r="L81" s="24"/>
      <c r="M81" s="24"/>
      <c r="N81" s="24"/>
      <c r="O81" s="24"/>
      <c r="P81" s="24"/>
      <c r="S81" s="24"/>
      <c r="T81" s="24"/>
      <c r="U81" s="24"/>
      <c r="V81" s="24"/>
      <c r="W81" s="24"/>
      <c r="X81" s="24"/>
      <c r="Y81" s="24"/>
    </row>
    <row r="82" spans="1:25" x14ac:dyDescent="0.3">
      <c r="A82" s="24"/>
      <c r="B82" s="24"/>
      <c r="H82" s="24"/>
      <c r="I82" s="24"/>
      <c r="J82" s="24"/>
      <c r="K82" s="24"/>
      <c r="L82" s="24"/>
      <c r="M82" s="24"/>
      <c r="N82" s="24"/>
      <c r="O82" s="24"/>
      <c r="P82" s="24"/>
      <c r="S82" s="24"/>
      <c r="T82" s="24"/>
      <c r="U82" s="24"/>
      <c r="V82" s="24"/>
      <c r="W82" s="24"/>
      <c r="X82" s="24"/>
      <c r="Y82" s="24"/>
    </row>
    <row r="83" spans="1:25" x14ac:dyDescent="0.3">
      <c r="A83" s="24"/>
      <c r="B83" s="24"/>
      <c r="H83" s="24"/>
      <c r="I83" s="24"/>
      <c r="J83" s="24"/>
      <c r="K83" s="24"/>
      <c r="L83" s="24"/>
      <c r="M83" s="24"/>
      <c r="N83" s="24"/>
      <c r="O83" s="24"/>
      <c r="P83" s="24"/>
      <c r="S83" s="24"/>
      <c r="T83" s="24"/>
      <c r="U83" s="24"/>
      <c r="V83" s="24"/>
      <c r="W83" s="24"/>
      <c r="X83" s="24"/>
      <c r="Y83" s="24"/>
    </row>
    <row r="84" spans="1:25" x14ac:dyDescent="0.3">
      <c r="A84" s="24"/>
      <c r="B84" s="24"/>
      <c r="H84" s="24"/>
      <c r="I84" s="24"/>
      <c r="J84" s="24"/>
      <c r="K84" s="24"/>
      <c r="L84" s="24"/>
      <c r="M84" s="24"/>
      <c r="N84" s="24"/>
      <c r="O84" s="24"/>
      <c r="P84" s="24"/>
      <c r="S84" s="24"/>
      <c r="T84" s="24"/>
      <c r="U84" s="24"/>
      <c r="V84" s="24"/>
      <c r="W84" s="24"/>
      <c r="X84" s="24"/>
      <c r="Y84" s="24"/>
    </row>
    <row r="85" spans="1:25" x14ac:dyDescent="0.3">
      <c r="A85" s="24"/>
      <c r="B85" s="24"/>
      <c r="H85" s="24"/>
      <c r="I85" s="24"/>
      <c r="J85" s="24"/>
      <c r="K85" s="24"/>
      <c r="L85" s="24"/>
      <c r="M85" s="24"/>
      <c r="N85" s="24"/>
      <c r="O85" s="24"/>
      <c r="P85" s="24"/>
      <c r="S85" s="24"/>
      <c r="T85" s="24"/>
      <c r="U85" s="24"/>
      <c r="V85" s="24"/>
      <c r="W85" s="24"/>
      <c r="X85" s="24"/>
      <c r="Y85" s="24"/>
    </row>
    <row r="86" spans="1:25" x14ac:dyDescent="0.3">
      <c r="A86" s="24"/>
      <c r="B86" s="24"/>
      <c r="H86" s="24"/>
      <c r="I86" s="24"/>
      <c r="J86" s="24"/>
      <c r="K86" s="24"/>
      <c r="L86" s="24"/>
      <c r="M86" s="24"/>
      <c r="N86" s="24"/>
      <c r="O86" s="24"/>
      <c r="P86" s="24"/>
      <c r="S86" s="24"/>
      <c r="T86" s="24"/>
      <c r="U86" s="24"/>
      <c r="V86" s="24"/>
      <c r="W86" s="24"/>
      <c r="X86" s="24"/>
      <c r="Y86" s="24"/>
    </row>
    <row r="87" spans="1:25" x14ac:dyDescent="0.3">
      <c r="A87" s="24"/>
      <c r="B87" s="24"/>
      <c r="H87" s="24"/>
      <c r="I87" s="24"/>
      <c r="J87" s="24"/>
      <c r="K87" s="24"/>
      <c r="L87" s="24"/>
      <c r="M87" s="24"/>
      <c r="N87" s="24"/>
      <c r="O87" s="24"/>
      <c r="P87" s="24"/>
      <c r="S87" s="24"/>
      <c r="T87" s="24"/>
      <c r="U87" s="24"/>
      <c r="V87" s="24"/>
      <c r="W87" s="24"/>
      <c r="X87" s="24"/>
      <c r="Y87" s="24"/>
    </row>
    <row r="88" spans="1:25" x14ac:dyDescent="0.3">
      <c r="A88" s="24"/>
      <c r="B88" s="24"/>
      <c r="H88" s="24"/>
      <c r="I88" s="24"/>
      <c r="J88" s="24"/>
      <c r="K88" s="24"/>
      <c r="L88" s="24"/>
      <c r="M88" s="24"/>
      <c r="N88" s="24"/>
      <c r="O88" s="24"/>
      <c r="P88" s="24"/>
      <c r="S88" s="24"/>
      <c r="T88" s="24"/>
      <c r="U88" s="24"/>
      <c r="V88" s="24"/>
      <c r="W88" s="24"/>
      <c r="X88" s="24"/>
      <c r="Y88" s="24"/>
    </row>
    <row r="89" spans="1:25" x14ac:dyDescent="0.3">
      <c r="A89" s="24"/>
      <c r="B89" s="24"/>
      <c r="H89" s="24"/>
      <c r="I89" s="24"/>
      <c r="J89" s="24"/>
      <c r="K89" s="24"/>
      <c r="L89" s="24"/>
      <c r="M89" s="24"/>
      <c r="N89" s="24"/>
      <c r="O89" s="24"/>
      <c r="P89" s="24"/>
      <c r="S89" s="24"/>
      <c r="T89" s="24"/>
      <c r="U89" s="24"/>
      <c r="V89" s="24"/>
      <c r="W89" s="24"/>
      <c r="X89" s="24"/>
      <c r="Y89" s="24"/>
    </row>
    <row r="90" spans="1:25" x14ac:dyDescent="0.3">
      <c r="A90" s="24"/>
      <c r="B90" s="24"/>
      <c r="H90" s="24"/>
      <c r="I90" s="24"/>
      <c r="J90" s="24"/>
      <c r="K90" s="24"/>
      <c r="L90" s="24"/>
      <c r="M90" s="24"/>
      <c r="N90" s="24"/>
      <c r="O90" s="24"/>
      <c r="P90" s="24"/>
      <c r="S90" s="24"/>
      <c r="T90" s="24"/>
      <c r="U90" s="24"/>
      <c r="V90" s="24"/>
      <c r="W90" s="24"/>
      <c r="X90" s="24"/>
      <c r="Y90" s="24"/>
    </row>
    <row r="91" spans="1:25" x14ac:dyDescent="0.3">
      <c r="A91" s="24"/>
      <c r="B91" s="24"/>
      <c r="H91" s="24"/>
      <c r="I91" s="24"/>
      <c r="J91" s="24"/>
      <c r="K91" s="24"/>
      <c r="L91" s="24"/>
      <c r="M91" s="24"/>
      <c r="N91" s="24"/>
      <c r="O91" s="24"/>
      <c r="P91" s="24"/>
      <c r="S91" s="24"/>
      <c r="T91" s="24"/>
      <c r="U91" s="24"/>
      <c r="V91" s="24"/>
      <c r="W91" s="24"/>
      <c r="X91" s="24"/>
      <c r="Y91" s="24"/>
    </row>
    <row r="92" spans="1:25" x14ac:dyDescent="0.3">
      <c r="A92" s="24"/>
      <c r="B92" s="24"/>
      <c r="H92" s="24"/>
      <c r="I92" s="24"/>
      <c r="J92" s="24"/>
      <c r="K92" s="24"/>
      <c r="L92" s="24"/>
      <c r="M92" s="24"/>
      <c r="N92" s="24"/>
      <c r="O92" s="24"/>
      <c r="P92" s="24"/>
      <c r="S92" s="24"/>
      <c r="T92" s="24"/>
      <c r="U92" s="24"/>
      <c r="V92" s="24"/>
      <c r="W92" s="24"/>
      <c r="X92" s="24"/>
      <c r="Y92" s="24"/>
    </row>
    <row r="93" spans="1:25" x14ac:dyDescent="0.3">
      <c r="A93" s="24"/>
      <c r="B93" s="24"/>
      <c r="H93" s="24"/>
      <c r="I93" s="24"/>
      <c r="J93" s="24"/>
      <c r="K93" s="24"/>
      <c r="L93" s="24"/>
      <c r="M93" s="24"/>
      <c r="N93" s="24"/>
      <c r="O93" s="24"/>
      <c r="P93" s="24"/>
      <c r="S93" s="24"/>
      <c r="T93" s="24"/>
      <c r="U93" s="24"/>
      <c r="V93" s="24"/>
      <c r="W93" s="24"/>
      <c r="X93" s="24"/>
      <c r="Y93" s="24"/>
    </row>
    <row r="94" spans="1:25" x14ac:dyDescent="0.3">
      <c r="A94" s="24"/>
      <c r="B94" s="24"/>
      <c r="H94" s="24"/>
      <c r="I94" s="24"/>
      <c r="J94" s="24"/>
      <c r="K94" s="24"/>
      <c r="L94" s="24"/>
      <c r="M94" s="24"/>
      <c r="N94" s="24"/>
      <c r="O94" s="24"/>
      <c r="P94" s="24"/>
      <c r="S94" s="24"/>
      <c r="T94" s="24"/>
      <c r="U94" s="24"/>
      <c r="V94" s="24"/>
      <c r="W94" s="24"/>
      <c r="X94" s="24"/>
      <c r="Y94" s="24"/>
    </row>
    <row r="95" spans="1:25" x14ac:dyDescent="0.3">
      <c r="A95" s="24"/>
      <c r="B95" s="24"/>
      <c r="H95" s="24"/>
      <c r="I95" s="24"/>
      <c r="J95" s="24"/>
      <c r="K95" s="24"/>
      <c r="L95" s="24"/>
      <c r="M95" s="24"/>
      <c r="N95" s="24"/>
      <c r="O95" s="24"/>
      <c r="P95" s="24"/>
      <c r="S95" s="24"/>
      <c r="T95" s="24"/>
      <c r="U95" s="24"/>
      <c r="V95" s="24"/>
      <c r="W95" s="24"/>
      <c r="X95" s="24"/>
      <c r="Y95" s="24"/>
    </row>
    <row r="96" spans="1:25" x14ac:dyDescent="0.3">
      <c r="A96" s="24"/>
      <c r="B96" s="24"/>
      <c r="H96" s="24"/>
      <c r="I96" s="24"/>
      <c r="J96" s="24"/>
      <c r="K96" s="24"/>
      <c r="L96" s="24"/>
      <c r="M96" s="24"/>
      <c r="N96" s="24"/>
      <c r="O96" s="24"/>
      <c r="P96" s="24"/>
      <c r="S96" s="24"/>
      <c r="T96" s="24"/>
      <c r="U96" s="24"/>
      <c r="V96" s="24"/>
      <c r="W96" s="24"/>
      <c r="X96" s="24"/>
      <c r="Y96" s="24"/>
    </row>
    <row r="97" spans="1:25" x14ac:dyDescent="0.3">
      <c r="A97" s="24"/>
      <c r="B97" s="24"/>
      <c r="H97" s="24"/>
      <c r="I97" s="24"/>
      <c r="J97" s="24"/>
      <c r="K97" s="24"/>
      <c r="L97" s="24"/>
      <c r="M97" s="24"/>
      <c r="N97" s="24"/>
      <c r="O97" s="24"/>
      <c r="P97" s="24"/>
      <c r="S97" s="24"/>
      <c r="T97" s="24"/>
      <c r="U97" s="24"/>
      <c r="V97" s="24"/>
      <c r="W97" s="24"/>
      <c r="X97" s="24"/>
      <c r="Y97" s="24"/>
    </row>
    <row r="98" spans="1:25" x14ac:dyDescent="0.3">
      <c r="A98" s="24"/>
      <c r="B98" s="24"/>
      <c r="H98" s="24"/>
      <c r="I98" s="24"/>
      <c r="J98" s="24"/>
      <c r="K98" s="24"/>
      <c r="L98" s="24"/>
      <c r="M98" s="24"/>
      <c r="N98" s="24"/>
      <c r="O98" s="24"/>
      <c r="P98" s="24"/>
      <c r="S98" s="24"/>
      <c r="T98" s="24"/>
      <c r="U98" s="24"/>
      <c r="V98" s="24"/>
      <c r="W98" s="24"/>
      <c r="X98" s="24"/>
      <c r="Y98" s="24"/>
    </row>
    <row r="99" spans="1:25" x14ac:dyDescent="0.3">
      <c r="A99" s="24"/>
      <c r="B99" s="24"/>
      <c r="H99" s="24"/>
      <c r="I99" s="24"/>
      <c r="J99" s="24"/>
      <c r="K99" s="24"/>
      <c r="L99" s="24"/>
      <c r="M99" s="24"/>
      <c r="N99" s="24"/>
      <c r="O99" s="24"/>
      <c r="P99" s="24"/>
      <c r="S99" s="24"/>
      <c r="T99" s="24"/>
      <c r="U99" s="24"/>
      <c r="V99" s="24"/>
      <c r="W99" s="24"/>
      <c r="X99" s="24"/>
      <c r="Y99" s="24"/>
    </row>
    <row r="100" spans="1:25" x14ac:dyDescent="0.3">
      <c r="A100" s="24"/>
      <c r="B100" s="24"/>
      <c r="H100" s="24"/>
      <c r="I100" s="24"/>
      <c r="J100" s="24"/>
      <c r="K100" s="24"/>
      <c r="L100" s="24"/>
      <c r="M100" s="24"/>
      <c r="N100" s="24"/>
      <c r="O100" s="24"/>
      <c r="P100" s="24"/>
      <c r="S100" s="24"/>
      <c r="T100" s="24"/>
      <c r="U100" s="24"/>
      <c r="V100" s="24"/>
      <c r="W100" s="24"/>
      <c r="X100" s="24"/>
      <c r="Y100" s="24"/>
    </row>
    <row r="101" spans="1:25" x14ac:dyDescent="0.3">
      <c r="A101" s="24"/>
      <c r="B101" s="24"/>
      <c r="H101" s="24"/>
      <c r="I101" s="24"/>
      <c r="J101" s="24"/>
      <c r="K101" s="24"/>
      <c r="L101" s="24"/>
      <c r="M101" s="24"/>
      <c r="N101" s="24"/>
      <c r="O101" s="24"/>
      <c r="P101" s="24"/>
      <c r="S101" s="24"/>
      <c r="T101" s="24"/>
      <c r="U101" s="24"/>
      <c r="V101" s="24"/>
      <c r="W101" s="24"/>
      <c r="X101" s="24"/>
      <c r="Y101" s="24"/>
    </row>
    <row r="102" spans="1:25" x14ac:dyDescent="0.3">
      <c r="A102" s="24"/>
      <c r="B102" s="24"/>
      <c r="H102" s="24"/>
      <c r="I102" s="24"/>
      <c r="J102" s="24"/>
      <c r="K102" s="24"/>
      <c r="L102" s="24"/>
      <c r="M102" s="24"/>
      <c r="N102" s="24"/>
      <c r="O102" s="24"/>
      <c r="P102" s="24"/>
      <c r="S102" s="24"/>
      <c r="T102" s="24"/>
      <c r="U102" s="24"/>
      <c r="V102" s="24"/>
      <c r="W102" s="24"/>
      <c r="X102" s="24"/>
      <c r="Y102" s="24"/>
    </row>
    <row r="103" spans="1:25" x14ac:dyDescent="0.3">
      <c r="A103" s="24"/>
      <c r="B103" s="24"/>
      <c r="H103" s="24"/>
      <c r="I103" s="24"/>
      <c r="J103" s="24"/>
      <c r="K103" s="24"/>
      <c r="L103" s="24"/>
      <c r="M103" s="24"/>
      <c r="N103" s="24"/>
      <c r="O103" s="24"/>
      <c r="P103" s="24"/>
      <c r="S103" s="24"/>
      <c r="T103" s="24"/>
      <c r="U103" s="24"/>
      <c r="V103" s="24"/>
      <c r="W103" s="24"/>
      <c r="X103" s="24"/>
      <c r="Y103" s="24"/>
    </row>
    <row r="104" spans="1:25" x14ac:dyDescent="0.3">
      <c r="A104" s="24"/>
      <c r="B104" s="24"/>
      <c r="H104" s="24"/>
      <c r="I104" s="24"/>
      <c r="J104" s="24"/>
      <c r="K104" s="24"/>
      <c r="L104" s="24"/>
      <c r="M104" s="24"/>
      <c r="N104" s="24"/>
      <c r="O104" s="24"/>
      <c r="P104" s="24"/>
      <c r="S104" s="24"/>
      <c r="T104" s="24"/>
      <c r="U104" s="24"/>
      <c r="V104" s="24"/>
      <c r="W104" s="24"/>
      <c r="X104" s="24"/>
      <c r="Y104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zoomScaleNormal="100" workbookViewId="0"/>
  </sheetViews>
  <sheetFormatPr defaultColWidth="9.21875" defaultRowHeight="14.4" x14ac:dyDescent="0.3"/>
  <cols>
    <col min="1" max="1" width="46.44140625" style="2" bestFit="1" customWidth="1"/>
    <col min="2" max="11" width="14" style="2" customWidth="1"/>
    <col min="12" max="12" width="12.21875" style="2" customWidth="1"/>
    <col min="13" max="15" width="14.21875" style="17" customWidth="1"/>
    <col min="16" max="17" width="11.21875" style="2" bestFit="1" customWidth="1"/>
    <col min="18" max="18" width="10.77734375" style="2" bestFit="1" customWidth="1"/>
    <col min="19" max="16384" width="9.21875" style="2"/>
  </cols>
  <sheetData>
    <row r="1" spans="1:18" x14ac:dyDescent="0.3">
      <c r="A1" s="25" t="s">
        <v>81</v>
      </c>
      <c r="B1" s="24"/>
      <c r="C1" s="24"/>
      <c r="D1" s="24"/>
      <c r="E1" s="24" t="s">
        <v>96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3">
      <c r="A2" s="24" t="s">
        <v>31</v>
      </c>
      <c r="B2" s="89">
        <f>AVERAGE([3]WACC!$M$22:$Q$22)</f>
        <v>2.9426520663598736E-2</v>
      </c>
      <c r="C2" s="39"/>
      <c r="D2" s="39"/>
      <c r="E2" s="39">
        <f>AVERAGE('[4]PTRM inputs'!$L$26-'[4]PTRM inputs'!$L$28,'[4]PTRM inputs'!$M$26-'[4]PTRM inputs'!$M$28,'[4]PTRM inputs'!$N$26-'[4]PTRM inputs'!$N$28,'[4]PTRM inputs'!$O$26-'[4]PTRM inputs'!$O$28,'[4]PTRM inputs'!$P$26-'[4]PTRM inputs'!$P$28)</f>
        <v>3.3527858038188293E-2</v>
      </c>
      <c r="F2" s="24"/>
      <c r="G2" s="39">
        <f>AVERAGE('[5]PTRM inputs'!$M$26-'[5]PTRM inputs'!$M$28,'[5]PTRM inputs'!$N$26-'[5]PTRM inputs'!$N$28,'[5]PTRM inputs'!$O$26-'[5]PTRM inputs'!$O$28,'[5]PTRM inputs'!$P$26-'[5]PTRM inputs'!$P$28,'[5]PTRM inputs'!$Q$26-'[5]PTRM inputs'!$Q$28)</f>
        <v>2.9744598129268912E-2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56" customFormat="1" x14ac:dyDescent="0.3">
      <c r="A3" s="24"/>
      <c r="B3" s="39"/>
      <c r="C3" s="39"/>
      <c r="D3" s="39"/>
      <c r="E3" s="39"/>
      <c r="F3" s="24"/>
      <c r="G3" s="39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s="56" customFormat="1" x14ac:dyDescent="0.3">
      <c r="A4" s="25" t="s">
        <v>42</v>
      </c>
      <c r="B4" s="39" t="str">
        <f>"Real $"&amp;Real_year&amp;""</f>
        <v>Real $2020</v>
      </c>
      <c r="C4" s="24">
        <v>2006</v>
      </c>
      <c r="D4" s="24">
        <v>2007</v>
      </c>
      <c r="E4" s="24">
        <v>2008</v>
      </c>
      <c r="F4" s="24">
        <v>2009</v>
      </c>
      <c r="G4" s="24">
        <v>2010</v>
      </c>
      <c r="H4" s="24">
        <v>2011</v>
      </c>
      <c r="I4" s="24">
        <v>2012</v>
      </c>
      <c r="J4" s="24">
        <v>2013</v>
      </c>
      <c r="K4" s="24">
        <v>2014</v>
      </c>
      <c r="L4" s="24">
        <v>2015</v>
      </c>
      <c r="M4" s="24">
        <v>2016</v>
      </c>
      <c r="N4" s="24">
        <v>2017</v>
      </c>
      <c r="O4" s="24">
        <v>2018</v>
      </c>
      <c r="P4" s="24">
        <v>2019</v>
      </c>
      <c r="Q4" s="24">
        <v>2020</v>
      </c>
      <c r="R4" s="24"/>
    </row>
    <row r="5" spans="1:18" s="56" customFormat="1" x14ac:dyDescent="0.3">
      <c r="A5" s="24" t="s">
        <v>57</v>
      </c>
      <c r="B5" s="39"/>
      <c r="C5" s="37">
        <f>CPI!F12</f>
        <v>1.4052757793764987</v>
      </c>
      <c r="D5" s="37">
        <f>CPI!G12</f>
        <v>1.3517877739331026</v>
      </c>
      <c r="E5" s="37">
        <f>CPI!H12</f>
        <v>1.3272933182332955</v>
      </c>
      <c r="F5" s="37">
        <f>CPI!I12</f>
        <v>1.2642934196332254</v>
      </c>
      <c r="G5" s="37">
        <f>CPI!J12</f>
        <v>1.2494669509594882</v>
      </c>
      <c r="H5" s="37">
        <f>CPI!K12</f>
        <v>1.2145077720207254</v>
      </c>
      <c r="I5" s="37">
        <f>CPI!L12</f>
        <v>1.1743486973947896</v>
      </c>
      <c r="J5" s="37">
        <f>CPI!M12</f>
        <v>1.1512770137524559</v>
      </c>
      <c r="K5" s="37">
        <f>CPI!N12</f>
        <v>1.1269230769230769</v>
      </c>
      <c r="L5" s="37">
        <f>CPI!O12</f>
        <v>1.1015037593984962</v>
      </c>
      <c r="M5" s="37">
        <f>CPI!P12</f>
        <v>1.0851851851851853</v>
      </c>
      <c r="N5" s="37">
        <f>CPI!Q12</f>
        <v>1.0712979890310785</v>
      </c>
      <c r="O5" s="37">
        <f>CPI!R12</f>
        <v>1.052064631956912</v>
      </c>
      <c r="P5" s="37">
        <f>CPI!S12</f>
        <v>1.0325991189427313</v>
      </c>
      <c r="Q5" s="37">
        <f>CPI!T12</f>
        <v>1.0155979202772962</v>
      </c>
      <c r="R5" s="24"/>
    </row>
    <row r="6" spans="1:18" s="56" customFormat="1" x14ac:dyDescent="0.3">
      <c r="A6" s="24" t="s">
        <v>56</v>
      </c>
      <c r="B6" s="39"/>
      <c r="C6" s="37">
        <f>CPI!F11</f>
        <v>1.3985680190930789</v>
      </c>
      <c r="D6" s="37">
        <f>CPI!G11</f>
        <v>1.3533487297921478</v>
      </c>
      <c r="E6" s="37">
        <f>CPI!H11</f>
        <v>1.3153759820426487</v>
      </c>
      <c r="F6" s="37">
        <f>CPI!I11</f>
        <v>1.2683982683982684</v>
      </c>
      <c r="G6" s="37">
        <f>CPI!J11</f>
        <v>1.2428419936373278</v>
      </c>
      <c r="H6" s="37">
        <f>CPI!K11</f>
        <v>1.2094943240454077</v>
      </c>
      <c r="I6" s="37">
        <f>CPI!L11</f>
        <v>1.1743486973947896</v>
      </c>
      <c r="J6" s="37">
        <f>CPI!M11</f>
        <v>1.1490196078431374</v>
      </c>
      <c r="K6" s="37">
        <f>CPI!N11</f>
        <v>1.1183206106870229</v>
      </c>
      <c r="L6" s="37">
        <f>CPI!O11</f>
        <v>1.0994371482176362</v>
      </c>
      <c r="M6" s="37">
        <f>CPI!P11</f>
        <v>1.0811808118081181</v>
      </c>
      <c r="N6" s="37">
        <f>CPI!Q11</f>
        <v>1.0654545454545454</v>
      </c>
      <c r="O6" s="37">
        <f>CPI!R11</f>
        <v>1.0454950936663694</v>
      </c>
      <c r="P6" s="37">
        <f>CPI!S11</f>
        <v>1.0271691498685365</v>
      </c>
      <c r="Q6" s="37">
        <f>CPI!T11</f>
        <v>1.0086058519793459</v>
      </c>
      <c r="R6" s="24"/>
    </row>
    <row r="7" spans="1:18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18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3">
      <c r="A9" s="14" t="s">
        <v>52</v>
      </c>
      <c r="B9" s="25" t="str">
        <f>IF(Depreciation!A14=RAB!A14,"valid","invalid")</f>
        <v>valid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</row>
    <row r="10" spans="1:18" x14ac:dyDescent="0.3">
      <c r="A10" s="25" t="str">
        <f>Depreciation!A14</f>
        <v>Real $2020</v>
      </c>
      <c r="B10" s="25"/>
      <c r="C10" s="24">
        <v>2006</v>
      </c>
      <c r="D10" s="24">
        <v>2007</v>
      </c>
      <c r="E10" s="24">
        <v>2008</v>
      </c>
      <c r="F10" s="24">
        <v>2009</v>
      </c>
      <c r="G10" s="24">
        <v>2010</v>
      </c>
      <c r="H10" s="24">
        <v>2011</v>
      </c>
      <c r="I10" s="24">
        <v>2012</v>
      </c>
      <c r="J10" s="24">
        <v>2013</v>
      </c>
      <c r="K10" s="24">
        <v>2014</v>
      </c>
      <c r="L10" s="24">
        <v>2015</v>
      </c>
      <c r="M10" s="24">
        <v>2016</v>
      </c>
      <c r="N10" s="24">
        <v>2017</v>
      </c>
      <c r="O10" s="24">
        <v>2018</v>
      </c>
      <c r="P10" s="24">
        <v>2019</v>
      </c>
      <c r="Q10" s="24">
        <v>2020</v>
      </c>
      <c r="R10" s="24" t="s">
        <v>107</v>
      </c>
    </row>
    <row r="11" spans="1:18" x14ac:dyDescent="0.3">
      <c r="A11" s="38" t="s">
        <v>37</v>
      </c>
      <c r="B11" s="38" t="s">
        <v>125</v>
      </c>
      <c r="C11" s="28">
        <f>C27*C$6</f>
        <v>136252.88758032862</v>
      </c>
      <c r="D11" s="28">
        <f>D27*D$6</f>
        <v>150657.60588115259</v>
      </c>
      <c r="E11" s="28">
        <f t="shared" ref="E11:Q11" si="0">E27*E$6</f>
        <v>122167.93474264877</v>
      </c>
      <c r="F11" s="28">
        <f t="shared" si="0"/>
        <v>179522.20004047357</v>
      </c>
      <c r="G11" s="28">
        <f t="shared" si="0"/>
        <v>166591.00822032688</v>
      </c>
      <c r="H11" s="28">
        <f t="shared" si="0"/>
        <v>170247.19803701891</v>
      </c>
      <c r="I11" s="28">
        <f t="shared" si="0"/>
        <v>205945.11991522438</v>
      </c>
      <c r="J11" s="28">
        <f t="shared" si="0"/>
        <v>185675.73071285526</v>
      </c>
      <c r="K11" s="28">
        <f t="shared" si="0"/>
        <v>159255.13443628445</v>
      </c>
      <c r="L11" s="28">
        <f t="shared" si="0"/>
        <v>222101.06843237358</v>
      </c>
      <c r="M11" s="28">
        <f t="shared" si="0"/>
        <v>206448.42884535826</v>
      </c>
      <c r="N11" s="28">
        <f t="shared" si="0"/>
        <v>194463.09110105087</v>
      </c>
      <c r="O11" s="28">
        <f t="shared" si="0"/>
        <v>194127.23941171568</v>
      </c>
      <c r="P11" s="28">
        <f t="shared" si="0"/>
        <v>198917.98282574868</v>
      </c>
      <c r="Q11" s="28">
        <f t="shared" si="0"/>
        <v>201237.957010232</v>
      </c>
      <c r="R11" s="28">
        <f>AVERAGE(M11:Q11)</f>
        <v>199038.9398388211</v>
      </c>
    </row>
    <row r="12" spans="1:18" x14ac:dyDescent="0.3">
      <c r="A12" s="38" t="s">
        <v>21</v>
      </c>
      <c r="B12" s="38" t="s">
        <v>125</v>
      </c>
      <c r="C12" s="28">
        <f>C28*C$6</f>
        <v>369698.87420129729</v>
      </c>
      <c r="D12" s="28">
        <f t="shared" ref="D12:Q12" si="1">D28*D$6</f>
        <v>405101.41211775743</v>
      </c>
      <c r="E12" s="28">
        <f t="shared" si="1"/>
        <v>369098.37283615244</v>
      </c>
      <c r="F12" s="28">
        <f t="shared" si="1"/>
        <v>573566.01960819191</v>
      </c>
      <c r="G12" s="28">
        <f t="shared" si="1"/>
        <v>559935.80056057114</v>
      </c>
      <c r="H12" s="28">
        <f t="shared" si="1"/>
        <v>611291.82281741058</v>
      </c>
      <c r="I12" s="28">
        <f t="shared" si="1"/>
        <v>760653.2457508326</v>
      </c>
      <c r="J12" s="28">
        <f t="shared" si="1"/>
        <v>587240.31327421137</v>
      </c>
      <c r="K12" s="28">
        <f t="shared" si="1"/>
        <v>507727.10352265276</v>
      </c>
      <c r="L12" s="28">
        <f t="shared" si="1"/>
        <v>700810.05843697709</v>
      </c>
      <c r="M12" s="28">
        <f t="shared" si="1"/>
        <v>630075.44361044187</v>
      </c>
      <c r="N12" s="28">
        <f t="shared" si="1"/>
        <v>548533.41231328237</v>
      </c>
      <c r="O12" s="28">
        <f t="shared" si="1"/>
        <v>520938.59817940969</v>
      </c>
      <c r="P12" s="28">
        <f t="shared" si="1"/>
        <v>537424.70678667387</v>
      </c>
      <c r="Q12" s="28">
        <f t="shared" si="1"/>
        <v>497611.04226676119</v>
      </c>
      <c r="R12" s="28">
        <f>AVERAGE(M12:Q12)</f>
        <v>546916.64063131378</v>
      </c>
    </row>
    <row r="13" spans="1:18" x14ac:dyDescent="0.3">
      <c r="A13" s="38" t="s">
        <v>35</v>
      </c>
      <c r="B13" s="38" t="s">
        <v>125</v>
      </c>
      <c r="C13" s="28">
        <f>C29*C$5</f>
        <v>262182.37494097569</v>
      </c>
      <c r="D13" s="28">
        <f t="shared" ref="D13:Q13" si="2">D29*D$5</f>
        <v>238014.38802256295</v>
      </c>
      <c r="E13" s="28">
        <f t="shared" si="2"/>
        <v>273170.97704801126</v>
      </c>
      <c r="F13" s="28">
        <f t="shared" si="2"/>
        <v>279526.29292664299</v>
      </c>
      <c r="G13" s="28">
        <f t="shared" si="2"/>
        <v>333228.57382548397</v>
      </c>
      <c r="H13" s="28">
        <f t="shared" si="2"/>
        <v>323961.75845298852</v>
      </c>
      <c r="I13" s="28">
        <f t="shared" si="2"/>
        <v>315015.37883625901</v>
      </c>
      <c r="J13" s="28">
        <f t="shared" si="2"/>
        <v>318855.48229564214</v>
      </c>
      <c r="K13" s="28">
        <f t="shared" si="2"/>
        <v>254499.06095610571</v>
      </c>
      <c r="L13" s="28">
        <f t="shared" si="2"/>
        <v>306894.69746248896</v>
      </c>
      <c r="M13" s="28">
        <f t="shared" si="2"/>
        <v>281702.86633486068</v>
      </c>
      <c r="N13" s="28">
        <f t="shared" si="2"/>
        <v>316136.42726537527</v>
      </c>
      <c r="O13" s="28">
        <f t="shared" si="2"/>
        <v>297998.98043465381</v>
      </c>
      <c r="P13" s="28">
        <f t="shared" si="2"/>
        <v>289437.13166273397</v>
      </c>
      <c r="Q13" s="28">
        <f t="shared" si="2"/>
        <v>287026.21547865297</v>
      </c>
      <c r="R13" s="28">
        <f>AVERAGE(M13:Q13)</f>
        <v>294460.32423525536</v>
      </c>
    </row>
    <row r="14" spans="1:18" x14ac:dyDescent="0.3">
      <c r="A14" s="38" t="s">
        <v>29</v>
      </c>
      <c r="B14" s="38" t="s">
        <v>125</v>
      </c>
      <c r="C14" s="28">
        <f>C30*C$6</f>
        <v>100259.88593399915</v>
      </c>
      <c r="D14" s="28">
        <f t="shared" ref="D14:Q14" si="3">D30*D$6</f>
        <v>90147.969062723991</v>
      </c>
      <c r="E14" s="28">
        <f t="shared" si="3"/>
        <v>108280.88889653253</v>
      </c>
      <c r="F14" s="28">
        <f t="shared" si="3"/>
        <v>100166.53981425954</v>
      </c>
      <c r="G14" s="28">
        <f t="shared" si="3"/>
        <v>122327.73485185833</v>
      </c>
      <c r="H14" s="28">
        <f t="shared" si="3"/>
        <v>129428.27375777543</v>
      </c>
      <c r="I14" s="28">
        <f t="shared" si="3"/>
        <v>165696.92550091463</v>
      </c>
      <c r="J14" s="28">
        <f t="shared" si="3"/>
        <v>133705.01295525249</v>
      </c>
      <c r="K14" s="28">
        <f t="shared" si="3"/>
        <v>118372.59076349558</v>
      </c>
      <c r="L14" s="28">
        <f t="shared" si="3"/>
        <v>138114.47678566942</v>
      </c>
      <c r="M14" s="28">
        <f t="shared" si="3"/>
        <v>123762.1040361245</v>
      </c>
      <c r="N14" s="28">
        <f t="shared" si="3"/>
        <v>128969.7576391203</v>
      </c>
      <c r="O14" s="28">
        <f t="shared" si="3"/>
        <v>114814.74513815217</v>
      </c>
      <c r="P14" s="28">
        <f t="shared" si="3"/>
        <v>115420.31473436128</v>
      </c>
      <c r="Q14" s="28">
        <f t="shared" si="3"/>
        <v>96773.202937099632</v>
      </c>
      <c r="R14" s="28">
        <f>AVERAGE(M14:Q14)</f>
        <v>115948.02489697158</v>
      </c>
    </row>
    <row r="15" spans="1:18" x14ac:dyDescent="0.3">
      <c r="A15" s="38" t="s">
        <v>38</v>
      </c>
      <c r="B15" s="38" t="s">
        <v>125</v>
      </c>
      <c r="C15" s="28">
        <f>C31*C$6</f>
        <v>368097.50942995551</v>
      </c>
      <c r="D15" s="28">
        <f t="shared" ref="D15:Q15" si="4">D31*D$6</f>
        <v>393800.27912017528</v>
      </c>
      <c r="E15" s="28">
        <f t="shared" si="4"/>
        <v>336802.7117110847</v>
      </c>
      <c r="F15" s="28">
        <f t="shared" si="4"/>
        <v>492180.54071359558</v>
      </c>
      <c r="G15" s="28">
        <f t="shared" si="4"/>
        <v>496379.08691351756</v>
      </c>
      <c r="H15" s="28">
        <f t="shared" si="4"/>
        <v>512258.22387254576</v>
      </c>
      <c r="I15" s="28">
        <f t="shared" si="4"/>
        <v>623259.82708494202</v>
      </c>
      <c r="J15" s="28">
        <f t="shared" si="4"/>
        <v>511972.58215512172</v>
      </c>
      <c r="K15" s="28">
        <f t="shared" si="4"/>
        <v>455359.66684224643</v>
      </c>
      <c r="L15" s="28">
        <f t="shared" si="4"/>
        <v>584777.42591157323</v>
      </c>
      <c r="M15" s="28">
        <f t="shared" si="4"/>
        <v>534536.72696787817</v>
      </c>
      <c r="N15" s="28">
        <f t="shared" si="4"/>
        <v>559850.65058705502</v>
      </c>
      <c r="O15" s="28">
        <f t="shared" si="4"/>
        <v>484925.62292805896</v>
      </c>
      <c r="P15" s="28">
        <f t="shared" si="4"/>
        <v>475625.1831193468</v>
      </c>
      <c r="Q15" s="28">
        <f t="shared" si="4"/>
        <v>446944.11023991916</v>
      </c>
      <c r="R15" s="28">
        <f>AVERAGE(M15:Q15)</f>
        <v>500376.45876845159</v>
      </c>
    </row>
    <row r="16" spans="1:18" x14ac:dyDescent="0.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3">
      <c r="A17" s="14" t="s">
        <v>43</v>
      </c>
      <c r="B17" s="14"/>
      <c r="C17" s="25" t="str">
        <f>IF(A10=A18,"valid","invalid")</f>
        <v>valid</v>
      </c>
      <c r="D17" s="40"/>
      <c r="E17" s="40"/>
      <c r="F17" s="40"/>
      <c r="G17" s="40"/>
      <c r="H17" s="40"/>
      <c r="I17" s="40"/>
      <c r="J17" s="40"/>
      <c r="K17" s="40"/>
      <c r="L17" s="24"/>
      <c r="M17" s="24"/>
      <c r="N17" s="24"/>
      <c r="O17" s="24"/>
      <c r="P17" s="24"/>
      <c r="Q17" s="24"/>
      <c r="R17" s="24"/>
    </row>
    <row r="18" spans="1:18" x14ac:dyDescent="0.3">
      <c r="A18" s="25" t="str">
        <f>Opex!A14</f>
        <v>Real $2020</v>
      </c>
      <c r="B18" s="25"/>
      <c r="C18" s="24">
        <v>2006</v>
      </c>
      <c r="D18" s="24">
        <v>2007</v>
      </c>
      <c r="E18" s="24">
        <v>2008</v>
      </c>
      <c r="F18" s="24">
        <v>2009</v>
      </c>
      <c r="G18" s="24">
        <v>2010</v>
      </c>
      <c r="H18" s="24">
        <v>2011</v>
      </c>
      <c r="I18" s="24">
        <v>2012</v>
      </c>
      <c r="J18" s="24">
        <v>2013</v>
      </c>
      <c r="K18" s="24">
        <v>2014</v>
      </c>
      <c r="L18" s="24">
        <v>2015</v>
      </c>
      <c r="M18" s="24">
        <v>2016</v>
      </c>
      <c r="N18" s="24">
        <v>2017</v>
      </c>
      <c r="O18" s="24">
        <v>2018</v>
      </c>
      <c r="P18" s="24">
        <v>2019</v>
      </c>
      <c r="Q18" s="24">
        <v>2020</v>
      </c>
      <c r="R18" s="24"/>
    </row>
    <row r="19" spans="1:18" x14ac:dyDescent="0.3">
      <c r="A19" s="38" t="s">
        <v>37</v>
      </c>
      <c r="B19" s="70" t="s">
        <v>127</v>
      </c>
      <c r="C19" s="28">
        <f>(C11+Opex!C15)*1000</f>
        <v>203986935.31302553</v>
      </c>
      <c r="D19" s="28">
        <f>(D11+Opex!D15)*1000</f>
        <v>222290354.14905095</v>
      </c>
      <c r="E19" s="28">
        <f>(E11+Opex!E15)*1000</f>
        <v>187206221.37789005</v>
      </c>
      <c r="F19" s="28">
        <f>(F11+Opex!F15)*1000</f>
        <v>249097650.25692379</v>
      </c>
      <c r="G19" s="28">
        <f>(G11+Opex!G15)*1000</f>
        <v>238137693.26804695</v>
      </c>
      <c r="H19" s="28">
        <f>(H11+Opex!H15)*1000</f>
        <v>248102347.67582181</v>
      </c>
      <c r="I19" s="28">
        <f>(I11+Opex!I15)*1000</f>
        <v>291184045.76692778</v>
      </c>
      <c r="J19" s="28">
        <f>(J11+Opex!J15)*1000</f>
        <v>266712636.5952082</v>
      </c>
      <c r="K19" s="28">
        <f>(K11+Opex!K15)*1000</f>
        <v>242189730.53552112</v>
      </c>
      <c r="L19" s="28">
        <f>(L11+Opex!L15)*1000</f>
        <v>309622694.19132298</v>
      </c>
      <c r="M19" s="28">
        <f>(M11+Opex!M15)*1000</f>
        <v>298465780.53170514</v>
      </c>
      <c r="N19" s="28">
        <f>(N11+Opex!N15)*1000</f>
        <v>289970045.53377813</v>
      </c>
      <c r="O19" s="28">
        <f>(O11+Opex!O15)*1000</f>
        <v>291491502.19851321</v>
      </c>
      <c r="P19" s="28">
        <f>(P11+Opex!P15)*1000</f>
        <v>294796471.94757169</v>
      </c>
      <c r="Q19" s="28">
        <f>(Q11+Opex!Q15)*1000</f>
        <v>301969812.47157454</v>
      </c>
      <c r="R19" s="24"/>
    </row>
    <row r="20" spans="1:18" x14ac:dyDescent="0.3">
      <c r="A20" s="38" t="s">
        <v>21</v>
      </c>
      <c r="B20" s="70" t="s">
        <v>127</v>
      </c>
      <c r="C20" s="28">
        <f>(C12+Opex!C16)*1000</f>
        <v>535822182.07719225</v>
      </c>
      <c r="D20" s="28">
        <f>(D12+Opex!D16)*1000</f>
        <v>578688686.94454718</v>
      </c>
      <c r="E20" s="28">
        <f>(E12+Opex!E16)*1000</f>
        <v>558659836.36028266</v>
      </c>
      <c r="F20" s="28">
        <f>(F12+Opex!F16)*1000</f>
        <v>754688218.74239111</v>
      </c>
      <c r="G20" s="28">
        <f>(G12+Opex!G16)*1000</f>
        <v>748725985.07806849</v>
      </c>
      <c r="H20" s="28">
        <f>(H12+Opex!H16)*1000</f>
        <v>793960541.08366442</v>
      </c>
      <c r="I20" s="28">
        <f>(I12+Opex!I16)*1000</f>
        <v>948999987.2337985</v>
      </c>
      <c r="J20" s="28">
        <f>(J12+Opex!J16)*1000</f>
        <v>779560453.78468204</v>
      </c>
      <c r="K20" s="28">
        <f>(K12+Opex!K16)*1000</f>
        <v>710165256.31285226</v>
      </c>
      <c r="L20" s="28">
        <f>(L12+Opex!L16)*1000</f>
        <v>933078242.83577764</v>
      </c>
      <c r="M20" s="28">
        <f>(M12+Opex!M16)*1000</f>
        <v>865406340.28940868</v>
      </c>
      <c r="N20" s="28">
        <f>(N12+Opex!N16)*1000</f>
        <v>789604381.97510064</v>
      </c>
      <c r="O20" s="28">
        <f>(O12+Opex!O16)*1000</f>
        <v>717088359.62112248</v>
      </c>
      <c r="P20" s="28">
        <f>(P12+Opex!P16)*1000</f>
        <v>742208287.24528646</v>
      </c>
      <c r="Q20" s="28">
        <f>(Q12+Opex!Q16)*1000</f>
        <v>701451386.34937739</v>
      </c>
      <c r="R20" s="24"/>
    </row>
    <row r="21" spans="1:18" x14ac:dyDescent="0.3">
      <c r="A21" s="38" t="s">
        <v>35</v>
      </c>
      <c r="B21" s="70" t="s">
        <v>127</v>
      </c>
      <c r="C21" s="28">
        <f>(C13+Opex!C17)*1000</f>
        <v>348978706.05717194</v>
      </c>
      <c r="D21" s="28">
        <f>(D13+Opex!D17)*1000</f>
        <v>321578656.11260533</v>
      </c>
      <c r="E21" s="28">
        <f>(E13+Opex!E17)*1000</f>
        <v>350511548.38889468</v>
      </c>
      <c r="F21" s="28">
        <f>(F13+Opex!F17)*1000</f>
        <v>377623440.12405396</v>
      </c>
      <c r="G21" s="28">
        <f>(G13+Opex!G17)*1000</f>
        <v>433265133.61226434</v>
      </c>
      <c r="H21" s="28">
        <f>(H13+Opex!H17)*1000</f>
        <v>415168400.38873982</v>
      </c>
      <c r="I21" s="28">
        <f>(I13+Opex!I17)*1000</f>
        <v>400439719.08074796</v>
      </c>
      <c r="J21" s="28">
        <f>(J13+Opex!J17)*1000</f>
        <v>406501984.91253805</v>
      </c>
      <c r="K21" s="28">
        <f>(K13+Opex!K17)*1000</f>
        <v>347734216.79489839</v>
      </c>
      <c r="L21" s="28">
        <f>(L13+Opex!L17)*1000</f>
        <v>400131457.64355052</v>
      </c>
      <c r="M21" s="28">
        <f>(M13+Opex!M17)*1000</f>
        <v>378707839.02891064</v>
      </c>
      <c r="N21" s="28">
        <f>(N13+Opex!N17)*1000</f>
        <v>410027370.95052874</v>
      </c>
      <c r="O21" s="28">
        <f>(O13+Opex!O17)*1000</f>
        <v>384063738.01316237</v>
      </c>
      <c r="P21" s="28">
        <f>(P13+Opex!P17)*1000</f>
        <v>379180108.38644457</v>
      </c>
      <c r="Q21" s="28">
        <f>(Q13+Opex!Q17)*1000</f>
        <v>367891733.34532756</v>
      </c>
      <c r="R21" s="24"/>
    </row>
    <row r="22" spans="1:18" x14ac:dyDescent="0.3">
      <c r="A22" s="38" t="s">
        <v>29</v>
      </c>
      <c r="B22" s="70" t="s">
        <v>127</v>
      </c>
      <c r="C22" s="28">
        <f>(C14+Opex!C18)*1000</f>
        <v>149805623.70965549</v>
      </c>
      <c r="D22" s="28">
        <f>(D14+Opex!D18)*1000</f>
        <v>141110513.32138449</v>
      </c>
      <c r="E22" s="28">
        <f>(E14+Opex!E18)*1000</f>
        <v>169227685.38587037</v>
      </c>
      <c r="F22" s="28">
        <f>(F14+Opex!F18)*1000</f>
        <v>159327984.89218161</v>
      </c>
      <c r="G22" s="28">
        <f>(G14+Opex!G18)*1000</f>
        <v>181710113.82958898</v>
      </c>
      <c r="H22" s="28">
        <f>(H14+Opex!H18)*1000</f>
        <v>185739400.09007677</v>
      </c>
      <c r="I22" s="28">
        <f>(I14+Opex!I18)*1000</f>
        <v>220801053.83758801</v>
      </c>
      <c r="J22" s="28">
        <f>(J14+Opex!J18)*1000</f>
        <v>185383988.7160368</v>
      </c>
      <c r="K22" s="28">
        <f>(K14+Opex!K18)*1000</f>
        <v>169365773.96960247</v>
      </c>
      <c r="L22" s="28">
        <f>(L14+Opex!L18)*1000</f>
        <v>176271232.15756437</v>
      </c>
      <c r="M22" s="28">
        <f>(M14+Opex!M18)*1000</f>
        <v>164418178.29908797</v>
      </c>
      <c r="N22" s="28">
        <f>(N14+Opex!N18)*1000</f>
        <v>163115648.82286876</v>
      </c>
      <c r="O22" s="28">
        <f>(O14+Opex!O18)*1000</f>
        <v>145107848.46191579</v>
      </c>
      <c r="P22" s="28">
        <f>(P14+Opex!P18)*1000</f>
        <v>147381011.44465631</v>
      </c>
      <c r="Q22" s="28">
        <f>(Q14+Opex!Q18)*1000</f>
        <v>124230064.9583976</v>
      </c>
      <c r="R22" s="24"/>
    </row>
    <row r="23" spans="1:18" x14ac:dyDescent="0.3">
      <c r="A23" s="38" t="s">
        <v>38</v>
      </c>
      <c r="B23" s="70" t="s">
        <v>127</v>
      </c>
      <c r="C23" s="28">
        <f>(C15+Opex!C19)*1000</f>
        <v>536946626.37506282</v>
      </c>
      <c r="D23" s="28">
        <f>(D15+Opex!D19)*1000</f>
        <v>560383974.27029073</v>
      </c>
      <c r="E23" s="28">
        <f>(E15+Opex!E19)*1000</f>
        <v>494266370.52141017</v>
      </c>
      <c r="F23" s="28">
        <f>(F15+Opex!F19)*1000</f>
        <v>649639501.75255668</v>
      </c>
      <c r="G23" s="28">
        <f>(G15+Opex!G19)*1000</f>
        <v>674403774.08212841</v>
      </c>
      <c r="H23" s="28">
        <f>(H15+Opex!H19)*1000</f>
        <v>678890256.8962816</v>
      </c>
      <c r="I23" s="28">
        <f>(I15+Opex!I19)*1000</f>
        <v>801890007.44566345</v>
      </c>
      <c r="J23" s="28">
        <f>(J15+Opex!J19)*1000</f>
        <v>676339837.05708253</v>
      </c>
      <c r="K23" s="28">
        <f>(K15+Opex!K19)*1000</f>
        <v>651779262.26209366</v>
      </c>
      <c r="L23" s="28">
        <f>(L15+Opex!L19)*1000</f>
        <v>769734201.44253016</v>
      </c>
      <c r="M23" s="28">
        <f>(M15+Opex!M19)*1000</f>
        <v>717834161.61961246</v>
      </c>
      <c r="N23" s="28">
        <f>(N15+Opex!N19)*1000</f>
        <v>741368632.92236495</v>
      </c>
      <c r="O23" s="28">
        <f>(O15+Opex!O19)*1000</f>
        <v>645468393.0942322</v>
      </c>
      <c r="P23" s="28">
        <f>(P15+Opex!P19)*1000</f>
        <v>634269244.93137085</v>
      </c>
      <c r="Q23" s="28">
        <f>(Q15+Opex!Q19)*1000</f>
        <v>609785400.04026341</v>
      </c>
      <c r="R23" s="24"/>
    </row>
    <row r="24" spans="1:18" x14ac:dyDescent="0.3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</row>
    <row r="25" spans="1:18" x14ac:dyDescent="0.3">
      <c r="A25" s="14" t="s">
        <v>52</v>
      </c>
      <c r="B25" s="24"/>
      <c r="C25" s="36"/>
      <c r="D25" s="36"/>
      <c r="E25" s="36"/>
      <c r="F25" s="36"/>
      <c r="G25" s="36"/>
      <c r="H25" s="36"/>
      <c r="I25" s="36"/>
      <c r="J25" s="36"/>
      <c r="K25" s="36"/>
      <c r="L25" s="24"/>
      <c r="M25" s="24"/>
      <c r="N25" s="24"/>
      <c r="O25" s="24"/>
      <c r="P25" s="24"/>
      <c r="Q25" s="24"/>
      <c r="R25" s="24"/>
    </row>
    <row r="26" spans="1:18" x14ac:dyDescent="0.3">
      <c r="A26" s="14" t="s">
        <v>61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</row>
    <row r="27" spans="1:18" x14ac:dyDescent="0.3">
      <c r="A27" s="38" t="s">
        <v>37</v>
      </c>
      <c r="B27" s="90" t="s">
        <v>126</v>
      </c>
      <c r="C27" s="27">
        <f>SUM('[6]Extracted Data'!D78:D80)</f>
        <v>97423.139754535296</v>
      </c>
      <c r="D27" s="27">
        <f>SUM('[6]Extracted Data'!E78:E80)</f>
        <v>111322.08762208032</v>
      </c>
      <c r="E27" s="27">
        <f>SUM('[6]Extracted Data'!F78:F80)</f>
        <v>92876.817283020515</v>
      </c>
      <c r="F27" s="27">
        <f>SUM('[6]Extracted Data'!G78:G80)</f>
        <v>141534.56726740408</v>
      </c>
      <c r="G27" s="27">
        <f>SUM('[6]Extracted Data'!H78:H80)</f>
        <v>134040.37606806163</v>
      </c>
      <c r="H27" s="27">
        <f>SUM('[6]Extracted Data'!I78:I80)</f>
        <v>140758.98882070932</v>
      </c>
      <c r="I27" s="27">
        <f>SUM('[6]Extracted Data'!J78:J80)</f>
        <v>175369.64989368082</v>
      </c>
      <c r="J27" s="27">
        <f>SUM('[6]Extracted Data'!K78:K80)</f>
        <v>161594.91922108561</v>
      </c>
      <c r="K27" s="27">
        <f>SUM('[6]Extracted Data'!L78:L80)</f>
        <v>142405.61509319633</v>
      </c>
      <c r="L27" s="27">
        <f>SUM('[6]Extracted Data'!M78:M80)</f>
        <v>202013.4291372954</v>
      </c>
      <c r="M27" s="27">
        <f>SUM('[6]Extracted Data'!N78:N80)</f>
        <v>190947.18162830063</v>
      </c>
      <c r="N27" s="27">
        <f>SUM('[6]Extracted Data'!O78:O80)</f>
        <v>182516.55308119109</v>
      </c>
      <c r="O27" s="27">
        <f>SUM('[6]Extracted Data'!P78:P80)</f>
        <v>185679.72302093281</v>
      </c>
      <c r="P27" s="27">
        <f>SUM('[6]Extracted Data'!Q78:Q80)</f>
        <v>193656.50034486281</v>
      </c>
      <c r="Q27" s="27">
        <f>SUM('[6]Extracted Data'!R78:R80)</f>
        <v>199520.90959546893</v>
      </c>
      <c r="R27" s="48"/>
    </row>
    <row r="28" spans="1:18" x14ac:dyDescent="0.3">
      <c r="A28" s="38" t="s">
        <v>21</v>
      </c>
      <c r="B28" s="38" t="s">
        <v>126</v>
      </c>
      <c r="C28" s="27">
        <f>SUM('[6]Extracted Data'!S78:S80)</f>
        <v>264341.00390843611</v>
      </c>
      <c r="D28" s="27">
        <f>SUM('[6]Extracted Data'!T78:T80)</f>
        <v>299332.61339076614</v>
      </c>
      <c r="E28" s="27">
        <f>SUM('[6]Extracted Data'!U78:U80)</f>
        <v>280602.94385410566</v>
      </c>
      <c r="F28" s="27">
        <f>SUM('[6]Extracted Data'!V78:V80)</f>
        <v>452197.10078325029</v>
      </c>
      <c r="G28" s="27">
        <f>SUM('[6]Extracted Data'!W78:W80)</f>
        <v>450528.54942714889</v>
      </c>
      <c r="H28" s="27">
        <f>SUM('[6]Extracted Data'!X78:X80)</f>
        <v>505411.07193692046</v>
      </c>
      <c r="I28" s="27">
        <f>SUM('[6]Extracted Data'!Y78:Y80)</f>
        <v>647723.49766154517</v>
      </c>
      <c r="J28" s="27">
        <f>SUM('[6]Extracted Data'!Z78:Z80)</f>
        <v>511079.4535321634</v>
      </c>
      <c r="K28" s="27">
        <f>SUM('[6]Extracted Data'!AA78:AA80)</f>
        <v>454008.53625575092</v>
      </c>
      <c r="L28" s="27">
        <f>SUM('[6]Extracted Data'!AB78:AB80)</f>
        <v>637426.21356127772</v>
      </c>
      <c r="M28" s="27">
        <f>SUM('[6]Extracted Data'!AC78:AC80)</f>
        <v>582766.02463627898</v>
      </c>
      <c r="N28" s="27">
        <f>SUM('[6]Extracted Data'!AD78:AD80)</f>
        <v>514835.1139459135</v>
      </c>
      <c r="O28" s="27">
        <f>SUM('[6]Extracted Data'!AE78:AE80)</f>
        <v>498269.76839515206</v>
      </c>
      <c r="P28" s="27">
        <f>SUM('[6]Extracted Data'!AF78:AF80)</f>
        <v>523209.54816006386</v>
      </c>
      <c r="Q28" s="27">
        <f>SUM('[6]Extracted Data'!AG78:AG80)</f>
        <v>493365.21426107211</v>
      </c>
      <c r="R28" s="48"/>
    </row>
    <row r="29" spans="1:18" x14ac:dyDescent="0.3">
      <c r="A29" s="38" t="s">
        <v>35</v>
      </c>
      <c r="B29" s="38" t="s">
        <v>126</v>
      </c>
      <c r="C29" s="27">
        <f>SUM('[6]Extracted Data'!AH78:AH80)</f>
        <v>186570.05179246905</v>
      </c>
      <c r="D29" s="27">
        <f>SUM('[6]Extracted Data'!AI78:AI80)</f>
        <v>176073.78363102567</v>
      </c>
      <c r="E29" s="27">
        <f>SUM('[6]Extracted Data'!AJ78:AJ80)</f>
        <v>205810.55693975594</v>
      </c>
      <c r="F29" s="27">
        <f>SUM('[6]Extracted Data'!AK78:AK80)</f>
        <v>221092.89551450347</v>
      </c>
      <c r="G29" s="27">
        <f>SUM('[6]Extracted Data'!AL78:AL80)</f>
        <v>266696.58894906484</v>
      </c>
      <c r="H29" s="27">
        <f>SUM('[6]Extracted Data'!AM78:AM80)</f>
        <v>266743.25674670131</v>
      </c>
      <c r="I29" s="27">
        <f>SUM('[6]Extracted Data'!AN78:AN80)</f>
        <v>268246.88402609766</v>
      </c>
      <c r="J29" s="27">
        <f>SUM('[6]Extracted Data'!AO78:AO80)</f>
        <v>276958.08957078808</v>
      </c>
      <c r="K29" s="27">
        <f>SUM('[6]Extracted Data'!AP78:AP80)</f>
        <v>225835.34419313134</v>
      </c>
      <c r="L29" s="27">
        <f>SUM('[6]Extracted Data'!AQ78:AQ80)</f>
        <v>278614.29872021184</v>
      </c>
      <c r="M29" s="27">
        <f>SUM('[6]Extracted Data'!AR78:AR80)</f>
        <v>259589.67204918899</v>
      </c>
      <c r="N29" s="27">
        <f>SUM('[6]Extracted Data'!AS78:AS80)</f>
        <v>295096.63091153634</v>
      </c>
      <c r="O29" s="27">
        <f>SUM('[6]Extracted Data'!AT78:AT80)</f>
        <v>283251.59061792179</v>
      </c>
      <c r="P29" s="27">
        <f>SUM('[6]Extracted Data'!AU78:AU80)</f>
        <v>280299.61129454186</v>
      </c>
      <c r="Q29" s="27">
        <f>SUM('[6]Extracted Data'!AV78:AV80)</f>
        <v>282617.9630224962</v>
      </c>
      <c r="R29" s="24"/>
    </row>
    <row r="30" spans="1:18" x14ac:dyDescent="0.3">
      <c r="A30" s="38" t="s">
        <v>29</v>
      </c>
      <c r="B30" s="38" t="s">
        <v>126</v>
      </c>
      <c r="C30" s="27">
        <f>SUM('[6]Extracted Data'!AW78:AW80)</f>
        <v>71687.52936236457</v>
      </c>
      <c r="D30" s="27">
        <f>SUM('[6]Extracted Data'!AX78:AX80)</f>
        <v>66611.041986620286</v>
      </c>
      <c r="E30" s="27">
        <f>SUM('[6]Extracted Data'!AY78:AY80)</f>
        <v>82319.344715708605</v>
      </c>
      <c r="F30" s="27">
        <f>SUM('[6]Extracted Data'!AZ78:AZ80)</f>
        <v>78970.889751173905</v>
      </c>
      <c r="G30" s="27">
        <f>SUM('[6]Extracted Data'!BA78:BA80)</f>
        <v>98425.813963568595</v>
      </c>
      <c r="H30" s="27">
        <f>SUM('[6]Extracted Data'!BB78:BB80)</f>
        <v>107010.23657959419</v>
      </c>
      <c r="I30" s="27">
        <f>SUM('[6]Extracted Data'!BC78:BC80)</f>
        <v>141096.87000845801</v>
      </c>
      <c r="J30" s="27">
        <f>SUM('[6]Extracted Data'!BD78:BD80)</f>
        <v>116364.43107027093</v>
      </c>
      <c r="K30" s="27">
        <f>SUM('[6]Extracted Data'!BE78:BE80)</f>
        <v>105848.52825950799</v>
      </c>
      <c r="L30" s="27">
        <f>SUM('[6]Extracted Data'!BF78:BF80)</f>
        <v>125622.89441426928</v>
      </c>
      <c r="M30" s="27">
        <f>SUM('[6]Extracted Data'!BG78:BG80)</f>
        <v>114469.38632692743</v>
      </c>
      <c r="N30" s="27">
        <f>SUM('[6]Extracted Data'!BH78:BH80)</f>
        <v>121046.70085582964</v>
      </c>
      <c r="O30" s="27">
        <f>SUM('[6]Extracted Data'!BI78:BI80)</f>
        <v>109818.54035824964</v>
      </c>
      <c r="P30" s="27">
        <f>SUM('[6]Extracted Data'!BJ78:BJ80)</f>
        <v>112367.38832073909</v>
      </c>
      <c r="Q30" s="27">
        <f>SUM('[6]Extracted Data'!BK78:BK80)</f>
        <v>95947.493014428139</v>
      </c>
      <c r="R30" s="24"/>
    </row>
    <row r="31" spans="1:18" x14ac:dyDescent="0.3">
      <c r="A31" s="38" t="s">
        <v>38</v>
      </c>
      <c r="B31" s="38" t="s">
        <v>126</v>
      </c>
      <c r="C31" s="27">
        <f>SUM('[6]Extracted Data'!BL78:BL80)</f>
        <v>263196.00076988281</v>
      </c>
      <c r="D31" s="27">
        <f>SUM('[6]Extracted Data'!BM78:BM80)</f>
        <v>290982.11750688718</v>
      </c>
      <c r="E31" s="27">
        <f>SUM('[6]Extracted Data'!BN78:BN80)</f>
        <v>256050.52571209596</v>
      </c>
      <c r="F31" s="27">
        <f>SUM('[6]Extracted Data'!BO78:BO80)</f>
        <v>388033.12254211801</v>
      </c>
      <c r="G31" s="27">
        <f>SUM('[6]Extracted Data'!BP78:BP80)</f>
        <v>399390.34040908446</v>
      </c>
      <c r="H31" s="27">
        <f>SUM('[6]Extracted Data'!BQ78:BQ80)</f>
        <v>423530.90352602117</v>
      </c>
      <c r="I31" s="27">
        <f>SUM('[6]Extracted Data'!BR78:BR80)</f>
        <v>530728.07801260415</v>
      </c>
      <c r="J31" s="27">
        <f>SUM('[6]Extracted Data'!BS78:BS80)</f>
        <v>445573.40767766559</v>
      </c>
      <c r="K31" s="27">
        <f>SUM('[6]Extracted Data'!BT78:BT80)</f>
        <v>407181.68161320325</v>
      </c>
      <c r="L31" s="27">
        <f>SUM('[6]Extracted Data'!BU78:BU80)</f>
        <v>531888.00001854694</v>
      </c>
      <c r="M31" s="27">
        <f>SUM('[6]Extracted Data'!BV78:BV80)</f>
        <v>494400.86350953917</v>
      </c>
      <c r="N31" s="27">
        <f>SUM('[6]Extracted Data'!BW78:BW80)</f>
        <v>525457.09526088787</v>
      </c>
      <c r="O31" s="27">
        <f>SUM('[6]Extracted Data'!BX78:BX80)</f>
        <v>463823.9106675376</v>
      </c>
      <c r="P31" s="27">
        <f>SUM('[6]Extracted Data'!BY78:BY80)</f>
        <v>463044.653531719</v>
      </c>
      <c r="Q31" s="27">
        <f>SUM('[6]Extracted Data'!BZ78:BZ80)</f>
        <v>443130.59394094377</v>
      </c>
      <c r="R31" s="24"/>
    </row>
    <row r="33" spans="3:19" x14ac:dyDescent="0.3"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3:19" x14ac:dyDescent="0.3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</row>
    <row r="35" spans="3:19" x14ac:dyDescent="0.3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</row>
    <row r="36" spans="3:19" x14ac:dyDescent="0.3"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</row>
    <row r="37" spans="3:19" x14ac:dyDescent="0.3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</row>
    <row r="38" spans="3:19" x14ac:dyDescent="0.3"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</row>
    <row r="39" spans="3:19" x14ac:dyDescent="0.3"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</row>
    <row r="40" spans="3:19" x14ac:dyDescent="0.3"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cost'!C19:L19</xm:f>
              <xm:sqref>R19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cost'!C20:L20</xm:f>
              <xm:sqref>R20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cost'!C21:L21</xm:f>
              <xm:sqref>R21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cost'!C22:L22</xm:f>
              <xm:sqref>R22</xm:sqref>
            </x14:sparkline>
          </x14:sparklines>
        </x14:sparklineGroup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'Asset cost and Total cost'!C23:L23</xm:f>
              <xm:sqref>R23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V22"/>
  <sheetViews>
    <sheetView zoomScaleNormal="100" workbookViewId="0"/>
  </sheetViews>
  <sheetFormatPr defaultColWidth="9.21875" defaultRowHeight="14.4" x14ac:dyDescent="0.3"/>
  <cols>
    <col min="1" max="1" width="23.5546875" style="2" customWidth="1"/>
    <col min="2" max="12" width="12.21875" style="2" customWidth="1"/>
    <col min="13" max="15" width="12.21875" style="17" customWidth="1"/>
    <col min="16" max="17" width="11" style="2" bestFit="1" customWidth="1"/>
    <col min="18" max="16384" width="9.21875" style="2"/>
  </cols>
  <sheetData>
    <row r="1" spans="1:74" x14ac:dyDescent="0.3">
      <c r="A1" s="25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74" x14ac:dyDescent="0.3">
      <c r="A2" s="24"/>
      <c r="B2" s="25" t="str">
        <f>"Real $"&amp;Real_year&amp;""</f>
        <v>Real $2020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>
        <v>2020</v>
      </c>
      <c r="R2" s="24"/>
      <c r="S2" s="24"/>
      <c r="T2" s="24"/>
      <c r="U2" s="24"/>
      <c r="V2" s="24"/>
    </row>
    <row r="3" spans="1:74" x14ac:dyDescent="0.3">
      <c r="A3" s="24" t="s">
        <v>57</v>
      </c>
      <c r="B3" s="24"/>
      <c r="C3" s="37">
        <f>CPI!F12</f>
        <v>1.4052757793764987</v>
      </c>
      <c r="D3" s="37">
        <f>CPI!G12</f>
        <v>1.3517877739331026</v>
      </c>
      <c r="E3" s="37">
        <f>CPI!H12</f>
        <v>1.3272933182332955</v>
      </c>
      <c r="F3" s="37">
        <f>CPI!I12</f>
        <v>1.2642934196332254</v>
      </c>
      <c r="G3" s="37">
        <f>CPI!J12</f>
        <v>1.2494669509594882</v>
      </c>
      <c r="H3" s="37">
        <f>CPI!K12</f>
        <v>1.2145077720207254</v>
      </c>
      <c r="I3" s="37">
        <f>CPI!L12</f>
        <v>1.1743486973947896</v>
      </c>
      <c r="J3" s="37">
        <f>CPI!M12</f>
        <v>1.1512770137524559</v>
      </c>
      <c r="K3" s="37">
        <f>CPI!N12</f>
        <v>1.1269230769230769</v>
      </c>
      <c r="L3" s="37">
        <f>CPI!O12</f>
        <v>1.1015037593984962</v>
      </c>
      <c r="M3" s="37">
        <f>CPI!P12</f>
        <v>1.0851851851851853</v>
      </c>
      <c r="N3" s="37">
        <f>CPI!Q12</f>
        <v>1.0712979890310785</v>
      </c>
      <c r="O3" s="37">
        <f>CPI!R12</f>
        <v>1.052064631956912</v>
      </c>
      <c r="P3" s="37">
        <f>CPI!S12</f>
        <v>1.0325991189427313</v>
      </c>
      <c r="Q3" s="37">
        <f>CPI!T12</f>
        <v>1.0155979202772962</v>
      </c>
      <c r="R3" s="24"/>
      <c r="S3" s="24"/>
      <c r="T3" s="24"/>
      <c r="U3" s="24"/>
      <c r="V3" s="24"/>
    </row>
    <row r="4" spans="1:74" x14ac:dyDescent="0.3">
      <c r="A4" s="24" t="s">
        <v>56</v>
      </c>
      <c r="B4" s="24"/>
      <c r="C4" s="37">
        <f>CPI!F11</f>
        <v>1.3985680190930789</v>
      </c>
      <c r="D4" s="37">
        <f>CPI!G11</f>
        <v>1.3533487297921478</v>
      </c>
      <c r="E4" s="37">
        <f>CPI!H11</f>
        <v>1.3153759820426487</v>
      </c>
      <c r="F4" s="37">
        <f>CPI!I11</f>
        <v>1.2683982683982684</v>
      </c>
      <c r="G4" s="37">
        <f>CPI!J11</f>
        <v>1.2428419936373278</v>
      </c>
      <c r="H4" s="37">
        <f>CPI!K11</f>
        <v>1.2094943240454077</v>
      </c>
      <c r="I4" s="37">
        <f>CPI!L11</f>
        <v>1.1743486973947896</v>
      </c>
      <c r="J4" s="37">
        <f>CPI!M11</f>
        <v>1.1490196078431374</v>
      </c>
      <c r="K4" s="37">
        <f>CPI!N11</f>
        <v>1.1183206106870229</v>
      </c>
      <c r="L4" s="37">
        <f>CPI!O11</f>
        <v>1.0994371482176362</v>
      </c>
      <c r="M4" s="37">
        <f>CPI!P11</f>
        <v>1.0811808118081181</v>
      </c>
      <c r="N4" s="37">
        <f>CPI!Q11</f>
        <v>1.0654545454545454</v>
      </c>
      <c r="O4" s="37">
        <f>CPI!R11</f>
        <v>1.0454950936663694</v>
      </c>
      <c r="P4" s="37">
        <f>CPI!S11</f>
        <v>1.0271691498685365</v>
      </c>
      <c r="Q4" s="37">
        <f>CPI!T11</f>
        <v>1.0086058519793459</v>
      </c>
      <c r="R4" s="24"/>
      <c r="S4" s="24"/>
      <c r="T4" s="24"/>
      <c r="U4" s="24"/>
      <c r="V4" s="24"/>
    </row>
    <row r="5" spans="1:74" x14ac:dyDescent="0.3">
      <c r="A5" s="24"/>
      <c r="B5" s="22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24"/>
      <c r="Q5" s="24"/>
      <c r="R5" s="24"/>
      <c r="S5" s="24"/>
      <c r="T5" s="24"/>
      <c r="U5" s="24"/>
      <c r="V5" s="24"/>
    </row>
    <row r="6" spans="1:74" x14ac:dyDescent="0.3">
      <c r="A6" s="25" t="s">
        <v>51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74" x14ac:dyDescent="0.3">
      <c r="A7" s="25" t="s">
        <v>61</v>
      </c>
      <c r="B7" s="25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Q7" s="24">
        <v>2020</v>
      </c>
      <c r="R7" s="24"/>
      <c r="S7" s="24"/>
      <c r="T7" s="24"/>
      <c r="U7" s="24"/>
      <c r="V7" s="24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</row>
    <row r="8" spans="1:74" x14ac:dyDescent="0.3">
      <c r="A8" s="38" t="s">
        <v>37</v>
      </c>
      <c r="B8" s="38" t="s">
        <v>62</v>
      </c>
      <c r="C8" s="87">
        <f>'[6]Extracted Data'!D$10</f>
        <v>48431</v>
      </c>
      <c r="D8" s="87">
        <f>'[6]Extracted Data'!E$10</f>
        <v>52930</v>
      </c>
      <c r="E8" s="87">
        <f>'[6]Extracted Data'!F$10</f>
        <v>49444.635999999999</v>
      </c>
      <c r="F8" s="87">
        <f>'[6]Extracted Data'!G$10</f>
        <v>54853</v>
      </c>
      <c r="G8" s="87">
        <f>'[6]Extracted Data'!H$10</f>
        <v>57567</v>
      </c>
      <c r="H8" s="87">
        <f>'[6]Extracted Data'!I$10</f>
        <v>64370</v>
      </c>
      <c r="I8" s="87">
        <f>'[6]Extracted Data'!J$10</f>
        <v>72584</v>
      </c>
      <c r="J8" s="87">
        <f>'[6]Extracted Data'!K$10</f>
        <v>70527</v>
      </c>
      <c r="K8" s="87">
        <f>'[6]Extracted Data'!L$10</f>
        <v>74159.945999999996</v>
      </c>
      <c r="L8" s="87">
        <f>'[6]Extracted Data'!M$10</f>
        <v>79605.847320000015</v>
      </c>
      <c r="M8" s="87">
        <f>'[6]Extracted Data'!N$10</f>
        <v>85108.198999999993</v>
      </c>
      <c r="N8" s="87">
        <f>'[6]Extracted Data'!O$10</f>
        <v>89639.633000000002</v>
      </c>
      <c r="O8" s="87">
        <f>'[6]Extracted Data'!P$10</f>
        <v>93127.422000000006</v>
      </c>
      <c r="P8" s="87">
        <f>'[6]Extracted Data'!Q$10</f>
        <v>93342.453999999998</v>
      </c>
      <c r="Q8" s="87">
        <f>'[6]Extracted Data'!R$10</f>
        <v>99872.368640000001</v>
      </c>
      <c r="R8" s="24"/>
      <c r="S8" s="24"/>
      <c r="T8" s="24"/>
      <c r="U8" s="24"/>
      <c r="V8" s="24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BO8" s="17"/>
      <c r="BP8" s="17"/>
      <c r="BQ8" s="17"/>
      <c r="BR8" s="17"/>
      <c r="BS8" s="17"/>
      <c r="BT8" s="17"/>
      <c r="BU8" s="17"/>
      <c r="BV8" s="17"/>
    </row>
    <row r="9" spans="1:74" x14ac:dyDescent="0.3">
      <c r="A9" s="38" t="s">
        <v>21</v>
      </c>
      <c r="B9" s="38" t="s">
        <v>62</v>
      </c>
      <c r="C9" s="87">
        <f>'[6]Extracted Data'!S$10</f>
        <v>118781</v>
      </c>
      <c r="D9" s="87">
        <f>'[6]Extracted Data'!T$10</f>
        <v>128265</v>
      </c>
      <c r="E9" s="87">
        <f>'[6]Extracted Data'!U$10</f>
        <v>144112</v>
      </c>
      <c r="F9" s="87">
        <f>'[6]Extracted Data'!V$10</f>
        <v>142796</v>
      </c>
      <c r="G9" s="87">
        <f>'[6]Extracted Data'!W$10</f>
        <v>151902</v>
      </c>
      <c r="H9" s="87">
        <f>'[6]Extracted Data'!X$10</f>
        <v>151029</v>
      </c>
      <c r="I9" s="87">
        <f>'[6]Extracted Data'!Y$10</f>
        <v>160384</v>
      </c>
      <c r="J9" s="87">
        <f>'[6]Extracted Data'!Z$10</f>
        <v>167377.59669000003</v>
      </c>
      <c r="K9" s="87">
        <f>'[6]Extracted Data'!AA$10</f>
        <v>181019.7816758781</v>
      </c>
      <c r="L9" s="87">
        <f>'[6]Extracted Data'!AB$10</f>
        <v>211260.9936596599</v>
      </c>
      <c r="M9" s="87">
        <f>'[6]Extracted Data'!AC$10</f>
        <v>217661</v>
      </c>
      <c r="N9" s="87">
        <f>'[6]Extracted Data'!AD$10</f>
        <v>226261.149</v>
      </c>
      <c r="O9" s="87">
        <f>'[6]Extracted Data'!AE$10</f>
        <v>187614.23428</v>
      </c>
      <c r="P9" s="87">
        <f>'[6]Extracted Data'!AF$10</f>
        <v>199366.94991747182</v>
      </c>
      <c r="Q9" s="87">
        <f>'[6]Extracted Data'!AG$10</f>
        <v>202101.092</v>
      </c>
      <c r="R9" s="24"/>
      <c r="S9" s="24"/>
      <c r="T9" s="24"/>
      <c r="U9" s="24"/>
      <c r="V9" s="24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</row>
    <row r="10" spans="1:74" x14ac:dyDescent="0.3">
      <c r="A10" s="38" t="s">
        <v>35</v>
      </c>
      <c r="B10" s="38" t="s">
        <v>62</v>
      </c>
      <c r="C10" s="87">
        <f>'[6]Extracted Data'!AH$10</f>
        <v>61764.624702139656</v>
      </c>
      <c r="D10" s="87">
        <f>'[6]Extracted Data'!AI$10</f>
        <v>61817.594227019435</v>
      </c>
      <c r="E10" s="87">
        <f>'[6]Extracted Data'!AJ$10</f>
        <v>58269.389500000005</v>
      </c>
      <c r="F10" s="87">
        <f>'[6]Extracted Data'!AK$10</f>
        <v>77590.490999999995</v>
      </c>
      <c r="G10" s="87">
        <f>'[6]Extracted Data'!AL$10</f>
        <v>80063.390000000014</v>
      </c>
      <c r="H10" s="87">
        <f>'[6]Extracted Data'!AM$10</f>
        <v>75097.619000000006</v>
      </c>
      <c r="I10" s="87">
        <f>'[6]Extracted Data'!AN$10</f>
        <v>72741.886999999988</v>
      </c>
      <c r="J10" s="87">
        <f>'[6]Extracted Data'!AO$10</f>
        <v>76129.812000000005</v>
      </c>
      <c r="K10" s="87">
        <f>'[6]Extracted Data'!AP$10</f>
        <v>82734.26797981601</v>
      </c>
      <c r="L10" s="87">
        <f>'[6]Extracted Data'!AQ$10</f>
        <v>84644.97681966683</v>
      </c>
      <c r="M10" s="87">
        <f>'[6]Extracted Data'!AR$10</f>
        <v>89390.247875063069</v>
      </c>
      <c r="N10" s="87">
        <f>'[6]Extracted Data'!AS$10</f>
        <v>87642.229003035784</v>
      </c>
      <c r="O10" s="87">
        <f>'[6]Extracted Data'!AT$10</f>
        <v>81805.580155681397</v>
      </c>
      <c r="P10" s="87">
        <f>'[6]Extracted Data'!AU$10</f>
        <v>86909.794011443286</v>
      </c>
      <c r="Q10" s="87">
        <f>'[6]Extracted Data'!AV$10</f>
        <v>79623.555988176173</v>
      </c>
      <c r="R10" s="24"/>
      <c r="S10" s="24"/>
      <c r="T10" s="24"/>
      <c r="U10" s="24"/>
      <c r="V10" s="24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74" x14ac:dyDescent="0.3">
      <c r="A11" s="38" t="s">
        <v>29</v>
      </c>
      <c r="B11" s="38" t="s">
        <v>62</v>
      </c>
      <c r="C11" s="87">
        <f>'[6]Extracted Data'!AW$10</f>
        <v>35426.048000000003</v>
      </c>
      <c r="D11" s="87">
        <f>'[6]Extracted Data'!AX$10</f>
        <v>37656.624000000003</v>
      </c>
      <c r="E11" s="87">
        <f>'[6]Extracted Data'!AY$10</f>
        <v>46334.126000000004</v>
      </c>
      <c r="F11" s="87">
        <f>'[6]Extracted Data'!AZ$10</f>
        <v>46642.640999999996</v>
      </c>
      <c r="G11" s="87">
        <f>'[6]Extracted Data'!BA$10</f>
        <v>47779.507999999994</v>
      </c>
      <c r="H11" s="87">
        <f>'[6]Extracted Data'!BB$10</f>
        <v>46557.578000000001</v>
      </c>
      <c r="I11" s="87">
        <f>'[6]Extracted Data'!BC$10</f>
        <v>46923.140000000007</v>
      </c>
      <c r="J11" s="87">
        <f>'[6]Extracted Data'!BD$10</f>
        <v>44976.582999999999</v>
      </c>
      <c r="K11" s="87">
        <f>'[6]Extracted Data'!BE$10</f>
        <v>45598</v>
      </c>
      <c r="L11" s="87">
        <f>'[6]Extracted Data'!BF$10</f>
        <v>34705.717769999996</v>
      </c>
      <c r="M11" s="87">
        <f>'[6]Extracted Data'!BG$10</f>
        <v>37603.399744925264</v>
      </c>
      <c r="N11" s="87">
        <f>'[6]Extracted Data'!BH$10</f>
        <v>32048.191384064245</v>
      </c>
      <c r="O11" s="87">
        <f>'[6]Extracted Data'!BI$10</f>
        <v>28974.888076739793</v>
      </c>
      <c r="P11" s="87">
        <f>'[6]Extracted Data'!BJ$10</f>
        <v>31115.319920176305</v>
      </c>
      <c r="Q11" s="87">
        <f>'[6]Extracted Data'!BK$10</f>
        <v>27222.588454563338</v>
      </c>
      <c r="R11" s="24"/>
      <c r="S11" s="24"/>
      <c r="T11" s="24"/>
      <c r="U11" s="24"/>
      <c r="V11" s="24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74" x14ac:dyDescent="0.3">
      <c r="A12" s="38" t="s">
        <v>38</v>
      </c>
      <c r="B12" s="38" t="s">
        <v>62</v>
      </c>
      <c r="C12" s="87">
        <f>'[6]Extracted Data'!BL$10</f>
        <v>120730</v>
      </c>
      <c r="D12" s="87">
        <f>'[6]Extracted Data'!BM$10</f>
        <v>123090</v>
      </c>
      <c r="E12" s="87">
        <f>'[6]Extracted Data'!BN$10</f>
        <v>119710</v>
      </c>
      <c r="F12" s="87">
        <f>'[6]Extracted Data'!BO$10</f>
        <v>124140</v>
      </c>
      <c r="G12" s="87">
        <f>'[6]Extracted Data'!BP$10</f>
        <v>143240</v>
      </c>
      <c r="H12" s="87">
        <f>'[6]Extracted Data'!BQ$10</f>
        <v>137770</v>
      </c>
      <c r="I12" s="87">
        <f>'[6]Extracted Data'!BR$10</f>
        <v>152110</v>
      </c>
      <c r="J12" s="87">
        <f>'[6]Extracted Data'!BS$10</f>
        <v>143050</v>
      </c>
      <c r="K12" s="87">
        <f>'[6]Extracted Data'!BT$10</f>
        <v>175638</v>
      </c>
      <c r="L12" s="87">
        <f>'[6]Extracted Data'!BU$10</f>
        <v>168228.603</v>
      </c>
      <c r="M12" s="87">
        <f>'[6]Extracted Data'!BV$10</f>
        <v>169534.48734000002</v>
      </c>
      <c r="N12" s="87">
        <f>'[6]Extracted Data'!BW$10</f>
        <v>170366.70697000079</v>
      </c>
      <c r="O12" s="87">
        <f>'[6]Extracted Data'!BX$10</f>
        <v>153556.69399000015</v>
      </c>
      <c r="P12" s="87">
        <f>'[6]Extracted Data'!BY$10</f>
        <v>154447.8451599995</v>
      </c>
      <c r="Q12" s="87">
        <f>'[6]Extracted Data'!BZ$10</f>
        <v>161451.859</v>
      </c>
      <c r="R12" s="24"/>
      <c r="S12" s="24"/>
      <c r="T12" s="24"/>
      <c r="U12" s="24"/>
      <c r="V12" s="24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74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R13" s="24"/>
      <c r="S13" s="24"/>
      <c r="T13" s="24"/>
      <c r="U13" s="24"/>
      <c r="V13" s="24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74" x14ac:dyDescent="0.3">
      <c r="A14" s="25" t="str">
        <f>CONCATENATE(B2)</f>
        <v>Real $2020</v>
      </c>
      <c r="B14" s="25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>
        <v>2020</v>
      </c>
      <c r="R14" s="24" t="s">
        <v>106</v>
      </c>
      <c r="S14" s="24"/>
      <c r="T14" s="24"/>
      <c r="U14" s="24"/>
      <c r="V14" s="24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74" x14ac:dyDescent="0.3">
      <c r="A15" s="38" t="s">
        <v>37</v>
      </c>
      <c r="B15" s="38" t="s">
        <v>125</v>
      </c>
      <c r="C15" s="28">
        <f t="shared" ref="C15:N15" si="0">C8*C$4</f>
        <v>67734.047732696912</v>
      </c>
      <c r="D15" s="28">
        <f t="shared" si="0"/>
        <v>71632.74826789838</v>
      </c>
      <c r="E15" s="28">
        <f t="shared" si="0"/>
        <v>65038.286635241304</v>
      </c>
      <c r="F15" s="28">
        <f t="shared" si="0"/>
        <v>69575.450216450219</v>
      </c>
      <c r="G15" s="28">
        <f t="shared" si="0"/>
        <v>71546.68504772005</v>
      </c>
      <c r="H15" s="28">
        <f t="shared" si="0"/>
        <v>77855.14963880289</v>
      </c>
      <c r="I15" s="28">
        <f t="shared" si="0"/>
        <v>85238.925851703418</v>
      </c>
      <c r="J15" s="28">
        <f t="shared" si="0"/>
        <v>81036.905882352949</v>
      </c>
      <c r="K15" s="28">
        <f t="shared" si="0"/>
        <v>82934.596099236645</v>
      </c>
      <c r="L15" s="28">
        <f t="shared" si="0"/>
        <v>87521.625758949376</v>
      </c>
      <c r="M15" s="28">
        <f>M8*M$4</f>
        <v>92017.351686346854</v>
      </c>
      <c r="N15" s="28">
        <f t="shared" si="0"/>
        <v>95506.954432727274</v>
      </c>
      <c r="O15" s="28">
        <f t="shared" ref="O15" si="1">O8*O$4</f>
        <v>97364.26278679751</v>
      </c>
      <c r="P15" s="28">
        <f>P8*P$4</f>
        <v>95878.489121822975</v>
      </c>
      <c r="Q15" s="28">
        <f>Q8*Q$4</f>
        <v>100731.85546134251</v>
      </c>
      <c r="R15" s="40">
        <f>AVERAGE(M15:Q15)</f>
        <v>96299.782697807415</v>
      </c>
      <c r="S15" s="24"/>
      <c r="T15" s="24"/>
      <c r="U15" s="24"/>
      <c r="V15" s="24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</row>
    <row r="16" spans="1:74" x14ac:dyDescent="0.3">
      <c r="A16" s="38" t="s">
        <v>21</v>
      </c>
      <c r="B16" s="38" t="s">
        <v>125</v>
      </c>
      <c r="C16" s="28">
        <f t="shared" ref="C16:N16" si="2">C9*C$4</f>
        <v>166123.307875895</v>
      </c>
      <c r="D16" s="28">
        <f t="shared" si="2"/>
        <v>173587.27482678983</v>
      </c>
      <c r="E16" s="28">
        <f t="shared" si="2"/>
        <v>189561.4635241302</v>
      </c>
      <c r="F16" s="28">
        <f t="shared" si="2"/>
        <v>181122.19913419912</v>
      </c>
      <c r="G16" s="28">
        <f t="shared" si="2"/>
        <v>188790.18451749737</v>
      </c>
      <c r="H16" s="28">
        <f t="shared" si="2"/>
        <v>182668.71826625388</v>
      </c>
      <c r="I16" s="28">
        <f t="shared" si="2"/>
        <v>188346.74148296594</v>
      </c>
      <c r="J16" s="28">
        <f t="shared" si="2"/>
        <v>192320.14051047066</v>
      </c>
      <c r="K16" s="28">
        <f t="shared" si="2"/>
        <v>202438.15279019956</v>
      </c>
      <c r="L16" s="28">
        <f t="shared" si="2"/>
        <v>232268.1843988006</v>
      </c>
      <c r="M16" s="28">
        <f t="shared" ref="M16" si="3">M9*M$4</f>
        <v>235330.89667896679</v>
      </c>
      <c r="N16" s="28">
        <f t="shared" si="2"/>
        <v>241070.96966181818</v>
      </c>
      <c r="O16" s="28">
        <f t="shared" ref="O16:P16" si="4">O9*O$4</f>
        <v>196149.76144171276</v>
      </c>
      <c r="P16" s="28">
        <f t="shared" si="4"/>
        <v>204783.58045861262</v>
      </c>
      <c r="Q16" s="28">
        <f t="shared" ref="Q16" si="5">Q9*Q$4</f>
        <v>203840.34408261618</v>
      </c>
      <c r="R16" s="40">
        <f t="shared" ref="R16:R19" si="6">AVERAGE(M16:Q16)</f>
        <v>216235.11046474529</v>
      </c>
      <c r="S16" s="24"/>
      <c r="T16" s="24"/>
      <c r="U16" s="24"/>
      <c r="V16" s="24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</row>
    <row r="17" spans="1:40" x14ac:dyDescent="0.3">
      <c r="A17" s="38" t="s">
        <v>35</v>
      </c>
      <c r="B17" s="38" t="s">
        <v>125</v>
      </c>
      <c r="C17" s="28">
        <f t="shared" ref="C17:N17" si="7">C10*C$3</f>
        <v>86796.331116196248</v>
      </c>
      <c r="D17" s="28">
        <f t="shared" si="7"/>
        <v>83564.268090042417</v>
      </c>
      <c r="E17" s="28">
        <f t="shared" si="7"/>
        <v>77340.571340883354</v>
      </c>
      <c r="F17" s="28">
        <f t="shared" si="7"/>
        <v>98097.147197410988</v>
      </c>
      <c r="G17" s="28">
        <f t="shared" si="7"/>
        <v>100036.5597867804</v>
      </c>
      <c r="H17" s="28">
        <f t="shared" si="7"/>
        <v>91206.641935751293</v>
      </c>
      <c r="I17" s="28">
        <f t="shared" si="7"/>
        <v>85424.340244488965</v>
      </c>
      <c r="J17" s="28">
        <f t="shared" si="7"/>
        <v>87646.502616895887</v>
      </c>
      <c r="K17" s="28">
        <f t="shared" si="7"/>
        <v>93235.155838792663</v>
      </c>
      <c r="L17" s="28">
        <f t="shared" si="7"/>
        <v>93236.760181061574</v>
      </c>
      <c r="M17" s="28">
        <f t="shared" ref="M17" si="8">M10*M$3</f>
        <v>97004.972694049924</v>
      </c>
      <c r="N17" s="28">
        <f t="shared" si="7"/>
        <v>93890.943685153499</v>
      </c>
      <c r="O17" s="28">
        <f t="shared" ref="O17:P17" si="9">O10*O$3</f>
        <v>86064.757578508608</v>
      </c>
      <c r="P17" s="28">
        <f t="shared" si="9"/>
        <v>89742.976723710599</v>
      </c>
      <c r="Q17" s="28">
        <f t="shared" ref="Q17" si="10">Q10*Q$3</f>
        <v>80865.517866674578</v>
      </c>
      <c r="R17" s="40">
        <f t="shared" si="6"/>
        <v>89513.833709619445</v>
      </c>
      <c r="S17" s="24"/>
      <c r="T17" s="24"/>
      <c r="U17" s="24"/>
      <c r="V17" s="24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</row>
    <row r="18" spans="1:40" x14ac:dyDescent="0.3">
      <c r="A18" s="38" t="s">
        <v>29</v>
      </c>
      <c r="B18" s="38" t="s">
        <v>125</v>
      </c>
      <c r="C18" s="28">
        <f t="shared" ref="C18:N18" si="11">C11*C$4</f>
        <v>49545.737775656336</v>
      </c>
      <c r="D18" s="28">
        <f t="shared" si="11"/>
        <v>50962.544258660513</v>
      </c>
      <c r="E18" s="28">
        <f t="shared" si="11"/>
        <v>60946.79648933783</v>
      </c>
      <c r="F18" s="28">
        <f t="shared" si="11"/>
        <v>59161.445077922072</v>
      </c>
      <c r="G18" s="28">
        <f t="shared" si="11"/>
        <v>59382.378977730645</v>
      </c>
      <c r="H18" s="28">
        <f t="shared" si="11"/>
        <v>56311.126332301348</v>
      </c>
      <c r="I18" s="28">
        <f t="shared" si="11"/>
        <v>55104.128336673355</v>
      </c>
      <c r="J18" s="28">
        <f t="shared" si="11"/>
        <v>51678.97576078432</v>
      </c>
      <c r="K18" s="28">
        <f t="shared" si="11"/>
        <v>50993.183206106871</v>
      </c>
      <c r="L18" s="28">
        <f t="shared" si="11"/>
        <v>38156.755371894935</v>
      </c>
      <c r="M18" s="28">
        <f t="shared" ref="M18" si="12">M11*M$4</f>
        <v>40656.074262963477</v>
      </c>
      <c r="N18" s="28">
        <f t="shared" si="11"/>
        <v>34145.891183748448</v>
      </c>
      <c r="O18" s="28">
        <f t="shared" ref="O18:P18" si="13">O11*O$4</f>
        <v>30293.10332376364</v>
      </c>
      <c r="P18" s="28">
        <f t="shared" si="13"/>
        <v>31960.696710295033</v>
      </c>
      <c r="Q18" s="28">
        <f t="shared" ref="Q18" si="14">Q11*Q$4</f>
        <v>27456.862021297962</v>
      </c>
      <c r="R18" s="40">
        <f t="shared" si="6"/>
        <v>32902.525500413714</v>
      </c>
      <c r="S18" s="24"/>
      <c r="T18" s="24"/>
      <c r="U18" s="24"/>
      <c r="V18" s="24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</row>
    <row r="19" spans="1:40" x14ac:dyDescent="0.3">
      <c r="A19" s="38" t="s">
        <v>38</v>
      </c>
      <c r="B19" s="38" t="s">
        <v>125</v>
      </c>
      <c r="C19" s="28">
        <f t="shared" ref="C19:N19" si="15">C12*C$4</f>
        <v>168849.11694510741</v>
      </c>
      <c r="D19" s="28">
        <f t="shared" si="15"/>
        <v>166583.69515011547</v>
      </c>
      <c r="E19" s="28">
        <f t="shared" si="15"/>
        <v>157463.65881032549</v>
      </c>
      <c r="F19" s="28">
        <f t="shared" si="15"/>
        <v>157458.96103896105</v>
      </c>
      <c r="G19" s="28">
        <f t="shared" si="15"/>
        <v>178024.68716861084</v>
      </c>
      <c r="H19" s="28">
        <f t="shared" si="15"/>
        <v>166632.03302373583</v>
      </c>
      <c r="I19" s="28">
        <f t="shared" si="15"/>
        <v>178630.18036072145</v>
      </c>
      <c r="J19" s="28">
        <f t="shared" si="15"/>
        <v>164367.25490196081</v>
      </c>
      <c r="K19" s="28">
        <f t="shared" si="15"/>
        <v>196419.59541984732</v>
      </c>
      <c r="L19" s="28">
        <f t="shared" si="15"/>
        <v>184956.77553095686</v>
      </c>
      <c r="M19" s="28">
        <f t="shared" ref="M19" si="16">M12*M$4</f>
        <v>183297.43465173434</v>
      </c>
      <c r="N19" s="28">
        <f t="shared" si="15"/>
        <v>181517.98233530993</v>
      </c>
      <c r="O19" s="28">
        <f t="shared" ref="O19:P19" si="17">O12*O$4</f>
        <v>160542.77016617323</v>
      </c>
      <c r="P19" s="28">
        <f t="shared" si="17"/>
        <v>158644.06181202404</v>
      </c>
      <c r="Q19" s="28">
        <f t="shared" ref="Q19" si="18">Q12*Q$4</f>
        <v>162841.28980034424</v>
      </c>
      <c r="R19" s="40">
        <f t="shared" si="6"/>
        <v>169368.70775311714</v>
      </c>
      <c r="S19" s="24"/>
      <c r="T19" s="24"/>
      <c r="U19" s="24"/>
      <c r="V19" s="24"/>
    </row>
    <row r="20" spans="1:40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40" x14ac:dyDescent="0.3">
      <c r="A21" s="22"/>
      <c r="B21" s="24"/>
      <c r="C21" s="36"/>
      <c r="D21" s="36"/>
      <c r="E21" s="36"/>
      <c r="F21" s="36"/>
      <c r="G21" s="36"/>
      <c r="H21" s="36"/>
      <c r="I21" s="36"/>
      <c r="J21" s="36"/>
      <c r="K21" s="36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40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Opex!C8:P8</xm:f>
              <xm:sqref>R8</xm:sqref>
            </x14:sparkline>
            <x14:sparkline>
              <xm:f>Opex!C9:P9</xm:f>
              <xm:sqref>R9</xm:sqref>
            </x14:sparkline>
            <x14:sparkline>
              <xm:f>Opex!C10:P10</xm:f>
              <xm:sqref>R10</xm:sqref>
            </x14:sparkline>
            <x14:sparkline>
              <xm:f>Opex!C11:P11</xm:f>
              <xm:sqref>R11</xm:sqref>
            </x14:sparkline>
            <x14:sparkline>
              <xm:f>Opex!C12:P12</xm:f>
              <xm:sqref>R12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26"/>
  <sheetViews>
    <sheetView zoomScaleNormal="100" workbookViewId="0"/>
  </sheetViews>
  <sheetFormatPr defaultColWidth="9.21875" defaultRowHeight="14.4" x14ac:dyDescent="0.3"/>
  <cols>
    <col min="1" max="1" width="45.77734375" style="2" customWidth="1"/>
    <col min="2" max="2" width="11.77734375" style="2" customWidth="1"/>
    <col min="3" max="12" width="12" style="2" customWidth="1"/>
    <col min="13" max="15" width="14.21875" style="17" customWidth="1"/>
    <col min="16" max="16" width="17.77734375" style="2" bestFit="1" customWidth="1"/>
    <col min="17" max="17" width="17" style="2" bestFit="1" customWidth="1"/>
    <col min="18" max="18" width="17.21875" style="2" bestFit="1" customWidth="1"/>
    <col min="19" max="16384" width="9.21875" style="2"/>
  </cols>
  <sheetData>
    <row r="1" spans="1:20" x14ac:dyDescent="0.3">
      <c r="A1" s="25" t="s">
        <v>27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0" x14ac:dyDescent="0.3">
      <c r="A2" s="25" t="s">
        <v>42</v>
      </c>
      <c r="B2" s="25" t="str">
        <f>"Real $"&amp;Real_year&amp;""</f>
        <v>Real $2020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>
        <v>2020</v>
      </c>
    </row>
    <row r="3" spans="1:20" x14ac:dyDescent="0.3">
      <c r="A3" s="24" t="s">
        <v>57</v>
      </c>
      <c r="B3" s="24"/>
      <c r="C3" s="37">
        <f>CPI!F12</f>
        <v>1.4052757793764987</v>
      </c>
      <c r="D3" s="37">
        <f>CPI!G12</f>
        <v>1.3517877739331026</v>
      </c>
      <c r="E3" s="37">
        <f>CPI!H12</f>
        <v>1.3272933182332955</v>
      </c>
      <c r="F3" s="37">
        <f>CPI!I12</f>
        <v>1.2642934196332254</v>
      </c>
      <c r="G3" s="37">
        <f>CPI!J12</f>
        <v>1.2494669509594882</v>
      </c>
      <c r="H3" s="37">
        <f>CPI!K12</f>
        <v>1.2145077720207254</v>
      </c>
      <c r="I3" s="37">
        <f>CPI!L12</f>
        <v>1.1743486973947896</v>
      </c>
      <c r="J3" s="37">
        <f>CPI!M12</f>
        <v>1.1512770137524559</v>
      </c>
      <c r="K3" s="37">
        <f>CPI!N12</f>
        <v>1.1269230769230769</v>
      </c>
      <c r="L3" s="37">
        <f>CPI!O12</f>
        <v>1.1015037593984962</v>
      </c>
      <c r="M3" s="37">
        <f>CPI!P12</f>
        <v>1.0851851851851853</v>
      </c>
      <c r="N3" s="37">
        <f>CPI!Q12</f>
        <v>1.0712979890310785</v>
      </c>
      <c r="O3" s="37">
        <f>CPI!R12</f>
        <v>1.052064631956912</v>
      </c>
      <c r="P3" s="37">
        <f>CPI!S12</f>
        <v>1.0325991189427313</v>
      </c>
      <c r="Q3" s="37">
        <f>CPI!T12</f>
        <v>1.0155979202772962</v>
      </c>
    </row>
    <row r="4" spans="1:20" x14ac:dyDescent="0.3">
      <c r="A4" s="24" t="s">
        <v>56</v>
      </c>
      <c r="B4" s="24"/>
      <c r="C4" s="37">
        <f>CPI!F11</f>
        <v>1.3985680190930789</v>
      </c>
      <c r="D4" s="37">
        <f>CPI!G11</f>
        <v>1.3533487297921478</v>
      </c>
      <c r="E4" s="37">
        <f>CPI!H11</f>
        <v>1.3153759820426487</v>
      </c>
      <c r="F4" s="37">
        <f>CPI!I11</f>
        <v>1.2683982683982684</v>
      </c>
      <c r="G4" s="37">
        <f>CPI!J11</f>
        <v>1.2428419936373278</v>
      </c>
      <c r="H4" s="37">
        <f>CPI!K11</f>
        <v>1.2094943240454077</v>
      </c>
      <c r="I4" s="37">
        <f>CPI!L11</f>
        <v>1.1743486973947896</v>
      </c>
      <c r="J4" s="37">
        <f>CPI!M11</f>
        <v>1.1490196078431374</v>
      </c>
      <c r="K4" s="37">
        <f>CPI!N11</f>
        <v>1.1183206106870229</v>
      </c>
      <c r="L4" s="37">
        <f>CPI!O11</f>
        <v>1.0994371482176362</v>
      </c>
      <c r="M4" s="37">
        <f>CPI!P11</f>
        <v>1.0811808118081181</v>
      </c>
      <c r="N4" s="37">
        <f>CPI!Q11</f>
        <v>1.0654545454545454</v>
      </c>
      <c r="O4" s="37">
        <f>CPI!R11</f>
        <v>1.0454950936663694</v>
      </c>
      <c r="P4" s="37">
        <f>CPI!S11</f>
        <v>1.0271691498685365</v>
      </c>
      <c r="Q4" s="37">
        <f>CPI!T11</f>
        <v>1.0086058519793459</v>
      </c>
    </row>
    <row r="5" spans="1:20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0" x14ac:dyDescent="0.3">
      <c r="A6" s="25" t="s">
        <v>30</v>
      </c>
      <c r="B6" s="26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T6" s="56"/>
    </row>
    <row r="7" spans="1:20" x14ac:dyDescent="0.3">
      <c r="A7" s="25" t="s">
        <v>61</v>
      </c>
      <c r="B7" s="26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Q7" s="24">
        <v>2020</v>
      </c>
      <c r="T7" s="56"/>
    </row>
    <row r="8" spans="1:20" x14ac:dyDescent="0.3">
      <c r="A8" s="38" t="s">
        <v>37</v>
      </c>
      <c r="B8" s="38" t="s">
        <v>18</v>
      </c>
      <c r="C8" s="28">
        <v>1008498.0744489165</v>
      </c>
      <c r="D8" s="28">
        <v>1072410.1977797956</v>
      </c>
      <c r="E8" s="28">
        <v>1180457.0630350162</v>
      </c>
      <c r="F8" s="28">
        <v>1278429.4831257048</v>
      </c>
      <c r="G8" s="28">
        <v>1294892.6529556361</v>
      </c>
      <c r="H8" s="28">
        <v>1331479.0051210094</v>
      </c>
      <c r="I8" s="28">
        <v>1504540.6896702116</v>
      </c>
      <c r="J8" s="28">
        <v>1712893.4299247104</v>
      </c>
      <c r="K8" s="28">
        <v>1890087.8232150995</v>
      </c>
      <c r="L8" s="28">
        <v>2013147.9935692761</v>
      </c>
      <c r="M8" s="28">
        <v>2066967.4263843338</v>
      </c>
      <c r="N8" s="28">
        <v>2157003.2621017266</v>
      </c>
      <c r="O8" s="28">
        <f>SUM([7]!dms_030303_01_Values)/1000</f>
        <v>2283322.8842957737</v>
      </c>
      <c r="P8" s="28">
        <f>SUM([8]!dms_030303_01_Values)/1000</f>
        <v>2410576.8957586112</v>
      </c>
      <c r="Q8" s="78">
        <f>SUM([9]!dms_030303_01_Values)/1000</f>
        <v>2447259.4160000002</v>
      </c>
      <c r="R8" s="24"/>
      <c r="T8" s="56"/>
    </row>
    <row r="9" spans="1:20" x14ac:dyDescent="0.3">
      <c r="A9" s="38" t="s">
        <v>21</v>
      </c>
      <c r="B9" s="38" t="s">
        <v>18</v>
      </c>
      <c r="C9" s="28">
        <v>2906163.8020416386</v>
      </c>
      <c r="D9" s="28">
        <v>3110944.766611123</v>
      </c>
      <c r="E9" s="28">
        <v>3568307.0443376545</v>
      </c>
      <c r="F9" s="28">
        <v>4186908.5814354168</v>
      </c>
      <c r="G9" s="28">
        <v>4681557.1948703378</v>
      </c>
      <c r="H9" s="28">
        <v>5093089.0531193521</v>
      </c>
      <c r="I9" s="28">
        <v>5477581.7371609155</v>
      </c>
      <c r="J9" s="28">
        <v>5819506.0639425004</v>
      </c>
      <c r="K9" s="28">
        <v>6301890.3431227049</v>
      </c>
      <c r="L9" s="28">
        <v>6604013.1766181048</v>
      </c>
      <c r="M9" s="28">
        <v>6605068.5105675301</v>
      </c>
      <c r="N9" s="28">
        <v>6644060.9068036843</v>
      </c>
      <c r="O9" s="28">
        <f>SUM([10]!dms_030303_01_Values)/1000</f>
        <v>6541355.9075110834</v>
      </c>
      <c r="P9" s="28">
        <f>SUM([11]!dms_030303_01_Values)/1000</f>
        <v>6556115.4742665607</v>
      </c>
      <c r="Q9" s="78">
        <f>SUM([12]!dms_030303_01_Values)/1000</f>
        <v>6525242.2384730373</v>
      </c>
      <c r="R9" s="24"/>
      <c r="T9" s="56"/>
    </row>
    <row r="10" spans="1:20" x14ac:dyDescent="0.3">
      <c r="A10" s="38" t="s">
        <v>35</v>
      </c>
      <c r="B10" s="38" t="s">
        <v>18</v>
      </c>
      <c r="C10" s="28">
        <v>1889957.733</v>
      </c>
      <c r="D10" s="28">
        <v>1929607.6654999999</v>
      </c>
      <c r="E10" s="28">
        <v>2007291.2560000001</v>
      </c>
      <c r="F10" s="28">
        <v>2181178.4835000001</v>
      </c>
      <c r="G10" s="28">
        <v>2198049.1735</v>
      </c>
      <c r="H10" s="28">
        <v>2232904.4265000001</v>
      </c>
      <c r="I10" s="28">
        <v>2292941.9665000001</v>
      </c>
      <c r="J10" s="28">
        <v>2370849.6140000001</v>
      </c>
      <c r="K10" s="28">
        <v>2476349.311010506</v>
      </c>
      <c r="L10" s="28">
        <v>2790207.8150309501</v>
      </c>
      <c r="M10" s="28">
        <v>2857110.3028806783</v>
      </c>
      <c r="N10" s="28">
        <v>2903023.4716057549</v>
      </c>
      <c r="O10" s="28">
        <f>SUM([13]!dms_030303_01_Values)/1000</f>
        <v>2948642.8739125249</v>
      </c>
      <c r="P10" s="28">
        <f>SUM([14]!dms_030303_01_Values)/1000</f>
        <v>2944146.1043232437</v>
      </c>
      <c r="Q10" s="78">
        <f>SUM([15]!dms_030303_01_Values)/1000</f>
        <v>2991255.196152173</v>
      </c>
      <c r="R10" s="24"/>
      <c r="T10" s="56"/>
    </row>
    <row r="11" spans="1:20" x14ac:dyDescent="0.3">
      <c r="A11" s="38" t="s">
        <v>29</v>
      </c>
      <c r="B11" s="38" t="s">
        <v>18</v>
      </c>
      <c r="C11" s="28">
        <v>666396.5</v>
      </c>
      <c r="D11" s="28">
        <v>728278.5</v>
      </c>
      <c r="E11" s="28">
        <v>787887</v>
      </c>
      <c r="F11" s="28">
        <v>845035</v>
      </c>
      <c r="G11" s="28">
        <v>895293</v>
      </c>
      <c r="H11" s="28">
        <v>1006943.5</v>
      </c>
      <c r="I11" s="28">
        <v>1139787</v>
      </c>
      <c r="J11" s="28">
        <v>1204832</v>
      </c>
      <c r="K11" s="28">
        <v>1310583.1592409625</v>
      </c>
      <c r="L11" s="28">
        <v>1386261.7283497157</v>
      </c>
      <c r="M11" s="28">
        <v>1382762.1991195932</v>
      </c>
      <c r="N11" s="28">
        <v>1371712.8989775274</v>
      </c>
      <c r="O11" s="28">
        <f>SUM([16]!dms_030303_01_Values)/1000</f>
        <v>1371065.4063185384</v>
      </c>
      <c r="P11" s="28">
        <f>SUM([17]!dms_030303_01_Values)/1000</f>
        <v>1390069.5081462832</v>
      </c>
      <c r="Q11" s="96">
        <f>AVERAGE('[18]3.3 Assets (RAB)'!$C$12,'[18]3.3 Assets (RAB)'!$C$17)/1000</f>
        <v>1389808.4450801625</v>
      </c>
      <c r="R11" s="24"/>
      <c r="T11" s="56"/>
    </row>
    <row r="12" spans="1:20" x14ac:dyDescent="0.3">
      <c r="A12" s="38" t="s">
        <v>38</v>
      </c>
      <c r="B12" s="38" t="s">
        <v>18</v>
      </c>
      <c r="C12" s="28">
        <v>3166374.415412093</v>
      </c>
      <c r="D12" s="28">
        <v>3313367.6045614304</v>
      </c>
      <c r="E12" s="28">
        <v>3566600.1045614304</v>
      </c>
      <c r="F12" s="28">
        <v>3976405.905427468</v>
      </c>
      <c r="G12" s="28">
        <v>4305989.6381644513</v>
      </c>
      <c r="H12" s="28">
        <v>4559614.3380024452</v>
      </c>
      <c r="I12" s="28">
        <v>4853368.9664179208</v>
      </c>
      <c r="J12" s="28">
        <v>5135315.116477563</v>
      </c>
      <c r="K12" s="28">
        <v>5576508.2256924072</v>
      </c>
      <c r="L12" s="28">
        <v>5908508.5172999017</v>
      </c>
      <c r="M12" s="28">
        <v>6033054.789736486</v>
      </c>
      <c r="N12" s="28">
        <v>6056226.9784158589</v>
      </c>
      <c r="O12" s="28">
        <f>SUM([19]!dms_030303_01_Values)/1000</f>
        <v>6041537.9813804002</v>
      </c>
      <c r="P12" s="28">
        <f>SUM([20]!dms_030303_01_Values)/1000</f>
        <v>6258956.0859821215</v>
      </c>
      <c r="Q12" s="78">
        <f>SUM([21]!dms_030303_01_Values)/1000</f>
        <v>6345244.6040000003</v>
      </c>
      <c r="R12" s="24"/>
      <c r="T12" s="56"/>
    </row>
    <row r="13" spans="1:20" x14ac:dyDescent="0.3">
      <c r="A13" s="24"/>
      <c r="B13" s="24"/>
      <c r="C13" s="24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9"/>
      <c r="T13" s="56"/>
    </row>
    <row r="14" spans="1:20" x14ac:dyDescent="0.3">
      <c r="A14" s="25" t="str">
        <f>CONCATENATE(B2)</f>
        <v>Real $2020</v>
      </c>
      <c r="B14" s="24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>
        <v>2020</v>
      </c>
      <c r="R14" s="24" t="s">
        <v>106</v>
      </c>
    </row>
    <row r="15" spans="1:20" x14ac:dyDescent="0.3">
      <c r="A15" s="38" t="s">
        <v>37</v>
      </c>
      <c r="B15" s="38" t="s">
        <v>125</v>
      </c>
      <c r="C15" s="28">
        <f>C8*C$4</f>
        <v>1410453.1542412057</v>
      </c>
      <c r="D15" s="28">
        <f t="shared" ref="D15:L15" si="0">D8*D$4</f>
        <v>1451344.9789814325</v>
      </c>
      <c r="E15" s="28">
        <f t="shared" si="0"/>
        <v>1552744.8685488652</v>
      </c>
      <c r="F15" s="28">
        <f t="shared" si="0"/>
        <v>1621557.7426659372</v>
      </c>
      <c r="G15" s="28">
        <f t="shared" si="0"/>
        <v>1609346.9663457114</v>
      </c>
      <c r="H15" s="28">
        <f t="shared" si="0"/>
        <v>1610416.2992794872</v>
      </c>
      <c r="I15" s="28">
        <f t="shared" si="0"/>
        <v>1766855.3990916715</v>
      </c>
      <c r="J15" s="28">
        <f t="shared" si="0"/>
        <v>1968148.1371291773</v>
      </c>
      <c r="K15" s="28">
        <f t="shared" si="0"/>
        <v>2113724.1687100157</v>
      </c>
      <c r="L15" s="28">
        <f t="shared" si="0"/>
        <v>2213329.6889898609</v>
      </c>
      <c r="M15" s="28">
        <f t="shared" ref="M15:O16" si="1">M8*M$4</f>
        <v>2234765.5200391505</v>
      </c>
      <c r="N15" s="28">
        <f t="shared" si="1"/>
        <v>2298188.9301665667</v>
      </c>
      <c r="O15" s="28">
        <f t="shared" si="1"/>
        <v>2387202.8727873745</v>
      </c>
      <c r="P15" s="28">
        <f t="shared" ref="P15:Q15" si="2">P8*P$4</f>
        <v>2476070.2207091083</v>
      </c>
      <c r="Q15" s="28">
        <f t="shared" si="2"/>
        <v>2468320.1682891566</v>
      </c>
      <c r="R15" s="40">
        <f>AVERAGE(M15:Q15)</f>
        <v>2372909.5423982712</v>
      </c>
    </row>
    <row r="16" spans="1:20" x14ac:dyDescent="0.3">
      <c r="A16" s="38" t="s">
        <v>21</v>
      </c>
      <c r="B16" s="38" t="s">
        <v>125</v>
      </c>
      <c r="C16" s="28">
        <f>C9*C$4</f>
        <v>4064467.7517813854</v>
      </c>
      <c r="D16" s="28">
        <f t="shared" ref="D16:L16" si="3">D9*D$4</f>
        <v>4210193.1483466933</v>
      </c>
      <c r="E16" s="28">
        <f t="shared" si="3"/>
        <v>4693665.3826753432</v>
      </c>
      <c r="F16" s="28">
        <f t="shared" si="3"/>
        <v>5310667.5946345329</v>
      </c>
      <c r="G16" s="28">
        <f t="shared" si="3"/>
        <v>5818435.8773998264</v>
      </c>
      <c r="H16" s="28">
        <f t="shared" si="3"/>
        <v>6160062.3016056558</v>
      </c>
      <c r="I16" s="28">
        <f t="shared" si="3"/>
        <v>6432590.9779084101</v>
      </c>
      <c r="J16" s="28">
        <f t="shared" si="3"/>
        <v>6686726.5754319718</v>
      </c>
      <c r="K16" s="28">
        <f t="shared" si="3"/>
        <v>7047533.8570036357</v>
      </c>
      <c r="L16" s="28">
        <f t="shared" si="3"/>
        <v>7260697.4136927016</v>
      </c>
      <c r="M16" s="28">
        <f t="shared" si="1"/>
        <v>7141273.3343036398</v>
      </c>
      <c r="N16" s="28">
        <f t="shared" si="1"/>
        <v>7078944.8934308346</v>
      </c>
      <c r="O16" s="28">
        <f t="shared" si="1"/>
        <v>6838955.5072283586</v>
      </c>
      <c r="P16" s="28">
        <f t="shared" ref="P16:Q16" si="4">P9*P$4</f>
        <v>6734239.5581423398</v>
      </c>
      <c r="Q16" s="28">
        <f t="shared" si="4"/>
        <v>6581397.5073067117</v>
      </c>
      <c r="R16" s="40">
        <f t="shared" ref="R16:R19" si="5">AVERAGE(M16:Q16)</f>
        <v>6874962.1600823756</v>
      </c>
    </row>
    <row r="17" spans="1:18" x14ac:dyDescent="0.3">
      <c r="A17" s="38" t="s">
        <v>35</v>
      </c>
      <c r="B17" s="38" t="s">
        <v>125</v>
      </c>
      <c r="C17" s="28">
        <f>C10*C$3</f>
        <v>2655911.8262302158</v>
      </c>
      <c r="D17" s="28">
        <f t="shared" ref="D17:L17" si="6">D10*D$3</f>
        <v>2608420.0507104956</v>
      </c>
      <c r="E17" s="28">
        <f t="shared" si="6"/>
        <v>2664264.2718369197</v>
      </c>
      <c r="F17" s="28">
        <f t="shared" si="6"/>
        <v>2757649.6037346278</v>
      </c>
      <c r="G17" s="28">
        <f t="shared" si="6"/>
        <v>2746389.7988720681</v>
      </c>
      <c r="H17" s="28">
        <f t="shared" si="6"/>
        <v>2711879.7801637305</v>
      </c>
      <c r="I17" s="28">
        <f t="shared" si="6"/>
        <v>2692713.4115611226</v>
      </c>
      <c r="J17" s="28">
        <f t="shared" si="6"/>
        <v>2729504.663662083</v>
      </c>
      <c r="K17" s="28">
        <f t="shared" si="6"/>
        <v>2790655.1851003012</v>
      </c>
      <c r="L17" s="28">
        <f t="shared" si="6"/>
        <v>3073424.3977596555</v>
      </c>
      <c r="M17" s="28">
        <f>M10*M$3</f>
        <v>3100493.7731260695</v>
      </c>
      <c r="N17" s="28">
        <f>N10*N$3</f>
        <v>3110003.2072412656</v>
      </c>
      <c r="O17" s="28">
        <f>O10*O$3</f>
        <v>3102162.8799151517</v>
      </c>
      <c r="P17" s="28">
        <f>P10*P$3</f>
        <v>3040122.6733628563</v>
      </c>
      <c r="Q17" s="28">
        <f>Q10*Q$3</f>
        <v>3037912.5562308026</v>
      </c>
      <c r="R17" s="40">
        <f t="shared" si="5"/>
        <v>3078139.0179752288</v>
      </c>
    </row>
    <row r="18" spans="1:18" x14ac:dyDescent="0.3">
      <c r="A18" s="38" t="s">
        <v>29</v>
      </c>
      <c r="B18" s="38" t="s">
        <v>125</v>
      </c>
      <c r="C18" s="28">
        <f>C11*C$4</f>
        <v>932000.83293556096</v>
      </c>
      <c r="D18" s="28">
        <f t="shared" ref="D18:L18" si="7">D11*D$4</f>
        <v>985614.78290993068</v>
      </c>
      <c r="E18" s="28">
        <f t="shared" si="7"/>
        <v>1036367.6363636364</v>
      </c>
      <c r="F18" s="28">
        <f t="shared" si="7"/>
        <v>1071840.9307359308</v>
      </c>
      <c r="G18" s="28">
        <f t="shared" si="7"/>
        <v>1112707.7370095442</v>
      </c>
      <c r="H18" s="28">
        <f t="shared" si="7"/>
        <v>1217892.4478844169</v>
      </c>
      <c r="I18" s="28">
        <f t="shared" si="7"/>
        <v>1338507.378757515</v>
      </c>
      <c r="J18" s="28">
        <f t="shared" si="7"/>
        <v>1384375.5921568628</v>
      </c>
      <c r="K18" s="28">
        <f t="shared" si="7"/>
        <v>1465652.158998481</v>
      </c>
      <c r="L18" s="28">
        <f t="shared" si="7"/>
        <v>1524107.6413000629</v>
      </c>
      <c r="M18" s="28">
        <f t="shared" ref="M18:O19" si="8">M11*M$4</f>
        <v>1495015.9569817004</v>
      </c>
      <c r="N18" s="28">
        <f t="shared" si="8"/>
        <v>1461497.7432742382</v>
      </c>
      <c r="O18" s="28">
        <f t="shared" si="8"/>
        <v>1433442.155401719</v>
      </c>
      <c r="P18" s="28">
        <f t="shared" ref="P18:Q18" si="9">P11*P$4</f>
        <v>1427836.5149407925</v>
      </c>
      <c r="Q18" s="28">
        <f t="shared" si="9"/>
        <v>1401768.9308381672</v>
      </c>
      <c r="R18" s="40">
        <f t="shared" si="5"/>
        <v>1443912.2602873235</v>
      </c>
    </row>
    <row r="19" spans="1:18" x14ac:dyDescent="0.3">
      <c r="A19" s="38" t="s">
        <v>38</v>
      </c>
      <c r="B19" s="38" t="s">
        <v>125</v>
      </c>
      <c r="C19" s="28">
        <f>C12*C$4</f>
        <v>4428389.993869897</v>
      </c>
      <c r="D19" s="28">
        <f t="shared" ref="D19:L19" si="10">D12*D$4</f>
        <v>4484141.8389676632</v>
      </c>
      <c r="E19" s="28">
        <f t="shared" si="10"/>
        <v>4691420.1150909048</v>
      </c>
      <c r="F19" s="28">
        <f t="shared" si="10"/>
        <v>5043666.3648928488</v>
      </c>
      <c r="G19" s="28">
        <f t="shared" si="10"/>
        <v>5351664.746477983</v>
      </c>
      <c r="H19" s="28">
        <f t="shared" si="10"/>
        <v>5514827.6616500169</v>
      </c>
      <c r="I19" s="28">
        <f t="shared" si="10"/>
        <v>5699547.5236891815</v>
      </c>
      <c r="J19" s="28">
        <f t="shared" si="10"/>
        <v>5900577.7612859849</v>
      </c>
      <c r="K19" s="28">
        <f t="shared" si="10"/>
        <v>6236324.08445754</v>
      </c>
      <c r="L19" s="28">
        <f t="shared" si="10"/>
        <v>6496033.754479818</v>
      </c>
      <c r="M19" s="28">
        <f t="shared" si="8"/>
        <v>6522823.0752501488</v>
      </c>
      <c r="N19" s="28">
        <f t="shared" si="8"/>
        <v>6452634.5624576239</v>
      </c>
      <c r="O19" s="28">
        <f t="shared" si="8"/>
        <v>6316398.3177322298</v>
      </c>
      <c r="P19" s="28">
        <f t="shared" ref="P19:Q19" si="11">P12*P$4</f>
        <v>6429006.6019027578</v>
      </c>
      <c r="Q19" s="28">
        <f t="shared" si="11"/>
        <v>6399850.8398347674</v>
      </c>
      <c r="R19" s="40">
        <f t="shared" si="5"/>
        <v>6424142.6794355055</v>
      </c>
    </row>
    <row r="20" spans="1:18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8" x14ac:dyDescent="0.3">
      <c r="A21" s="22"/>
      <c r="B21" s="24"/>
      <c r="C21" s="2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4"/>
    </row>
    <row r="22" spans="1:18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77"/>
    </row>
    <row r="23" spans="1:18" x14ac:dyDescent="0.3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</row>
    <row r="25" spans="1:18" x14ac:dyDescent="0.3"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8" x14ac:dyDescent="0.3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RAB!C8:P8</xm:f>
              <xm:sqref>R8</xm:sqref>
            </x14:sparkline>
            <x14:sparkline>
              <xm:f>RAB!C9:P9</xm:f>
              <xm:sqref>R9</xm:sqref>
            </x14:sparkline>
            <x14:sparkline>
              <xm:f>RAB!C10:P10</xm:f>
              <xm:sqref>R10</xm:sqref>
            </x14:sparkline>
            <x14:sparkline>
              <xm:f>RAB!C11:P11</xm:f>
              <xm:sqref>R11</xm:sqref>
            </x14:sparkline>
            <x14:sparkline>
              <xm:f>RAB!C12:P12</xm:f>
              <xm:sqref>R12</xm:sqref>
            </x14:sparkline>
          </x14:sparklines>
        </x14:sparklineGroup>
      </x14:sparklineGroup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RowHeight="14.4" x14ac:dyDescent="0.3"/>
  <cols>
    <col min="1" max="1" width="45.21875" customWidth="1"/>
    <col min="2" max="2" width="11.21875" style="15" customWidth="1"/>
    <col min="3" max="9" width="12.21875" style="15" customWidth="1"/>
    <col min="10" max="12" width="12.21875" customWidth="1"/>
    <col min="13" max="15" width="12.21875" style="17" customWidth="1"/>
    <col min="16" max="16" width="11.77734375" bestFit="1" customWidth="1"/>
  </cols>
  <sheetData>
    <row r="1" spans="1:18" s="2" customFormat="1" x14ac:dyDescent="0.3">
      <c r="A1" s="25" t="s">
        <v>23</v>
      </c>
      <c r="B1" s="46"/>
      <c r="C1" s="46"/>
      <c r="D1" s="46"/>
      <c r="E1" s="46"/>
      <c r="F1" s="46"/>
      <c r="G1" s="46"/>
      <c r="H1" s="46"/>
      <c r="I1" s="46"/>
      <c r="J1" s="46"/>
      <c r="K1" s="24"/>
      <c r="L1" s="24"/>
      <c r="M1" s="24"/>
      <c r="N1" s="24"/>
      <c r="O1" s="24"/>
      <c r="P1" s="24"/>
      <c r="Q1" s="24"/>
    </row>
    <row r="2" spans="1:18" s="2" customFormat="1" x14ac:dyDescent="0.3">
      <c r="A2" s="24"/>
      <c r="B2" s="25" t="str">
        <f>"Real $"&amp;Real_year&amp;""</f>
        <v>Real $2020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>
        <v>2020</v>
      </c>
    </row>
    <row r="3" spans="1:18" s="2" customFormat="1" x14ac:dyDescent="0.3">
      <c r="A3" s="24" t="s">
        <v>57</v>
      </c>
      <c r="B3" s="24"/>
      <c r="C3" s="37">
        <f>CPI!F12</f>
        <v>1.4052757793764987</v>
      </c>
      <c r="D3" s="37">
        <f>CPI!G12</f>
        <v>1.3517877739331026</v>
      </c>
      <c r="E3" s="37">
        <f>CPI!H12</f>
        <v>1.3272933182332955</v>
      </c>
      <c r="F3" s="37">
        <f>CPI!I12</f>
        <v>1.2642934196332254</v>
      </c>
      <c r="G3" s="37">
        <f>CPI!J12</f>
        <v>1.2494669509594882</v>
      </c>
      <c r="H3" s="37">
        <f>CPI!K12</f>
        <v>1.2145077720207254</v>
      </c>
      <c r="I3" s="37">
        <f>CPI!L12</f>
        <v>1.1743486973947896</v>
      </c>
      <c r="J3" s="37">
        <f>CPI!M12</f>
        <v>1.1512770137524559</v>
      </c>
      <c r="K3" s="37">
        <f>CPI!N12</f>
        <v>1.1269230769230769</v>
      </c>
      <c r="L3" s="37">
        <f>CPI!O12</f>
        <v>1.1015037593984962</v>
      </c>
      <c r="M3" s="37">
        <f>CPI!P12</f>
        <v>1.0851851851851853</v>
      </c>
      <c r="N3" s="37">
        <f>CPI!Q12</f>
        <v>1.0712979890310785</v>
      </c>
      <c r="O3" s="37">
        <f>CPI!R12</f>
        <v>1.052064631956912</v>
      </c>
      <c r="P3" s="37">
        <f>CPI!S12</f>
        <v>1.0325991189427313</v>
      </c>
      <c r="Q3" s="37">
        <f>CPI!T12</f>
        <v>1.0155979202772962</v>
      </c>
    </row>
    <row r="4" spans="1:18" s="2" customFormat="1" x14ac:dyDescent="0.3">
      <c r="A4" s="24" t="s">
        <v>56</v>
      </c>
      <c r="B4" s="24"/>
      <c r="C4" s="37">
        <f>CPI!F11</f>
        <v>1.3985680190930789</v>
      </c>
      <c r="D4" s="37">
        <f>CPI!G11</f>
        <v>1.3533487297921478</v>
      </c>
      <c r="E4" s="37">
        <f>CPI!H11</f>
        <v>1.3153759820426487</v>
      </c>
      <c r="F4" s="37">
        <f>CPI!I11</f>
        <v>1.2683982683982684</v>
      </c>
      <c r="G4" s="37">
        <f>CPI!J11</f>
        <v>1.2428419936373278</v>
      </c>
      <c r="H4" s="37">
        <f>CPI!K11</f>
        <v>1.2094943240454077</v>
      </c>
      <c r="I4" s="37">
        <f>CPI!L11</f>
        <v>1.1743486973947896</v>
      </c>
      <c r="J4" s="37">
        <f>CPI!M11</f>
        <v>1.1490196078431374</v>
      </c>
      <c r="K4" s="37">
        <f>CPI!N11</f>
        <v>1.1183206106870229</v>
      </c>
      <c r="L4" s="37">
        <f>CPI!O11</f>
        <v>1.0994371482176362</v>
      </c>
      <c r="M4" s="37">
        <f>CPI!P11</f>
        <v>1.0811808118081181</v>
      </c>
      <c r="N4" s="37">
        <f>CPI!Q11</f>
        <v>1.0654545454545454</v>
      </c>
      <c r="O4" s="37">
        <f>CPI!R11</f>
        <v>1.0454950936663694</v>
      </c>
      <c r="P4" s="37">
        <f>CPI!S11</f>
        <v>1.0271691498685365</v>
      </c>
      <c r="Q4" s="37">
        <f>CPI!T11</f>
        <v>1.0086058519793459</v>
      </c>
    </row>
    <row r="5" spans="1:18" s="2" customForma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8" x14ac:dyDescent="0.3">
      <c r="A6" s="25" t="s">
        <v>60</v>
      </c>
      <c r="B6" s="46"/>
      <c r="C6" s="46"/>
      <c r="D6" s="46"/>
      <c r="E6" s="46"/>
      <c r="F6" s="46"/>
      <c r="G6" s="46"/>
      <c r="H6" s="46"/>
      <c r="I6" s="46"/>
      <c r="J6" s="46"/>
      <c r="K6" s="24"/>
      <c r="L6" s="24"/>
      <c r="M6" s="24"/>
      <c r="N6" s="24"/>
      <c r="O6" s="24"/>
      <c r="P6" s="24"/>
      <c r="Q6" s="24"/>
    </row>
    <row r="7" spans="1:18" x14ac:dyDescent="0.3">
      <c r="A7" s="25" t="s">
        <v>61</v>
      </c>
      <c r="B7" s="46"/>
      <c r="C7" s="24">
        <v>2006</v>
      </c>
      <c r="D7" s="24">
        <v>2007</v>
      </c>
      <c r="E7" s="24">
        <v>2008</v>
      </c>
      <c r="F7" s="24">
        <v>2009</v>
      </c>
      <c r="G7" s="24">
        <v>2010</v>
      </c>
      <c r="H7" s="24">
        <v>2011</v>
      </c>
      <c r="I7" s="24">
        <v>2012</v>
      </c>
      <c r="J7" s="24">
        <v>2013</v>
      </c>
      <c r="K7" s="24">
        <v>2014</v>
      </c>
      <c r="L7" s="24">
        <v>2015</v>
      </c>
      <c r="M7" s="24">
        <v>2016</v>
      </c>
      <c r="N7" s="24">
        <v>2017</v>
      </c>
      <c r="O7" s="24">
        <v>2018</v>
      </c>
      <c r="P7" s="24">
        <v>2019</v>
      </c>
      <c r="Q7" s="24">
        <v>2020</v>
      </c>
    </row>
    <row r="8" spans="1:18" x14ac:dyDescent="0.3">
      <c r="A8" s="38" t="s">
        <v>37</v>
      </c>
      <c r="B8" s="38" t="s">
        <v>18</v>
      </c>
      <c r="C8" s="28">
        <v>-45791.849417636906</v>
      </c>
      <c r="D8" s="28">
        <v>-50958.501088076984</v>
      </c>
      <c r="E8" s="28">
        <v>-48204.850280116312</v>
      </c>
      <c r="F8" s="28">
        <v>-55008.877124563965</v>
      </c>
      <c r="G8" s="28">
        <v>-60040.104570401381</v>
      </c>
      <c r="H8" s="28">
        <v>-63337.177692221783</v>
      </c>
      <c r="I8" s="28">
        <v>-66722.89939335885</v>
      </c>
      <c r="J8" s="28">
        <v>-73303.01352783374</v>
      </c>
      <c r="K8" s="28">
        <v>-76094.486579693286</v>
      </c>
      <c r="L8" s="28">
        <v>-85643.071653748921</v>
      </c>
      <c r="M8" s="28">
        <v>-95982.674057186538</v>
      </c>
      <c r="N8" s="28">
        <v>-103289.94435068821</v>
      </c>
      <c r="O8" s="28">
        <f>'[7]3.3 Assets (RAB)'!$C$14/1000</f>
        <v>-103984.56412373077</v>
      </c>
      <c r="P8" s="28">
        <f>'[8]3.3 Assets (RAB)'!$C$14/1000</f>
        <v>-106385.24868914524</v>
      </c>
      <c r="Q8" s="74">
        <f>'[9]3.3 Assets (RAB)'!$C$14/1000</f>
        <v>-126424.29</v>
      </c>
      <c r="R8" s="24"/>
    </row>
    <row r="9" spans="1:18" x14ac:dyDescent="0.3">
      <c r="A9" s="38" t="s">
        <v>21</v>
      </c>
      <c r="B9" s="38" t="s">
        <v>18</v>
      </c>
      <c r="C9" s="28">
        <v>-132496.74622431587</v>
      </c>
      <c r="D9" s="28">
        <v>-140357.26629175912</v>
      </c>
      <c r="E9" s="28">
        <v>-156999.72982458232</v>
      </c>
      <c r="F9" s="28">
        <v>-182601.09296048834</v>
      </c>
      <c r="G9" s="28">
        <v>-191974.42283243482</v>
      </c>
      <c r="H9" s="28">
        <v>-209895.4904502311</v>
      </c>
      <c r="I9" s="28">
        <v>-224992.70041557745</v>
      </c>
      <c r="J9" s="28">
        <v>-212080.91622801078</v>
      </c>
      <c r="K9" s="28">
        <v>-234896.24841606364</v>
      </c>
      <c r="L9" s="28">
        <v>-261726.28652177399</v>
      </c>
      <c r="M9" s="28">
        <v>-277132.67885741114</v>
      </c>
      <c r="N9" s="28">
        <v>-273813.57027352898</v>
      </c>
      <c r="O9" s="28">
        <f>'[10]3.3 Assets (RAB)'!$C$14/1000</f>
        <v>-261276.59177307546</v>
      </c>
      <c r="P9" s="28">
        <f>'[11]3.3 Assets (RAB)'!$C$14/1000</f>
        <v>-286093.59674934688</v>
      </c>
      <c r="Q9" s="74">
        <f>'[12]3.3 Assets (RAB)'!$C$14/1000</f>
        <v>-303179.94185928896</v>
      </c>
      <c r="R9" s="24"/>
    </row>
    <row r="10" spans="1:18" x14ac:dyDescent="0.3">
      <c r="A10" s="38" t="s">
        <v>35</v>
      </c>
      <c r="B10" s="38" t="s">
        <v>18</v>
      </c>
      <c r="C10" s="28">
        <v>-86280.945999999996</v>
      </c>
      <c r="D10" s="28">
        <v>-91719.03</v>
      </c>
      <c r="E10" s="28">
        <v>-103392.598</v>
      </c>
      <c r="F10" s="28">
        <v>-107125.821</v>
      </c>
      <c r="G10" s="28">
        <v>-112873.439</v>
      </c>
      <c r="H10" s="28">
        <v>-118888.912</v>
      </c>
      <c r="I10" s="28">
        <v>-123748.05100000001</v>
      </c>
      <c r="J10" s="28">
        <v>-129632.00900000001</v>
      </c>
      <c r="K10" s="28">
        <v>-127428.17617868638</v>
      </c>
      <c r="L10" s="28">
        <v>-145677.73598860696</v>
      </c>
      <c r="M10" s="28">
        <v>-152613.9833679182</v>
      </c>
      <c r="N10" s="28">
        <v>-161231.0402391114</v>
      </c>
      <c r="O10" s="28">
        <f>'[13]3.3 Assets (RAB)'!$C$14/1000</f>
        <v>-170906.18048810546</v>
      </c>
      <c r="P10" s="28">
        <f>'[14]3.3 Assets (RAB)'!$C$14/1000</f>
        <v>-174346.82383437318</v>
      </c>
      <c r="Q10" s="74">
        <f>'[15]3.3 Assets (RAB)'!$C$14/1000</f>
        <v>-182669.67724412392</v>
      </c>
      <c r="R10" s="24"/>
    </row>
    <row r="11" spans="1:18" x14ac:dyDescent="0.3">
      <c r="A11" s="38" t="s">
        <v>29</v>
      </c>
      <c r="B11" s="38" t="s">
        <v>18</v>
      </c>
      <c r="C11" s="28">
        <v>-34117</v>
      </c>
      <c r="D11" s="28">
        <v>-33914</v>
      </c>
      <c r="E11" s="28">
        <v>-37777</v>
      </c>
      <c r="F11" s="28">
        <v>-41311</v>
      </c>
      <c r="G11" s="28">
        <v>-49841</v>
      </c>
      <c r="H11" s="28">
        <v>-54231</v>
      </c>
      <c r="I11" s="28">
        <v>-54880</v>
      </c>
      <c r="J11" s="28">
        <v>-54578</v>
      </c>
      <c r="K11" s="28">
        <v>-61434.606590000003</v>
      </c>
      <c r="L11" s="28">
        <v>-53237.514772859882</v>
      </c>
      <c r="M11" s="28">
        <v>-57207.430475358902</v>
      </c>
      <c r="N11" s="28">
        <v>-61304.04863066168</v>
      </c>
      <c r="O11" s="28">
        <f>'[16]3.3 Assets (RAB)'!$C$14/1000</f>
        <v>-61390.494942420773</v>
      </c>
      <c r="P11" s="28">
        <f>'[17]3.3 Assets (RAB)'!$C$14/1000</f>
        <v>-62790.62031208886</v>
      </c>
      <c r="Q11" s="74">
        <f>'[18]3.3 Assets (RAB)'!$C$14/1000</f>
        <v>-56413.52930933053</v>
      </c>
      <c r="R11" s="24"/>
    </row>
    <row r="12" spans="1:18" x14ac:dyDescent="0.3">
      <c r="A12" s="38" t="s">
        <v>38</v>
      </c>
      <c r="B12" s="38" t="s">
        <v>18</v>
      </c>
      <c r="C12" s="28">
        <v>-121720.69285763716</v>
      </c>
      <c r="D12" s="28">
        <v>-130837</v>
      </c>
      <c r="E12" s="28">
        <v>-138414</v>
      </c>
      <c r="F12" s="28">
        <v>-155347.27373057668</v>
      </c>
      <c r="G12" s="28">
        <v>-178956.02871101134</v>
      </c>
      <c r="H12" s="28">
        <v>-181714.94605466677</v>
      </c>
      <c r="I12" s="28">
        <v>-184338.2857749275</v>
      </c>
      <c r="J12" s="28">
        <v>-199415.56154466461</v>
      </c>
      <c r="K12" s="28">
        <v>-222310.25735920473</v>
      </c>
      <c r="L12" s="28">
        <v>-244163.23008389489</v>
      </c>
      <c r="M12" s="28">
        <v>-261875.0623888979</v>
      </c>
      <c r="N12" s="28">
        <v>-279708.00294541242</v>
      </c>
      <c r="O12" s="28">
        <f>'[19]3.3 Assets (RAB)'!$C$14/1000</f>
        <v>-265038.9669400985</v>
      </c>
      <c r="P12" s="28">
        <f>'[20]3.3 Assets (RAB)'!$C$14/1000</f>
        <v>-255967.76314920798</v>
      </c>
      <c r="Q12" s="74">
        <f>'[21]3.3 Assets (RAB)'!$C$14/1000</f>
        <v>-274692.06699999998</v>
      </c>
      <c r="R12" s="24"/>
    </row>
    <row r="13" spans="1:18" x14ac:dyDescent="0.3">
      <c r="A13" s="24"/>
      <c r="B13" s="46"/>
      <c r="C13" s="46"/>
      <c r="D13" s="46"/>
      <c r="E13" s="46"/>
      <c r="F13" s="46"/>
      <c r="G13" s="46"/>
      <c r="H13" s="46"/>
      <c r="I13" s="46"/>
      <c r="J13" s="24"/>
      <c r="K13" s="24"/>
      <c r="L13" s="24"/>
      <c r="M13" s="24"/>
      <c r="N13" s="24"/>
      <c r="O13" s="24"/>
      <c r="P13" s="24"/>
      <c r="R13" s="24"/>
    </row>
    <row r="14" spans="1:18" x14ac:dyDescent="0.3">
      <c r="A14" s="25" t="str">
        <f>CONCATENATE(B2)</f>
        <v>Real $2020</v>
      </c>
      <c r="B14" s="47"/>
      <c r="C14" s="24">
        <v>2006</v>
      </c>
      <c r="D14" s="24">
        <v>2007</v>
      </c>
      <c r="E14" s="24">
        <v>2008</v>
      </c>
      <c r="F14" s="24">
        <v>2009</v>
      </c>
      <c r="G14" s="24">
        <v>2010</v>
      </c>
      <c r="H14" s="24">
        <v>2011</v>
      </c>
      <c r="I14" s="24">
        <v>2012</v>
      </c>
      <c r="J14" s="24">
        <v>2013</v>
      </c>
      <c r="K14" s="24">
        <v>2014</v>
      </c>
      <c r="L14" s="24">
        <v>2015</v>
      </c>
      <c r="M14" s="24">
        <v>2016</v>
      </c>
      <c r="N14" s="24">
        <v>2017</v>
      </c>
      <c r="O14" s="24">
        <v>2018</v>
      </c>
      <c r="P14" s="24">
        <v>2019</v>
      </c>
      <c r="Q14" s="24">
        <v>2020</v>
      </c>
      <c r="R14" s="24" t="s">
        <v>106</v>
      </c>
    </row>
    <row r="15" spans="1:18" x14ac:dyDescent="0.3">
      <c r="A15" s="38" t="s">
        <v>37</v>
      </c>
      <c r="B15" s="38" t="s">
        <v>125</v>
      </c>
      <c r="C15" s="28">
        <f>C8*C$4</f>
        <v>-64043.016130633005</v>
      </c>
      <c r="D15" s="28">
        <f t="shared" ref="D15:N15" si="0">D8*D$4</f>
        <v>-68964.622719660765</v>
      </c>
      <c r="E15" s="28">
        <f t="shared" si="0"/>
        <v>-63407.502276426843</v>
      </c>
      <c r="F15" s="28">
        <f t="shared" si="0"/>
        <v>-69773.164491330055</v>
      </c>
      <c r="G15" s="28">
        <f t="shared" si="0"/>
        <v>-74620.363262471292</v>
      </c>
      <c r="H15" s="28">
        <f t="shared" si="0"/>
        <v>-76605.956919797667</v>
      </c>
      <c r="I15" s="28">
        <f t="shared" si="0"/>
        <v>-78355.949988994558</v>
      </c>
      <c r="J15" s="28">
        <f t="shared" si="0"/>
        <v>-84226.599857471723</v>
      </c>
      <c r="K15" s="28">
        <f t="shared" si="0"/>
        <v>-85098.032701718068</v>
      </c>
      <c r="L15" s="28">
        <f t="shared" si="0"/>
        <v>-94159.174463596384</v>
      </c>
      <c r="M15" s="28">
        <f t="shared" si="0"/>
        <v>-103774.62545666294</v>
      </c>
      <c r="N15" s="28">
        <f t="shared" si="0"/>
        <v>-110050.7407081878</v>
      </c>
      <c r="O15" s="28">
        <f t="shared" ref="O15:Q16" si="1">O8*O$4</f>
        <v>-108715.35160839649</v>
      </c>
      <c r="P15" s="28">
        <f t="shared" si="1"/>
        <v>-109275.64545458215</v>
      </c>
      <c r="Q15" s="28">
        <f>Q8*Q$4</f>
        <v>-127512.2787263339</v>
      </c>
      <c r="R15" s="40">
        <f>AVERAGE(M15:Q15)</f>
        <v>-111865.72839083264</v>
      </c>
    </row>
    <row r="16" spans="1:18" x14ac:dyDescent="0.3">
      <c r="A16" s="38" t="s">
        <v>21</v>
      </c>
      <c r="B16" s="38" t="s">
        <v>125</v>
      </c>
      <c r="C16" s="28">
        <f>C9*C$4</f>
        <v>-185305.71190321984</v>
      </c>
      <c r="D16" s="28">
        <f t="shared" ref="D16:N16" si="2">D9*D$4</f>
        <v>-189952.32805305044</v>
      </c>
      <c r="E16" s="28">
        <f t="shared" si="2"/>
        <v>-206513.67379844049</v>
      </c>
      <c r="F16" s="28">
        <f t="shared" si="2"/>
        <v>-231610.91011871464</v>
      </c>
      <c r="G16" s="28">
        <f t="shared" si="2"/>
        <v>-238593.87440043865</v>
      </c>
      <c r="H16" s="28">
        <f t="shared" si="2"/>
        <v>-253867.40434228157</v>
      </c>
      <c r="I16" s="28">
        <f t="shared" si="2"/>
        <v>-264219.88465636951</v>
      </c>
      <c r="J16" s="28">
        <f t="shared" si="2"/>
        <v>-243685.13119532223</v>
      </c>
      <c r="K16" s="28">
        <f t="shared" si="2"/>
        <v>-262689.31597674295</v>
      </c>
      <c r="L16" s="28">
        <f t="shared" si="2"/>
        <v>-287751.60206709115</v>
      </c>
      <c r="M16" s="28">
        <f t="shared" si="2"/>
        <v>-299630.53470561426</v>
      </c>
      <c r="N16" s="28">
        <f t="shared" si="2"/>
        <v>-291735.91305506905</v>
      </c>
      <c r="O16" s="28">
        <f t="shared" si="1"/>
        <v>-273163.39478862128</v>
      </c>
      <c r="P16" s="28">
        <f t="shared" si="1"/>
        <v>-293866.51655585854</v>
      </c>
      <c r="Q16" s="28">
        <f t="shared" si="1"/>
        <v>-305789.06356203672</v>
      </c>
      <c r="R16" s="40">
        <f t="shared" ref="R16:R19" si="3">AVERAGE(M16:Q16)</f>
        <v>-292837.08453343995</v>
      </c>
    </row>
    <row r="17" spans="1:18" x14ac:dyDescent="0.3">
      <c r="A17" s="38" t="s">
        <v>35</v>
      </c>
      <c r="B17" s="38" t="s">
        <v>125</v>
      </c>
      <c r="C17" s="28">
        <f>C10*C$3</f>
        <v>-121248.5236354916</v>
      </c>
      <c r="D17" s="28">
        <f t="shared" ref="D17:N17" si="4">D10*D$3</f>
        <v>-123984.66339100344</v>
      </c>
      <c r="E17" s="28">
        <f t="shared" si="4"/>
        <v>-137232.30448018119</v>
      </c>
      <c r="F17" s="28">
        <f t="shared" si="4"/>
        <v>-135438.47056310679</v>
      </c>
      <c r="G17" s="28">
        <f t="shared" si="4"/>
        <v>-141031.63167164178</v>
      </c>
      <c r="H17" s="28">
        <f t="shared" si="4"/>
        <v>-144391.50763108808</v>
      </c>
      <c r="I17" s="28">
        <f t="shared" si="4"/>
        <v>-145323.362496994</v>
      </c>
      <c r="J17" s="28">
        <f t="shared" si="4"/>
        <v>-149242.35220825151</v>
      </c>
      <c r="K17" s="28">
        <f t="shared" si="4"/>
        <v>-143601.75238598118</v>
      </c>
      <c r="L17" s="28">
        <f t="shared" si="4"/>
        <v>-160464.57385211217</v>
      </c>
      <c r="M17" s="28">
        <f t="shared" si="4"/>
        <v>-165614.43380296309</v>
      </c>
      <c r="N17" s="28">
        <f t="shared" si="4"/>
        <v>-172726.48917754894</v>
      </c>
      <c r="O17" s="28">
        <f>O10*O$3</f>
        <v>-179804.34787438024</v>
      </c>
      <c r="P17" s="28">
        <f>P10*P$3</f>
        <v>-180030.37668183731</v>
      </c>
      <c r="Q17" s="28">
        <f>Q10*Q$3</f>
        <v>-185518.94430685719</v>
      </c>
      <c r="R17" s="40">
        <f t="shared" si="3"/>
        <v>-176738.91836871736</v>
      </c>
    </row>
    <row r="18" spans="1:18" x14ac:dyDescent="0.3">
      <c r="A18" s="38" t="s">
        <v>29</v>
      </c>
      <c r="B18" s="38" t="s">
        <v>125</v>
      </c>
      <c r="C18" s="28">
        <f>C11*C$4</f>
        <v>-47714.945107398577</v>
      </c>
      <c r="D18" s="28">
        <f t="shared" ref="D18:N18" si="5">D11*D$4</f>
        <v>-45897.4688221709</v>
      </c>
      <c r="E18" s="28">
        <f t="shared" si="5"/>
        <v>-49690.958473625142</v>
      </c>
      <c r="F18" s="28">
        <f t="shared" si="5"/>
        <v>-52398.800865800869</v>
      </c>
      <c r="G18" s="28">
        <f t="shared" si="5"/>
        <v>-61944.487804878059</v>
      </c>
      <c r="H18" s="28">
        <f t="shared" si="5"/>
        <v>-65592.08668730651</v>
      </c>
      <c r="I18" s="28">
        <f t="shared" si="5"/>
        <v>-64448.256513026055</v>
      </c>
      <c r="J18" s="28">
        <f t="shared" si="5"/>
        <v>-62711.192156862751</v>
      </c>
      <c r="K18" s="28">
        <f t="shared" si="5"/>
        <v>-68703.586759045807</v>
      </c>
      <c r="L18" s="28">
        <f t="shared" si="5"/>
        <v>-58531.301420067342</v>
      </c>
      <c r="M18" s="28">
        <f t="shared" si="5"/>
        <v>-61851.576122805011</v>
      </c>
      <c r="N18" s="28">
        <f t="shared" si="5"/>
        <v>-65316.677268304986</v>
      </c>
      <c r="O18" s="28">
        <f t="shared" ref="O18:Q19" si="6">O11*O$4</f>
        <v>-64183.461260050986</v>
      </c>
      <c r="P18" s="28">
        <f t="shared" si="6"/>
        <v>-64496.588085686373</v>
      </c>
      <c r="Q18" s="28">
        <f t="shared" si="6"/>
        <v>-56899.015792199119</v>
      </c>
      <c r="R18" s="40">
        <f t="shared" si="3"/>
        <v>-62549.463705809299</v>
      </c>
    </row>
    <row r="19" spans="1:18" x14ac:dyDescent="0.3">
      <c r="A19" s="38" t="s">
        <v>38</v>
      </c>
      <c r="B19" s="38" t="s">
        <v>125</v>
      </c>
      <c r="C19" s="28">
        <f>C12*C$4</f>
        <v>-170234.66829254269</v>
      </c>
      <c r="D19" s="28">
        <f t="shared" ref="D19:N19" si="7">D12*D$4</f>
        <v>-177068.08775981524</v>
      </c>
      <c r="E19" s="28">
        <f t="shared" si="7"/>
        <v>-182066.45117845119</v>
      </c>
      <c r="F19" s="28">
        <f t="shared" si="7"/>
        <v>-197042.21300025526</v>
      </c>
      <c r="G19" s="28">
        <f t="shared" si="7"/>
        <v>-222414.0674966122</v>
      </c>
      <c r="H19" s="28">
        <f t="shared" si="7"/>
        <v>-219783.1958473369</v>
      </c>
      <c r="I19" s="28">
        <f t="shared" si="7"/>
        <v>-216477.42577977458</v>
      </c>
      <c r="J19" s="28">
        <f t="shared" si="7"/>
        <v>-229132.39032386956</v>
      </c>
      <c r="K19" s="28">
        <f t="shared" si="7"/>
        <v>-248614.14277193506</v>
      </c>
      <c r="L19" s="28">
        <f t="shared" si="7"/>
        <v>-268442.12538304395</v>
      </c>
      <c r="M19" s="28">
        <f t="shared" si="7"/>
        <v>-283134.29254593019</v>
      </c>
      <c r="N19" s="28">
        <f t="shared" si="7"/>
        <v>-298016.16313820303</v>
      </c>
      <c r="O19" s="28">
        <f t="shared" si="6"/>
        <v>-277096.93956627604</v>
      </c>
      <c r="P19" s="28">
        <f t="shared" si="6"/>
        <v>-262922.18966772285</v>
      </c>
      <c r="Q19" s="28">
        <f t="shared" si="6"/>
        <v>-277056.02626850258</v>
      </c>
      <c r="R19" s="40">
        <f t="shared" si="3"/>
        <v>-279645.12223732693</v>
      </c>
    </row>
    <row r="20" spans="1:18" x14ac:dyDescent="0.3">
      <c r="A20" s="24"/>
      <c r="B20" s="46"/>
      <c r="C20" s="46"/>
      <c r="D20" s="46"/>
      <c r="E20" s="46"/>
      <c r="F20" s="46"/>
      <c r="G20" s="46"/>
      <c r="H20" s="46"/>
      <c r="I20" s="46"/>
      <c r="J20" s="24"/>
      <c r="K20" s="24"/>
      <c r="L20" s="24"/>
      <c r="M20" s="24"/>
      <c r="N20" s="24"/>
      <c r="O20" s="24"/>
      <c r="P20" s="24"/>
      <c r="Q20" s="24"/>
    </row>
    <row r="21" spans="1:18" x14ac:dyDescent="0.3">
      <c r="A21" s="24"/>
      <c r="B21" s="46"/>
      <c r="C21" s="4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24"/>
      <c r="Q21" s="24"/>
    </row>
    <row r="22" spans="1:18" x14ac:dyDescent="0.3">
      <c r="A22" s="24"/>
      <c r="B22" s="46"/>
      <c r="C22" s="46"/>
      <c r="D22" s="46"/>
      <c r="E22" s="46"/>
      <c r="F22" s="46"/>
      <c r="G22" s="46"/>
      <c r="H22" s="46"/>
      <c r="I22" s="46"/>
      <c r="J22" s="24"/>
      <c r="K22" s="24"/>
      <c r="L22" s="24"/>
      <c r="M22" s="24"/>
      <c r="N22" s="24"/>
      <c r="O22" s="24"/>
      <c r="P22" s="24"/>
      <c r="Q22" s="24"/>
    </row>
    <row r="23" spans="1:18" x14ac:dyDescent="0.3">
      <c r="A23" s="24"/>
      <c r="B23" s="46"/>
      <c r="C23" s="46"/>
      <c r="D23" s="46"/>
      <c r="E23" s="46"/>
      <c r="F23" s="46"/>
      <c r="G23" s="46"/>
      <c r="H23" s="46"/>
      <c r="I23" s="46"/>
      <c r="J23" s="24"/>
      <c r="K23" s="24"/>
      <c r="L23" s="24"/>
      <c r="M23" s="24"/>
      <c r="N23" s="24"/>
      <c r="O23" s="24"/>
      <c r="P23" s="24"/>
      <c r="Q23" s="24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Depreciation!C8:P8</xm:f>
              <xm:sqref>R8</xm:sqref>
            </x14:sparkline>
            <x14:sparkline>
              <xm:f>Depreciation!C9:P9</xm:f>
              <xm:sqref>R9</xm:sqref>
            </x14:sparkline>
            <x14:sparkline>
              <xm:f>Depreciation!C10:P10</xm:f>
              <xm:sqref>R10</xm:sqref>
            </x14:sparkline>
            <x14:sparkline>
              <xm:f>Depreciation!C11:P11</xm:f>
              <xm:sqref>R11</xm:sqref>
            </x14:sparkline>
            <x14:sparkline>
              <xm:f>Depreciation!C12:P12</xm:f>
              <xm:sqref>R12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22"/>
  <sheetViews>
    <sheetView workbookViewId="0"/>
  </sheetViews>
  <sheetFormatPr defaultRowHeight="14.4" x14ac:dyDescent="0.3"/>
  <cols>
    <col min="1" max="1" width="46.44140625" customWidth="1"/>
    <col min="2" max="12" width="12.77734375" customWidth="1"/>
    <col min="14" max="14" width="11.21875" bestFit="1" customWidth="1"/>
    <col min="15" max="15" width="11.21875" style="17" customWidth="1"/>
    <col min="17" max="17" width="11.5546875" bestFit="1" customWidth="1"/>
  </cols>
  <sheetData>
    <row r="1" spans="1:24" x14ac:dyDescent="0.3">
      <c r="A1" s="25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4" x14ac:dyDescent="0.3">
      <c r="A2" s="24"/>
      <c r="B2" s="25" t="str">
        <f>"Real $"&amp;Real_year&amp;""</f>
        <v>Real $2020</v>
      </c>
      <c r="C2" s="24">
        <v>2006</v>
      </c>
      <c r="D2" s="24">
        <v>2007</v>
      </c>
      <c r="E2" s="24">
        <v>2008</v>
      </c>
      <c r="F2" s="24">
        <v>2009</v>
      </c>
      <c r="G2" s="24">
        <v>2010</v>
      </c>
      <c r="H2" s="24">
        <v>2011</v>
      </c>
      <c r="I2" s="24">
        <v>2012</v>
      </c>
      <c r="J2" s="24">
        <v>2013</v>
      </c>
      <c r="K2" s="24">
        <v>2014</v>
      </c>
      <c r="L2" s="24">
        <v>2015</v>
      </c>
      <c r="M2" s="24">
        <v>2016</v>
      </c>
      <c r="N2" s="24">
        <v>2017</v>
      </c>
      <c r="O2" s="24">
        <v>2018</v>
      </c>
      <c r="P2" s="24">
        <v>2019</v>
      </c>
      <c r="Q2" s="24">
        <v>2020</v>
      </c>
      <c r="R2" s="2"/>
      <c r="S2" s="2"/>
      <c r="T2" s="2"/>
      <c r="U2" s="2"/>
      <c r="V2" s="2"/>
      <c r="W2" s="2"/>
      <c r="X2" s="2"/>
    </row>
    <row r="3" spans="1:24" x14ac:dyDescent="0.3">
      <c r="A3" s="24" t="s">
        <v>57</v>
      </c>
      <c r="B3" s="24"/>
      <c r="C3" s="37">
        <f>CPI!F12</f>
        <v>1.4052757793764987</v>
      </c>
      <c r="D3" s="37">
        <f>CPI!G12</f>
        <v>1.3517877739331026</v>
      </c>
      <c r="E3" s="37">
        <f>CPI!H12</f>
        <v>1.3272933182332955</v>
      </c>
      <c r="F3" s="37">
        <f>CPI!I12</f>
        <v>1.2642934196332254</v>
      </c>
      <c r="G3" s="37">
        <f>CPI!J12</f>
        <v>1.2494669509594882</v>
      </c>
      <c r="H3" s="37">
        <f>CPI!K12</f>
        <v>1.2145077720207254</v>
      </c>
      <c r="I3" s="37">
        <f>CPI!L12</f>
        <v>1.1743486973947896</v>
      </c>
      <c r="J3" s="37">
        <f>CPI!M12</f>
        <v>1.1512770137524559</v>
      </c>
      <c r="K3" s="37">
        <f>CPI!N12</f>
        <v>1.1269230769230769</v>
      </c>
      <c r="L3" s="37">
        <f>CPI!O12</f>
        <v>1.1015037593984962</v>
      </c>
      <c r="M3" s="37">
        <f>CPI!P12</f>
        <v>1.0851851851851853</v>
      </c>
      <c r="N3" s="37">
        <f>CPI!Q12</f>
        <v>1.0712979890310785</v>
      </c>
      <c r="O3" s="37">
        <f>CPI!R12</f>
        <v>1.052064631956912</v>
      </c>
      <c r="P3" s="37">
        <f>CPI!S12</f>
        <v>1.0325991189427313</v>
      </c>
      <c r="Q3" s="37">
        <f>CPI!T12</f>
        <v>1.0155979202772962</v>
      </c>
    </row>
    <row r="4" spans="1:24" x14ac:dyDescent="0.3">
      <c r="A4" s="24" t="s">
        <v>56</v>
      </c>
      <c r="B4" s="24"/>
      <c r="C4" s="37">
        <f>CPI!F11</f>
        <v>1.3985680190930789</v>
      </c>
      <c r="D4" s="37">
        <f>CPI!G11</f>
        <v>1.3533487297921478</v>
      </c>
      <c r="E4" s="37">
        <f>CPI!H11</f>
        <v>1.3153759820426487</v>
      </c>
      <c r="F4" s="37">
        <f>CPI!I11</f>
        <v>1.2683982683982684</v>
      </c>
      <c r="G4" s="37">
        <f>CPI!J11</f>
        <v>1.2428419936373278</v>
      </c>
      <c r="H4" s="37">
        <f>CPI!K11</f>
        <v>1.2094943240454077</v>
      </c>
      <c r="I4" s="37">
        <f>CPI!L11</f>
        <v>1.1743486973947896</v>
      </c>
      <c r="J4" s="37">
        <f>CPI!M11</f>
        <v>1.1490196078431374</v>
      </c>
      <c r="K4" s="37">
        <f>CPI!N11</f>
        <v>1.1183206106870229</v>
      </c>
      <c r="L4" s="37">
        <f>CPI!O11</f>
        <v>1.0994371482176362</v>
      </c>
      <c r="M4" s="37">
        <f>CPI!P11</f>
        <v>1.0811808118081181</v>
      </c>
      <c r="N4" s="37">
        <f>CPI!Q11</f>
        <v>1.0654545454545454</v>
      </c>
      <c r="O4" s="37">
        <f>CPI!R11</f>
        <v>1.0454950936663694</v>
      </c>
      <c r="P4" s="37">
        <f>CPI!S11</f>
        <v>1.0271691498685365</v>
      </c>
      <c r="Q4" s="37">
        <f>CPI!T11</f>
        <v>1.0086058519793459</v>
      </c>
    </row>
    <row r="5" spans="1:24" s="2" customForma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24" s="2" customFormat="1" x14ac:dyDescent="0.3">
      <c r="A6" s="25" t="s">
        <v>20</v>
      </c>
      <c r="B6" s="25" t="s">
        <v>104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24" x14ac:dyDescent="0.3">
      <c r="A7" s="25" t="s">
        <v>63</v>
      </c>
      <c r="B7" s="25"/>
      <c r="C7" s="24">
        <f t="shared" ref="C7:L7" si="0">C2</f>
        <v>2006</v>
      </c>
      <c r="D7" s="24">
        <f t="shared" si="0"/>
        <v>2007</v>
      </c>
      <c r="E7" s="24">
        <f t="shared" si="0"/>
        <v>2008</v>
      </c>
      <c r="F7" s="24">
        <f t="shared" si="0"/>
        <v>2009</v>
      </c>
      <c r="G7" s="24">
        <f t="shared" si="0"/>
        <v>2010</v>
      </c>
      <c r="H7" s="24">
        <f t="shared" si="0"/>
        <v>2011</v>
      </c>
      <c r="I7" s="24">
        <f t="shared" si="0"/>
        <v>2012</v>
      </c>
      <c r="J7" s="24">
        <f t="shared" si="0"/>
        <v>2013</v>
      </c>
      <c r="K7" s="24">
        <f t="shared" si="0"/>
        <v>2014</v>
      </c>
      <c r="L7" s="24">
        <f t="shared" si="0"/>
        <v>2015</v>
      </c>
      <c r="M7" s="24">
        <f t="shared" ref="M7" si="1">M2</f>
        <v>2016</v>
      </c>
      <c r="N7" s="24">
        <v>2017</v>
      </c>
      <c r="O7" s="24">
        <v>2018</v>
      </c>
      <c r="P7" s="24">
        <v>2019</v>
      </c>
      <c r="Q7" s="24">
        <v>2020</v>
      </c>
    </row>
    <row r="8" spans="1:24" x14ac:dyDescent="0.3">
      <c r="A8" s="38" t="s">
        <v>37</v>
      </c>
      <c r="B8" s="38" t="s">
        <v>62</v>
      </c>
      <c r="C8" s="28">
        <v>89258.11425374214</v>
      </c>
      <c r="D8" s="28">
        <v>80842.987365847715</v>
      </c>
      <c r="E8" s="28">
        <v>162293.47653741398</v>
      </c>
      <c r="F8" s="28">
        <v>59106.056239456964</v>
      </c>
      <c r="G8" s="28">
        <v>20345.625267704796</v>
      </c>
      <c r="H8" s="28">
        <v>97061.100193905717</v>
      </c>
      <c r="I8" s="28">
        <v>315713.09947788186</v>
      </c>
      <c r="J8" s="28">
        <v>178283.85468255344</v>
      </c>
      <c r="K8" s="28">
        <v>232198.0008218725</v>
      </c>
      <c r="L8" s="28">
        <v>96869.77632107136</v>
      </c>
      <c r="M8" s="28">
        <v>142117.46961331938</v>
      </c>
      <c r="N8" s="28">
        <v>169671.86470311059</v>
      </c>
      <c r="O8" s="28">
        <f>'[7]3.3 Assets (RAB)'!$C$15/1000</f>
        <v>204289.22000560572</v>
      </c>
      <c r="P8" s="28">
        <f>'[8]3.3 Assets (RAB)'!$C$15/1000</f>
        <v>177293.90200828851</v>
      </c>
      <c r="Q8" s="78">
        <f>'[9]3.3 Assets (RAB)'!$C$15/1000</f>
        <v>49311.832000000002</v>
      </c>
    </row>
    <row r="9" spans="1:24" x14ac:dyDescent="0.3">
      <c r="A9" s="38" t="s">
        <v>21</v>
      </c>
      <c r="B9" s="38" t="s">
        <v>62</v>
      </c>
      <c r="C9" s="28">
        <v>269318.53261280397</v>
      </c>
      <c r="D9" s="28">
        <v>256570.90166529323</v>
      </c>
      <c r="E9" s="28">
        <v>678189.56935022678</v>
      </c>
      <c r="F9" s="28">
        <v>671491.83669466269</v>
      </c>
      <c r="G9" s="28">
        <v>473251.6947943017</v>
      </c>
      <c r="H9" s="28">
        <v>463875.87787008594</v>
      </c>
      <c r="I9" s="28">
        <v>503875.60955456615</v>
      </c>
      <c r="J9" s="28">
        <v>504179.01052687335</v>
      </c>
      <c r="K9" s="28">
        <v>593347.80624161765</v>
      </c>
      <c r="L9" s="28">
        <v>245700.20910001502</v>
      </c>
      <c r="M9" s="28">
        <v>124656.92009012518</v>
      </c>
      <c r="N9" s="28">
        <v>165717.78678948872</v>
      </c>
      <c r="O9" s="28">
        <f>'[10]3.3 Assets (RAB)'!$C$15/1000</f>
        <v>124148.14240923422</v>
      </c>
      <c r="P9" s="28">
        <f>'[11]3.3 Assets (RAB)'!$C$15/1000</f>
        <v>214676.63614106682</v>
      </c>
      <c r="Q9" s="78">
        <f>'[12]3.3 Assets (RAB)'!$C$15/1000</f>
        <v>77521.510388175127</v>
      </c>
    </row>
    <row r="10" spans="1:24" x14ac:dyDescent="0.3">
      <c r="A10" s="38" t="s">
        <v>35</v>
      </c>
      <c r="B10" s="38" t="s">
        <v>62</v>
      </c>
      <c r="C10" s="28">
        <v>60055.487000000001</v>
      </c>
      <c r="D10" s="28">
        <v>81707.709000000003</v>
      </c>
      <c r="E10" s="28">
        <v>109142.72199999999</v>
      </c>
      <c r="F10" s="28">
        <v>41643.434000000001</v>
      </c>
      <c r="G10" s="28">
        <v>86552.108999999997</v>
      </c>
      <c r="H10" s="28">
        <v>110822.41800000001</v>
      </c>
      <c r="I10" s="28">
        <v>124792.08900000001</v>
      </c>
      <c r="J10" s="28">
        <v>166090.78399999999</v>
      </c>
      <c r="K10" s="28">
        <v>176329.54932170166</v>
      </c>
      <c r="L10" s="28">
        <v>192954.250261384</v>
      </c>
      <c r="M10" s="28">
        <v>133160.81765741587</v>
      </c>
      <c r="N10" s="28">
        <v>125721.37942957168</v>
      </c>
      <c r="O10" s="28">
        <f>'[13]3.3 Assets (RAB)'!$C$15/1000</f>
        <v>113724.56413357373</v>
      </c>
      <c r="P10" s="28">
        <f>'[14]3.3 Assets (RAB)'!$C$15/1000</f>
        <v>119668.70306964719</v>
      </c>
      <c r="Q10" s="78">
        <f>'[15]3.3 Assets (RAB)'!$C$15/1000</f>
        <v>230006.49998383893</v>
      </c>
    </row>
    <row r="11" spans="1:24" x14ac:dyDescent="0.3">
      <c r="A11" s="38" t="s">
        <v>29</v>
      </c>
      <c r="B11" s="38" t="s">
        <v>62</v>
      </c>
      <c r="C11" s="28">
        <v>67649</v>
      </c>
      <c r="D11" s="28">
        <v>97870</v>
      </c>
      <c r="E11" s="28">
        <v>59619</v>
      </c>
      <c r="F11" s="28">
        <v>82109</v>
      </c>
      <c r="G11" s="28">
        <v>49873</v>
      </c>
      <c r="H11" s="28">
        <v>222178</v>
      </c>
      <c r="I11" s="28">
        <v>105301</v>
      </c>
      <c r="J11" s="28">
        <v>87448</v>
      </c>
      <c r="K11" s="28">
        <v>174694.62803962029</v>
      </c>
      <c r="L11" s="28">
        <v>31333.159254127593</v>
      </c>
      <c r="M11" s="28">
        <v>24922.723995073349</v>
      </c>
      <c r="N11" s="28">
        <v>27737.785856726568</v>
      </c>
      <c r="O11" s="28">
        <f>'[16]3.3 Assets (RAB)'!$C$15/1000</f>
        <v>47336.276340199896</v>
      </c>
      <c r="P11" s="28">
        <f>'[17]3.3 Assets (RAB)'!$C$15/1000</f>
        <v>64485.204634988841</v>
      </c>
      <c r="Q11" s="78">
        <f>'[18]3.3 Assets (RAB)'!$C$15/1000</f>
        <v>59472.139368714496</v>
      </c>
    </row>
    <row r="12" spans="1:24" x14ac:dyDescent="0.3">
      <c r="A12" s="38" t="s">
        <v>38</v>
      </c>
      <c r="B12" s="38" t="s">
        <v>62</v>
      </c>
      <c r="C12" s="28">
        <v>162036</v>
      </c>
      <c r="D12" s="28">
        <v>225936</v>
      </c>
      <c r="E12" s="28">
        <v>337001</v>
      </c>
      <c r="F12" s="28">
        <v>549433.30268145294</v>
      </c>
      <c r="G12" s="28">
        <v>240632.34056820587</v>
      </c>
      <c r="H12" s="28">
        <v>370580.90669528913</v>
      </c>
      <c r="I12" s="28">
        <v>377519.62609399756</v>
      </c>
      <c r="J12" s="28">
        <v>386404.8127500806</v>
      </c>
      <c r="K12" s="28">
        <v>599025.85733420495</v>
      </c>
      <c r="L12" s="28">
        <v>299576.62671298435</v>
      </c>
      <c r="M12" s="28">
        <v>262567.9137873014</v>
      </c>
      <c r="N12" s="28">
        <v>139468.48002247565</v>
      </c>
      <c r="O12" s="28">
        <f>'[19]3.3 Assets (RAB)'!$C$15/1000</f>
        <v>239882.38990682526</v>
      </c>
      <c r="P12" s="28">
        <f>'[20]3.3 Assets (RAB)'!$C$15/1000</f>
        <v>265754.53729379684</v>
      </c>
      <c r="Q12" s="78">
        <f>'[21]3.3 Assets (RAB)'!$C$15/1000</f>
        <v>217115.573</v>
      </c>
    </row>
    <row r="13" spans="1:24" x14ac:dyDescent="0.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56"/>
    </row>
    <row r="14" spans="1:24" x14ac:dyDescent="0.3">
      <c r="A14" s="25" t="str">
        <f>CONCATENATE(B2)</f>
        <v>Real $2020</v>
      </c>
      <c r="B14" s="25"/>
      <c r="C14" s="24">
        <f t="shared" ref="C14:L14" si="2">C2</f>
        <v>2006</v>
      </c>
      <c r="D14" s="24">
        <f t="shared" si="2"/>
        <v>2007</v>
      </c>
      <c r="E14" s="24">
        <f t="shared" si="2"/>
        <v>2008</v>
      </c>
      <c r="F14" s="24">
        <f t="shared" si="2"/>
        <v>2009</v>
      </c>
      <c r="G14" s="24">
        <f t="shared" si="2"/>
        <v>2010</v>
      </c>
      <c r="H14" s="24">
        <f t="shared" si="2"/>
        <v>2011</v>
      </c>
      <c r="I14" s="24">
        <f t="shared" si="2"/>
        <v>2012</v>
      </c>
      <c r="J14" s="24">
        <f t="shared" si="2"/>
        <v>2013</v>
      </c>
      <c r="K14" s="24">
        <f t="shared" si="2"/>
        <v>2014</v>
      </c>
      <c r="L14" s="24">
        <f t="shared" si="2"/>
        <v>2015</v>
      </c>
      <c r="M14" s="24">
        <f t="shared" ref="M14" si="3">M2</f>
        <v>2016</v>
      </c>
      <c r="N14" s="24">
        <v>2017</v>
      </c>
      <c r="O14" s="24">
        <v>2018</v>
      </c>
      <c r="P14" s="24">
        <v>2019</v>
      </c>
      <c r="Q14" s="24">
        <v>2020</v>
      </c>
      <c r="R14" s="24" t="s">
        <v>106</v>
      </c>
    </row>
    <row r="15" spans="1:24" x14ac:dyDescent="0.3">
      <c r="A15" s="38" t="s">
        <v>37</v>
      </c>
      <c r="B15" s="38" t="s">
        <v>125</v>
      </c>
      <c r="C15" s="28">
        <f>C8*C$4</f>
        <v>124833.54403983986</v>
      </c>
      <c r="D15" s="28">
        <f t="shared" ref="D15:N15" si="4">D8*D$4</f>
        <v>109408.75426417266</v>
      </c>
      <c r="E15" s="28">
        <f t="shared" si="4"/>
        <v>213476.94107951649</v>
      </c>
      <c r="F15" s="28">
        <f t="shared" si="4"/>
        <v>74970.019385977881</v>
      </c>
      <c r="G15" s="28">
        <f t="shared" si="4"/>
        <v>25286.39746951222</v>
      </c>
      <c r="H15" s="28">
        <f t="shared" si="4"/>
        <v>117394.84977013158</v>
      </c>
      <c r="I15" s="28">
        <f t="shared" si="4"/>
        <v>370757.26712232223</v>
      </c>
      <c r="J15" s="28">
        <f t="shared" si="4"/>
        <v>204851.64479211046</v>
      </c>
      <c r="K15" s="28">
        <f t="shared" si="4"/>
        <v>259671.81007942231</v>
      </c>
      <c r="L15" s="28">
        <f t="shared" si="4"/>
        <v>106502.230626919</v>
      </c>
      <c r="M15" s="28">
        <f t="shared" ref="M15" si="5">M8*M$4</f>
        <v>153654.68116864419</v>
      </c>
      <c r="N15" s="28">
        <f t="shared" si="4"/>
        <v>180777.65948367782</v>
      </c>
      <c r="O15" s="28">
        <f t="shared" ref="O15:P15" si="6">O8*O$4</f>
        <v>213583.3772047903</v>
      </c>
      <c r="P15" s="28">
        <f t="shared" si="6"/>
        <v>182110.82660272933</v>
      </c>
      <c r="Q15" s="28">
        <f t="shared" ref="Q15" si="7">Q8*Q$4</f>
        <v>49736.20232702238</v>
      </c>
      <c r="R15" s="40">
        <f>AVERAGE(M15:Q15)</f>
        <v>155972.5493573728</v>
      </c>
    </row>
    <row r="16" spans="1:24" x14ac:dyDescent="0.3">
      <c r="A16" s="38" t="s">
        <v>21</v>
      </c>
      <c r="B16" s="38" t="s">
        <v>125</v>
      </c>
      <c r="C16" s="28">
        <f t="shared" ref="C16:N16" si="8">C9*C$4</f>
        <v>376660.28666134406</v>
      </c>
      <c r="D16" s="28">
        <f t="shared" si="8"/>
        <v>347229.90387035068</v>
      </c>
      <c r="E16" s="28">
        <f t="shared" si="8"/>
        <v>892074.27079513553</v>
      </c>
      <c r="F16" s="28">
        <f t="shared" si="8"/>
        <v>851719.08290708298</v>
      </c>
      <c r="G16" s="28">
        <f t="shared" si="8"/>
        <v>588177.07985039416</v>
      </c>
      <c r="H16" s="28">
        <f t="shared" si="8"/>
        <v>561055.2413454497</v>
      </c>
      <c r="I16" s="28">
        <f t="shared" si="8"/>
        <v>591725.66572941036</v>
      </c>
      <c r="J16" s="28">
        <f t="shared" si="8"/>
        <v>579311.56895832904</v>
      </c>
      <c r="K16" s="28">
        <f t="shared" si="8"/>
        <v>663553.08102593117</v>
      </c>
      <c r="L16" s="28">
        <f t="shared" si="8"/>
        <v>270131.93720939744</v>
      </c>
      <c r="M16" s="28">
        <f t="shared" ref="M16" si="9">M9*M$4</f>
        <v>134776.67006054125</v>
      </c>
      <c r="N16" s="28">
        <f t="shared" si="8"/>
        <v>176564.76919752799</v>
      </c>
      <c r="O16" s="28">
        <f t="shared" ref="O16:P16" si="10">O9*O$4</f>
        <v>129796.2737766481</v>
      </c>
      <c r="P16" s="28">
        <f t="shared" si="10"/>
        <v>220509.21784165673</v>
      </c>
      <c r="Q16" s="28">
        <f t="shared" ref="Q16" si="11">Q9*Q$4</f>
        <v>78188.649031791094</v>
      </c>
      <c r="R16" s="40">
        <f>AVERAGE(M16:Q16)</f>
        <v>147967.11598163305</v>
      </c>
    </row>
    <row r="17" spans="1:18" x14ac:dyDescent="0.3">
      <c r="A17" s="38" t="s">
        <v>35</v>
      </c>
      <c r="B17" s="38" t="s">
        <v>125</v>
      </c>
      <c r="C17" s="28">
        <f t="shared" ref="C17:N17" si="12">C10*C$3</f>
        <v>84394.521299760192</v>
      </c>
      <c r="D17" s="28">
        <f t="shared" si="12"/>
        <v>110451.48206228373</v>
      </c>
      <c r="E17" s="28">
        <f t="shared" si="12"/>
        <v>144864.40564439411</v>
      </c>
      <c r="F17" s="28">
        <f t="shared" si="12"/>
        <v>52649.51957713053</v>
      </c>
      <c r="G17" s="28">
        <f t="shared" si="12"/>
        <v>108143.99973134328</v>
      </c>
      <c r="H17" s="28">
        <f t="shared" si="12"/>
        <v>134594.68797512955</v>
      </c>
      <c r="I17" s="28">
        <f t="shared" si="12"/>
        <v>146549.42716232466</v>
      </c>
      <c r="J17" s="28">
        <f t="shared" si="12"/>
        <v>191216.50181532418</v>
      </c>
      <c r="K17" s="28">
        <f t="shared" si="12"/>
        <v>198709.83827407149</v>
      </c>
      <c r="L17" s="28">
        <f t="shared" si="12"/>
        <v>212539.83205483275</v>
      </c>
      <c r="M17" s="28">
        <f t="shared" ref="M17" si="13">M10*M$3</f>
        <v>144504.14656897352</v>
      </c>
      <c r="N17" s="28">
        <f t="shared" si="12"/>
        <v>134685.06096111334</v>
      </c>
      <c r="O17" s="28">
        <f t="shared" ref="O17:P17" si="14">O10*O$3</f>
        <v>119645.59170964849</v>
      </c>
      <c r="P17" s="28">
        <f t="shared" si="14"/>
        <v>123569.79735473701</v>
      </c>
      <c r="Q17" s="28">
        <f t="shared" ref="Q17" si="15">Q10*Q$3</f>
        <v>233594.12303384679</v>
      </c>
      <c r="R17" s="40">
        <f t="shared" ref="R17:R19" si="16">AVERAGE(M17:Q17)</f>
        <v>151199.74392566382</v>
      </c>
    </row>
    <row r="18" spans="1:18" x14ac:dyDescent="0.3">
      <c r="A18" s="38" t="s">
        <v>29</v>
      </c>
      <c r="B18" s="38" t="s">
        <v>125</v>
      </c>
      <c r="C18" s="28">
        <f t="shared" ref="C18:N18" si="17">C11*C$4</f>
        <v>94611.727923627695</v>
      </c>
      <c r="D18" s="28">
        <f t="shared" si="17"/>
        <v>132452.24018475751</v>
      </c>
      <c r="E18" s="28">
        <f t="shared" si="17"/>
        <v>78421.400673400669</v>
      </c>
      <c r="F18" s="28">
        <f t="shared" si="17"/>
        <v>104146.91341991343</v>
      </c>
      <c r="G18" s="28">
        <f t="shared" si="17"/>
        <v>61984.258748674452</v>
      </c>
      <c r="H18" s="28">
        <f t="shared" si="17"/>
        <v>268723.0299277606</v>
      </c>
      <c r="I18" s="28">
        <f t="shared" si="17"/>
        <v>123660.09218436874</v>
      </c>
      <c r="J18" s="28">
        <f t="shared" si="17"/>
        <v>100479.46666666667</v>
      </c>
      <c r="K18" s="28">
        <f t="shared" si="17"/>
        <v>195364.6031130105</v>
      </c>
      <c r="L18" s="28">
        <f t="shared" si="17"/>
        <v>34448.839255007078</v>
      </c>
      <c r="M18" s="28">
        <f t="shared" ref="M18" si="18">M11*M$4</f>
        <v>26945.970961463066</v>
      </c>
      <c r="N18" s="28">
        <f t="shared" si="17"/>
        <v>29553.350021894126</v>
      </c>
      <c r="O18" s="28">
        <f t="shared" ref="O18:P18" si="19">O11*O$4</f>
        <v>49489.844666114433</v>
      </c>
      <c r="P18" s="28">
        <f t="shared" si="19"/>
        <v>66237.212824020098</v>
      </c>
      <c r="Q18" s="28">
        <f t="shared" ref="Q18" si="20">Q11*Q$4</f>
        <v>59983.947797016684</v>
      </c>
      <c r="R18" s="40">
        <f t="shared" si="16"/>
        <v>46442.065254101683</v>
      </c>
    </row>
    <row r="19" spans="1:18" x14ac:dyDescent="0.3">
      <c r="A19" s="38" t="s">
        <v>38</v>
      </c>
      <c r="B19" s="38" t="s">
        <v>125</v>
      </c>
      <c r="C19" s="28">
        <f t="shared" ref="C19:N19" si="21">C12*C$4</f>
        <v>226618.36754176614</v>
      </c>
      <c r="D19" s="28">
        <f t="shared" si="21"/>
        <v>305770.19861431874</v>
      </c>
      <c r="E19" s="28">
        <f t="shared" si="21"/>
        <v>443283.02132435463</v>
      </c>
      <c r="F19" s="28">
        <f t="shared" si="21"/>
        <v>696900.2497214966</v>
      </c>
      <c r="G19" s="28">
        <f t="shared" si="21"/>
        <v>299067.97788540542</v>
      </c>
      <c r="H19" s="28">
        <f t="shared" si="21"/>
        <v>448215.50324755302</v>
      </c>
      <c r="I19" s="28">
        <f t="shared" si="21"/>
        <v>443339.68114445405</v>
      </c>
      <c r="J19" s="28">
        <f t="shared" si="21"/>
        <v>443986.70641479857</v>
      </c>
      <c r="K19" s="28">
        <f t="shared" si="21"/>
        <v>669902.96259130561</v>
      </c>
      <c r="L19" s="28">
        <f t="shared" si="21"/>
        <v>329365.67214598285</v>
      </c>
      <c r="M19" s="28">
        <f t="shared" ref="M19" si="22">M12*M$4</f>
        <v>283883.39018331846</v>
      </c>
      <c r="N19" s="28">
        <f t="shared" si="21"/>
        <v>148597.32598758314</v>
      </c>
      <c r="O19" s="28">
        <f t="shared" ref="O19:P19" si="23">O12*O$4</f>
        <v>250795.86170454882</v>
      </c>
      <c r="P19" s="28">
        <f t="shared" si="23"/>
        <v>272974.86214577558</v>
      </c>
      <c r="Q19" s="28">
        <f t="shared" ref="Q19" si="24">Q12*Q$4</f>
        <v>218984.03748364889</v>
      </c>
      <c r="R19" s="40">
        <f t="shared" si="16"/>
        <v>235047.095500975</v>
      </c>
    </row>
    <row r="20" spans="1:18" x14ac:dyDescent="0.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</row>
    <row r="21" spans="1:18" x14ac:dyDescent="0.3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8" x14ac:dyDescent="0.3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308"/>
  <sheetViews>
    <sheetView workbookViewId="0"/>
  </sheetViews>
  <sheetFormatPr defaultRowHeight="14.4" x14ac:dyDescent="0.3"/>
  <cols>
    <col min="1" max="1" width="24.77734375" style="6" customWidth="1"/>
    <col min="2" max="2" width="23.77734375" style="6" bestFit="1" customWidth="1"/>
    <col min="4" max="4" width="47" bestFit="1" customWidth="1"/>
    <col min="5" max="5" width="9.77734375" customWidth="1"/>
    <col min="15" max="15" width="9.21875" style="17"/>
    <col min="17" max="17" width="9.21875" style="24"/>
  </cols>
  <sheetData>
    <row r="1" spans="1:21" ht="34.5" customHeight="1" x14ac:dyDescent="0.3">
      <c r="A1" s="1"/>
      <c r="B1" s="7" t="s">
        <v>10</v>
      </c>
      <c r="D1" s="53" t="s">
        <v>82</v>
      </c>
    </row>
    <row r="2" spans="1:21" x14ac:dyDescent="0.3">
      <c r="A2" s="3" t="s">
        <v>1</v>
      </c>
      <c r="B2" s="8" t="s">
        <v>11</v>
      </c>
      <c r="D2" s="24"/>
      <c r="E2" s="24"/>
      <c r="F2" s="24">
        <v>2006</v>
      </c>
      <c r="G2" s="24">
        <v>2007</v>
      </c>
      <c r="H2" s="24">
        <v>2008</v>
      </c>
      <c r="I2" s="24">
        <v>2009</v>
      </c>
      <c r="J2" s="24">
        <v>2010</v>
      </c>
      <c r="K2" s="24">
        <v>2011</v>
      </c>
      <c r="L2" s="24">
        <v>2012</v>
      </c>
      <c r="M2" s="24">
        <v>2013</v>
      </c>
      <c r="N2" s="24">
        <v>2014</v>
      </c>
      <c r="O2" s="24">
        <v>2015</v>
      </c>
      <c r="P2" s="24">
        <v>2016</v>
      </c>
      <c r="Q2" s="24">
        <v>2017</v>
      </c>
      <c r="R2" s="24">
        <v>2018</v>
      </c>
      <c r="S2" s="24">
        <v>2019</v>
      </c>
      <c r="T2" s="24">
        <v>2020</v>
      </c>
    </row>
    <row r="3" spans="1:21" x14ac:dyDescent="0.3">
      <c r="A3" s="3" t="s">
        <v>2</v>
      </c>
      <c r="B3" s="8" t="s">
        <v>12</v>
      </c>
      <c r="D3" s="24" t="s">
        <v>0</v>
      </c>
      <c r="E3" s="24"/>
      <c r="F3" s="61">
        <f>B244</f>
        <v>86.6</v>
      </c>
      <c r="G3" s="61">
        <f>B248</f>
        <v>89.1</v>
      </c>
      <c r="H3" s="61">
        <f>B252</f>
        <v>92.4</v>
      </c>
      <c r="I3" s="61">
        <f>B256</f>
        <v>94.3</v>
      </c>
      <c r="J3" s="61">
        <f>B260</f>
        <v>96.9</v>
      </c>
      <c r="K3" s="61">
        <f>B264</f>
        <v>99.8</v>
      </c>
      <c r="L3" s="61">
        <f>B268</f>
        <v>102</v>
      </c>
      <c r="M3" s="61">
        <f>B272</f>
        <v>104.8</v>
      </c>
      <c r="N3" s="61">
        <f>B276</f>
        <v>106.6</v>
      </c>
      <c r="O3" s="62">
        <f>B280</f>
        <v>108.4</v>
      </c>
      <c r="P3" s="62">
        <f>B284</f>
        <v>110</v>
      </c>
      <c r="Q3" s="24">
        <f>B288</f>
        <v>112.1</v>
      </c>
      <c r="R3" s="63">
        <f>B292</f>
        <v>114.1</v>
      </c>
      <c r="S3" s="63">
        <f>B296</f>
        <v>116.2</v>
      </c>
      <c r="T3" s="75">
        <f>B300</f>
        <v>117.2</v>
      </c>
    </row>
    <row r="4" spans="1:21" x14ac:dyDescent="0.3">
      <c r="A4" s="3" t="s">
        <v>3</v>
      </c>
      <c r="B4" s="8" t="s">
        <v>13</v>
      </c>
      <c r="D4" s="24" t="s">
        <v>17</v>
      </c>
      <c r="E4" s="24"/>
      <c r="F4" s="61">
        <f>B242</f>
        <v>85.9</v>
      </c>
      <c r="G4" s="61">
        <f>B246</f>
        <v>87.7</v>
      </c>
      <c r="H4" s="61">
        <f>B250</f>
        <v>91.6</v>
      </c>
      <c r="I4" s="61">
        <f>B254</f>
        <v>92.9</v>
      </c>
      <c r="J4" s="61">
        <f>B258</f>
        <v>95.8</v>
      </c>
      <c r="K4" s="61">
        <f>B262</f>
        <v>99.2</v>
      </c>
      <c r="L4" s="61">
        <f>B266</f>
        <v>100.4</v>
      </c>
      <c r="M4" s="61">
        <f>B270</f>
        <v>102.8</v>
      </c>
      <c r="N4" s="61">
        <f>B274</f>
        <v>105.9</v>
      </c>
      <c r="O4" s="62">
        <f>B278</f>
        <v>107.5</v>
      </c>
      <c r="P4" s="62">
        <f>B282</f>
        <v>108.6</v>
      </c>
      <c r="Q4" s="24">
        <f>B286</f>
        <v>110.7</v>
      </c>
      <c r="R4" s="63">
        <f>B290</f>
        <v>113</v>
      </c>
      <c r="S4" s="63">
        <f>B294</f>
        <v>114.8</v>
      </c>
      <c r="T4" s="76">
        <f>B298</f>
        <v>114.4</v>
      </c>
    </row>
    <row r="5" spans="1:21" x14ac:dyDescent="0.3">
      <c r="A5" s="3" t="s">
        <v>4</v>
      </c>
      <c r="B5" s="8" t="s">
        <v>14</v>
      </c>
      <c r="D5" s="24" t="s">
        <v>16</v>
      </c>
      <c r="E5" s="24"/>
      <c r="F5" s="61">
        <f>B240</f>
        <v>83.8</v>
      </c>
      <c r="G5" s="61">
        <f>B244</f>
        <v>86.6</v>
      </c>
      <c r="H5" s="61">
        <f>B248</f>
        <v>89.1</v>
      </c>
      <c r="I5" s="61">
        <f>B252</f>
        <v>92.4</v>
      </c>
      <c r="J5" s="61">
        <f>B256</f>
        <v>94.3</v>
      </c>
      <c r="K5" s="61">
        <f>B260</f>
        <v>96.9</v>
      </c>
      <c r="L5" s="61">
        <f>B264</f>
        <v>99.8</v>
      </c>
      <c r="M5" s="61">
        <f>B268</f>
        <v>102</v>
      </c>
      <c r="N5" s="61">
        <f>B272</f>
        <v>104.8</v>
      </c>
      <c r="O5" s="61">
        <f>B276</f>
        <v>106.6</v>
      </c>
      <c r="P5" s="62">
        <f>B280</f>
        <v>108.4</v>
      </c>
      <c r="Q5" s="64">
        <f>B284</f>
        <v>110</v>
      </c>
      <c r="R5" s="63">
        <f>B288</f>
        <v>112.1</v>
      </c>
      <c r="S5" s="63">
        <f>B292</f>
        <v>114.1</v>
      </c>
      <c r="T5" s="76">
        <f>B296</f>
        <v>116.2</v>
      </c>
    </row>
    <row r="6" spans="1:21" x14ac:dyDescent="0.3">
      <c r="A6" s="3" t="s">
        <v>5</v>
      </c>
      <c r="B6" s="6">
        <v>3</v>
      </c>
      <c r="D6" s="24" t="s">
        <v>58</v>
      </c>
      <c r="E6" s="24"/>
      <c r="F6" s="61">
        <f>B239</f>
        <v>83.4</v>
      </c>
      <c r="G6" s="61">
        <f>B243</f>
        <v>86.7</v>
      </c>
      <c r="H6" s="61">
        <f>B247</f>
        <v>88.3</v>
      </c>
      <c r="I6" s="61">
        <f>B251</f>
        <v>92.7</v>
      </c>
      <c r="J6" s="61">
        <f>B255</f>
        <v>93.8</v>
      </c>
      <c r="K6" s="61">
        <f>B259</f>
        <v>96.5</v>
      </c>
      <c r="L6" s="61">
        <f>B263</f>
        <v>99.8</v>
      </c>
      <c r="M6" s="61">
        <f>B267</f>
        <v>101.8</v>
      </c>
      <c r="N6" s="61">
        <f>B271</f>
        <v>104</v>
      </c>
      <c r="O6" s="61">
        <f>B275</f>
        <v>106.4</v>
      </c>
      <c r="P6" s="61">
        <f>B279</f>
        <v>108</v>
      </c>
      <c r="Q6" s="24">
        <f>B283</f>
        <v>109.4</v>
      </c>
      <c r="R6" s="63">
        <f>B287</f>
        <v>111.4</v>
      </c>
      <c r="S6" s="63">
        <f>B291</f>
        <v>113.5</v>
      </c>
      <c r="T6" s="76">
        <f>B295</f>
        <v>115.4</v>
      </c>
    </row>
    <row r="7" spans="1:21" x14ac:dyDescent="0.3">
      <c r="A7" s="4" t="s">
        <v>6</v>
      </c>
      <c r="B7" s="9">
        <v>17777</v>
      </c>
      <c r="D7" s="65" t="str">
        <f>"Convert to real"</f>
        <v>Convert to real</v>
      </c>
      <c r="E7" s="66">
        <v>2020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R7" s="24"/>
      <c r="S7" s="24"/>
    </row>
    <row r="8" spans="1:21" x14ac:dyDescent="0.3">
      <c r="A8" s="4" t="s">
        <v>7</v>
      </c>
      <c r="B8" s="9">
        <v>41699</v>
      </c>
      <c r="D8" s="24"/>
      <c r="E8" s="24">
        <f>MATCH(Real_year,F2:T2)</f>
        <v>15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R8" s="24"/>
      <c r="S8" s="24"/>
    </row>
    <row r="9" spans="1:21" x14ac:dyDescent="0.3">
      <c r="A9" s="3" t="s">
        <v>8</v>
      </c>
      <c r="B9" s="6">
        <v>263</v>
      </c>
      <c r="D9" s="25" t="str">
        <f>CONCATENATE(D7, " ",Real_year)</f>
        <v>Convert to real 2020</v>
      </c>
      <c r="E9" s="24">
        <f>INDEX(F2:T6,2,$E$8)</f>
        <v>117.2</v>
      </c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R9" s="24"/>
      <c r="S9" s="24"/>
    </row>
    <row r="10" spans="1:21" x14ac:dyDescent="0.3">
      <c r="A10" s="3" t="s">
        <v>9</v>
      </c>
      <c r="B10" s="8" t="s">
        <v>15</v>
      </c>
      <c r="D10" s="24" t="s">
        <v>105</v>
      </c>
      <c r="E10" s="24"/>
      <c r="F10" s="67">
        <f t="shared" ref="F10:S10" si="0">$E$9/F4</f>
        <v>1.3643771827706634</v>
      </c>
      <c r="G10" s="67">
        <f t="shared" si="0"/>
        <v>1.3363740022805017</v>
      </c>
      <c r="H10" s="67">
        <f t="shared" si="0"/>
        <v>1.2794759825327513</v>
      </c>
      <c r="I10" s="67">
        <f t="shared" si="0"/>
        <v>1.2615715823466092</v>
      </c>
      <c r="J10" s="67">
        <f t="shared" si="0"/>
        <v>1.2233820459290188</v>
      </c>
      <c r="K10" s="67">
        <f t="shared" si="0"/>
        <v>1.1814516129032258</v>
      </c>
      <c r="L10" s="67">
        <f t="shared" si="0"/>
        <v>1.1673306772908365</v>
      </c>
      <c r="M10" s="67">
        <f t="shared" si="0"/>
        <v>1.1400778210116733</v>
      </c>
      <c r="N10" s="67">
        <f t="shared" si="0"/>
        <v>1.1067044381491973</v>
      </c>
      <c r="O10" s="67">
        <f t="shared" si="0"/>
        <v>1.0902325581395349</v>
      </c>
      <c r="P10" s="67">
        <f t="shared" si="0"/>
        <v>1.0791896869244937</v>
      </c>
      <c r="Q10" s="67">
        <f t="shared" si="0"/>
        <v>1.0587172538392051</v>
      </c>
      <c r="R10" s="67">
        <f t="shared" si="0"/>
        <v>1.0371681415929204</v>
      </c>
      <c r="S10" s="67">
        <f t="shared" si="0"/>
        <v>1.0209059233449478</v>
      </c>
      <c r="T10" s="67">
        <f t="shared" ref="T10" si="1">$E$9/T4</f>
        <v>1.0244755244755244</v>
      </c>
    </row>
    <row r="11" spans="1:21" x14ac:dyDescent="0.3">
      <c r="A11" s="5">
        <v>17777</v>
      </c>
      <c r="B11" s="55">
        <v>3.7</v>
      </c>
      <c r="D11" s="24" t="s">
        <v>56</v>
      </c>
      <c r="E11" s="24"/>
      <c r="F11" s="67">
        <f t="shared" ref="F11:N11" si="2">currency_base/F5</f>
        <v>1.3985680190930789</v>
      </c>
      <c r="G11" s="67">
        <f t="shared" si="2"/>
        <v>1.3533487297921478</v>
      </c>
      <c r="H11" s="67">
        <f t="shared" si="2"/>
        <v>1.3153759820426487</v>
      </c>
      <c r="I11" s="67">
        <f t="shared" si="2"/>
        <v>1.2683982683982684</v>
      </c>
      <c r="J11" s="67">
        <f t="shared" si="2"/>
        <v>1.2428419936373278</v>
      </c>
      <c r="K11" s="67">
        <f t="shared" si="2"/>
        <v>1.2094943240454077</v>
      </c>
      <c r="L11" s="67">
        <f t="shared" si="2"/>
        <v>1.1743486973947896</v>
      </c>
      <c r="M11" s="67">
        <f t="shared" si="2"/>
        <v>1.1490196078431374</v>
      </c>
      <c r="N11" s="67">
        <f t="shared" si="2"/>
        <v>1.1183206106870229</v>
      </c>
      <c r="O11" s="67">
        <f t="shared" ref="O11" si="3">currency_base/O5</f>
        <v>1.0994371482176362</v>
      </c>
      <c r="P11" s="67">
        <f t="shared" ref="P11:R12" si="4">currency_base/P5</f>
        <v>1.0811808118081181</v>
      </c>
      <c r="Q11" s="67">
        <f t="shared" si="4"/>
        <v>1.0654545454545454</v>
      </c>
      <c r="R11" s="67">
        <f t="shared" si="4"/>
        <v>1.0454950936663694</v>
      </c>
      <c r="S11" s="67">
        <f t="shared" ref="S11:T11" si="5">currency_base/S5</f>
        <v>1.0271691498685365</v>
      </c>
      <c r="T11" s="67">
        <f t="shared" si="5"/>
        <v>1.0086058519793459</v>
      </c>
    </row>
    <row r="12" spans="1:21" x14ac:dyDescent="0.3">
      <c r="A12" s="5">
        <v>17868</v>
      </c>
      <c r="B12" s="55">
        <v>3.8</v>
      </c>
      <c r="D12" s="24" t="s">
        <v>57</v>
      </c>
      <c r="E12" s="24"/>
      <c r="F12" s="67">
        <f t="shared" ref="F12:N12" si="6">currency_base/F6</f>
        <v>1.4052757793764987</v>
      </c>
      <c r="G12" s="67">
        <f t="shared" si="6"/>
        <v>1.3517877739331026</v>
      </c>
      <c r="H12" s="67">
        <f t="shared" si="6"/>
        <v>1.3272933182332955</v>
      </c>
      <c r="I12" s="67">
        <f t="shared" si="6"/>
        <v>1.2642934196332254</v>
      </c>
      <c r="J12" s="67">
        <f t="shared" si="6"/>
        <v>1.2494669509594882</v>
      </c>
      <c r="K12" s="67">
        <f t="shared" si="6"/>
        <v>1.2145077720207254</v>
      </c>
      <c r="L12" s="67">
        <f t="shared" si="6"/>
        <v>1.1743486973947896</v>
      </c>
      <c r="M12" s="67">
        <f t="shared" si="6"/>
        <v>1.1512770137524559</v>
      </c>
      <c r="N12" s="67">
        <f t="shared" si="6"/>
        <v>1.1269230769230769</v>
      </c>
      <c r="O12" s="67">
        <f t="shared" ref="O12" si="7">currency_base/O6</f>
        <v>1.1015037593984962</v>
      </c>
      <c r="P12" s="67">
        <f t="shared" ref="P12" si="8">currency_base/P6</f>
        <v>1.0851851851851853</v>
      </c>
      <c r="Q12" s="67">
        <f t="shared" si="4"/>
        <v>1.0712979890310785</v>
      </c>
      <c r="R12" s="67">
        <f t="shared" si="4"/>
        <v>1.052064631956912</v>
      </c>
      <c r="S12" s="67">
        <f t="shared" ref="S12:T12" si="9">currency_base/S6</f>
        <v>1.0325991189427313</v>
      </c>
      <c r="T12" s="67">
        <f t="shared" si="9"/>
        <v>1.0155979202772962</v>
      </c>
    </row>
    <row r="13" spans="1:21" x14ac:dyDescent="0.3">
      <c r="A13" s="5">
        <v>17958</v>
      </c>
      <c r="B13" s="55">
        <v>3.9</v>
      </c>
      <c r="D13" s="68" t="s">
        <v>123</v>
      </c>
    </row>
    <row r="14" spans="1:21" x14ac:dyDescent="0.3">
      <c r="A14" s="5">
        <v>18050</v>
      </c>
      <c r="B14" s="55">
        <v>4</v>
      </c>
      <c r="E14" s="24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24"/>
    </row>
    <row r="15" spans="1:21" x14ac:dyDescent="0.3">
      <c r="A15" s="5">
        <v>18142</v>
      </c>
      <c r="B15" s="55">
        <v>4.0999999999999996</v>
      </c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56"/>
    </row>
    <row r="16" spans="1:21" x14ac:dyDescent="0.3">
      <c r="A16" s="5">
        <v>18233</v>
      </c>
      <c r="B16" s="55">
        <v>4.0999999999999996</v>
      </c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R16" s="56"/>
    </row>
    <row r="17" spans="1:16" x14ac:dyDescent="0.3">
      <c r="A17" s="5">
        <v>18323</v>
      </c>
      <c r="B17" s="55">
        <v>4.2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3">
      <c r="A18" s="5">
        <v>18415</v>
      </c>
      <c r="B18" s="55">
        <v>4.3</v>
      </c>
    </row>
    <row r="19" spans="1:16" x14ac:dyDescent="0.3">
      <c r="A19" s="5">
        <v>18507</v>
      </c>
      <c r="B19" s="55">
        <v>4.4000000000000004</v>
      </c>
    </row>
    <row r="20" spans="1:16" x14ac:dyDescent="0.3">
      <c r="A20" s="5">
        <v>18598</v>
      </c>
      <c r="B20" s="55">
        <v>4.5999999999999996</v>
      </c>
    </row>
    <row r="21" spans="1:16" x14ac:dyDescent="0.3">
      <c r="A21" s="5">
        <v>18688</v>
      </c>
      <c r="B21" s="55">
        <v>4.8</v>
      </c>
    </row>
    <row r="22" spans="1:16" x14ac:dyDescent="0.3">
      <c r="A22" s="5">
        <v>18780</v>
      </c>
      <c r="B22" s="55">
        <v>5.0999999999999996</v>
      </c>
    </row>
    <row r="23" spans="1:16" x14ac:dyDescent="0.3">
      <c r="A23" s="5">
        <v>18872</v>
      </c>
      <c r="B23" s="55">
        <v>5.3</v>
      </c>
    </row>
    <row r="24" spans="1:16" x14ac:dyDescent="0.3">
      <c r="A24" s="5">
        <v>18963</v>
      </c>
      <c r="B24" s="55">
        <v>5.7</v>
      </c>
    </row>
    <row r="25" spans="1:16" x14ac:dyDescent="0.3">
      <c r="A25" s="5">
        <v>19054</v>
      </c>
      <c r="B25" s="55">
        <v>5.9</v>
      </c>
    </row>
    <row r="26" spans="1:16" x14ac:dyDescent="0.3">
      <c r="A26" s="5">
        <v>19146</v>
      </c>
      <c r="B26" s="55">
        <v>6.1</v>
      </c>
    </row>
    <row r="27" spans="1:16" x14ac:dyDescent="0.3">
      <c r="A27" s="5">
        <v>19238</v>
      </c>
      <c r="B27" s="55">
        <v>6.2</v>
      </c>
    </row>
    <row r="28" spans="1:16" x14ac:dyDescent="0.3">
      <c r="A28" s="5">
        <v>19329</v>
      </c>
      <c r="B28" s="55">
        <v>6.3</v>
      </c>
    </row>
    <row r="29" spans="1:16" x14ac:dyDescent="0.3">
      <c r="A29" s="5">
        <v>19419</v>
      </c>
      <c r="B29" s="55">
        <v>6.3</v>
      </c>
    </row>
    <row r="30" spans="1:16" x14ac:dyDescent="0.3">
      <c r="A30" s="5">
        <v>19511</v>
      </c>
      <c r="B30" s="55">
        <v>6.4</v>
      </c>
    </row>
    <row r="31" spans="1:16" x14ac:dyDescent="0.3">
      <c r="A31" s="5">
        <v>19603</v>
      </c>
      <c r="B31" s="55">
        <v>6.5</v>
      </c>
    </row>
    <row r="32" spans="1:16" x14ac:dyDescent="0.3">
      <c r="A32" s="5">
        <v>19694</v>
      </c>
      <c r="B32" s="55">
        <v>6.4</v>
      </c>
    </row>
    <row r="33" spans="1:2" x14ac:dyDescent="0.3">
      <c r="A33" s="5">
        <v>19784</v>
      </c>
      <c r="B33" s="55">
        <v>6.5</v>
      </c>
    </row>
    <row r="34" spans="1:2" x14ac:dyDescent="0.3">
      <c r="A34" s="5">
        <v>19876</v>
      </c>
      <c r="B34" s="55">
        <v>6.5</v>
      </c>
    </row>
    <row r="35" spans="1:2" x14ac:dyDescent="0.3">
      <c r="A35" s="5">
        <v>19968</v>
      </c>
      <c r="B35" s="55">
        <v>6.5</v>
      </c>
    </row>
    <row r="36" spans="1:2" x14ac:dyDescent="0.3">
      <c r="A36" s="5">
        <v>20059</v>
      </c>
      <c r="B36" s="55">
        <v>6.5</v>
      </c>
    </row>
    <row r="37" spans="1:2" x14ac:dyDescent="0.3">
      <c r="A37" s="5">
        <v>20149</v>
      </c>
      <c r="B37" s="55">
        <v>6.5</v>
      </c>
    </row>
    <row r="38" spans="1:2" x14ac:dyDescent="0.3">
      <c r="A38" s="5">
        <v>20241</v>
      </c>
      <c r="B38" s="55">
        <v>6.6</v>
      </c>
    </row>
    <row r="39" spans="1:2" x14ac:dyDescent="0.3">
      <c r="A39" s="5">
        <v>20333</v>
      </c>
      <c r="B39" s="55">
        <v>6.6</v>
      </c>
    </row>
    <row r="40" spans="1:2" x14ac:dyDescent="0.3">
      <c r="A40" s="5">
        <v>20424</v>
      </c>
      <c r="B40" s="55">
        <v>6.7</v>
      </c>
    </row>
    <row r="41" spans="1:2" x14ac:dyDescent="0.3">
      <c r="A41" s="5">
        <v>20515</v>
      </c>
      <c r="B41" s="55">
        <v>6.7</v>
      </c>
    </row>
    <row r="42" spans="1:2" x14ac:dyDescent="0.3">
      <c r="A42" s="5">
        <v>20607</v>
      </c>
      <c r="B42" s="55">
        <v>7</v>
      </c>
    </row>
    <row r="43" spans="1:2" x14ac:dyDescent="0.3">
      <c r="A43" s="5">
        <v>20699</v>
      </c>
      <c r="B43" s="55">
        <v>7.1</v>
      </c>
    </row>
    <row r="44" spans="1:2" x14ac:dyDescent="0.3">
      <c r="A44" s="5">
        <v>20790</v>
      </c>
      <c r="B44" s="55">
        <v>7.1</v>
      </c>
    </row>
    <row r="45" spans="1:2" x14ac:dyDescent="0.3">
      <c r="A45" s="5">
        <v>20880</v>
      </c>
      <c r="B45" s="55">
        <v>7.1</v>
      </c>
    </row>
    <row r="46" spans="1:2" x14ac:dyDescent="0.3">
      <c r="A46" s="5">
        <v>20972</v>
      </c>
      <c r="B46" s="55">
        <v>7.2</v>
      </c>
    </row>
    <row r="47" spans="1:2" x14ac:dyDescent="0.3">
      <c r="A47" s="5">
        <v>21064</v>
      </c>
      <c r="B47" s="55">
        <v>7.2</v>
      </c>
    </row>
    <row r="48" spans="1:2" x14ac:dyDescent="0.3">
      <c r="A48" s="5">
        <v>21155</v>
      </c>
      <c r="B48" s="55">
        <v>7.2</v>
      </c>
    </row>
    <row r="49" spans="1:2" x14ac:dyDescent="0.3">
      <c r="A49" s="5">
        <v>21245</v>
      </c>
      <c r="B49" s="55">
        <v>7.2</v>
      </c>
    </row>
    <row r="50" spans="1:2" x14ac:dyDescent="0.3">
      <c r="A50" s="5">
        <v>21337</v>
      </c>
      <c r="B50" s="55">
        <v>7.2</v>
      </c>
    </row>
    <row r="51" spans="1:2" x14ac:dyDescent="0.3">
      <c r="A51" s="5">
        <v>21429</v>
      </c>
      <c r="B51" s="55">
        <v>7.2</v>
      </c>
    </row>
    <row r="52" spans="1:2" x14ac:dyDescent="0.3">
      <c r="A52" s="5">
        <v>21520</v>
      </c>
      <c r="B52" s="55">
        <v>7.3</v>
      </c>
    </row>
    <row r="53" spans="1:2" x14ac:dyDescent="0.3">
      <c r="A53" s="5">
        <v>21610</v>
      </c>
      <c r="B53" s="55">
        <v>7.3</v>
      </c>
    </row>
    <row r="54" spans="1:2" x14ac:dyDescent="0.3">
      <c r="A54" s="5">
        <v>21702</v>
      </c>
      <c r="B54" s="55">
        <v>7.3</v>
      </c>
    </row>
    <row r="55" spans="1:2" x14ac:dyDescent="0.3">
      <c r="A55" s="5">
        <v>21794</v>
      </c>
      <c r="B55" s="55">
        <v>7.4</v>
      </c>
    </row>
    <row r="56" spans="1:2" x14ac:dyDescent="0.3">
      <c r="A56" s="5">
        <v>21885</v>
      </c>
      <c r="B56" s="55">
        <v>7.5</v>
      </c>
    </row>
    <row r="57" spans="1:2" x14ac:dyDescent="0.3">
      <c r="A57" s="5">
        <v>21976</v>
      </c>
      <c r="B57" s="55">
        <v>7.5</v>
      </c>
    </row>
    <row r="58" spans="1:2" x14ac:dyDescent="0.3">
      <c r="A58" s="5">
        <v>22068</v>
      </c>
      <c r="B58" s="55">
        <v>7.6</v>
      </c>
    </row>
    <row r="59" spans="1:2" x14ac:dyDescent="0.3">
      <c r="A59" s="5">
        <v>22160</v>
      </c>
      <c r="B59" s="55">
        <v>7.7</v>
      </c>
    </row>
    <row r="60" spans="1:2" x14ac:dyDescent="0.3">
      <c r="A60" s="5">
        <v>22251</v>
      </c>
      <c r="B60" s="55">
        <v>7.8</v>
      </c>
    </row>
    <row r="61" spans="1:2" x14ac:dyDescent="0.3">
      <c r="A61" s="5">
        <v>22341</v>
      </c>
      <c r="B61" s="55">
        <v>7.8</v>
      </c>
    </row>
    <row r="62" spans="1:2" x14ac:dyDescent="0.3">
      <c r="A62" s="5">
        <v>22433</v>
      </c>
      <c r="B62" s="55">
        <v>7.9</v>
      </c>
    </row>
    <row r="63" spans="1:2" x14ac:dyDescent="0.3">
      <c r="A63" s="5">
        <v>22525</v>
      </c>
      <c r="B63" s="55">
        <v>7.8</v>
      </c>
    </row>
    <row r="64" spans="1:2" x14ac:dyDescent="0.3">
      <c r="A64" s="5">
        <v>22616</v>
      </c>
      <c r="B64" s="55">
        <v>7.8</v>
      </c>
    </row>
    <row r="65" spans="1:2" x14ac:dyDescent="0.3">
      <c r="A65" s="5">
        <v>22706</v>
      </c>
      <c r="B65" s="55">
        <v>7.8</v>
      </c>
    </row>
    <row r="66" spans="1:2" x14ac:dyDescent="0.3">
      <c r="A66" s="5">
        <v>22798</v>
      </c>
      <c r="B66" s="55">
        <v>7.8</v>
      </c>
    </row>
    <row r="67" spans="1:2" x14ac:dyDescent="0.3">
      <c r="A67" s="5">
        <v>22890</v>
      </c>
      <c r="B67" s="55">
        <v>7.8</v>
      </c>
    </row>
    <row r="68" spans="1:2" x14ac:dyDescent="0.3">
      <c r="A68" s="5">
        <v>22981</v>
      </c>
      <c r="B68" s="55">
        <v>7.8</v>
      </c>
    </row>
    <row r="69" spans="1:2" x14ac:dyDescent="0.3">
      <c r="A69" s="5">
        <v>23071</v>
      </c>
      <c r="B69" s="55">
        <v>7.8</v>
      </c>
    </row>
    <row r="70" spans="1:2" x14ac:dyDescent="0.3">
      <c r="A70" s="5">
        <v>23163</v>
      </c>
      <c r="B70" s="55">
        <v>7.8</v>
      </c>
    </row>
    <row r="71" spans="1:2" x14ac:dyDescent="0.3">
      <c r="A71" s="5">
        <v>23255</v>
      </c>
      <c r="B71" s="55">
        <v>7.9</v>
      </c>
    </row>
    <row r="72" spans="1:2" x14ac:dyDescent="0.3">
      <c r="A72" s="5">
        <v>23346</v>
      </c>
      <c r="B72" s="55">
        <v>7.9</v>
      </c>
    </row>
    <row r="73" spans="1:2" x14ac:dyDescent="0.3">
      <c r="A73" s="5">
        <v>23437</v>
      </c>
      <c r="B73" s="55">
        <v>8</v>
      </c>
    </row>
    <row r="74" spans="1:2" x14ac:dyDescent="0.3">
      <c r="A74" s="5">
        <v>23529</v>
      </c>
      <c r="B74" s="55">
        <v>8</v>
      </c>
    </row>
    <row r="75" spans="1:2" x14ac:dyDescent="0.3">
      <c r="A75" s="5">
        <v>23621</v>
      </c>
      <c r="B75" s="55">
        <v>8.1</v>
      </c>
    </row>
    <row r="76" spans="1:2" x14ac:dyDescent="0.3">
      <c r="A76" s="5">
        <v>23712</v>
      </c>
      <c r="B76" s="55">
        <v>8.1999999999999993</v>
      </c>
    </row>
    <row r="77" spans="1:2" x14ac:dyDescent="0.3">
      <c r="A77" s="5">
        <v>23802</v>
      </c>
      <c r="B77" s="55">
        <v>8.1999999999999993</v>
      </c>
    </row>
    <row r="78" spans="1:2" x14ac:dyDescent="0.3">
      <c r="A78" s="5">
        <v>23894</v>
      </c>
      <c r="B78" s="55">
        <v>8.3000000000000007</v>
      </c>
    </row>
    <row r="79" spans="1:2" x14ac:dyDescent="0.3">
      <c r="A79" s="5">
        <v>23986</v>
      </c>
      <c r="B79" s="55">
        <v>8.4</v>
      </c>
    </row>
    <row r="80" spans="1:2" x14ac:dyDescent="0.3">
      <c r="A80" s="5">
        <v>24077</v>
      </c>
      <c r="B80" s="55">
        <v>8.5</v>
      </c>
    </row>
    <row r="81" spans="1:2" x14ac:dyDescent="0.3">
      <c r="A81" s="5">
        <v>24167</v>
      </c>
      <c r="B81" s="55">
        <v>8.6</v>
      </c>
    </row>
    <row r="82" spans="1:2" x14ac:dyDescent="0.3">
      <c r="A82" s="5">
        <v>24259</v>
      </c>
      <c r="B82" s="55">
        <v>8.6</v>
      </c>
    </row>
    <row r="83" spans="1:2" x14ac:dyDescent="0.3">
      <c r="A83" s="5">
        <v>24351</v>
      </c>
      <c r="B83" s="55">
        <v>8.6</v>
      </c>
    </row>
    <row r="84" spans="1:2" x14ac:dyDescent="0.3">
      <c r="A84" s="5">
        <v>24442</v>
      </c>
      <c r="B84" s="55">
        <v>8.6999999999999993</v>
      </c>
    </row>
    <row r="85" spans="1:2" x14ac:dyDescent="0.3">
      <c r="A85" s="5">
        <v>24532</v>
      </c>
      <c r="B85" s="55">
        <v>8.8000000000000007</v>
      </c>
    </row>
    <row r="86" spans="1:2" x14ac:dyDescent="0.3">
      <c r="A86" s="5">
        <v>24624</v>
      </c>
      <c r="B86" s="55">
        <v>8.9</v>
      </c>
    </row>
    <row r="87" spans="1:2" x14ac:dyDescent="0.3">
      <c r="A87" s="5">
        <v>24716</v>
      </c>
      <c r="B87" s="55">
        <v>9</v>
      </c>
    </row>
    <row r="88" spans="1:2" x14ac:dyDescent="0.3">
      <c r="A88" s="5">
        <v>24807</v>
      </c>
      <c r="B88" s="55">
        <v>9</v>
      </c>
    </row>
    <row r="89" spans="1:2" x14ac:dyDescent="0.3">
      <c r="A89" s="5">
        <v>24898</v>
      </c>
      <c r="B89" s="55">
        <v>9.1</v>
      </c>
    </row>
    <row r="90" spans="1:2" x14ac:dyDescent="0.3">
      <c r="A90" s="5">
        <v>24990</v>
      </c>
      <c r="B90" s="55">
        <v>9.1</v>
      </c>
    </row>
    <row r="91" spans="1:2" x14ac:dyDescent="0.3">
      <c r="A91" s="5">
        <v>25082</v>
      </c>
      <c r="B91" s="55">
        <v>9.1999999999999993</v>
      </c>
    </row>
    <row r="92" spans="1:2" x14ac:dyDescent="0.3">
      <c r="A92" s="5">
        <v>25173</v>
      </c>
      <c r="B92" s="55">
        <v>9.1999999999999993</v>
      </c>
    </row>
    <row r="93" spans="1:2" x14ac:dyDescent="0.3">
      <c r="A93" s="5">
        <v>25263</v>
      </c>
      <c r="B93" s="55">
        <v>9.4</v>
      </c>
    </row>
    <row r="94" spans="1:2" x14ac:dyDescent="0.3">
      <c r="A94" s="5">
        <v>25355</v>
      </c>
      <c r="B94" s="55">
        <v>9.4</v>
      </c>
    </row>
    <row r="95" spans="1:2" x14ac:dyDescent="0.3">
      <c r="A95" s="5">
        <v>25447</v>
      </c>
      <c r="B95" s="55">
        <v>9.5</v>
      </c>
    </row>
    <row r="96" spans="1:2" x14ac:dyDescent="0.3">
      <c r="A96" s="5">
        <v>25538</v>
      </c>
      <c r="B96" s="55">
        <v>9.5</v>
      </c>
    </row>
    <row r="97" spans="1:2" x14ac:dyDescent="0.3">
      <c r="A97" s="5">
        <v>25628</v>
      </c>
      <c r="B97" s="55">
        <v>9.6</v>
      </c>
    </row>
    <row r="98" spans="1:2" x14ac:dyDescent="0.3">
      <c r="A98" s="5">
        <v>25720</v>
      </c>
      <c r="B98" s="55">
        <v>9.6999999999999993</v>
      </c>
    </row>
    <row r="99" spans="1:2" x14ac:dyDescent="0.3">
      <c r="A99" s="5">
        <v>25812</v>
      </c>
      <c r="B99" s="55">
        <v>9.8000000000000007</v>
      </c>
    </row>
    <row r="100" spans="1:2" x14ac:dyDescent="0.3">
      <c r="A100" s="5">
        <v>25903</v>
      </c>
      <c r="B100" s="55">
        <v>10</v>
      </c>
    </row>
    <row r="101" spans="1:2" x14ac:dyDescent="0.3">
      <c r="A101" s="5">
        <v>25993</v>
      </c>
      <c r="B101" s="55">
        <v>10.1</v>
      </c>
    </row>
    <row r="102" spans="1:2" x14ac:dyDescent="0.3">
      <c r="A102" s="5">
        <v>26085</v>
      </c>
      <c r="B102" s="55">
        <v>10.199999999999999</v>
      </c>
    </row>
    <row r="103" spans="1:2" x14ac:dyDescent="0.3">
      <c r="A103" s="5">
        <v>26177</v>
      </c>
      <c r="B103" s="55">
        <v>10.5</v>
      </c>
    </row>
    <row r="104" spans="1:2" x14ac:dyDescent="0.3">
      <c r="A104" s="5">
        <v>26268</v>
      </c>
      <c r="B104" s="55">
        <v>10.7</v>
      </c>
    </row>
    <row r="105" spans="1:2" x14ac:dyDescent="0.3">
      <c r="A105" s="5">
        <v>26359</v>
      </c>
      <c r="B105" s="55">
        <v>10.8</v>
      </c>
    </row>
    <row r="106" spans="1:2" x14ac:dyDescent="0.3">
      <c r="A106" s="5">
        <v>26451</v>
      </c>
      <c r="B106" s="55">
        <v>10.9</v>
      </c>
    </row>
    <row r="107" spans="1:2" x14ac:dyDescent="0.3">
      <c r="A107" s="5">
        <v>26543</v>
      </c>
      <c r="B107" s="55">
        <v>11.1</v>
      </c>
    </row>
    <row r="108" spans="1:2" x14ac:dyDescent="0.3">
      <c r="A108" s="5">
        <v>26634</v>
      </c>
      <c r="B108" s="55">
        <v>11.2</v>
      </c>
    </row>
    <row r="109" spans="1:2" x14ac:dyDescent="0.3">
      <c r="A109" s="5">
        <v>26724</v>
      </c>
      <c r="B109" s="55">
        <v>11.4</v>
      </c>
    </row>
    <row r="110" spans="1:2" x14ac:dyDescent="0.3">
      <c r="A110" s="5">
        <v>26816</v>
      </c>
      <c r="B110" s="55">
        <v>11.8</v>
      </c>
    </row>
    <row r="111" spans="1:2" x14ac:dyDescent="0.3">
      <c r="A111" s="5">
        <v>26908</v>
      </c>
      <c r="B111" s="55">
        <v>12.2</v>
      </c>
    </row>
    <row r="112" spans="1:2" x14ac:dyDescent="0.3">
      <c r="A112" s="5">
        <v>26999</v>
      </c>
      <c r="B112" s="55">
        <v>12.6</v>
      </c>
    </row>
    <row r="113" spans="1:2" x14ac:dyDescent="0.3">
      <c r="A113" s="5">
        <v>27089</v>
      </c>
      <c r="B113" s="55">
        <v>13</v>
      </c>
    </row>
    <row r="114" spans="1:2" x14ac:dyDescent="0.3">
      <c r="A114" s="5">
        <v>27181</v>
      </c>
      <c r="B114" s="55">
        <v>13.5</v>
      </c>
    </row>
    <row r="115" spans="1:2" x14ac:dyDescent="0.3">
      <c r="A115" s="5">
        <v>27273</v>
      </c>
      <c r="B115" s="55">
        <v>14.2</v>
      </c>
    </row>
    <row r="116" spans="1:2" x14ac:dyDescent="0.3">
      <c r="A116" s="5">
        <v>27364</v>
      </c>
      <c r="B116" s="55">
        <v>14.7</v>
      </c>
    </row>
    <row r="117" spans="1:2" x14ac:dyDescent="0.3">
      <c r="A117" s="5">
        <v>27454</v>
      </c>
      <c r="B117" s="55">
        <v>15.3</v>
      </c>
    </row>
    <row r="118" spans="1:2" x14ac:dyDescent="0.3">
      <c r="A118" s="5">
        <v>27546</v>
      </c>
      <c r="B118" s="55">
        <v>15.8</v>
      </c>
    </row>
    <row r="119" spans="1:2" x14ac:dyDescent="0.3">
      <c r="A119" s="5">
        <v>27638</v>
      </c>
      <c r="B119" s="55">
        <v>15.9</v>
      </c>
    </row>
    <row r="120" spans="1:2" x14ac:dyDescent="0.3">
      <c r="A120" s="5">
        <v>27729</v>
      </c>
      <c r="B120" s="55">
        <v>16.8</v>
      </c>
    </row>
    <row r="121" spans="1:2" x14ac:dyDescent="0.3">
      <c r="A121" s="5">
        <v>27820</v>
      </c>
      <c r="B121" s="55">
        <v>17.3</v>
      </c>
    </row>
    <row r="122" spans="1:2" x14ac:dyDescent="0.3">
      <c r="A122" s="5">
        <v>27912</v>
      </c>
      <c r="B122" s="55">
        <v>17.7</v>
      </c>
    </row>
    <row r="123" spans="1:2" x14ac:dyDescent="0.3">
      <c r="A123" s="5">
        <v>28004</v>
      </c>
      <c r="B123" s="55">
        <v>18.100000000000001</v>
      </c>
    </row>
    <row r="124" spans="1:2" x14ac:dyDescent="0.3">
      <c r="A124" s="5">
        <v>28095</v>
      </c>
      <c r="B124" s="55">
        <v>19.2</v>
      </c>
    </row>
    <row r="125" spans="1:2" x14ac:dyDescent="0.3">
      <c r="A125" s="5">
        <v>28185</v>
      </c>
      <c r="B125" s="55">
        <v>19.600000000000001</v>
      </c>
    </row>
    <row r="126" spans="1:2" x14ac:dyDescent="0.3">
      <c r="A126" s="5">
        <v>28277</v>
      </c>
      <c r="B126" s="55">
        <v>20.100000000000001</v>
      </c>
    </row>
    <row r="127" spans="1:2" x14ac:dyDescent="0.3">
      <c r="A127" s="5">
        <v>28369</v>
      </c>
      <c r="B127" s="55">
        <v>20.5</v>
      </c>
    </row>
    <row r="128" spans="1:2" x14ac:dyDescent="0.3">
      <c r="A128" s="5">
        <v>28460</v>
      </c>
      <c r="B128" s="55">
        <v>21</v>
      </c>
    </row>
    <row r="129" spans="1:2" x14ac:dyDescent="0.3">
      <c r="A129" s="5">
        <v>28550</v>
      </c>
      <c r="B129" s="55">
        <v>21.3</v>
      </c>
    </row>
    <row r="130" spans="1:2" x14ac:dyDescent="0.3">
      <c r="A130" s="5">
        <v>28642</v>
      </c>
      <c r="B130" s="55">
        <v>21.7</v>
      </c>
    </row>
    <row r="131" spans="1:2" x14ac:dyDescent="0.3">
      <c r="A131" s="5">
        <v>28734</v>
      </c>
      <c r="B131" s="55">
        <v>22.1</v>
      </c>
    </row>
    <row r="132" spans="1:2" x14ac:dyDescent="0.3">
      <c r="A132" s="5">
        <v>28825</v>
      </c>
      <c r="B132" s="55">
        <v>22.6</v>
      </c>
    </row>
    <row r="133" spans="1:2" x14ac:dyDescent="0.3">
      <c r="A133" s="5">
        <v>28915</v>
      </c>
      <c r="B133" s="55">
        <v>23</v>
      </c>
    </row>
    <row r="134" spans="1:2" x14ac:dyDescent="0.3">
      <c r="A134" s="5">
        <v>29007</v>
      </c>
      <c r="B134" s="55">
        <v>23.6</v>
      </c>
    </row>
    <row r="135" spans="1:2" x14ac:dyDescent="0.3">
      <c r="A135" s="5">
        <v>29099</v>
      </c>
      <c r="B135" s="55">
        <v>24.2</v>
      </c>
    </row>
    <row r="136" spans="1:2" x14ac:dyDescent="0.3">
      <c r="A136" s="5">
        <v>29190</v>
      </c>
      <c r="B136" s="55">
        <v>24.9</v>
      </c>
    </row>
    <row r="137" spans="1:2" x14ac:dyDescent="0.3">
      <c r="A137" s="5">
        <v>29281</v>
      </c>
      <c r="B137" s="55">
        <v>25.4</v>
      </c>
    </row>
    <row r="138" spans="1:2" x14ac:dyDescent="0.3">
      <c r="A138" s="5">
        <v>29373</v>
      </c>
      <c r="B138" s="55">
        <v>26.2</v>
      </c>
    </row>
    <row r="139" spans="1:2" x14ac:dyDescent="0.3">
      <c r="A139" s="5">
        <v>29465</v>
      </c>
      <c r="B139" s="55">
        <v>26.6</v>
      </c>
    </row>
    <row r="140" spans="1:2" x14ac:dyDescent="0.3">
      <c r="A140" s="5">
        <v>29556</v>
      </c>
      <c r="B140" s="55">
        <v>27.2</v>
      </c>
    </row>
    <row r="141" spans="1:2" x14ac:dyDescent="0.3">
      <c r="A141" s="5">
        <v>29646</v>
      </c>
      <c r="B141" s="55">
        <v>27.8</v>
      </c>
    </row>
    <row r="142" spans="1:2" x14ac:dyDescent="0.3">
      <c r="A142" s="5">
        <v>29738</v>
      </c>
      <c r="B142" s="55">
        <v>28.4</v>
      </c>
    </row>
    <row r="143" spans="1:2" x14ac:dyDescent="0.3">
      <c r="A143" s="5">
        <v>29830</v>
      </c>
      <c r="B143" s="55">
        <v>29</v>
      </c>
    </row>
    <row r="144" spans="1:2" x14ac:dyDescent="0.3">
      <c r="A144" s="5">
        <v>29921</v>
      </c>
      <c r="B144" s="55">
        <v>30.2</v>
      </c>
    </row>
    <row r="145" spans="1:2" x14ac:dyDescent="0.3">
      <c r="A145" s="5">
        <v>30011</v>
      </c>
      <c r="B145" s="55">
        <v>30.8</v>
      </c>
    </row>
    <row r="146" spans="1:2" x14ac:dyDescent="0.3">
      <c r="A146" s="5">
        <v>30103</v>
      </c>
      <c r="B146" s="55">
        <v>31.5</v>
      </c>
    </row>
    <row r="147" spans="1:2" x14ac:dyDescent="0.3">
      <c r="A147" s="5">
        <v>30195</v>
      </c>
      <c r="B147" s="55">
        <v>32.6</v>
      </c>
    </row>
    <row r="148" spans="1:2" x14ac:dyDescent="0.3">
      <c r="A148" s="5">
        <v>30286</v>
      </c>
      <c r="B148" s="55">
        <v>33.6</v>
      </c>
    </row>
    <row r="149" spans="1:2" x14ac:dyDescent="0.3">
      <c r="A149" s="5">
        <v>30376</v>
      </c>
      <c r="B149" s="55">
        <v>34.299999999999997</v>
      </c>
    </row>
    <row r="150" spans="1:2" x14ac:dyDescent="0.3">
      <c r="A150" s="5">
        <v>30468</v>
      </c>
      <c r="B150" s="55">
        <v>35</v>
      </c>
    </row>
    <row r="151" spans="1:2" x14ac:dyDescent="0.3">
      <c r="A151" s="5">
        <v>30560</v>
      </c>
      <c r="B151" s="55">
        <v>35.6</v>
      </c>
    </row>
    <row r="152" spans="1:2" x14ac:dyDescent="0.3">
      <c r="A152" s="5">
        <v>30651</v>
      </c>
      <c r="B152" s="55">
        <v>36.5</v>
      </c>
    </row>
    <row r="153" spans="1:2" x14ac:dyDescent="0.3">
      <c r="A153" s="5">
        <v>30742</v>
      </c>
      <c r="B153" s="55">
        <v>36.299999999999997</v>
      </c>
    </row>
    <row r="154" spans="1:2" x14ac:dyDescent="0.3">
      <c r="A154" s="5">
        <v>30834</v>
      </c>
      <c r="B154" s="55">
        <v>36.4</v>
      </c>
    </row>
    <row r="155" spans="1:2" x14ac:dyDescent="0.3">
      <c r="A155" s="5">
        <v>30926</v>
      </c>
      <c r="B155" s="55">
        <v>36.9</v>
      </c>
    </row>
    <row r="156" spans="1:2" x14ac:dyDescent="0.3">
      <c r="A156" s="5">
        <v>31017</v>
      </c>
      <c r="B156" s="55">
        <v>37.4</v>
      </c>
    </row>
    <row r="157" spans="1:2" x14ac:dyDescent="0.3">
      <c r="A157" s="5">
        <v>31107</v>
      </c>
      <c r="B157" s="55">
        <v>37.9</v>
      </c>
    </row>
    <row r="158" spans="1:2" x14ac:dyDescent="0.3">
      <c r="A158" s="5">
        <v>31199</v>
      </c>
      <c r="B158" s="55">
        <v>38.799999999999997</v>
      </c>
    </row>
    <row r="159" spans="1:2" x14ac:dyDescent="0.3">
      <c r="A159" s="5">
        <v>31291</v>
      </c>
      <c r="B159" s="55">
        <v>39.700000000000003</v>
      </c>
    </row>
    <row r="160" spans="1:2" x14ac:dyDescent="0.3">
      <c r="A160" s="5">
        <v>31382</v>
      </c>
      <c r="B160" s="55">
        <v>40.5</v>
      </c>
    </row>
    <row r="161" spans="1:2" x14ac:dyDescent="0.3">
      <c r="A161" s="5">
        <v>31472</v>
      </c>
      <c r="B161" s="55">
        <v>41.4</v>
      </c>
    </row>
    <row r="162" spans="1:2" x14ac:dyDescent="0.3">
      <c r="A162" s="5">
        <v>31564</v>
      </c>
      <c r="B162" s="55">
        <v>42.1</v>
      </c>
    </row>
    <row r="163" spans="1:2" x14ac:dyDescent="0.3">
      <c r="A163" s="5">
        <v>31656</v>
      </c>
      <c r="B163" s="55">
        <v>43.2</v>
      </c>
    </row>
    <row r="164" spans="1:2" x14ac:dyDescent="0.3">
      <c r="A164" s="5">
        <v>31747</v>
      </c>
      <c r="B164" s="55">
        <v>44.4</v>
      </c>
    </row>
    <row r="165" spans="1:2" x14ac:dyDescent="0.3">
      <c r="A165" s="5">
        <v>31837</v>
      </c>
      <c r="B165" s="55">
        <v>45.3</v>
      </c>
    </row>
    <row r="166" spans="1:2" x14ac:dyDescent="0.3">
      <c r="A166" s="5">
        <v>31929</v>
      </c>
      <c r="B166" s="55">
        <v>46</v>
      </c>
    </row>
    <row r="167" spans="1:2" x14ac:dyDescent="0.3">
      <c r="A167" s="5">
        <v>32021</v>
      </c>
      <c r="B167" s="55">
        <v>46.8</v>
      </c>
    </row>
    <row r="168" spans="1:2" x14ac:dyDescent="0.3">
      <c r="A168" s="5">
        <v>32112</v>
      </c>
      <c r="B168" s="55">
        <v>47.6</v>
      </c>
    </row>
    <row r="169" spans="1:2" x14ac:dyDescent="0.3">
      <c r="A169" s="5">
        <v>32203</v>
      </c>
      <c r="B169" s="55">
        <v>48.4</v>
      </c>
    </row>
    <row r="170" spans="1:2" x14ac:dyDescent="0.3">
      <c r="A170" s="5">
        <v>32295</v>
      </c>
      <c r="B170" s="55">
        <v>49.3</v>
      </c>
    </row>
    <row r="171" spans="1:2" x14ac:dyDescent="0.3">
      <c r="A171" s="5">
        <v>32387</v>
      </c>
      <c r="B171" s="55">
        <v>50.2</v>
      </c>
    </row>
    <row r="172" spans="1:2" x14ac:dyDescent="0.3">
      <c r="A172" s="5">
        <v>32478</v>
      </c>
      <c r="B172" s="55">
        <v>51.2</v>
      </c>
    </row>
    <row r="173" spans="1:2" x14ac:dyDescent="0.3">
      <c r="A173" s="5">
        <v>32568</v>
      </c>
      <c r="B173" s="55">
        <v>51.7</v>
      </c>
    </row>
    <row r="174" spans="1:2" x14ac:dyDescent="0.3">
      <c r="A174" s="5">
        <v>32660</v>
      </c>
      <c r="B174" s="55">
        <v>53</v>
      </c>
    </row>
    <row r="175" spans="1:2" x14ac:dyDescent="0.3">
      <c r="A175" s="5">
        <v>32752</v>
      </c>
      <c r="B175" s="55">
        <v>54.2</v>
      </c>
    </row>
    <row r="176" spans="1:2" x14ac:dyDescent="0.3">
      <c r="A176" s="5">
        <v>32843</v>
      </c>
      <c r="B176" s="55">
        <v>55.2</v>
      </c>
    </row>
    <row r="177" spans="1:2" x14ac:dyDescent="0.3">
      <c r="A177" s="5">
        <v>32933</v>
      </c>
      <c r="B177" s="55">
        <v>56.2</v>
      </c>
    </row>
    <row r="178" spans="1:2" x14ac:dyDescent="0.3">
      <c r="A178" s="5">
        <v>33025</v>
      </c>
      <c r="B178" s="55">
        <v>57.1</v>
      </c>
    </row>
    <row r="179" spans="1:2" x14ac:dyDescent="0.3">
      <c r="A179" s="5">
        <v>33117</v>
      </c>
      <c r="B179" s="55">
        <v>57.5</v>
      </c>
    </row>
    <row r="180" spans="1:2" x14ac:dyDescent="0.3">
      <c r="A180" s="5">
        <v>33208</v>
      </c>
      <c r="B180" s="55">
        <v>59</v>
      </c>
    </row>
    <row r="181" spans="1:2" x14ac:dyDescent="0.3">
      <c r="A181" s="5">
        <v>33298</v>
      </c>
      <c r="B181" s="55">
        <v>58.9</v>
      </c>
    </row>
    <row r="182" spans="1:2" x14ac:dyDescent="0.3">
      <c r="A182" s="5">
        <v>33390</v>
      </c>
      <c r="B182" s="55">
        <v>59</v>
      </c>
    </row>
    <row r="183" spans="1:2" x14ac:dyDescent="0.3">
      <c r="A183" s="5">
        <v>33482</v>
      </c>
      <c r="B183" s="55">
        <v>59.3</v>
      </c>
    </row>
    <row r="184" spans="1:2" x14ac:dyDescent="0.3">
      <c r="A184" s="5">
        <v>33573</v>
      </c>
      <c r="B184" s="55">
        <v>59.9</v>
      </c>
    </row>
    <row r="185" spans="1:2" x14ac:dyDescent="0.3">
      <c r="A185" s="5">
        <v>33664</v>
      </c>
      <c r="B185" s="55">
        <v>59.9</v>
      </c>
    </row>
    <row r="186" spans="1:2" x14ac:dyDescent="0.3">
      <c r="A186" s="5">
        <v>33756</v>
      </c>
      <c r="B186" s="55">
        <v>59.7</v>
      </c>
    </row>
    <row r="187" spans="1:2" x14ac:dyDescent="0.3">
      <c r="A187" s="5">
        <v>33848</v>
      </c>
      <c r="B187" s="55">
        <v>59.8</v>
      </c>
    </row>
    <row r="188" spans="1:2" x14ac:dyDescent="0.3">
      <c r="A188" s="5">
        <v>33939</v>
      </c>
      <c r="B188" s="55">
        <v>60.1</v>
      </c>
    </row>
    <row r="189" spans="1:2" x14ac:dyDescent="0.3">
      <c r="A189" s="5">
        <v>34029</v>
      </c>
      <c r="B189" s="55">
        <v>60.6</v>
      </c>
    </row>
    <row r="190" spans="1:2" x14ac:dyDescent="0.3">
      <c r="A190" s="5">
        <v>34121</v>
      </c>
      <c r="B190" s="55">
        <v>60.8</v>
      </c>
    </row>
    <row r="191" spans="1:2" x14ac:dyDescent="0.3">
      <c r="A191" s="5">
        <v>34213</v>
      </c>
      <c r="B191" s="55">
        <v>61.1</v>
      </c>
    </row>
    <row r="192" spans="1:2" x14ac:dyDescent="0.3">
      <c r="A192" s="5">
        <v>34304</v>
      </c>
      <c r="B192" s="55">
        <v>61.2</v>
      </c>
    </row>
    <row r="193" spans="1:2" x14ac:dyDescent="0.3">
      <c r="A193" s="5">
        <v>34394</v>
      </c>
      <c r="B193" s="55">
        <v>61.5</v>
      </c>
    </row>
    <row r="194" spans="1:2" x14ac:dyDescent="0.3">
      <c r="A194" s="5">
        <v>34486</v>
      </c>
      <c r="B194" s="55">
        <v>61.9</v>
      </c>
    </row>
    <row r="195" spans="1:2" x14ac:dyDescent="0.3">
      <c r="A195" s="5">
        <v>34578</v>
      </c>
      <c r="B195" s="55">
        <v>62.3</v>
      </c>
    </row>
    <row r="196" spans="1:2" x14ac:dyDescent="0.3">
      <c r="A196" s="5">
        <v>34669</v>
      </c>
      <c r="B196" s="55">
        <v>62.8</v>
      </c>
    </row>
    <row r="197" spans="1:2" x14ac:dyDescent="0.3">
      <c r="A197" s="5">
        <v>34759</v>
      </c>
      <c r="B197" s="55">
        <v>63.8</v>
      </c>
    </row>
    <row r="198" spans="1:2" x14ac:dyDescent="0.3">
      <c r="A198" s="5">
        <v>34851</v>
      </c>
      <c r="B198" s="55">
        <v>64.7</v>
      </c>
    </row>
    <row r="199" spans="1:2" x14ac:dyDescent="0.3">
      <c r="A199" s="5">
        <v>34943</v>
      </c>
      <c r="B199" s="55">
        <v>65.5</v>
      </c>
    </row>
    <row r="200" spans="1:2" x14ac:dyDescent="0.3">
      <c r="A200" s="5">
        <v>35034</v>
      </c>
      <c r="B200" s="55">
        <v>66</v>
      </c>
    </row>
    <row r="201" spans="1:2" x14ac:dyDescent="0.3">
      <c r="A201" s="5">
        <v>35125</v>
      </c>
      <c r="B201" s="55">
        <v>66.2</v>
      </c>
    </row>
    <row r="202" spans="1:2" x14ac:dyDescent="0.3">
      <c r="A202" s="5">
        <v>35217</v>
      </c>
      <c r="B202" s="55">
        <v>66.7</v>
      </c>
    </row>
    <row r="203" spans="1:2" x14ac:dyDescent="0.3">
      <c r="A203" s="5">
        <v>35309</v>
      </c>
      <c r="B203" s="55">
        <v>66.900000000000006</v>
      </c>
    </row>
    <row r="204" spans="1:2" x14ac:dyDescent="0.3">
      <c r="A204" s="5">
        <v>35400</v>
      </c>
      <c r="B204" s="55">
        <v>67</v>
      </c>
    </row>
    <row r="205" spans="1:2" x14ac:dyDescent="0.3">
      <c r="A205" s="5">
        <v>35490</v>
      </c>
      <c r="B205" s="55">
        <v>67.099999999999994</v>
      </c>
    </row>
    <row r="206" spans="1:2" x14ac:dyDescent="0.3">
      <c r="A206" s="5">
        <v>35582</v>
      </c>
      <c r="B206" s="55">
        <v>66.900000000000006</v>
      </c>
    </row>
    <row r="207" spans="1:2" x14ac:dyDescent="0.3">
      <c r="A207" s="5">
        <v>35674</v>
      </c>
      <c r="B207" s="55">
        <v>66.599999999999994</v>
      </c>
    </row>
    <row r="208" spans="1:2" x14ac:dyDescent="0.3">
      <c r="A208" s="5">
        <v>35765</v>
      </c>
      <c r="B208" s="55">
        <v>66.8</v>
      </c>
    </row>
    <row r="209" spans="1:2" x14ac:dyDescent="0.3">
      <c r="A209" s="5">
        <v>35855</v>
      </c>
      <c r="B209" s="55">
        <v>67</v>
      </c>
    </row>
    <row r="210" spans="1:2" x14ac:dyDescent="0.3">
      <c r="A210" s="5">
        <v>35947</v>
      </c>
      <c r="B210" s="55">
        <v>67.400000000000006</v>
      </c>
    </row>
    <row r="211" spans="1:2" x14ac:dyDescent="0.3">
      <c r="A211" s="5">
        <v>36039</v>
      </c>
      <c r="B211" s="55">
        <v>67.5</v>
      </c>
    </row>
    <row r="212" spans="1:2" x14ac:dyDescent="0.3">
      <c r="A212" s="5">
        <v>36130</v>
      </c>
      <c r="B212" s="55">
        <v>67.8</v>
      </c>
    </row>
    <row r="213" spans="1:2" x14ac:dyDescent="0.3">
      <c r="A213" s="5">
        <v>36220</v>
      </c>
      <c r="B213" s="55">
        <v>67.8</v>
      </c>
    </row>
    <row r="214" spans="1:2" x14ac:dyDescent="0.3">
      <c r="A214" s="5">
        <v>36312</v>
      </c>
      <c r="B214" s="55">
        <v>68.099999999999994</v>
      </c>
    </row>
    <row r="215" spans="1:2" x14ac:dyDescent="0.3">
      <c r="A215" s="5">
        <v>36404</v>
      </c>
      <c r="B215" s="55">
        <v>68.7</v>
      </c>
    </row>
    <row r="216" spans="1:2" x14ac:dyDescent="0.3">
      <c r="A216" s="5">
        <v>36495</v>
      </c>
      <c r="B216" s="55">
        <v>69.099999999999994</v>
      </c>
    </row>
    <row r="217" spans="1:2" x14ac:dyDescent="0.3">
      <c r="A217" s="5">
        <v>36586</v>
      </c>
      <c r="B217" s="55">
        <v>69.7</v>
      </c>
    </row>
    <row r="218" spans="1:2" x14ac:dyDescent="0.3">
      <c r="A218" s="5">
        <v>36678</v>
      </c>
      <c r="B218" s="55">
        <v>70.2</v>
      </c>
    </row>
    <row r="219" spans="1:2" x14ac:dyDescent="0.3">
      <c r="A219" s="5">
        <v>36770</v>
      </c>
      <c r="B219" s="55">
        <v>72.900000000000006</v>
      </c>
    </row>
    <row r="220" spans="1:2" x14ac:dyDescent="0.3">
      <c r="A220" s="5">
        <v>36861</v>
      </c>
      <c r="B220" s="55">
        <v>73.099999999999994</v>
      </c>
    </row>
    <row r="221" spans="1:2" x14ac:dyDescent="0.3">
      <c r="A221" s="5">
        <v>36951</v>
      </c>
      <c r="B221" s="55">
        <v>73.900000000000006</v>
      </c>
    </row>
    <row r="222" spans="1:2" x14ac:dyDescent="0.3">
      <c r="A222" s="5">
        <v>37043</v>
      </c>
      <c r="B222" s="55">
        <v>74.5</v>
      </c>
    </row>
    <row r="223" spans="1:2" x14ac:dyDescent="0.3">
      <c r="A223" s="5">
        <v>37135</v>
      </c>
      <c r="B223" s="55">
        <v>74.7</v>
      </c>
    </row>
    <row r="224" spans="1:2" x14ac:dyDescent="0.3">
      <c r="A224" s="5">
        <v>37226</v>
      </c>
      <c r="B224" s="55">
        <v>75.400000000000006</v>
      </c>
    </row>
    <row r="225" spans="1:2" x14ac:dyDescent="0.3">
      <c r="A225" s="5">
        <v>37316</v>
      </c>
      <c r="B225" s="55">
        <v>76.099999999999994</v>
      </c>
    </row>
    <row r="226" spans="1:2" x14ac:dyDescent="0.3">
      <c r="A226" s="5">
        <v>37408</v>
      </c>
      <c r="B226" s="55">
        <v>76.599999999999994</v>
      </c>
    </row>
    <row r="227" spans="1:2" x14ac:dyDescent="0.3">
      <c r="A227" s="5">
        <v>37500</v>
      </c>
      <c r="B227" s="55">
        <v>77.099999999999994</v>
      </c>
    </row>
    <row r="228" spans="1:2" x14ac:dyDescent="0.3">
      <c r="A228" s="5">
        <v>37591</v>
      </c>
      <c r="B228" s="55">
        <v>77.599999999999994</v>
      </c>
    </row>
    <row r="229" spans="1:2" x14ac:dyDescent="0.3">
      <c r="A229" s="5">
        <v>37681</v>
      </c>
      <c r="B229" s="55">
        <v>78.599999999999994</v>
      </c>
    </row>
    <row r="230" spans="1:2" x14ac:dyDescent="0.3">
      <c r="A230" s="5">
        <v>37773</v>
      </c>
      <c r="B230" s="55">
        <v>78.599999999999994</v>
      </c>
    </row>
    <row r="231" spans="1:2" x14ac:dyDescent="0.3">
      <c r="A231" s="5">
        <v>37865</v>
      </c>
      <c r="B231" s="55">
        <v>79.099999999999994</v>
      </c>
    </row>
    <row r="232" spans="1:2" x14ac:dyDescent="0.3">
      <c r="A232" s="5">
        <v>37956</v>
      </c>
      <c r="B232" s="55">
        <v>79.5</v>
      </c>
    </row>
    <row r="233" spans="1:2" x14ac:dyDescent="0.3">
      <c r="A233" s="5">
        <v>38047</v>
      </c>
      <c r="B233" s="55">
        <v>80.2</v>
      </c>
    </row>
    <row r="234" spans="1:2" x14ac:dyDescent="0.3">
      <c r="A234" s="5">
        <v>38139</v>
      </c>
      <c r="B234" s="55">
        <v>80.599999999999994</v>
      </c>
    </row>
    <row r="235" spans="1:2" x14ac:dyDescent="0.3">
      <c r="A235" s="5">
        <v>38231</v>
      </c>
      <c r="B235" s="55">
        <v>80.900000000000006</v>
      </c>
    </row>
    <row r="236" spans="1:2" x14ac:dyDescent="0.3">
      <c r="A236" s="5">
        <v>38322</v>
      </c>
      <c r="B236" s="55">
        <v>81.5</v>
      </c>
    </row>
    <row r="237" spans="1:2" x14ac:dyDescent="0.3">
      <c r="A237" s="5">
        <v>38412</v>
      </c>
      <c r="B237" s="55">
        <v>82.1</v>
      </c>
    </row>
    <row r="238" spans="1:2" x14ac:dyDescent="0.3">
      <c r="A238" s="5">
        <v>38504</v>
      </c>
      <c r="B238" s="55">
        <v>82.6</v>
      </c>
    </row>
    <row r="239" spans="1:2" x14ac:dyDescent="0.3">
      <c r="A239" s="5">
        <v>38596</v>
      </c>
      <c r="B239" s="55">
        <v>83.4</v>
      </c>
    </row>
    <row r="240" spans="1:2" x14ac:dyDescent="0.3">
      <c r="A240" s="5">
        <v>38687</v>
      </c>
      <c r="B240" s="55">
        <v>83.8</v>
      </c>
    </row>
    <row r="241" spans="1:2" x14ac:dyDescent="0.3">
      <c r="A241" s="5">
        <v>38777</v>
      </c>
      <c r="B241" s="55">
        <v>84.5</v>
      </c>
    </row>
    <row r="242" spans="1:2" x14ac:dyDescent="0.3">
      <c r="A242" s="5">
        <v>38869</v>
      </c>
      <c r="B242" s="55">
        <v>85.9</v>
      </c>
    </row>
    <row r="243" spans="1:2" x14ac:dyDescent="0.3">
      <c r="A243" s="5">
        <v>38961</v>
      </c>
      <c r="B243" s="55">
        <v>86.7</v>
      </c>
    </row>
    <row r="244" spans="1:2" x14ac:dyDescent="0.3">
      <c r="A244" s="5">
        <v>39052</v>
      </c>
      <c r="B244" s="55">
        <v>86.6</v>
      </c>
    </row>
    <row r="245" spans="1:2" x14ac:dyDescent="0.3">
      <c r="A245" s="5">
        <v>39142</v>
      </c>
      <c r="B245" s="55">
        <v>86.6</v>
      </c>
    </row>
    <row r="246" spans="1:2" x14ac:dyDescent="0.3">
      <c r="A246" s="5">
        <v>39234</v>
      </c>
      <c r="B246" s="55">
        <v>87.7</v>
      </c>
    </row>
    <row r="247" spans="1:2" x14ac:dyDescent="0.3">
      <c r="A247" s="5">
        <v>39326</v>
      </c>
      <c r="B247" s="55">
        <v>88.3</v>
      </c>
    </row>
    <row r="248" spans="1:2" x14ac:dyDescent="0.3">
      <c r="A248" s="5">
        <v>39417</v>
      </c>
      <c r="B248" s="55">
        <v>89.1</v>
      </c>
    </row>
    <row r="249" spans="1:2" x14ac:dyDescent="0.3">
      <c r="A249" s="5">
        <v>39508</v>
      </c>
      <c r="B249" s="55">
        <v>90.3</v>
      </c>
    </row>
    <row r="250" spans="1:2" x14ac:dyDescent="0.3">
      <c r="A250" s="5">
        <v>39600</v>
      </c>
      <c r="B250" s="55">
        <v>91.6</v>
      </c>
    </row>
    <row r="251" spans="1:2" x14ac:dyDescent="0.3">
      <c r="A251" s="5">
        <v>39692</v>
      </c>
      <c r="B251" s="55">
        <v>92.7</v>
      </c>
    </row>
    <row r="252" spans="1:2" x14ac:dyDescent="0.3">
      <c r="A252" s="5">
        <v>39783</v>
      </c>
      <c r="B252" s="55">
        <v>92.4</v>
      </c>
    </row>
    <row r="253" spans="1:2" x14ac:dyDescent="0.3">
      <c r="A253" s="5">
        <v>39873</v>
      </c>
      <c r="B253" s="55">
        <v>92.5</v>
      </c>
    </row>
    <row r="254" spans="1:2" x14ac:dyDescent="0.3">
      <c r="A254" s="5">
        <v>39965</v>
      </c>
      <c r="B254" s="55">
        <v>92.9</v>
      </c>
    </row>
    <row r="255" spans="1:2" x14ac:dyDescent="0.3">
      <c r="A255" s="5">
        <v>40057</v>
      </c>
      <c r="B255" s="55">
        <v>93.8</v>
      </c>
    </row>
    <row r="256" spans="1:2" x14ac:dyDescent="0.3">
      <c r="A256" s="5">
        <v>40148</v>
      </c>
      <c r="B256" s="55">
        <v>94.3</v>
      </c>
    </row>
    <row r="257" spans="1:2" x14ac:dyDescent="0.3">
      <c r="A257" s="5">
        <v>40238</v>
      </c>
      <c r="B257" s="55">
        <v>95.2</v>
      </c>
    </row>
    <row r="258" spans="1:2" x14ac:dyDescent="0.3">
      <c r="A258" s="5">
        <v>40330</v>
      </c>
      <c r="B258" s="55">
        <v>95.8</v>
      </c>
    </row>
    <row r="259" spans="1:2" x14ac:dyDescent="0.3">
      <c r="A259" s="5">
        <v>40422</v>
      </c>
      <c r="B259" s="55">
        <v>96.5</v>
      </c>
    </row>
    <row r="260" spans="1:2" x14ac:dyDescent="0.3">
      <c r="A260" s="5">
        <v>40513</v>
      </c>
      <c r="B260" s="55">
        <v>96.9</v>
      </c>
    </row>
    <row r="261" spans="1:2" x14ac:dyDescent="0.3">
      <c r="A261" s="5">
        <v>40603</v>
      </c>
      <c r="B261" s="55">
        <v>98.3</v>
      </c>
    </row>
    <row r="262" spans="1:2" x14ac:dyDescent="0.3">
      <c r="A262" s="5">
        <v>40695</v>
      </c>
      <c r="B262" s="55">
        <v>99.2</v>
      </c>
    </row>
    <row r="263" spans="1:2" x14ac:dyDescent="0.3">
      <c r="A263" s="5">
        <v>40787</v>
      </c>
      <c r="B263" s="55">
        <v>99.8</v>
      </c>
    </row>
    <row r="264" spans="1:2" x14ac:dyDescent="0.3">
      <c r="A264" s="5">
        <v>40878</v>
      </c>
      <c r="B264" s="55">
        <v>99.8</v>
      </c>
    </row>
    <row r="265" spans="1:2" x14ac:dyDescent="0.3">
      <c r="A265" s="5">
        <v>40969</v>
      </c>
      <c r="B265" s="55">
        <v>99.9</v>
      </c>
    </row>
    <row r="266" spans="1:2" x14ac:dyDescent="0.3">
      <c r="A266" s="5">
        <v>41061</v>
      </c>
      <c r="B266" s="55">
        <v>100.4</v>
      </c>
    </row>
    <row r="267" spans="1:2" x14ac:dyDescent="0.3">
      <c r="A267" s="5">
        <v>41153</v>
      </c>
      <c r="B267" s="55">
        <v>101.8</v>
      </c>
    </row>
    <row r="268" spans="1:2" x14ac:dyDescent="0.3">
      <c r="A268" s="5">
        <v>41244</v>
      </c>
      <c r="B268" s="55">
        <v>102</v>
      </c>
    </row>
    <row r="269" spans="1:2" x14ac:dyDescent="0.3">
      <c r="A269" s="5">
        <v>41334</v>
      </c>
      <c r="B269" s="55">
        <v>102.4</v>
      </c>
    </row>
    <row r="270" spans="1:2" x14ac:dyDescent="0.3">
      <c r="A270" s="5">
        <v>41426</v>
      </c>
      <c r="B270" s="55">
        <v>102.8</v>
      </c>
    </row>
    <row r="271" spans="1:2" x14ac:dyDescent="0.3">
      <c r="A271" s="5">
        <v>41518</v>
      </c>
      <c r="B271" s="55">
        <v>104</v>
      </c>
    </row>
    <row r="272" spans="1:2" x14ac:dyDescent="0.3">
      <c r="A272" s="5">
        <v>41609</v>
      </c>
      <c r="B272" s="55">
        <v>104.8</v>
      </c>
    </row>
    <row r="273" spans="1:2" x14ac:dyDescent="0.3">
      <c r="A273" s="5">
        <v>41699</v>
      </c>
      <c r="B273" s="55">
        <v>105.4</v>
      </c>
    </row>
    <row r="274" spans="1:2" x14ac:dyDescent="0.3">
      <c r="A274" s="5">
        <v>41791</v>
      </c>
      <c r="B274" s="55">
        <v>105.9</v>
      </c>
    </row>
    <row r="275" spans="1:2" x14ac:dyDescent="0.3">
      <c r="A275" s="5">
        <v>41883</v>
      </c>
      <c r="B275" s="55">
        <v>106.4</v>
      </c>
    </row>
    <row r="276" spans="1:2" x14ac:dyDescent="0.3">
      <c r="A276" s="5">
        <v>41974</v>
      </c>
      <c r="B276" s="55">
        <v>106.6</v>
      </c>
    </row>
    <row r="277" spans="1:2" x14ac:dyDescent="0.3">
      <c r="A277" s="5">
        <v>42064</v>
      </c>
      <c r="B277" s="55">
        <v>106.8</v>
      </c>
    </row>
    <row r="278" spans="1:2" x14ac:dyDescent="0.3">
      <c r="A278" s="5">
        <v>42156</v>
      </c>
      <c r="B278" s="55">
        <v>107.5</v>
      </c>
    </row>
    <row r="279" spans="1:2" x14ac:dyDescent="0.3">
      <c r="A279" s="5">
        <v>42248</v>
      </c>
      <c r="B279" s="55">
        <v>108</v>
      </c>
    </row>
    <row r="280" spans="1:2" x14ac:dyDescent="0.3">
      <c r="A280" s="5">
        <v>42339</v>
      </c>
      <c r="B280" s="55">
        <v>108.4</v>
      </c>
    </row>
    <row r="281" spans="1:2" x14ac:dyDescent="0.3">
      <c r="A281" s="5">
        <v>42430</v>
      </c>
      <c r="B281" s="55">
        <v>108.2</v>
      </c>
    </row>
    <row r="282" spans="1:2" x14ac:dyDescent="0.3">
      <c r="A282" s="5">
        <v>42522</v>
      </c>
      <c r="B282" s="55">
        <v>108.6</v>
      </c>
    </row>
    <row r="283" spans="1:2" x14ac:dyDescent="0.3">
      <c r="A283" s="5">
        <v>42614</v>
      </c>
      <c r="B283" s="55">
        <v>109.4</v>
      </c>
    </row>
    <row r="284" spans="1:2" x14ac:dyDescent="0.3">
      <c r="A284" s="5">
        <v>42705</v>
      </c>
      <c r="B284" s="55">
        <v>110</v>
      </c>
    </row>
    <row r="285" spans="1:2" x14ac:dyDescent="0.3">
      <c r="A285" s="5">
        <v>42795</v>
      </c>
      <c r="B285" s="55">
        <v>110.5</v>
      </c>
    </row>
    <row r="286" spans="1:2" x14ac:dyDescent="0.3">
      <c r="A286" s="5">
        <v>42887</v>
      </c>
      <c r="B286" s="55">
        <v>110.7</v>
      </c>
    </row>
    <row r="287" spans="1:2" x14ac:dyDescent="0.3">
      <c r="A287" s="5">
        <v>42979</v>
      </c>
      <c r="B287" s="55">
        <v>111.4</v>
      </c>
    </row>
    <row r="288" spans="1:2" x14ac:dyDescent="0.3">
      <c r="A288" s="5">
        <v>43070</v>
      </c>
      <c r="B288" s="55">
        <v>112.1</v>
      </c>
    </row>
    <row r="289" spans="1:17" x14ac:dyDescent="0.3">
      <c r="A289" s="5">
        <v>43160</v>
      </c>
      <c r="B289" s="55">
        <v>112.6</v>
      </c>
    </row>
    <row r="290" spans="1:17" x14ac:dyDescent="0.3">
      <c r="A290" s="57">
        <v>43252</v>
      </c>
      <c r="B290" s="55">
        <v>113</v>
      </c>
    </row>
    <row r="291" spans="1:17" x14ac:dyDescent="0.3">
      <c r="A291" s="57">
        <v>43344</v>
      </c>
      <c r="B291" s="55">
        <v>113.5</v>
      </c>
    </row>
    <row r="292" spans="1:17" x14ac:dyDescent="0.3">
      <c r="A292" s="57">
        <v>43435</v>
      </c>
      <c r="B292" s="55">
        <v>114.1</v>
      </c>
    </row>
    <row r="293" spans="1:17" x14ac:dyDescent="0.3">
      <c r="A293" s="57">
        <v>43525</v>
      </c>
      <c r="B293" s="55">
        <v>114.1</v>
      </c>
    </row>
    <row r="294" spans="1:17" x14ac:dyDescent="0.3">
      <c r="A294" s="57">
        <v>43617</v>
      </c>
      <c r="B294" s="55">
        <v>114.8</v>
      </c>
    </row>
    <row r="295" spans="1:17" x14ac:dyDescent="0.3">
      <c r="A295" s="59">
        <v>43709</v>
      </c>
      <c r="B295" s="69">
        <v>115.4</v>
      </c>
    </row>
    <row r="296" spans="1:17" x14ac:dyDescent="0.3">
      <c r="A296" s="59">
        <v>43800</v>
      </c>
      <c r="B296" s="60">
        <v>116.2</v>
      </c>
    </row>
    <row r="297" spans="1:17" x14ac:dyDescent="0.3">
      <c r="A297" s="59">
        <v>43891</v>
      </c>
      <c r="B297" s="60">
        <v>116.6</v>
      </c>
    </row>
    <row r="298" spans="1:17" x14ac:dyDescent="0.3">
      <c r="A298" s="59">
        <v>43983</v>
      </c>
      <c r="B298" s="60">
        <v>114.4</v>
      </c>
    </row>
    <row r="299" spans="1:17" x14ac:dyDescent="0.3">
      <c r="A299" s="59">
        <v>44075</v>
      </c>
      <c r="B299" s="60">
        <v>116.2</v>
      </c>
      <c r="M299" s="17"/>
      <c r="O299" s="24"/>
      <c r="Q299"/>
    </row>
    <row r="300" spans="1:17" x14ac:dyDescent="0.3">
      <c r="A300" s="59">
        <v>44166</v>
      </c>
      <c r="B300" s="60">
        <v>117.2</v>
      </c>
      <c r="M300" s="17"/>
      <c r="O300" s="24"/>
      <c r="Q300"/>
    </row>
    <row r="301" spans="1:17" x14ac:dyDescent="0.3">
      <c r="A301" s="59">
        <v>44256</v>
      </c>
      <c r="B301" s="60">
        <v>117.9</v>
      </c>
      <c r="M301" s="17"/>
      <c r="O301" s="24"/>
      <c r="Q301"/>
    </row>
    <row r="302" spans="1:17" x14ac:dyDescent="0.3">
      <c r="A302" s="59">
        <v>44348</v>
      </c>
      <c r="B302" s="81">
        <f>'[22]Input|Inflation'!$F66</f>
        <v>118.11800000000001</v>
      </c>
      <c r="C302" s="80"/>
      <c r="D302" s="80"/>
      <c r="E302" s="80"/>
      <c r="F302" s="80"/>
      <c r="G302" s="80"/>
      <c r="H302" s="80"/>
      <c r="I302" s="80"/>
      <c r="M302" s="17"/>
      <c r="O302" s="24"/>
      <c r="Q302"/>
    </row>
    <row r="303" spans="1:17" x14ac:dyDescent="0.3">
      <c r="A303" s="59">
        <v>44440</v>
      </c>
      <c r="B303" s="81">
        <f>'[22]Input|Inflation'!$F67</f>
        <v>118.68450000000001</v>
      </c>
      <c r="C303" s="80"/>
      <c r="D303" s="80"/>
      <c r="E303" s="80"/>
      <c r="F303" s="80"/>
      <c r="G303" s="80"/>
      <c r="H303" s="80"/>
      <c r="I303" s="80"/>
      <c r="M303" s="17"/>
      <c r="O303" s="24"/>
      <c r="Q303"/>
    </row>
    <row r="304" spans="1:17" x14ac:dyDescent="0.3">
      <c r="A304" s="59">
        <v>44531</v>
      </c>
      <c r="B304" s="81">
        <f>'[22]Input|Inflation'!$F68</f>
        <v>119.251</v>
      </c>
      <c r="C304" s="80"/>
      <c r="D304" s="80"/>
      <c r="E304" s="80"/>
      <c r="F304" s="80"/>
      <c r="G304" s="80"/>
      <c r="H304" s="80"/>
      <c r="I304" s="80"/>
      <c r="M304" s="17"/>
      <c r="O304" s="24"/>
      <c r="Q304"/>
    </row>
    <row r="305" spans="1:9" x14ac:dyDescent="0.3">
      <c r="A305" s="82">
        <v>44651</v>
      </c>
      <c r="B305" s="81">
        <f>'[22]Input|Inflation'!$F69</f>
        <v>119.42273750000001</v>
      </c>
      <c r="C305" s="80"/>
      <c r="D305" s="80"/>
      <c r="E305" s="80"/>
      <c r="F305" s="80"/>
      <c r="G305" s="80"/>
      <c r="H305" s="80"/>
      <c r="I305" s="80"/>
    </row>
    <row r="306" spans="1:9" x14ac:dyDescent="0.3">
      <c r="A306" s="82">
        <v>44742</v>
      </c>
      <c r="B306" s="81">
        <f>'[22]Input|Inflation'!$F70</f>
        <v>119.594475</v>
      </c>
      <c r="C306" s="83"/>
      <c r="D306" s="83"/>
      <c r="E306" s="83"/>
      <c r="F306" s="83"/>
      <c r="G306" s="83"/>
      <c r="H306" s="83"/>
      <c r="I306" s="83"/>
    </row>
    <row r="307" spans="1:9" x14ac:dyDescent="0.3">
      <c r="A307" s="82">
        <v>44834</v>
      </c>
      <c r="B307" s="81">
        <f>'[22]Input|Inflation'!$F71</f>
        <v>120.31711999999999</v>
      </c>
      <c r="C307" s="83"/>
      <c r="D307" s="83"/>
      <c r="E307" s="83"/>
      <c r="F307" s="83"/>
      <c r="G307" s="83"/>
      <c r="H307" s="83"/>
      <c r="I307" s="83"/>
    </row>
    <row r="308" spans="1:9" x14ac:dyDescent="0.3">
      <c r="A308" s="82">
        <v>44926</v>
      </c>
      <c r="B308" s="81">
        <f>'[22]Input|Inflation'!$F72</f>
        <v>121.03976499999999</v>
      </c>
      <c r="C308" s="83"/>
      <c r="D308" s="83"/>
      <c r="E308" s="83"/>
      <c r="F308" s="83"/>
      <c r="G308" s="83"/>
      <c r="H308" s="83"/>
      <c r="I308" s="83"/>
    </row>
  </sheetData>
  <dataValidations count="1">
    <dataValidation type="list" allowBlank="1" showInputMessage="1" showErrorMessage="1" sqref="E7">
      <formula1>$F$2:$T$2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Readme</vt:lpstr>
      <vt:lpstr>TNSP Charts-updated</vt:lpstr>
      <vt:lpstr>TNSP Analysis</vt:lpstr>
      <vt:lpstr>Asset cost and Total cost</vt:lpstr>
      <vt:lpstr>Opex</vt:lpstr>
      <vt:lpstr>RAB</vt:lpstr>
      <vt:lpstr>Depreciation</vt:lpstr>
      <vt:lpstr>Capex</vt:lpstr>
      <vt:lpstr>CPI</vt:lpstr>
      <vt:lpstr>Physical data</vt:lpstr>
      <vt:lpstr>Network characteristics charts</vt:lpstr>
      <vt:lpstr>Network size table</vt:lpstr>
      <vt:lpstr>Readme!_GoBack</vt:lpstr>
      <vt:lpstr>'Physical data'!_Ref390772024</vt:lpstr>
      <vt:lpstr>currency_base</vt:lpstr>
      <vt:lpstr>Real_year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2015-11-26T04:54:25Z</dcterms:created>
  <dcterms:modified xsi:type="dcterms:W3CDTF">2021-11-24T03:11:18Z</dcterms:modified>
</cp:coreProperties>
</file>