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22 Final Regulatory Proposal\3 United Energy\4 RIN documents\1 Final documents - public\"/>
    </mc:Choice>
  </mc:AlternateContent>
  <xr:revisionPtr revIDLastSave="0" documentId="13_ncr:1_{2383C09B-68A7-4108-B524-5A2050CE53C3}" xr6:coauthVersionLast="41" xr6:coauthVersionMax="41" xr10:uidLastSave="{00000000-0000-0000-0000-000000000000}"/>
  <bookViews>
    <workbookView xWindow="9855" yWindow="240" windowWidth="14865" windowHeight="16230" tabRatio="691" firstSheet="2" activeTab="2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3" l="1"/>
  <c r="L8" i="13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12" i="3"/>
  <c r="J16" i="3"/>
  <c r="J23" i="3"/>
  <c r="J12" i="3"/>
  <c r="G22" i="13"/>
  <c r="D9" i="4"/>
  <c r="H22" i="13"/>
  <c r="I22" i="13"/>
  <c r="J22" i="13"/>
  <c r="K22" i="13"/>
  <c r="H9" i="4"/>
  <c r="H8" i="4"/>
  <c r="G19" i="4"/>
  <c r="N14" i="13"/>
  <c r="E9" i="4"/>
  <c r="N9" i="13"/>
  <c r="O9" i="13"/>
  <c r="P9" i="13"/>
  <c r="Q9" i="13"/>
  <c r="C15" i="13"/>
  <c r="G15" i="13"/>
  <c r="H15" i="13"/>
  <c r="I15" i="13"/>
  <c r="J15" i="13"/>
  <c r="K15" i="13"/>
  <c r="L15" i="13"/>
  <c r="M15" i="13"/>
  <c r="C10" i="13"/>
  <c r="G8" i="4"/>
  <c r="F8" i="4"/>
  <c r="E8" i="4"/>
  <c r="F9" i="4"/>
  <c r="B1" i="2"/>
  <c r="B1" i="10"/>
  <c r="G9" i="4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D11" i="4"/>
  <c r="C43" i="4"/>
  <c r="C45" i="4"/>
  <c r="D10" i="4"/>
  <c r="D12" i="4"/>
  <c r="G10" i="13"/>
  <c r="H10" i="13"/>
  <c r="I10" i="13"/>
  <c r="J10" i="13"/>
  <c r="K10" i="13"/>
  <c r="L10" i="13"/>
  <c r="F10" i="4"/>
  <c r="E10" i="4"/>
  <c r="F11" i="4"/>
  <c r="E11" i="4"/>
  <c r="F19" i="4"/>
  <c r="E19" i="4"/>
  <c r="D19" i="4"/>
  <c r="G10" i="4"/>
  <c r="H10" i="4"/>
  <c r="O14" i="13"/>
  <c r="N15" i="13"/>
  <c r="B1" i="5"/>
  <c r="B1" i="3"/>
  <c r="B1" i="13"/>
  <c r="B1" i="4"/>
  <c r="M10" i="13"/>
  <c r="I30" i="3"/>
  <c r="I31" i="3"/>
  <c r="E26" i="4"/>
  <c r="H30" i="3"/>
  <c r="H31" i="3"/>
  <c r="D26" i="4"/>
  <c r="F13" i="4"/>
  <c r="G13" i="4"/>
  <c r="E13" i="4"/>
  <c r="E18" i="4"/>
  <c r="E21" i="4"/>
  <c r="H13" i="4"/>
  <c r="D21" i="4"/>
  <c r="D20" i="4"/>
  <c r="F12" i="4"/>
  <c r="F20" i="4"/>
  <c r="E12" i="4"/>
  <c r="G14" i="4"/>
  <c r="O15" i="13"/>
  <c r="N10" i="13"/>
  <c r="P14" i="13"/>
  <c r="O10" i="13"/>
  <c r="K30" i="3"/>
  <c r="K31" i="3"/>
  <c r="G26" i="4"/>
  <c r="J30" i="3"/>
  <c r="J31" i="3"/>
  <c r="F26" i="4"/>
  <c r="G15" i="4"/>
  <c r="G18" i="4"/>
  <c r="G21" i="4"/>
  <c r="H15" i="4"/>
  <c r="H14" i="4"/>
  <c r="E20" i="4"/>
  <c r="F14" i="4"/>
  <c r="F18" i="4"/>
  <c r="F21" i="4"/>
  <c r="P10" i="13"/>
  <c r="Q14" i="13"/>
  <c r="P15" i="13"/>
  <c r="Q10" i="13"/>
  <c r="L30" i="3"/>
  <c r="L31" i="3"/>
  <c r="H26" i="4"/>
  <c r="Q15" i="13"/>
  <c r="O22" i="13"/>
  <c r="F25" i="4"/>
  <c r="Q22" i="13"/>
  <c r="H25" i="4"/>
  <c r="P22" i="13"/>
  <c r="G25" i="4"/>
  <c r="N22" i="13"/>
  <c r="E25" i="4"/>
  <c r="D42" i="4"/>
  <c r="E42" i="4"/>
  <c r="F42" i="4"/>
  <c r="G42" i="4"/>
  <c r="H42" i="4"/>
  <c r="M22" i="13"/>
  <c r="D25" i="4"/>
  <c r="L22" i="13"/>
  <c r="G27" i="4"/>
  <c r="G28" i="4"/>
  <c r="D27" i="4"/>
  <c r="D28" i="4"/>
  <c r="E27" i="4"/>
  <c r="E28" i="4"/>
  <c r="H27" i="4"/>
  <c r="H28" i="4"/>
  <c r="F27" i="4"/>
  <c r="F28" i="4"/>
  <c r="K23" i="3"/>
  <c r="G11" i="4"/>
  <c r="G12" i="4"/>
  <c r="G20" i="4"/>
  <c r="L23" i="3"/>
  <c r="H11" i="4"/>
  <c r="H12" i="4"/>
  <c r="H20" i="4"/>
  <c r="D31" i="4"/>
  <c r="D34" i="4"/>
  <c r="H16" i="4"/>
  <c r="H18" i="4"/>
  <c r="H21" i="4"/>
  <c r="D35" i="4"/>
  <c r="D36" i="4"/>
  <c r="D37" i="4"/>
  <c r="D43" i="4"/>
  <c r="E43" i="4"/>
  <c r="F43" i="4"/>
  <c r="G43" i="4"/>
  <c r="H43" i="4"/>
  <c r="D45" i="4"/>
  <c r="J8" i="10"/>
  <c r="K8" i="10"/>
  <c r="L8" i="10"/>
  <c r="M8" i="10"/>
  <c r="N8" i="10"/>
  <c r="O8" i="10"/>
  <c r="D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D4EB3227-41F3-496C-B7A8-65543B5A863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<sst xmlns="http://schemas.openxmlformats.org/spreadsheetml/2006/main" count="233" uniqueCount="127">
  <si>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</si>
  <si>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</si>
  <si>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</si>
  <si>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</si>
  <si>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</si>
  <si>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</si>
  <si>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</si>
  <si>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</si>
  <si>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</si>
  <si>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</si>
  <si>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</si>
  <si>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</si>
  <si>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</si>
  <si>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</si>
  <si>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</si>
  <si>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</si>
  <si>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</si>
  <si>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</si>
  <si>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</si>
  <si>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</si>
  <si>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</si>
  <si>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</si>
  <si>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</si>
  <si>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</si>
  <si>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</si>
  <si>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</si>
  <si>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</si>
  <si>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</si>
  <si>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</si>
  <si>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</si>
  <si>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</si>
  <si>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</si>
  <si>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</si>
  <si>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</si>
  <si>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</si>
  <si>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</si>
  <si>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</si>
  <si>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</si>
  <si>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</si>
  <si>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</si>
  <si>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</si>
  <si>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</si>
  <si>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</si>
  <si>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</si>
  <si>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</si>
  <si>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</si>
  <si>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</si>
  <si>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</si>
  <si>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</si>
  <si>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</si>
  <si>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</si>
  <si>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</si>
  <si>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</si>
  <si>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</si>
  <si>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</si>
  <si>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</si>
  <si>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</si>
  <si>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</si>
  <si>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</si>
  <si>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</si>
  <si>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</si>
  <si>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</si>
  <si>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</si>
  <si>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</si>
  <si>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</si>
  <si>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</si>
  <si>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</si>
  <si>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</si>
  <si>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</si>
  <si>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</si>
  <si>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</si>
  <si>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</si>
  <si>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</si>
  <si>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</si>
  <si>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</si>
  <si>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</si>
  <si>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</si>
  <si>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</si>
  <si>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</si>
  <si>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</si>
  <si>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</si>
  <si>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</si>
  <si>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</si>
  <si>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</si>
  <si>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</si>
  <si>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</si>
  <si>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</si>
  <si>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</si>
  <si>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</si>
  <si>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</si>
  <si>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</si>
  <si>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</si>
  <si>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</si>
  <si>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</si>
  <si>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</si>
  <si>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</si>
  <si>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</si>
  <si>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</si>
  <si>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</si>
  <si>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</si>
  <si>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</si>
  <si>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</si>
  <si>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</si>
  <si>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</si>
  <si>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</si>
  <si>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</si>
  <si>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</si>
  <si>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</si>
  <si>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</si>
  <si>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</si>
  <si>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</si>
  <si>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</si>
  <si>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</si>
  <si>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</si>
  <si>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</si>
  <si>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</si>
  <si>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</si>
  <si>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</si>
  <si>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</si>
  <si>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</si>
  <si>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</si>
  <si>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</si>
  <si>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</si>
  <si>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</si>
  <si>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</si>
  <si>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</si>
  <si>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United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</si>
</sst>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United Energy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220" t="s">
        <v>109</v>
      </c>
      <c r="B1" s="211"/>
      <c r="C1" s="211"/>
      <c r="D1" s="211"/>
      <c r="E1" s="211"/>
    </row>
    <row r="2" spans="1:5" ht="15.7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5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tabSelected="1" zoomScale="90" zoomScaleNormal="90" workbookViewId="0">
      <selection activeCell="D14" sqref="D14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United Energy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25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G1" zoomScale="90" zoomScaleNormal="90" workbookViewId="0">
      <selection activeCell="M14" sqref="M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United Energy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1.0232558139534831E-2</v>
      </c>
      <c r="H8" s="156">
        <v>1.9337016574585641E-2</v>
      </c>
      <c r="I8" s="156">
        <v>2.0776874435411097E-2</v>
      </c>
      <c r="J8" s="156">
        <v>1.5929203539823078E-2</v>
      </c>
      <c r="K8" s="156">
        <v>2.000000000000024E-2</v>
      </c>
      <c r="L8" s="194">
        <f>(1.022)^0.5-1</f>
        <v>1.0940156488008945E-2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2.4E-2</v>
      </c>
      <c r="N9" s="139">
        <f t="shared" ref="N9:Q9" si="0">M9</f>
        <v>2.4E-2</v>
      </c>
      <c r="O9" s="139">
        <f t="shared" si="0"/>
        <v>2.4E-2</v>
      </c>
      <c r="P9" s="139">
        <f t="shared" si="0"/>
        <v>2.4E-2</v>
      </c>
      <c r="Q9" s="139">
        <f t="shared" si="0"/>
        <v>2.4E-2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1.0102325581395348</v>
      </c>
      <c r="H10" s="121">
        <f t="shared" si="1"/>
        <v>1.029767441860465</v>
      </c>
      <c r="I10" s="121">
        <f t="shared" si="1"/>
        <v>1.0511627906976744</v>
      </c>
      <c r="J10" s="121">
        <f t="shared" si="1"/>
        <v>1.067906976744186</v>
      </c>
      <c r="K10" s="121">
        <f t="shared" si="1"/>
        <v>1.0892651162790701</v>
      </c>
      <c r="L10" s="121">
        <f t="shared" si="1"/>
        <v>1.1011818471080923</v>
      </c>
      <c r="M10" s="87">
        <f>IF(M7&lt;&gt;"",(L10*(1+M9)),"")</f>
        <v>1.1276102114386866</v>
      </c>
      <c r="N10" s="87">
        <f t="shared" ref="N10:Q10" si="2">IF(N7&lt;&gt;"",(M10*(1+N9)),"")</f>
        <v>1.1546728565132152</v>
      </c>
      <c r="O10" s="87">
        <f t="shared" si="2"/>
        <v>1.1823850050695324</v>
      </c>
      <c r="P10" s="87">
        <f t="shared" si="2"/>
        <v>1.2107622451912012</v>
      </c>
      <c r="Q10" s="87">
        <f t="shared" si="2"/>
        <v>1.2398205390757902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1.0232558139534831E-2</v>
      </c>
      <c r="H13" s="156">
        <v>1.9337016574585641E-2</v>
      </c>
      <c r="I13" s="156">
        <v>2.0776874435411097E-2</v>
      </c>
      <c r="J13" s="156">
        <v>1.5929203539823078E-2</v>
      </c>
      <c r="K13" s="156">
        <v>2.000000000000024E-2</v>
      </c>
      <c r="L13" s="194">
        <f>(1.022)^0.5-1</f>
        <v>1.0940156488008945E-2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2.4E-2</v>
      </c>
      <c r="N14" s="139">
        <f t="shared" ref="N14:Q14" si="3">M14</f>
        <v>2.4E-2</v>
      </c>
      <c r="O14" s="139">
        <f t="shared" si="3"/>
        <v>2.4E-2</v>
      </c>
      <c r="P14" s="139">
        <f t="shared" si="3"/>
        <v>2.4E-2</v>
      </c>
      <c r="Q14" s="139">
        <f t="shared" si="3"/>
        <v>2.4E-2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1.0102325581395348</v>
      </c>
      <c r="H15" s="121">
        <f t="shared" si="4"/>
        <v>1.029767441860465</v>
      </c>
      <c r="I15" s="121">
        <f t="shared" si="4"/>
        <v>1.0511627906976744</v>
      </c>
      <c r="J15" s="190">
        <f t="shared" si="4"/>
        <v>1.067906976744186</v>
      </c>
      <c r="K15" s="191">
        <f t="shared" si="4"/>
        <v>1.0892651162790701</v>
      </c>
      <c r="L15" s="190">
        <f t="shared" si="4"/>
        <v>1.1011818471080923</v>
      </c>
      <c r="M15" s="191">
        <f>IF(M7&lt;&gt;"",(L15*(1+M14)),"")</f>
        <v>1.1276102114386866</v>
      </c>
      <c r="N15" s="87">
        <f t="shared" ref="N15:Q15" si="5">IF(N7&lt;&gt;"",(M15*(1+N14)),"")</f>
        <v>1.1546728565132152</v>
      </c>
      <c r="O15" s="87">
        <f t="shared" si="5"/>
        <v>1.1823850050695324</v>
      </c>
      <c r="P15" s="87">
        <f t="shared" si="5"/>
        <v>1.2107622451912012</v>
      </c>
      <c r="Q15" s="87">
        <f t="shared" si="5"/>
        <v>1.2398205390757902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3.9330190400643561E-2</v>
      </c>
      <c r="H20" s="156">
        <v>3.8695031687912662E-2</v>
      </c>
      <c r="I20" s="156">
        <v>3.8123822021083775E-2</v>
      </c>
      <c r="J20" s="156">
        <v>3.7516149645275165E-2</v>
      </c>
      <c r="K20" s="156">
        <v>3.6002053810034296E-2</v>
      </c>
      <c r="L20" s="194">
        <v>1.2229130074506323E-2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2.3620712621495121E-2</v>
      </c>
      <c r="N21" s="156">
        <v>2.2258481048059765E-2</v>
      </c>
      <c r="O21" s="156">
        <v>2.089624947462454E-2</v>
      </c>
      <c r="P21" s="156">
        <v>1.9534017901189183E-2</v>
      </c>
      <c r="Q21" s="156">
        <v>1.8171786327753958E-2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4.9965197000092054E-2</v>
      </c>
      <c r="H22" s="140">
        <f t="shared" si="7"/>
        <v>5.8780294731601623E-2</v>
      </c>
      <c r="I22" s="140">
        <f t="shared" si="7"/>
        <v>5.9692790319624933E-2</v>
      </c>
      <c r="J22" s="140">
        <f t="shared" si="7"/>
        <v>5.404295556882821E-2</v>
      </c>
      <c r="K22" s="140">
        <f t="shared" si="7"/>
        <v>5.6722094886235253E-2</v>
      </c>
      <c r="L22" s="196">
        <f t="shared" si="7"/>
        <v>2.3303075159242681E-2</v>
      </c>
      <c r="M22" s="140">
        <f>IF(AND(M14&lt;&gt;"",M21&lt;&gt;""),((1+M21)*(1+M14)-1),"")</f>
        <v>4.818760972441094E-2</v>
      </c>
      <c r="N22" s="140">
        <f t="shared" ref="N22:Q22" si="8">IF(AND(N14&lt;&gt;"",N21&lt;&gt;""),((1+N21)*(1+N14)-1),"")</f>
        <v>4.6792684593213174E-2</v>
      </c>
      <c r="O22" s="140">
        <f t="shared" si="8"/>
        <v>4.539775946201563E-2</v>
      </c>
      <c r="P22" s="140">
        <f t="shared" si="8"/>
        <v>4.4002834330817642E-2</v>
      </c>
      <c r="Q22" s="140">
        <f t="shared" si="8"/>
        <v>4.2607909199620098E-2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09"/>
  <sheetViews>
    <sheetView topLeftCell="D1" zoomScale="90" zoomScaleNormal="90" workbookViewId="0">
      <selection activeCell="J29" sqref="J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United Energy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233.68727847578586</v>
      </c>
      <c r="I8" s="157">
        <v>232.16736554572151</v>
      </c>
      <c r="J8" s="157">
        <v>207.75112578719984</v>
      </c>
      <c r="K8" s="157">
        <v>196.92988418165513</v>
      </c>
      <c r="L8" s="157">
        <v>188.08984207816678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19.19503592181421</v>
      </c>
      <c r="I9" s="157">
        <v>27.396514712547379</v>
      </c>
      <c r="J9" s="157">
        <v>29.506559915409852</v>
      </c>
      <c r="K9" s="157">
        <v>29.789036723870449</v>
      </c>
      <c r="L9" s="157">
        <v>30.166346020165868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0.131966</v>
      </c>
      <c r="I10" s="157">
        <v>0.131966</v>
      </c>
      <c r="J10" s="157">
        <v>0.131966</v>
      </c>
      <c r="K10" s="157">
        <v>0.131966</v>
      </c>
      <c r="L10" s="157">
        <v>0.131966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214.36027655397166</v>
      </c>
      <c r="I12" s="66">
        <f t="shared" ref="I12:L12" si="0">IF(I6="", "", I8-I9-I10)</f>
        <v>204.63888483317413</v>
      </c>
      <c r="J12" s="66">
        <f t="shared" si="0"/>
        <v>178.11259987178997</v>
      </c>
      <c r="K12" s="66">
        <f t="shared" si="0"/>
        <v>167.00888145778467</v>
      </c>
      <c r="L12" s="66">
        <f t="shared" si="0"/>
        <v>157.79153005800092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213.53137692484415</v>
      </c>
      <c r="I18" s="158">
        <v>193.48568938000003</v>
      </c>
      <c r="J18" s="158">
        <v>167.60581379491043</v>
      </c>
      <c r="K18" s="158">
        <v>197.20121684963189</v>
      </c>
      <c r="L18" s="158">
        <v>217.36252457406275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41.588592272573152</v>
      </c>
      <c r="I19" s="158">
        <v>40.922868000000001</v>
      </c>
      <c r="J19" s="158">
        <v>37.919767810000003</v>
      </c>
      <c r="K19" s="158">
        <v>34.65815332642488</v>
      </c>
      <c r="L19" s="158">
        <v>36.529106494860372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0.23077500000000001</v>
      </c>
      <c r="I20" s="158">
        <v>8.0561290000000008E-2</v>
      </c>
      <c r="J20" s="158">
        <v>1.2786858100000003</v>
      </c>
      <c r="K20" s="158">
        <v>0.47487243504424786</v>
      </c>
      <c r="L20" s="158">
        <v>0.48436988374513296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171.71200965227101</v>
      </c>
      <c r="I23" s="66">
        <f t="shared" ref="I23:L23" si="2">IF(I16="", "", I18-I19-I20-I21)</f>
        <v>152.48226009000004</v>
      </c>
      <c r="J23" s="66">
        <f t="shared" si="2"/>
        <v>128.40736017491042</v>
      </c>
      <c r="K23" s="66">
        <f t="shared" si="2"/>
        <v>162.06819108816276</v>
      </c>
      <c r="L23" s="66">
        <f t="shared" si="2"/>
        <v>180.34904819545724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0</v>
      </c>
      <c r="I30" s="197">
        <f>IF(I29&lt;&gt;"",I29/('Input | Inflation and Disc Rate'!M10*(1+'Input | Inflation and Disc Rate'!N9)^0.5),"")</f>
        <v>0</v>
      </c>
      <c r="J30" s="197">
        <f>IF(J29&lt;&gt;"",J29/('Input | Inflation and Disc Rate'!N10*(1+'Input | Inflation and Disc Rate'!O9)^0.5),"")</f>
        <v>0</v>
      </c>
      <c r="K30" s="197">
        <f>IF(K29&lt;&gt;"",K29/('Input | Inflation and Disc Rate'!O10*(1+'Input | Inflation and Disc Rate'!P9)^0.5),"")</f>
        <v>0</v>
      </c>
      <c r="L30" s="197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0</v>
      </c>
      <c r="I31" s="197">
        <f>IF(I29&lt;&gt;"",I30*'Input | Inflation and Disc Rate'!M15*(1+'Input | Inflation and Disc Rate'!N14)^0.5,"")</f>
        <v>0</v>
      </c>
      <c r="J31" s="197">
        <f>IF(J29&lt;&gt;"",J30*'Input | Inflation and Disc Rate'!N15*(1+'Input | Inflation and Disc Rate'!O14)^0.5,"")</f>
        <v>0</v>
      </c>
      <c r="K31" s="197">
        <f>IF(K29&lt;&gt;"",K30*'Input | Inflation and Disc Rate'!O15*(1+'Input | Inflation and Disc Rate'!P14)^0.5,"")</f>
        <v>0</v>
      </c>
      <c r="L31" s="197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4"/>
  <sheetViews>
    <sheetView zoomScale="80" zoomScaleNormal="80" workbookViewId="0">
      <selection activeCell="D26" sqref="D26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United Energy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3.9330190400643561E-2</v>
      </c>
      <c r="E8" s="161">
        <f>'Input | Inflation and Disc Rate'!H20</f>
        <v>3.8695031687912662E-2</v>
      </c>
      <c r="F8" s="161">
        <f>'Input | Inflation and Disc Rate'!I20</f>
        <v>3.8123822021083775E-2</v>
      </c>
      <c r="G8" s="161">
        <f>'Input | Inflation and Disc Rate'!J20</f>
        <v>3.7516149645275165E-2</v>
      </c>
      <c r="H8" s="162">
        <f>'Input | Inflation and Disc Rate'!K20</f>
        <v>3.6002053810034296E-2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4.9965197000092054E-2</v>
      </c>
      <c r="E9" s="161">
        <f>'Input | Inflation and Disc Rate'!H22</f>
        <v>5.8780294731601623E-2</v>
      </c>
      <c r="F9" s="161">
        <f>'Input | Inflation and Disc Rate'!I22</f>
        <v>5.9692790319624933E-2</v>
      </c>
      <c r="G9" s="161">
        <f>'Input | Inflation and Disc Rate'!J22</f>
        <v>5.404295556882821E-2</v>
      </c>
      <c r="H9" s="162">
        <f>'Input | Inflation and Disc Rate'!K22</f>
        <v>5.6722094886235253E-2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220.77121160589925</v>
      </c>
      <c r="E10" s="164">
        <f>'Input | Reported Capex'!I$12*'Input | Inflation and Disc Rate'!H$15*(1+'Input | Inflation and Disc Rate'!H$20)^0.5</f>
        <v>214.76887600360945</v>
      </c>
      <c r="F10" s="164">
        <f>'Input | Reported Capex'!J$12*'Input | Inflation and Disc Rate'!I$15*(1+'Input | Inflation and Disc Rate'!I$20)^0.5</f>
        <v>190.76082883357418</v>
      </c>
      <c r="G10" s="164">
        <f>'Input | Reported Capex'!K$12*'Input | Inflation and Disc Rate'!J$15*(1+'Input | Inflation and Disc Rate'!J$20)^0.5</f>
        <v>181.66464893700569</v>
      </c>
      <c r="H10" s="165">
        <f>'Input | Reported Capex'!L$12*'Input | Inflation and Disc Rate'!K$15*(1+'Input | Inflation and Disc Rate'!K$20)^0.5</f>
        <v>174.94341146141363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175.94953482409142</v>
      </c>
      <c r="E11" s="164">
        <f>'Input | Reported Capex'!I23*(1+E$9)^0.5</f>
        <v>156.89974776613715</v>
      </c>
      <c r="F11" s="164">
        <f>'Input | Reported Capex'!J23*(1+F$9)^0.5</f>
        <v>132.18430975125207</v>
      </c>
      <c r="G11" s="164">
        <f>'Input | Reported Capex'!K23*(1+G$9)^0.5</f>
        <v>166.38989200120815</v>
      </c>
      <c r="H11" s="165">
        <f>'Input | Reported Capex'!L23*(1+H$9)^0.5</f>
        <v>185.39339124733678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44.821676781807838</v>
      </c>
      <c r="E12" s="142">
        <f>(E10-E11)</f>
        <v>57.869128237472296</v>
      </c>
      <c r="F12" s="142">
        <f t="shared" ref="F12:H12" si="0">(F10-F11)</f>
        <v>58.576519082322108</v>
      </c>
      <c r="G12" s="142">
        <f t="shared" si="0"/>
        <v>15.274756935797541</v>
      </c>
      <c r="H12" s="145">
        <f t="shared" si="0"/>
        <v>-10.449979785923148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1.7343762033774335</v>
      </c>
      <c r="F13" s="142">
        <f>$D$12*$F$8*(1+'Input | Inflation and Disc Rate'!H13)</f>
        <v>1.7418162122891498</v>
      </c>
      <c r="G13" s="142">
        <f>$D$12*$G$8*(1+'Input | Inflation and Disc Rate'!H13)*(1+'Input | Inflation and Disc Rate'!I13)</f>
        <v>1.7496652936033683</v>
      </c>
      <c r="H13" s="145">
        <f>$D$12*$H$8*(1+'Input | Inflation and Disc Rate'!H13)*(1+'Input | Inflation and Disc Rate'!I13)*(1+'Input | Inflation and Disc Rate'!J13)</f>
        <v>1.7057973641059792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2.2061923454406673</v>
      </c>
      <c r="G14" s="142">
        <f>$E$12*G$8*(1+'Input | Inflation and Disc Rate'!I13)</f>
        <v>2.2161340275722234</v>
      </c>
      <c r="H14" s="145">
        <f>$E$12*H$8*(1+'Input | Inflation and Disc Rate'!I13)*(1+'Input | Inflation and Disc Rate'!J13)</f>
        <v>2.1605707083284105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2.1975654555917123</v>
      </c>
      <c r="H15" s="145">
        <f>$F$12*$H$8*(1+'Input | Inflation and Disc Rate'!J13)</f>
        <v>2.1424676909939717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0.54992262113777768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1.7343762033774335</v>
      </c>
      <c r="F18" s="146">
        <f t="shared" ref="F18:H18" si="1">SUM(F13:F17)</f>
        <v>3.9480085577298172</v>
      </c>
      <c r="G18" s="146">
        <f t="shared" si="1"/>
        <v>6.1633647767673043</v>
      </c>
      <c r="H18" s="147">
        <f t="shared" si="1"/>
        <v>6.5587583845661399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1.2496975769332548</v>
      </c>
      <c r="E19" s="146">
        <f>F19*(1+F$9)</f>
        <v>1.1803181294095111</v>
      </c>
      <c r="F19" s="146">
        <f>G19*(1+G$9)</f>
        <v>1.1138304801087711</v>
      </c>
      <c r="G19" s="146">
        <f>H19*(1+H$9)</f>
        <v>1.0567220948862353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56.013540868310777</v>
      </c>
      <c r="E20" s="142">
        <f>E12*E19</f>
        <v>68.303981191812412</v>
      </c>
      <c r="F20" s="142">
        <f t="shared" ref="F20:H20" si="2">F12*F19</f>
        <v>65.244312372563428</v>
      </c>
      <c r="G20" s="142">
        <f t="shared" si="2"/>
        <v>16.141173148074028</v>
      </c>
      <c r="H20" s="145">
        <f t="shared" si="2"/>
        <v>-10.449979785923148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2.047115676062822</v>
      </c>
      <c r="F21" s="146">
        <f t="shared" ref="F21:H21" si="3">F18*F19</f>
        <v>4.3974122673297389</v>
      </c>
      <c r="G21" s="146">
        <f t="shared" si="3"/>
        <v>6.5129637384535792</v>
      </c>
      <c r="H21" s="147">
        <f t="shared" si="3"/>
        <v>6.5587583845661399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4.818760972441094E-2</v>
      </c>
      <c r="E25" s="167">
        <f>'Input | Inflation and Disc Rate'!N$22</f>
        <v>4.6792684593213174E-2</v>
      </c>
      <c r="F25" s="167">
        <f>'Input | Inflation and Disc Rate'!O$22</f>
        <v>4.539775946201563E-2</v>
      </c>
      <c r="G25" s="167">
        <f>'Input | Inflation and Disc Rate'!P$22</f>
        <v>4.4002834330817642E-2</v>
      </c>
      <c r="H25" s="168">
        <f>'Input | Inflation and Disc Rate'!Q$22</f>
        <v>4.2607909199620098E-2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0.9545006091390571</v>
      </c>
      <c r="E27" s="199">
        <f>1/((1+E25)^(0.5)*(1+D25)*(1+'Input | Inflation and Disc Rate'!$L$22))</f>
        <v>0.91122653832561318</v>
      </c>
      <c r="F27" s="199">
        <f>1/((1+F25)^(0.5)*(1+E25)*(1+D25)*(1+'Input | Inflation and Disc Rate'!$L$22))</f>
        <v>0.87107437417833578</v>
      </c>
      <c r="G27" s="199">
        <f>1/((1+G25)^(0.5)*(1+F25)*(1+E25)*(1+D25)*(1+'Input | Inflation and Disc Rate'!$L$22))</f>
        <v>0.83380331267458874</v>
      </c>
      <c r="H27" s="200">
        <f>1/((1+H25)^(0.5)*(1+G25)*(1+F25)*(1+E25)*(1+D25)*(1+'Input | Inflation and Disc Rate'!$L$22))</f>
        <v>0.79919410132138302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195.25302779483749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136.67711945638624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58.575908338451242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19.51625006641228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39.059658272038959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39.969868424446616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0.97692435066011662</v>
      </c>
      <c r="E42" s="169">
        <f>D42/(1+'Input | Inflation and Disc Rate'!N21)</f>
        <v>0.95565296720114778</v>
      </c>
      <c r="F42" s="169">
        <f>E42/(1+'Input | Inflation and Disc Rate'!O21)</f>
        <v>0.93609215206045437</v>
      </c>
      <c r="G42" s="169">
        <f>F42/(1+'Input | Inflation and Disc Rate'!P21)</f>
        <v>0.91815685953029014</v>
      </c>
      <c r="H42" s="170">
        <f>G42/(1+'Input | Inflation and Disc Rate'!Q21)</f>
        <v>0.90177008620697674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8.5249112700242549</v>
      </c>
      <c r="E43" s="204">
        <f>D43</f>
        <v>8.5249112700242549</v>
      </c>
      <c r="F43" s="204">
        <f t="shared" ref="F43:H43" si="5">E43</f>
        <v>8.5249112700242549</v>
      </c>
      <c r="G43" s="204">
        <f t="shared" si="5"/>
        <v>8.5249112700242549</v>
      </c>
      <c r="H43" s="205">
        <f t="shared" si="5"/>
        <v>8.5249112700242549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42.624556350121274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3"/>
  <sheetViews>
    <sheetView topLeftCell="E1" workbookViewId="0">
      <selection activeCell="I8" sqref="I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United Energy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4"/>
      <c r="K3" s="224"/>
      <c r="L3" s="224"/>
      <c r="M3" s="42"/>
      <c r="N3" s="224"/>
      <c r="O3" s="224"/>
      <c r="P3" s="224"/>
      <c r="Q3" s="224"/>
      <c r="R3" s="224"/>
      <c r="S3" s="224"/>
      <c r="T3" s="224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8.5249112700242549</v>
      </c>
      <c r="K8" s="129">
        <f>'Calc | CESS Revenue Increments'!E43</f>
        <v>8.5249112700242549</v>
      </c>
      <c r="L8" s="129">
        <f>'Calc | CESS Revenue Increments'!F43</f>
        <v>8.5249112700242549</v>
      </c>
      <c r="M8" s="129">
        <f>'Calc | CESS Revenue Increments'!G43</f>
        <v>8.5249112700242549</v>
      </c>
      <c r="N8" s="129">
        <f>'Calc | CESS Revenue Increments'!H43</f>
        <v>8.5249112700242549</v>
      </c>
      <c r="O8" s="60">
        <f>SUM(J8:N8)</f>
        <v>42.624556350121274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Fenella Douglas</cp:lastModifiedBy>
  <dcterms:created xsi:type="dcterms:W3CDTF">2017-09-22T02:00:05Z</dcterms:created>
  <dcterms:modified xsi:type="dcterms:W3CDTF">2020-01-02T02:03:37Z</dcterms:modified>
  <cp:category>DNSP; Reset; CESS; 2022-26; FY; 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