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AF0E18C6-E07A-4DF5-A331-A9242B5E7BC1}" xr6:coauthVersionLast="45" xr6:coauthVersionMax="45" xr10:uidLastSave="{00000000-0000-0000-0000-000000000000}"/>
  <bookViews>
    <workbookView xWindow="2460" yWindow="0" windowWidth="18120" windowHeight="16200" xr2:uid="{00000000-000D-0000-FFFF-FFFF00000000}"/>
  </bookViews>
  <sheets>
    <sheet name="Calc" sheetId="13" r:id="rId1"/>
  </sheets>
  <externalReferences>
    <externalReference r:id="rId2"/>
    <externalReference r:id="rId3"/>
  </externalReferences>
  <definedNames>
    <definedName name="cbd_vcr" localSheetId="0">Calc!$H$14</definedName>
    <definedName name="energy" localSheetId="0">Calc!$F$6</definedName>
    <definedName name="maifi_perc" localSheetId="0">Calc!$F$9</definedName>
    <definedName name="mins_pa" localSheetId="0">Calc!$F$8</definedName>
    <definedName name="non_cbd_vcr" localSheetId="0">Calc!$H$15</definedName>
    <definedName name="revenue" localSheetId="0">Calc!$F$7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13" l="1"/>
  <c r="G37" i="13"/>
  <c r="G36" i="13"/>
  <c r="F38" i="13"/>
  <c r="F37" i="13"/>
  <c r="F36" i="13"/>
  <c r="F7" i="13"/>
  <c r="H45" i="13"/>
  <c r="H51" i="13"/>
  <c r="H52" i="13"/>
  <c r="G15" i="13"/>
  <c r="H15" i="13"/>
  <c r="G45" i="13"/>
  <c r="G25" i="13"/>
  <c r="F8" i="13"/>
  <c r="G51" i="13"/>
  <c r="G52" i="13" s="1"/>
  <c r="F45" i="13"/>
  <c r="F25" i="13"/>
  <c r="F51" i="13"/>
  <c r="F52" i="13" s="1"/>
  <c r="E45" i="13"/>
  <c r="E51" i="13"/>
  <c r="E52" i="13"/>
  <c r="H44" i="13"/>
  <c r="H50" i="13"/>
  <c r="G44" i="13"/>
  <c r="G50" i="13" s="1"/>
  <c r="F44" i="13"/>
  <c r="F50" i="13" s="1"/>
  <c r="E44" i="13"/>
  <c r="E50" i="13"/>
  <c r="H25" i="13"/>
  <c r="E25" i="13"/>
  <c r="G14" i="13"/>
  <c r="H14" i="13"/>
</calcChain>
</file>

<file path=xl/sharedStrings.xml><?xml version="1.0" encoding="utf-8"?>
<sst xmlns="http://schemas.openxmlformats.org/spreadsheetml/2006/main" count="59" uniqueCount="38">
  <si>
    <t>Urban</t>
  </si>
  <si>
    <t>Service Target Performance Incentive Scheme - Rate Calculation</t>
  </si>
  <si>
    <t>Assumptions</t>
  </si>
  <si>
    <t>Smoothed revenue ($'m Jun 2021)</t>
  </si>
  <si>
    <t>SAIFI ($)</t>
  </si>
  <si>
    <t>SAIDI ($)</t>
  </si>
  <si>
    <t>Proportion of VCR</t>
  </si>
  <si>
    <t>Average 2021/22 - 2025/26</t>
  </si>
  <si>
    <t>Ave unplanned SAIFI target</t>
  </si>
  <si>
    <t>Ave unplanned SAIDI target</t>
  </si>
  <si>
    <t xml:space="preserve">Ratio of unplanned SAIDI/SAIFI    </t>
  </si>
  <si>
    <t>Ave unplanned MAIFI target</t>
  </si>
  <si>
    <t>Telephone answering</t>
  </si>
  <si>
    <t>Energy (MWh) - Network</t>
  </si>
  <si>
    <t>AER, Value of customer reliability, December 2019</t>
  </si>
  <si>
    <t>Incentive rate</t>
  </si>
  <si>
    <t>SAIFI</t>
  </si>
  <si>
    <t>SAIDI</t>
  </si>
  <si>
    <t>MAIFI</t>
  </si>
  <si>
    <r>
      <t xml:space="preserve">MAIFI incentive rate </t>
    </r>
    <r>
      <rPr>
        <sz val="8"/>
        <color theme="1"/>
        <rFont val="Calibri"/>
        <family val="2"/>
      </rPr>
      <t>(% of SAIFI)</t>
    </r>
  </si>
  <si>
    <t>Average2021/22 - 2025/26, from Reset RIN 3.4.1</t>
  </si>
  <si>
    <t>AER VCR ($/MWh) - CBD</t>
  </si>
  <si>
    <t>AER VCR ($/MWh) - non CBD</t>
  </si>
  <si>
    <t>Energy (MWh)</t>
  </si>
  <si>
    <t>Ave Customers (#)</t>
  </si>
  <si>
    <t>Ave Minutes per year</t>
  </si>
  <si>
    <t>Calculation - Incentive rates based on AER Guideline VCR</t>
  </si>
  <si>
    <t>United Energy</t>
  </si>
  <si>
    <t>Short rural</t>
  </si>
  <si>
    <t>Network</t>
  </si>
  <si>
    <t>CBD</t>
  </si>
  <si>
    <t>Long rural</t>
  </si>
  <si>
    <t>CPI</t>
  </si>
  <si>
    <t>2019 Annual RIN 6.2.4</t>
  </si>
  <si>
    <t>December 2020 CPI will be used for Final Decision</t>
  </si>
  <si>
    <t>AER incorrectly applied revenue for 2021/22 not average 2021/22-2025/26AER Draft Decision Sep 2020, PTRM; needs to be updated with final revenue</t>
  </si>
  <si>
    <t>AER draft decision</t>
  </si>
  <si>
    <t>RRP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</si>
</sst>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;[Red]\-&quot;$&quot;#,##0;\ &quot;-&quot;"/>
    <numFmt numFmtId="165" formatCode="#,##0_ ;[Red]\-#,##0\ "/>
    <numFmt numFmtId="166" formatCode="#,##0.0_ ;[Red]\-#,##0.0\ "/>
    <numFmt numFmtId="167" formatCode="0.0%"/>
    <numFmt numFmtId="168" formatCode="&quot;$&quot;#,##0&quot;m&quot;;[Red]\-&quot;$&quot;#,##0&quot;m&quot;;\ &quot;-&quot;"/>
    <numFmt numFmtId="169" formatCode="0.00;[Red]\-0.00;\ &quot;-&quot;"/>
    <numFmt numFmtId="170" formatCode="0.0000;[Red]\-0.0000;\ &quot;-&quot;"/>
    <numFmt numFmtId="171" formatCode="0.000;[Red]\-0.000;\ &quot;-&quot;"/>
    <numFmt numFmtId="172" formatCode="#,##0.000"/>
    <numFmt numFmtId="173" formatCode="0.000000%"/>
    <numFmt numFmtId="174" formatCode="#,##0_);\(#,##0\);\-\-_)"/>
  </numFmts>
  <fonts count="21" x14ac:knownFonts="1">
    <font>
      <sz val="10"/>
      <color theme="1"/>
      <name val="Verdana"/>
      <family val="2"/>
    </font>
    <font>
      <sz val="10"/>
      <name val="Arial"/>
      <family val="2"/>
    </font>
    <font>
      <b/>
      <sz val="11"/>
      <color indexed="62"/>
      <name val="Calibri"/>
      <family val="2"/>
    </font>
    <font>
      <sz val="10"/>
      <color theme="1"/>
      <name val="Verdana"/>
      <family val="2"/>
    </font>
    <font>
      <sz val="10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4"/>
      <color indexed="9"/>
      <name val="Arial"/>
      <family val="2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2" borderId="0">
      <alignment horizontal="center"/>
    </xf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9" fillId="0" borderId="0"/>
    <xf numFmtId="174" fontId="19" fillId="8" borderId="0"/>
  </cellStyleXfs>
  <cellXfs count="53">
    <xf numFmtId="0" fontId="0" fillId="0" borderId="0" xfId="0"/>
    <xf numFmtId="0" fontId="5" fillId="3" borderId="0" xfId="0" applyFont="1" applyFill="1"/>
    <xf numFmtId="0" fontId="6" fillId="0" borderId="0" xfId="0" applyFont="1" applyBorder="1"/>
    <xf numFmtId="0" fontId="7" fillId="0" borderId="0" xfId="0" applyFont="1"/>
    <xf numFmtId="14" fontId="8" fillId="0" borderId="0" xfId="0" applyNumberFormat="1" applyFont="1" applyBorder="1"/>
    <xf numFmtId="14" fontId="8" fillId="0" borderId="0" xfId="0" applyNumberFormat="1" applyFont="1" applyBorder="1" applyAlignment="1">
      <alignment vertical="top"/>
    </xf>
    <xf numFmtId="0" fontId="10" fillId="4" borderId="0" xfId="6" applyFont="1" applyFill="1" applyAlignment="1">
      <alignment horizontal="left" vertical="center"/>
    </xf>
    <xf numFmtId="0" fontId="11" fillId="4" borderId="0" xfId="6" applyFont="1" applyFill="1" applyAlignment="1">
      <alignment horizontal="left" vertical="center"/>
    </xf>
    <xf numFmtId="0" fontId="6" fillId="0" borderId="1" xfId="0" applyFont="1" applyBorder="1"/>
    <xf numFmtId="0" fontId="8" fillId="0" borderId="1" xfId="0" applyFont="1" applyBorder="1"/>
    <xf numFmtId="164" fontId="12" fillId="5" borderId="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/>
    </xf>
    <xf numFmtId="0" fontId="6" fillId="0" borderId="0" xfId="0" applyFont="1"/>
    <xf numFmtId="3" fontId="6" fillId="0" borderId="0" xfId="0" applyNumberFormat="1" applyFont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3" fillId="0" borderId="0" xfId="0" applyNumberFormat="1" applyFont="1" applyFill="1" applyBorder="1" applyAlignment="1">
      <alignment horizontal="center" vertical="top"/>
    </xf>
    <xf numFmtId="167" fontId="6" fillId="0" borderId="0" xfId="5" applyNumberFormat="1" applyFont="1" applyAlignment="1">
      <alignment horizontal="center"/>
    </xf>
    <xf numFmtId="0" fontId="14" fillId="0" borderId="0" xfId="0" applyFont="1"/>
    <xf numFmtId="4" fontId="12" fillId="0" borderId="0" xfId="0" applyNumberFormat="1" applyFont="1" applyAlignment="1">
      <alignment horizontal="center"/>
    </xf>
    <xf numFmtId="0" fontId="8" fillId="0" borderId="0" xfId="0" applyFont="1" applyBorder="1"/>
    <xf numFmtId="9" fontId="12" fillId="0" borderId="0" xfId="5" applyFont="1" applyFill="1" applyBorder="1" applyAlignment="1">
      <alignment horizontal="right" vertical="top"/>
    </xf>
    <xf numFmtId="167" fontId="6" fillId="0" borderId="0" xfId="0" applyNumberFormat="1" applyFont="1"/>
    <xf numFmtId="3" fontId="8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164" fontId="16" fillId="0" borderId="0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11" fillId="0" borderId="0" xfId="6" applyFont="1" applyFill="1" applyAlignment="1">
      <alignment horizontal="left" vertical="center"/>
    </xf>
    <xf numFmtId="0" fontId="10" fillId="0" borderId="0" xfId="6" applyFont="1" applyFill="1" applyAlignment="1">
      <alignment horizontal="left" vertical="center"/>
    </xf>
    <xf numFmtId="0" fontId="6" fillId="0" borderId="0" xfId="0" applyFont="1" applyFill="1" applyBorder="1"/>
    <xf numFmtId="10" fontId="17" fillId="5" borderId="0" xfId="5" applyNumberFormat="1" applyFont="1" applyFill="1" applyBorder="1" applyAlignment="1">
      <alignment horizontal="right" vertical="top"/>
    </xf>
    <xf numFmtId="164" fontId="17" fillId="0" borderId="0" xfId="0" applyNumberFormat="1" applyFont="1" applyFill="1" applyBorder="1" applyAlignment="1">
      <alignment horizontal="right" vertical="top"/>
    </xf>
    <xf numFmtId="4" fontId="6" fillId="6" borderId="0" xfId="0" applyNumberFormat="1" applyFont="1" applyFill="1" applyAlignment="1">
      <alignment horizontal="center"/>
    </xf>
    <xf numFmtId="165" fontId="12" fillId="5" borderId="0" xfId="0" applyNumberFormat="1" applyFont="1" applyFill="1" applyAlignment="1">
      <alignment horizontal="center" vertical="top"/>
    </xf>
    <xf numFmtId="165" fontId="12" fillId="5" borderId="0" xfId="0" applyNumberFormat="1" applyFont="1" applyFill="1" applyBorder="1" applyAlignment="1">
      <alignment horizontal="center" vertical="top"/>
    </xf>
    <xf numFmtId="9" fontId="12" fillId="5" borderId="0" xfId="5" applyFont="1" applyFill="1" applyBorder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6" fontId="12" fillId="5" borderId="0" xfId="0" applyNumberFormat="1" applyFont="1" applyFill="1" applyBorder="1" applyAlignment="1">
      <alignment horizontal="center" vertical="top"/>
    </xf>
    <xf numFmtId="164" fontId="13" fillId="0" borderId="0" xfId="0" applyNumberFormat="1" applyFont="1" applyAlignment="1">
      <alignment horizontal="center" vertical="top"/>
    </xf>
    <xf numFmtId="169" fontId="13" fillId="0" borderId="0" xfId="0" applyNumberFormat="1" applyFont="1" applyAlignment="1">
      <alignment horizontal="center" vertical="top"/>
    </xf>
    <xf numFmtId="170" fontId="13" fillId="0" borderId="0" xfId="0" applyNumberFormat="1" applyFont="1" applyAlignment="1">
      <alignment horizontal="center" vertical="top"/>
    </xf>
    <xf numFmtId="171" fontId="13" fillId="0" borderId="0" xfId="0" applyNumberFormat="1" applyFont="1" applyAlignment="1">
      <alignment horizontal="center" vertical="top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centerContinuous"/>
    </xf>
    <xf numFmtId="173" fontId="6" fillId="0" borderId="0" xfId="5" applyNumberFormat="1" applyFont="1" applyBorder="1"/>
    <xf numFmtId="168" fontId="12" fillId="7" borderId="0" xfId="0" applyNumberFormat="1" applyFont="1" applyFill="1" applyAlignment="1">
      <alignment horizontal="center" vertical="top"/>
    </xf>
    <xf numFmtId="10" fontId="12" fillId="2" borderId="0" xfId="5" applyNumberFormat="1" applyFont="1" applyFill="1"/>
    <xf numFmtId="164" fontId="16" fillId="7" borderId="0" xfId="0" applyNumberFormat="1" applyFont="1" applyFill="1" applyBorder="1" applyAlignment="1">
      <alignment horizontal="left" vertical="top"/>
    </xf>
    <xf numFmtId="0" fontId="6" fillId="7" borderId="0" xfId="0" applyFont="1" applyFill="1"/>
    <xf numFmtId="172" fontId="13" fillId="7" borderId="0" xfId="0" applyNumberFormat="1" applyFont="1" applyFill="1" applyAlignment="1">
      <alignment horizontal="center"/>
    </xf>
    <xf numFmtId="170" fontId="13" fillId="7" borderId="0" xfId="0" applyNumberFormat="1" applyFont="1" applyFill="1" applyAlignment="1">
      <alignment horizontal="center" vertical="top"/>
    </xf>
    <xf numFmtId="174" fontId="20" fillId="2" borderId="0" xfId="7" applyFont="1" applyFill="1"/>
    <xf numFmtId="174" fontId="20" fillId="7" borderId="0" xfId="7" applyFont="1" applyFill="1"/>
  </cellXfs>
  <cellStyles count="8">
    <cellStyle name="Header1" xfId="7" xr:uid="{CE6C7A7D-5E0F-4A2F-AD37-864BF03ADCD7}"/>
    <cellStyle name="Heading 4 2" xfId="1" xr:uid="{00000000-0005-0000-0000-000002000000}"/>
    <cellStyle name="Input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5" xfId="6" xr:uid="{00D8C7CA-C4D4-4719-B6A8-A5D62392D842}"/>
    <cellStyle name="Percent" xfId="5" builtinId="5"/>
  </cellStyles>
  <dxfs count="0"/>
  <tableStyles count="0" defaultTableStyle="TableStyleMedium2" defaultPivotStyle="PivotStyleLight16"/>
  <colors>
    <mruColors>
      <color rgb="FF66FF33"/>
      <color rgb="FFFFFF00"/>
      <color rgb="FFFF33CC"/>
      <color rgb="FFCCFFFF"/>
      <color rgb="FFFFFFCC"/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Modelling/05-04%20Draft%20decision/UE/AER%20-%20Draft%20decision%20-%20United%20Energy%20distribution%20determination%20-%202021&#8211;26%20-%20PTRM%20-%20September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E%20RRP%20MOD%2010.12%20-%20STPIS%20targets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G44">
            <v>382.14231896065621</v>
          </cell>
          <cell r="H44">
            <v>374.3084014219628</v>
          </cell>
          <cell r="I44">
            <v>366.63507919281261</v>
          </cell>
          <cell r="J44">
            <v>359.11906006935993</v>
          </cell>
          <cell r="K44">
            <v>351.75711933793804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reliability"/>
      <sheetName val="Input_calls"/>
      <sheetName val="Calculations"/>
      <sheetName val="Output"/>
    </sheetNames>
    <sheetDataSet>
      <sheetData sheetId="0" refreshError="1"/>
      <sheetData sheetId="1" refreshError="1"/>
      <sheetData sheetId="2" refreshError="1"/>
      <sheetData sheetId="3">
        <row r="5">
          <cell r="D5">
            <v>46.053410229494425</v>
          </cell>
          <cell r="E5">
            <v>139.07137726532</v>
          </cell>
        </row>
        <row r="6">
          <cell r="D6">
            <v>0.73103973571688263</v>
          </cell>
          <cell r="E6">
            <v>2.0543459020709918</v>
          </cell>
        </row>
        <row r="7">
          <cell r="D7">
            <v>0.97650583841982375</v>
          </cell>
          <cell r="E7">
            <v>4.4315444852762091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C199-4FD9-43DB-BAAA-A71921490855}">
  <dimension ref="A1:Y57"/>
  <sheetViews>
    <sheetView showGridLines="0" tabSelected="1" zoomScale="90" zoomScaleNormal="90" workbookViewId="0"/>
  </sheetViews>
  <sheetFormatPr defaultColWidth="9" defaultRowHeight="12.75" x14ac:dyDescent="0.2"/>
  <cols>
    <col min="1" max="1" width="5.625" style="12" customWidth="1"/>
    <col min="2" max="2" width="27.875" style="12" customWidth="1"/>
    <col min="3" max="4" width="11.125" style="12" customWidth="1"/>
    <col min="5" max="5" width="10.875" style="12" customWidth="1"/>
    <col min="6" max="6" width="9" style="12" customWidth="1"/>
    <col min="7" max="16384" width="9" style="12"/>
  </cols>
  <sheetData>
    <row r="1" spans="1:25" s="3" customFormat="1" ht="18.75" x14ac:dyDescent="0.3">
      <c r="A1" s="1" t="s">
        <v>1</v>
      </c>
      <c r="B1" s="1"/>
      <c r="C1" s="1"/>
      <c r="D1" s="1"/>
      <c r="E1" s="1"/>
      <c r="F1" s="1"/>
      <c r="G1" s="1"/>
      <c r="H1" s="1"/>
      <c r="I1" s="1"/>
      <c r="J1" s="51" t="s">
        <v>36</v>
      </c>
      <c r="K1" s="5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s="3" customFormat="1" ht="18.75" x14ac:dyDescent="0.3">
      <c r="A2" s="1" t="s">
        <v>27</v>
      </c>
      <c r="B2" s="1"/>
      <c r="C2" s="1"/>
      <c r="D2" s="1"/>
      <c r="E2" s="1"/>
      <c r="F2" s="1"/>
      <c r="G2" s="1"/>
      <c r="H2" s="1"/>
      <c r="I2" s="1"/>
      <c r="J2" s="52" t="s">
        <v>37</v>
      </c>
      <c r="K2" s="52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s="2" customFormat="1" x14ac:dyDescent="0.2">
      <c r="A3" s="4"/>
    </row>
    <row r="4" spans="1:25" s="2" customFormat="1" x14ac:dyDescent="0.2">
      <c r="A4" s="7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5" s="2" customFormat="1" x14ac:dyDescent="0.2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  <c r="T5" s="29"/>
    </row>
    <row r="6" spans="1:25" x14ac:dyDescent="0.2">
      <c r="B6" s="2" t="s">
        <v>13</v>
      </c>
      <c r="C6" s="2"/>
      <c r="D6" s="2"/>
      <c r="E6" s="2"/>
      <c r="F6" s="33">
        <v>7699487.4657063</v>
      </c>
      <c r="K6" s="25" t="s">
        <v>20</v>
      </c>
      <c r="L6" s="18"/>
      <c r="M6" s="11"/>
      <c r="N6" s="11"/>
      <c r="O6" s="11"/>
      <c r="P6" s="11"/>
      <c r="Q6" s="11"/>
      <c r="R6" s="11"/>
      <c r="S6" s="11"/>
      <c r="T6" s="11"/>
      <c r="U6" s="11"/>
    </row>
    <row r="7" spans="1:25" x14ac:dyDescent="0.2">
      <c r="B7" s="2" t="s">
        <v>3</v>
      </c>
      <c r="C7" s="2"/>
      <c r="D7" s="2"/>
      <c r="E7" s="2"/>
      <c r="F7" s="45">
        <f>AVERAGE('[1]Revenue summary'!$G$44:$K$44)</f>
        <v>366.79239579654592</v>
      </c>
      <c r="K7" s="47" t="s">
        <v>35</v>
      </c>
      <c r="L7" s="48"/>
      <c r="M7" s="48"/>
      <c r="N7" s="48"/>
      <c r="O7" s="48"/>
      <c r="P7" s="48"/>
      <c r="Q7" s="48"/>
      <c r="R7" s="48"/>
    </row>
    <row r="8" spans="1:25" x14ac:dyDescent="0.2">
      <c r="B8" s="12" t="s">
        <v>25</v>
      </c>
      <c r="F8" s="34">
        <f>365.25*24*60</f>
        <v>525960</v>
      </c>
    </row>
    <row r="9" spans="1:25" x14ac:dyDescent="0.2">
      <c r="B9" s="2" t="s">
        <v>19</v>
      </c>
      <c r="C9" s="2"/>
      <c r="D9" s="2"/>
      <c r="E9" s="2"/>
      <c r="F9" s="35">
        <v>0.08</v>
      </c>
      <c r="H9" s="18"/>
    </row>
    <row r="10" spans="1:25" x14ac:dyDescent="0.2">
      <c r="B10" s="2"/>
      <c r="C10" s="2"/>
      <c r="D10" s="2"/>
      <c r="E10" s="2"/>
      <c r="F10" s="2"/>
      <c r="G10" s="2"/>
      <c r="H10" s="2"/>
    </row>
    <row r="11" spans="1:25" s="2" customForma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29"/>
    </row>
    <row r="12" spans="1:25" s="2" customFormat="1" ht="12.75" customHeight="1" x14ac:dyDescent="0.2">
      <c r="A12" s="4"/>
      <c r="B12" s="8"/>
      <c r="C12" s="8"/>
      <c r="D12" s="8"/>
      <c r="E12" s="8"/>
      <c r="F12" s="9">
        <v>2019</v>
      </c>
      <c r="G12" s="9">
        <v>2020</v>
      </c>
      <c r="H12" s="9">
        <v>2021</v>
      </c>
    </row>
    <row r="13" spans="1:25" s="2" customFormat="1" ht="12.75" customHeight="1" x14ac:dyDescent="0.2">
      <c r="A13" s="5"/>
      <c r="B13" s="2" t="s">
        <v>32</v>
      </c>
      <c r="G13" s="46">
        <v>1.5679442508710784E-2</v>
      </c>
      <c r="H13" s="46">
        <v>0</v>
      </c>
      <c r="I13" s="44"/>
      <c r="K13" s="12" t="s">
        <v>34</v>
      </c>
      <c r="L13" s="12"/>
      <c r="M13" s="12"/>
      <c r="N13" s="12"/>
    </row>
    <row r="14" spans="1:25" ht="12.75" customHeight="1" x14ac:dyDescent="0.2">
      <c r="B14" s="2" t="s">
        <v>21</v>
      </c>
      <c r="C14" s="2"/>
      <c r="D14" s="2"/>
      <c r="E14" s="2"/>
      <c r="F14" s="10">
        <v>44520</v>
      </c>
      <c r="G14" s="31">
        <f>F14*(1+G$13)</f>
        <v>45218.048780487807</v>
      </c>
      <c r="H14" s="31">
        <f>G14*(1+H$13)</f>
        <v>45218.048780487807</v>
      </c>
      <c r="K14" s="18" t="s">
        <v>14</v>
      </c>
    </row>
    <row r="15" spans="1:25" ht="12.75" customHeight="1" x14ac:dyDescent="0.2">
      <c r="B15" s="2" t="s">
        <v>22</v>
      </c>
      <c r="C15" s="2"/>
      <c r="D15" s="2"/>
      <c r="E15" s="2"/>
      <c r="F15" s="10">
        <v>41210</v>
      </c>
      <c r="G15" s="31">
        <f>F15*(1+G$13)</f>
        <v>41856.14982578397</v>
      </c>
      <c r="H15" s="31">
        <f>G15*(1+H$13)</f>
        <v>41856.14982578397</v>
      </c>
      <c r="K15" s="18" t="s">
        <v>14</v>
      </c>
    </row>
    <row r="16" spans="1:25" ht="12.75" customHeight="1" x14ac:dyDescent="0.2">
      <c r="B16" s="2"/>
      <c r="C16" s="2"/>
      <c r="D16" s="2"/>
      <c r="E16" s="2"/>
      <c r="F16" s="2"/>
      <c r="G16" s="11"/>
      <c r="H16" s="11"/>
      <c r="I16" s="18"/>
    </row>
    <row r="17" spans="2:21" ht="12.75" customHeight="1" x14ac:dyDescent="0.2">
      <c r="B17" s="2"/>
      <c r="C17" s="2"/>
      <c r="D17" s="2"/>
      <c r="E17" s="2"/>
      <c r="F17" s="2"/>
      <c r="G17" s="11"/>
      <c r="H17"/>
      <c r="I17" s="18"/>
    </row>
    <row r="18" spans="2:21" x14ac:dyDescent="0.2">
      <c r="H18"/>
      <c r="K18" s="11"/>
      <c r="L18" s="18"/>
      <c r="M18" s="11"/>
      <c r="N18" s="11"/>
      <c r="O18" s="11"/>
      <c r="P18" s="11"/>
      <c r="Q18" s="11"/>
      <c r="R18" s="11"/>
      <c r="S18" s="11"/>
      <c r="T18" s="11"/>
      <c r="U18" s="11"/>
    </row>
    <row r="19" spans="2:21" x14ac:dyDescent="0.2">
      <c r="B19" s="8"/>
      <c r="C19" s="8"/>
      <c r="D19" s="8"/>
      <c r="E19" s="14" t="s">
        <v>30</v>
      </c>
      <c r="F19" s="14" t="s">
        <v>0</v>
      </c>
      <c r="G19" s="14" t="s">
        <v>28</v>
      </c>
      <c r="H19" s="14" t="s">
        <v>31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2:21" x14ac:dyDescent="0.2">
      <c r="B20" s="2" t="s">
        <v>24</v>
      </c>
      <c r="C20" s="2"/>
      <c r="D20" s="2"/>
      <c r="E20" s="33">
        <v>0</v>
      </c>
      <c r="F20" s="33">
        <v>632952</v>
      </c>
      <c r="G20" s="33">
        <v>59471</v>
      </c>
      <c r="H20" s="33">
        <v>0</v>
      </c>
      <c r="K20" s="18" t="s">
        <v>33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x14ac:dyDescent="0.2">
      <c r="B21" s="2"/>
      <c r="C21" s="2"/>
      <c r="D21" s="2"/>
      <c r="E21" s="2"/>
      <c r="F21" s="20"/>
      <c r="G21" s="11"/>
      <c r="H21"/>
      <c r="I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2:21" x14ac:dyDescent="0.2">
      <c r="B22" s="2"/>
      <c r="C22" s="2"/>
      <c r="D22" s="2"/>
      <c r="E22" s="2"/>
      <c r="F22" s="20"/>
      <c r="G22" s="11"/>
      <c r="H22"/>
      <c r="I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x14ac:dyDescent="0.2">
      <c r="B23" s="2"/>
      <c r="C23" s="2"/>
      <c r="D23" s="2"/>
      <c r="E23" s="2"/>
      <c r="F23" s="20"/>
      <c r="G23" s="11"/>
      <c r="H23"/>
      <c r="I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2:21" x14ac:dyDescent="0.2">
      <c r="B24" s="8"/>
      <c r="C24" s="8"/>
      <c r="D24" s="8"/>
      <c r="E24" s="14" t="s">
        <v>30</v>
      </c>
      <c r="F24" s="14" t="s">
        <v>0</v>
      </c>
      <c r="G24" s="14" t="s">
        <v>28</v>
      </c>
      <c r="H24" s="14" t="s">
        <v>31</v>
      </c>
      <c r="I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2:21" x14ac:dyDescent="0.2">
      <c r="B25" s="2" t="s">
        <v>23</v>
      </c>
      <c r="C25" s="2"/>
      <c r="D25" s="2"/>
      <c r="E25" s="36">
        <f>energy*E20/SUM($E$20:$H$20)</f>
        <v>0</v>
      </c>
      <c r="F25" s="36">
        <f>energy*F20/SUM($E$20:$H$20)</f>
        <v>7038191.9583747713</v>
      </c>
      <c r="G25" s="36">
        <f>energy*G20/SUM($E$20:$H$20)</f>
        <v>661295.50733152905</v>
      </c>
      <c r="H25" s="36">
        <f>energy*H20/SUM($E$20:$H$20)</f>
        <v>0</v>
      </c>
      <c r="I25" s="21"/>
      <c r="K25" s="11"/>
    </row>
    <row r="26" spans="2:21" x14ac:dyDescent="0.2">
      <c r="B26" s="2"/>
      <c r="C26" s="2"/>
      <c r="D26" s="2"/>
      <c r="E26" s="2"/>
      <c r="G26" s="21"/>
      <c r="H26"/>
      <c r="I26" s="21"/>
      <c r="K26" s="11"/>
    </row>
    <row r="27" spans="2:21" x14ac:dyDescent="0.2">
      <c r="H27"/>
    </row>
    <row r="28" spans="2:21" x14ac:dyDescent="0.2">
      <c r="H28"/>
    </row>
    <row r="29" spans="2:21" x14ac:dyDescent="0.2">
      <c r="B29" s="26"/>
      <c r="C29" s="26"/>
      <c r="D29" s="26"/>
      <c r="E29" s="14" t="s">
        <v>30</v>
      </c>
      <c r="F29" s="14" t="s">
        <v>0</v>
      </c>
      <c r="G29" s="14" t="s">
        <v>28</v>
      </c>
      <c r="H29" s="14" t="s">
        <v>31</v>
      </c>
      <c r="K29" s="18"/>
      <c r="L29" s="2"/>
      <c r="M29" s="2"/>
      <c r="N29" s="2"/>
    </row>
    <row r="30" spans="2:21" x14ac:dyDescent="0.2">
      <c r="B30" s="12" t="s">
        <v>10</v>
      </c>
      <c r="E30" s="37">
        <v>1.5</v>
      </c>
      <c r="F30" s="37">
        <v>1.5</v>
      </c>
      <c r="G30" s="37">
        <v>1.5</v>
      </c>
      <c r="H30" s="37">
        <v>1.5</v>
      </c>
    </row>
    <row r="31" spans="2:21" x14ac:dyDescent="0.2">
      <c r="E31" s="2"/>
      <c r="H31"/>
    </row>
    <row r="32" spans="2:21" x14ac:dyDescent="0.2">
      <c r="E32" s="2"/>
      <c r="H32"/>
    </row>
    <row r="33" spans="1:18" x14ac:dyDescent="0.2">
      <c r="F33" s="13"/>
      <c r="H33"/>
    </row>
    <row r="34" spans="1:18" x14ac:dyDescent="0.2">
      <c r="E34" s="23" t="s">
        <v>7</v>
      </c>
      <c r="F34" s="23"/>
      <c r="G34" s="24"/>
      <c r="H34" s="43"/>
    </row>
    <row r="35" spans="1:18" x14ac:dyDescent="0.2">
      <c r="B35" s="8"/>
      <c r="C35" s="8"/>
      <c r="D35" s="8"/>
      <c r="E35" s="42" t="s">
        <v>30</v>
      </c>
      <c r="F35" s="14" t="s">
        <v>0</v>
      </c>
      <c r="G35" s="14" t="s">
        <v>28</v>
      </c>
      <c r="H35" s="42" t="s">
        <v>31</v>
      </c>
    </row>
    <row r="36" spans="1:18" x14ac:dyDescent="0.2">
      <c r="B36" s="12" t="s">
        <v>9</v>
      </c>
      <c r="E36" s="32"/>
      <c r="F36" s="49">
        <f>[2]Output!D5</f>
        <v>46.053410229494425</v>
      </c>
      <c r="G36" s="49">
        <f>[2]Output!E5</f>
        <v>139.07137726532</v>
      </c>
      <c r="H36" s="32"/>
    </row>
    <row r="37" spans="1:18" x14ac:dyDescent="0.2">
      <c r="B37" s="12" t="s">
        <v>8</v>
      </c>
      <c r="E37" s="32"/>
      <c r="F37" s="49">
        <f>[2]Output!D6</f>
        <v>0.73103973571688263</v>
      </c>
      <c r="G37" s="49">
        <f>[2]Output!E6</f>
        <v>2.0543459020709918</v>
      </c>
      <c r="H37" s="32"/>
    </row>
    <row r="38" spans="1:18" x14ac:dyDescent="0.2">
      <c r="B38" s="12" t="s">
        <v>11</v>
      </c>
      <c r="E38" s="32"/>
      <c r="F38" s="49">
        <f>[2]Output!D7</f>
        <v>0.97650583841982375</v>
      </c>
      <c r="G38" s="49">
        <f>[2]Output!E7</f>
        <v>4.4315444852762091</v>
      </c>
      <c r="H38" s="32"/>
    </row>
    <row r="39" spans="1:18" x14ac:dyDescent="0.2">
      <c r="F39" s="19"/>
      <c r="G39" s="19"/>
      <c r="H39"/>
    </row>
    <row r="40" spans="1:18" x14ac:dyDescent="0.2">
      <c r="E40" s="13"/>
      <c r="H40"/>
    </row>
    <row r="41" spans="1:18" s="2" customFormat="1" x14ac:dyDescent="0.2">
      <c r="A41" s="7" t="s">
        <v>26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H42"/>
    </row>
    <row r="43" spans="1:18" x14ac:dyDescent="0.2">
      <c r="B43" s="9" t="s">
        <v>6</v>
      </c>
      <c r="C43" s="9"/>
      <c r="D43" s="9"/>
      <c r="E43" s="14" t="s">
        <v>30</v>
      </c>
      <c r="F43" s="14" t="s">
        <v>0</v>
      </c>
      <c r="G43" s="14" t="s">
        <v>28</v>
      </c>
      <c r="H43" s="14" t="s">
        <v>31</v>
      </c>
    </row>
    <row r="44" spans="1:18" x14ac:dyDescent="0.2">
      <c r="B44" s="2" t="s">
        <v>5</v>
      </c>
      <c r="C44" s="2"/>
      <c r="D44" s="2"/>
      <c r="E44" s="38">
        <f>IF(E36=0,0,IF(E$43="CBD", cbd_vcr, non_cbd_vcr)*(1-(1/(1+E$30))))</f>
        <v>0</v>
      </c>
      <c r="F44" s="38">
        <f>IF(F36=0,0,IF(F$43="CBD", cbd_vcr, non_cbd_vcr)*(1-(1/(1+F$30))))</f>
        <v>25113.689895470383</v>
      </c>
      <c r="G44" s="38">
        <f>IF(G36=0,0,IF(G$43="CBD", cbd_vcr, non_cbd_vcr)*(1-(1/(1+G$30))))</f>
        <v>25113.689895470383</v>
      </c>
      <c r="H44" s="38">
        <f>IF(H36=0,0,IF(H$43="CBD", cbd_vcr, non_cbd_vcr)*(1-(1/(1+H$30))))</f>
        <v>0</v>
      </c>
    </row>
    <row r="45" spans="1:18" x14ac:dyDescent="0.2">
      <c r="B45" s="2" t="s">
        <v>4</v>
      </c>
      <c r="C45" s="2"/>
      <c r="D45" s="2"/>
      <c r="E45" s="38">
        <f>IF(E37=0,0, IF(E$43="CBD", cbd_vcr, non_cbd_vcr)/(1+E$30))</f>
        <v>0</v>
      </c>
      <c r="F45" s="38">
        <f>IF(F37=0,0, IF(F$43="CBD", cbd_vcr, non_cbd_vcr)/(1+F$30))</f>
        <v>16742.459930313587</v>
      </c>
      <c r="G45" s="38">
        <f>IF(G37=0,0, IF(G$43="CBD", cbd_vcr, non_cbd_vcr)/(1+G$30))</f>
        <v>16742.459930313587</v>
      </c>
      <c r="H45" s="38">
        <f>IF(H37=0,0, IF(H$43="CBD", cbd_vcr, non_cbd_vcr)/(1+H$30))</f>
        <v>0</v>
      </c>
    </row>
    <row r="47" spans="1:18" x14ac:dyDescent="0.2">
      <c r="B47" s="2"/>
      <c r="C47" s="2"/>
      <c r="D47" s="2"/>
      <c r="F47" s="16"/>
      <c r="G47" s="16"/>
      <c r="H47"/>
    </row>
    <row r="48" spans="1:18" x14ac:dyDescent="0.2">
      <c r="B48" s="2"/>
      <c r="C48" s="2"/>
      <c r="D48" s="2"/>
      <c r="F48" s="15"/>
      <c r="G48" s="15"/>
      <c r="H48"/>
    </row>
    <row r="49" spans="2:16" x14ac:dyDescent="0.2">
      <c r="B49" s="9" t="s">
        <v>15</v>
      </c>
      <c r="C49" s="9"/>
      <c r="D49" s="9"/>
      <c r="E49" s="14" t="s">
        <v>30</v>
      </c>
      <c r="F49" s="14" t="s">
        <v>0</v>
      </c>
      <c r="G49" s="14" t="s">
        <v>28</v>
      </c>
      <c r="H49" s="14" t="s">
        <v>31</v>
      </c>
      <c r="I49" s="14" t="s">
        <v>29</v>
      </c>
    </row>
    <row r="50" spans="2:16" x14ac:dyDescent="0.2">
      <c r="B50" s="2" t="s">
        <v>17</v>
      </c>
      <c r="C50" s="2"/>
      <c r="D50" s="2"/>
      <c r="E50" s="39">
        <f>IF(E44=0,0,((E44*E$25)/(revenue*1000000))/mins_pa)</f>
        <v>0</v>
      </c>
      <c r="F50" s="50">
        <f>IF(F44=0,0,((F44*F$25)/(revenue*1000000))/mins_pa)*100</f>
        <v>9.1621752526845762E-2</v>
      </c>
      <c r="G50" s="50">
        <f>IF(G44=0,0,((G44*G$25)/(revenue*1000000))/mins_pa)*100</f>
        <v>8.6086105178971601E-3</v>
      </c>
      <c r="H50" s="40">
        <f>IF(H44=0,0,((H44*H$25)/(revenue*1000000))/mins_pa)</f>
        <v>0</v>
      </c>
      <c r="N50" s="22"/>
      <c r="O50" s="22"/>
      <c r="P50" s="22"/>
    </row>
    <row r="51" spans="2:16" x14ac:dyDescent="0.2">
      <c r="B51" s="2" t="s">
        <v>16</v>
      </c>
      <c r="C51" s="2"/>
      <c r="D51" s="2"/>
      <c r="E51" s="39">
        <f>IF(E45=0,0,((E45*E$25)/(revenue*1000000))/mins_pa*(E$36/E$37))</f>
        <v>0</v>
      </c>
      <c r="F51" s="50">
        <f>IF(F45=0,0,((F45*F$25)/(revenue*1000000))/mins_pa*(F$36/F$37))*100</f>
        <v>3.8479387178831121</v>
      </c>
      <c r="G51" s="50">
        <f>IF(G45=0,0,((G45*G$25)/(revenue*1000000))/mins_pa*(G$36/G$37))*100</f>
        <v>0.38851338516321771</v>
      </c>
      <c r="H51" s="39">
        <f>IF(H45=0,0,((H45*H$25)/(revenue*1000000))/mins_pa*(H$36/H$37))</f>
        <v>0</v>
      </c>
      <c r="N51" s="22"/>
      <c r="O51" s="22"/>
      <c r="P51" s="22"/>
    </row>
    <row r="52" spans="2:16" x14ac:dyDescent="0.2">
      <c r="B52" s="2" t="s">
        <v>18</v>
      </c>
      <c r="C52" s="2"/>
      <c r="D52" s="2"/>
      <c r="E52" s="39">
        <f>E51*maifi_perc</f>
        <v>0</v>
      </c>
      <c r="F52" s="50">
        <f>F51*maifi_perc</f>
        <v>0.30783509743064896</v>
      </c>
      <c r="G52" s="50">
        <f>G51*maifi_perc</f>
        <v>3.1081070813057419E-2</v>
      </c>
      <c r="H52" s="41">
        <f>H51*maifi_perc</f>
        <v>0</v>
      </c>
      <c r="N52" s="22"/>
      <c r="O52" s="22"/>
      <c r="P52" s="22"/>
    </row>
    <row r="53" spans="2:16" x14ac:dyDescent="0.2">
      <c r="B53" s="2" t="s">
        <v>12</v>
      </c>
      <c r="C53" s="2"/>
      <c r="D53" s="2"/>
      <c r="F53" s="17"/>
      <c r="G53" s="17"/>
      <c r="I53" s="30">
        <v>-4.0000000000000002E-4</v>
      </c>
      <c r="J53" s="18"/>
    </row>
    <row r="54" spans="2:16" x14ac:dyDescent="0.2">
      <c r="H54"/>
    </row>
    <row r="55" spans="2:16" x14ac:dyDescent="0.2">
      <c r="H55"/>
    </row>
    <row r="56" spans="2:16" x14ac:dyDescent="0.2">
      <c r="H56"/>
    </row>
    <row r="57" spans="2:16" x14ac:dyDescent="0.2">
      <c r="H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Calc</vt:lpstr>
      <vt:lpstr>Calc!cbd_vcr</vt:lpstr>
      <vt:lpstr>Calc!energy</vt:lpstr>
      <vt:lpstr>Calc!maifi_perc</vt:lpstr>
      <vt:lpstr>Calc!mins_pa</vt:lpstr>
      <vt:lpstr>Calc!non_cbd_vcr</vt:lpstr>
      <vt:lpstr>Calc!revenue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2020-01-24T01:07:15Z</dcterms:created>
  <dcterms:modified xsi:type="dcterms:W3CDTF">2020-11-29T23:01:19Z</dcterms:modified>
</cp:coreProperties>
</file>