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DE0A03F0-15E0-429A-9198-4A1B73C19A2D}" xr6:coauthVersionLast="45" xr6:coauthVersionMax="45" xr10:uidLastSave="{00000000-0000-0000-0000-000000000000}"/>
  <bookViews>
    <workbookView xWindow="-108" yWindow="-108" windowWidth="23256" windowHeight="12600" tabRatio="770" xr2:uid="{9BEFE7A4-40FF-4137-8ABA-ABAAE4A84DB0}"/>
  </bookViews>
  <sheets>
    <sheet name="Inputs &amp; Summary" sheetId="7" r:id="rId1"/>
    <sheet name="UsE" sheetId="37" r:id="rId2"/>
    <sheet name="M. Depot&gt;" sheetId="17" r:id="rId3"/>
    <sheet name="M. CashFlows" sheetId="1" r:id="rId4"/>
    <sheet name="M. Opt0" sheetId="10" r:id="rId5"/>
    <sheet name="M. Opt1" sheetId="11" r:id="rId6"/>
    <sheet name="M. Opt2" sheetId="12" r:id="rId7"/>
    <sheet name="M. Opt3" sheetId="13" r:id="rId8"/>
    <sheet name="M. Opt4" sheetId="14" r:id="rId9"/>
    <sheet name="K. Depot&gt;" sheetId="18" r:id="rId10"/>
    <sheet name="K. CashFlows" sheetId="20" r:id="rId11"/>
    <sheet name="K. Opt0" sheetId="21" r:id="rId12"/>
    <sheet name="K. Opt1" sheetId="22" r:id="rId13"/>
    <sheet name="K. Opt2" sheetId="23" r:id="rId14"/>
    <sheet name="K. Opt3" sheetId="24" r:id="rId15"/>
    <sheet name="K. Opt4" sheetId="25" r:id="rId16"/>
    <sheet name="B. Depot&gt;" sheetId="28" r:id="rId17"/>
    <sheet name="B. CashFlows" sheetId="30" r:id="rId18"/>
    <sheet name="B. Opt0" sheetId="31" r:id="rId19"/>
    <sheet name="B. Opt1" sheetId="32" r:id="rId20"/>
    <sheet name="B. Opt2" sheetId="33" r:id="rId21"/>
  </sheets>
  <definedNames>
    <definedName name="cbd_vcr" localSheetId="1">UsE!$H$14</definedName>
    <definedName name="energy" localSheetId="1">UsE!$F$6</definedName>
    <definedName name="maifi_perc" localSheetId="1">UsE!$F$9</definedName>
    <definedName name="mins_pa" localSheetId="1">UsE!$F$8</definedName>
    <definedName name="non_cbd_vcr" localSheetId="1">UsE!$H$15</definedName>
    <definedName name="revenue" localSheetId="1">UsE!$F$7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3" i="31" l="1"/>
  <c r="D103" i="31"/>
  <c r="E103" i="31"/>
  <c r="F103" i="31"/>
  <c r="G103" i="31"/>
  <c r="H103" i="31"/>
  <c r="I103" i="31"/>
  <c r="J103" i="31"/>
  <c r="K103" i="31"/>
  <c r="L103" i="31"/>
  <c r="M103" i="31"/>
  <c r="N103" i="31"/>
  <c r="O103" i="31"/>
  <c r="P103" i="31"/>
  <c r="Q103" i="31"/>
  <c r="R103" i="31"/>
  <c r="S103" i="31"/>
  <c r="T103" i="31"/>
  <c r="U103" i="31"/>
  <c r="V103" i="31"/>
  <c r="W103" i="31"/>
  <c r="X103" i="31"/>
  <c r="Y103" i="31"/>
  <c r="Z103" i="31"/>
  <c r="AA103" i="31"/>
  <c r="B103" i="31"/>
  <c r="B172" i="31" l="1"/>
  <c r="B120" i="31"/>
  <c r="B69" i="31"/>
  <c r="B57" i="31"/>
  <c r="B68" i="21"/>
  <c r="B56" i="21"/>
  <c r="B65" i="25"/>
  <c r="B54" i="25"/>
  <c r="B131" i="25"/>
  <c r="B128" i="21"/>
  <c r="B64" i="22"/>
  <c r="B53" i="22"/>
  <c r="B182" i="10"/>
  <c r="B142" i="10"/>
  <c r="B68" i="10"/>
  <c r="B58" i="10"/>
  <c r="B85" i="11"/>
  <c r="B61" i="11"/>
  <c r="B52" i="11"/>
  <c r="B67" i="14"/>
  <c r="B57" i="14"/>
  <c r="B23" i="13"/>
  <c r="B110" i="31"/>
  <c r="B122" i="25"/>
  <c r="B118" i="21"/>
  <c r="B132" i="10"/>
  <c r="E95" i="7"/>
  <c r="B57" i="10" s="1"/>
  <c r="E90" i="7"/>
  <c r="B131" i="10" s="1"/>
  <c r="E84" i="7"/>
  <c r="B71" i="11" s="1"/>
  <c r="G84" i="7"/>
  <c r="B161" i="31" s="1"/>
  <c r="G86" i="7" l="1"/>
  <c r="B32" i="11"/>
  <c r="B34" i="10"/>
  <c r="B22" i="13"/>
  <c r="B51" i="11"/>
  <c r="B67" i="10"/>
  <c r="B34" i="31"/>
  <c r="B35" i="14"/>
  <c r="E86" i="7"/>
  <c r="B127" i="14"/>
  <c r="B56" i="14"/>
  <c r="B60" i="11"/>
  <c r="B141" i="10"/>
  <c r="B79" i="31"/>
  <c r="B77" i="14"/>
  <c r="B78" i="10"/>
  <c r="B66" i="14"/>
  <c r="B84" i="11"/>
  <c r="B181" i="10"/>
  <c r="B137" i="14"/>
  <c r="A13" i="31"/>
  <c r="A12" i="31"/>
  <c r="A11" i="31"/>
  <c r="A10" i="31"/>
  <c r="A9" i="31"/>
  <c r="C100" i="31"/>
  <c r="D100" i="31" s="1"/>
  <c r="E100" i="31" s="1"/>
  <c r="F100" i="31" s="1"/>
  <c r="G100" i="31" s="1"/>
  <c r="H100" i="31" s="1"/>
  <c r="I100" i="31" s="1"/>
  <c r="J100" i="31" s="1"/>
  <c r="K100" i="31" s="1"/>
  <c r="L100" i="31" s="1"/>
  <c r="M100" i="31" s="1"/>
  <c r="N100" i="31" s="1"/>
  <c r="O100" i="31" s="1"/>
  <c r="P100" i="31" s="1"/>
  <c r="Q100" i="31" s="1"/>
  <c r="R100" i="31" s="1"/>
  <c r="S100" i="31" s="1"/>
  <c r="T100" i="31" s="1"/>
  <c r="U100" i="31" s="1"/>
  <c r="V100" i="31" s="1"/>
  <c r="W100" i="31" s="1"/>
  <c r="X100" i="31" s="1"/>
  <c r="Y100" i="31" s="1"/>
  <c r="Z100" i="31" s="1"/>
  <c r="AA100" i="31" s="1"/>
  <c r="C99" i="31"/>
  <c r="D99" i="31" s="1"/>
  <c r="E99" i="31" s="1"/>
  <c r="F99" i="31" s="1"/>
  <c r="G99" i="31" s="1"/>
  <c r="H99" i="31" s="1"/>
  <c r="C165" i="31"/>
  <c r="D165" i="31" s="1"/>
  <c r="E165" i="31" s="1"/>
  <c r="F165" i="31" s="1"/>
  <c r="G165" i="31" s="1"/>
  <c r="H165" i="31" s="1"/>
  <c r="I165" i="31" s="1"/>
  <c r="J165" i="31" s="1"/>
  <c r="K165" i="31" s="1"/>
  <c r="L165" i="31" s="1"/>
  <c r="M165" i="31" s="1"/>
  <c r="N165" i="31" s="1"/>
  <c r="O165" i="31" s="1"/>
  <c r="P165" i="31" s="1"/>
  <c r="Q165" i="31" s="1"/>
  <c r="R165" i="31" s="1"/>
  <c r="S165" i="31" s="1"/>
  <c r="T165" i="31" s="1"/>
  <c r="U165" i="31" s="1"/>
  <c r="V165" i="31" s="1"/>
  <c r="W165" i="31" s="1"/>
  <c r="X165" i="31" s="1"/>
  <c r="Y165" i="31" s="1"/>
  <c r="Z165" i="31" s="1"/>
  <c r="AA165" i="31" s="1"/>
  <c r="C166" i="31"/>
  <c r="D166" i="31" s="1"/>
  <c r="E166" i="31" s="1"/>
  <c r="F166" i="31" s="1"/>
  <c r="G166" i="31" s="1"/>
  <c r="H166" i="31" s="1"/>
  <c r="I166" i="31" s="1"/>
  <c r="J166" i="31" s="1"/>
  <c r="K166" i="31" s="1"/>
  <c r="L166" i="31" s="1"/>
  <c r="M166" i="31" s="1"/>
  <c r="N166" i="31" s="1"/>
  <c r="O166" i="31" s="1"/>
  <c r="P166" i="31" s="1"/>
  <c r="Q166" i="31" s="1"/>
  <c r="R166" i="31" s="1"/>
  <c r="S166" i="31" s="1"/>
  <c r="T166" i="31" s="1"/>
  <c r="U166" i="31" s="1"/>
  <c r="V166" i="31" s="1"/>
  <c r="W166" i="31" s="1"/>
  <c r="X166" i="31" s="1"/>
  <c r="Y166" i="31" s="1"/>
  <c r="Z166" i="31" s="1"/>
  <c r="AA166" i="31" s="1"/>
  <c r="C175" i="31"/>
  <c r="D175" i="31" s="1"/>
  <c r="E175" i="31" s="1"/>
  <c r="F175" i="31" s="1"/>
  <c r="G175" i="31" s="1"/>
  <c r="H175" i="31" s="1"/>
  <c r="I175" i="31" s="1"/>
  <c r="J175" i="31" s="1"/>
  <c r="K175" i="31" s="1"/>
  <c r="L175" i="31" s="1"/>
  <c r="M175" i="31" s="1"/>
  <c r="N175" i="31" s="1"/>
  <c r="O175" i="31" s="1"/>
  <c r="P175" i="31" s="1"/>
  <c r="Q175" i="31" s="1"/>
  <c r="R175" i="31" s="1"/>
  <c r="S175" i="31" s="1"/>
  <c r="T175" i="31" s="1"/>
  <c r="U175" i="31" s="1"/>
  <c r="V175" i="31" s="1"/>
  <c r="W175" i="31" s="1"/>
  <c r="X175" i="31" s="1"/>
  <c r="Y175" i="31" s="1"/>
  <c r="Z175" i="31" s="1"/>
  <c r="AA175" i="31" s="1"/>
  <c r="B87" i="31"/>
  <c r="C84" i="31"/>
  <c r="D84" i="31" s="1"/>
  <c r="E84" i="31" s="1"/>
  <c r="F84" i="31" s="1"/>
  <c r="G84" i="31" s="1"/>
  <c r="H84" i="31" s="1"/>
  <c r="I84" i="31" s="1"/>
  <c r="J84" i="31" s="1"/>
  <c r="K84" i="31" s="1"/>
  <c r="L84" i="31" s="1"/>
  <c r="M84" i="31" s="1"/>
  <c r="N84" i="31" s="1"/>
  <c r="O84" i="31" s="1"/>
  <c r="P84" i="31" s="1"/>
  <c r="Q84" i="31" s="1"/>
  <c r="R84" i="31" s="1"/>
  <c r="S84" i="31" s="1"/>
  <c r="T84" i="31" s="1"/>
  <c r="U84" i="31" s="1"/>
  <c r="V84" i="31" s="1"/>
  <c r="W84" i="31" s="1"/>
  <c r="X84" i="31" s="1"/>
  <c r="Y84" i="31" s="1"/>
  <c r="Z84" i="31" s="1"/>
  <c r="AA84" i="31" s="1"/>
  <c r="C83" i="31"/>
  <c r="D83" i="31" s="1"/>
  <c r="E83" i="31" s="1"/>
  <c r="F83" i="31" s="1"/>
  <c r="G83" i="31" s="1"/>
  <c r="H83" i="31" s="1"/>
  <c r="I83" i="31" s="1"/>
  <c r="J83" i="31" s="1"/>
  <c r="K83" i="31" s="1"/>
  <c r="L83" i="31" s="1"/>
  <c r="M83" i="31" s="1"/>
  <c r="N83" i="31" s="1"/>
  <c r="O83" i="31" s="1"/>
  <c r="P83" i="31" s="1"/>
  <c r="Q83" i="31" s="1"/>
  <c r="R83" i="31" s="1"/>
  <c r="S83" i="31" s="1"/>
  <c r="T83" i="31" s="1"/>
  <c r="U83" i="31" s="1"/>
  <c r="V83" i="31" s="1"/>
  <c r="W83" i="31" s="1"/>
  <c r="X83" i="31" s="1"/>
  <c r="Y83" i="31" s="1"/>
  <c r="Z83" i="31" s="1"/>
  <c r="AA83" i="31" s="1"/>
  <c r="C73" i="31"/>
  <c r="D73" i="31" s="1"/>
  <c r="E73" i="31" s="1"/>
  <c r="F73" i="31" s="1"/>
  <c r="G73" i="31" s="1"/>
  <c r="H73" i="31" s="1"/>
  <c r="I73" i="31" s="1"/>
  <c r="J73" i="31" s="1"/>
  <c r="K73" i="31" s="1"/>
  <c r="L73" i="31" s="1"/>
  <c r="M73" i="31" s="1"/>
  <c r="N73" i="31" s="1"/>
  <c r="O73" i="31" s="1"/>
  <c r="P73" i="31" s="1"/>
  <c r="Q73" i="31" s="1"/>
  <c r="R73" i="31" s="1"/>
  <c r="S73" i="31" s="1"/>
  <c r="T73" i="31" s="1"/>
  <c r="U73" i="31" s="1"/>
  <c r="V73" i="31" s="1"/>
  <c r="W73" i="31" s="1"/>
  <c r="X73" i="31" s="1"/>
  <c r="Y73" i="31" s="1"/>
  <c r="Z73" i="31" s="1"/>
  <c r="AA73" i="31" s="1"/>
  <c r="C72" i="31"/>
  <c r="D72" i="31" s="1"/>
  <c r="E72" i="31" s="1"/>
  <c r="F72" i="31" s="1"/>
  <c r="G72" i="31" s="1"/>
  <c r="H72" i="31" s="1"/>
  <c r="I72" i="31" s="1"/>
  <c r="J72" i="31" s="1"/>
  <c r="K72" i="31" s="1"/>
  <c r="L72" i="31" s="1"/>
  <c r="M72" i="31" s="1"/>
  <c r="N72" i="31" s="1"/>
  <c r="O72" i="31" s="1"/>
  <c r="P72" i="31" s="1"/>
  <c r="Q72" i="31" s="1"/>
  <c r="R72" i="31" s="1"/>
  <c r="S72" i="31" s="1"/>
  <c r="T72" i="31" s="1"/>
  <c r="U72" i="31" s="1"/>
  <c r="V72" i="31" s="1"/>
  <c r="W72" i="31" s="1"/>
  <c r="X72" i="31" s="1"/>
  <c r="Y72" i="31" s="1"/>
  <c r="Z72" i="31" s="1"/>
  <c r="AA72" i="31" s="1"/>
  <c r="C61" i="31"/>
  <c r="D61" i="31" s="1"/>
  <c r="D87" i="31" s="1"/>
  <c r="C60" i="31"/>
  <c r="D60" i="31" s="1"/>
  <c r="E60" i="31" s="1"/>
  <c r="F60" i="31" s="1"/>
  <c r="G60" i="31" s="1"/>
  <c r="H60" i="31" s="1"/>
  <c r="I60" i="31" s="1"/>
  <c r="J60" i="31" s="1"/>
  <c r="K60" i="31" s="1"/>
  <c r="L60" i="31" s="1"/>
  <c r="M60" i="31" s="1"/>
  <c r="N60" i="31" s="1"/>
  <c r="O60" i="31" s="1"/>
  <c r="P60" i="31" s="1"/>
  <c r="Q60" i="31" s="1"/>
  <c r="R60" i="31" s="1"/>
  <c r="S60" i="31" s="1"/>
  <c r="T60" i="31" s="1"/>
  <c r="U60" i="31" s="1"/>
  <c r="V60" i="31" s="1"/>
  <c r="W60" i="31" s="1"/>
  <c r="X60" i="31" s="1"/>
  <c r="Y60" i="31" s="1"/>
  <c r="Z60" i="31" s="1"/>
  <c r="AA60" i="31" s="1"/>
  <c r="A8" i="31"/>
  <c r="B50" i="31"/>
  <c r="C46" i="31"/>
  <c r="D46" i="31" s="1"/>
  <c r="E46" i="31" s="1"/>
  <c r="F46" i="31" s="1"/>
  <c r="G46" i="31" s="1"/>
  <c r="H46" i="31" s="1"/>
  <c r="I46" i="31" s="1"/>
  <c r="J46" i="31" s="1"/>
  <c r="K46" i="31" s="1"/>
  <c r="L46" i="31" s="1"/>
  <c r="M46" i="31" s="1"/>
  <c r="N46" i="31" s="1"/>
  <c r="O46" i="31" s="1"/>
  <c r="P46" i="31" s="1"/>
  <c r="Q46" i="31" s="1"/>
  <c r="R46" i="31" s="1"/>
  <c r="S46" i="31" s="1"/>
  <c r="T46" i="31" s="1"/>
  <c r="U46" i="31" s="1"/>
  <c r="V46" i="31" s="1"/>
  <c r="W46" i="31" s="1"/>
  <c r="X46" i="31" s="1"/>
  <c r="Y46" i="31" s="1"/>
  <c r="Z46" i="31" s="1"/>
  <c r="AA46" i="31" s="1"/>
  <c r="C39" i="31"/>
  <c r="D39" i="31" s="1"/>
  <c r="E39" i="31" s="1"/>
  <c r="F39" i="31" s="1"/>
  <c r="G39" i="31" s="1"/>
  <c r="H39" i="31" s="1"/>
  <c r="I39" i="31" s="1"/>
  <c r="J39" i="31" s="1"/>
  <c r="K39" i="31" s="1"/>
  <c r="L39" i="31" s="1"/>
  <c r="M39" i="31" s="1"/>
  <c r="N39" i="31" s="1"/>
  <c r="O39" i="31" s="1"/>
  <c r="P39" i="31" s="1"/>
  <c r="Q39" i="31" s="1"/>
  <c r="R39" i="31" s="1"/>
  <c r="S39" i="31" s="1"/>
  <c r="T39" i="31" s="1"/>
  <c r="U39" i="31" s="1"/>
  <c r="V39" i="31" s="1"/>
  <c r="W39" i="31" s="1"/>
  <c r="X39" i="31" s="1"/>
  <c r="Y39" i="31" s="1"/>
  <c r="Z39" i="31" s="1"/>
  <c r="AA39" i="31" s="1"/>
  <c r="C38" i="31"/>
  <c r="D38" i="31" s="1"/>
  <c r="E38" i="31" s="1"/>
  <c r="F38" i="31" s="1"/>
  <c r="G38" i="31" s="1"/>
  <c r="H38" i="31" s="1"/>
  <c r="I38" i="31" s="1"/>
  <c r="J38" i="31" s="1"/>
  <c r="K38" i="31" s="1"/>
  <c r="L38" i="31" s="1"/>
  <c r="M38" i="31" s="1"/>
  <c r="N38" i="31" s="1"/>
  <c r="O38" i="31" s="1"/>
  <c r="P38" i="31" s="1"/>
  <c r="Q38" i="31" s="1"/>
  <c r="R38" i="31" s="1"/>
  <c r="S38" i="31" s="1"/>
  <c r="T38" i="31" s="1"/>
  <c r="U38" i="31" s="1"/>
  <c r="V38" i="31" s="1"/>
  <c r="W38" i="31" s="1"/>
  <c r="X38" i="31" s="1"/>
  <c r="Y38" i="31" s="1"/>
  <c r="Z38" i="31" s="1"/>
  <c r="AA38" i="31" s="1"/>
  <c r="C28" i="31"/>
  <c r="C50" i="31" s="1"/>
  <c r="C27" i="31"/>
  <c r="D27" i="31" s="1"/>
  <c r="E27" i="31" s="1"/>
  <c r="F27" i="31" s="1"/>
  <c r="G27" i="31" s="1"/>
  <c r="H27" i="31" s="1"/>
  <c r="I27" i="31" s="1"/>
  <c r="J27" i="31" s="1"/>
  <c r="K27" i="31" s="1"/>
  <c r="L27" i="31" s="1"/>
  <c r="M27" i="31" s="1"/>
  <c r="N27" i="31" s="1"/>
  <c r="O27" i="31" s="1"/>
  <c r="P27" i="31" s="1"/>
  <c r="Q27" i="31" s="1"/>
  <c r="R27" i="31" s="1"/>
  <c r="S27" i="31" s="1"/>
  <c r="T27" i="31" s="1"/>
  <c r="U27" i="31" s="1"/>
  <c r="V27" i="31" s="1"/>
  <c r="W27" i="31" s="1"/>
  <c r="X27" i="31" s="1"/>
  <c r="Y27" i="31" s="1"/>
  <c r="Z27" i="31" s="1"/>
  <c r="AA27" i="31" s="1"/>
  <c r="G94" i="7"/>
  <c r="G89" i="7"/>
  <c r="F83" i="7"/>
  <c r="F84" i="7" s="1"/>
  <c r="B78" i="21" l="1"/>
  <c r="B32" i="22"/>
  <c r="B74" i="22"/>
  <c r="B33" i="21"/>
  <c r="B75" i="25"/>
  <c r="F86" i="7"/>
  <c r="B33" i="25"/>
  <c r="F89" i="7"/>
  <c r="F90" i="7" s="1"/>
  <c r="G90" i="7"/>
  <c r="B109" i="31" s="1"/>
  <c r="F94" i="7"/>
  <c r="F95" i="7" s="1"/>
  <c r="G95" i="7"/>
  <c r="I99" i="31"/>
  <c r="J99" i="31" s="1"/>
  <c r="K99" i="31" s="1"/>
  <c r="E61" i="31"/>
  <c r="C87" i="31"/>
  <c r="D28" i="31"/>
  <c r="AA43" i="20"/>
  <c r="Z43" i="20"/>
  <c r="Y43" i="20"/>
  <c r="X43" i="20"/>
  <c r="W43" i="20"/>
  <c r="V43" i="20"/>
  <c r="U43" i="20"/>
  <c r="T43" i="20"/>
  <c r="S43" i="20"/>
  <c r="R43" i="20"/>
  <c r="Q43" i="20"/>
  <c r="P43" i="20"/>
  <c r="O43" i="20"/>
  <c r="N43" i="20"/>
  <c r="M43" i="20"/>
  <c r="L43" i="20"/>
  <c r="K43" i="20"/>
  <c r="J43" i="20"/>
  <c r="I43" i="20"/>
  <c r="H43" i="20"/>
  <c r="G43" i="20"/>
  <c r="F43" i="20"/>
  <c r="I65" i="7"/>
  <c r="AA44" i="1"/>
  <c r="Z44" i="1"/>
  <c r="Y44" i="1"/>
  <c r="X44" i="1"/>
  <c r="W44" i="1"/>
  <c r="V44" i="1"/>
  <c r="U44" i="1"/>
  <c r="T44" i="1"/>
  <c r="S44" i="1"/>
  <c r="R44" i="1"/>
  <c r="Q44" i="1"/>
  <c r="P44" i="1"/>
  <c r="O44" i="1"/>
  <c r="N44" i="1"/>
  <c r="M44" i="1"/>
  <c r="L44" i="1"/>
  <c r="K44" i="1"/>
  <c r="J44" i="1"/>
  <c r="I44" i="1"/>
  <c r="H44" i="1"/>
  <c r="G44" i="1"/>
  <c r="F44" i="1"/>
  <c r="B117" i="21" l="1"/>
  <c r="B22" i="24"/>
  <c r="B19" i="23"/>
  <c r="B87" i="22"/>
  <c r="B121" i="25"/>
  <c r="B119" i="31"/>
  <c r="B68" i="31"/>
  <c r="B56" i="31"/>
  <c r="B171" i="31"/>
  <c r="B127" i="21"/>
  <c r="B63" i="22"/>
  <c r="B53" i="25"/>
  <c r="B67" i="21"/>
  <c r="B52" i="22"/>
  <c r="B55" i="21"/>
  <c r="B130" i="25"/>
  <c r="B64" i="25"/>
  <c r="L99" i="31"/>
  <c r="E87" i="31"/>
  <c r="F61" i="31"/>
  <c r="D50" i="31"/>
  <c r="E28" i="31"/>
  <c r="M99" i="31" l="1"/>
  <c r="G61" i="31"/>
  <c r="F87" i="31"/>
  <c r="E50" i="31"/>
  <c r="F28" i="31"/>
  <c r="N99" i="31" l="1"/>
  <c r="H61" i="31"/>
  <c r="G87" i="31"/>
  <c r="F50" i="31"/>
  <c r="G28" i="31"/>
  <c r="O99" i="31" l="1"/>
  <c r="H87" i="31"/>
  <c r="I61" i="31"/>
  <c r="G50" i="31"/>
  <c r="H28" i="31"/>
  <c r="P99" i="31" l="1"/>
  <c r="I87" i="31"/>
  <c r="J61" i="31"/>
  <c r="H50" i="31"/>
  <c r="I28" i="31"/>
  <c r="Q99" i="31" l="1"/>
  <c r="K61" i="31"/>
  <c r="J87" i="31"/>
  <c r="I50" i="31"/>
  <c r="J28" i="31"/>
  <c r="R99" i="31" l="1"/>
  <c r="L61" i="31"/>
  <c r="K87" i="31"/>
  <c r="K28" i="31"/>
  <c r="J50" i="31"/>
  <c r="S99" i="31" l="1"/>
  <c r="L87" i="31"/>
  <c r="M61" i="31"/>
  <c r="K50" i="31"/>
  <c r="L28" i="31"/>
  <c r="T99" i="31" l="1"/>
  <c r="M87" i="31"/>
  <c r="N61" i="31"/>
  <c r="L50" i="31"/>
  <c r="M28" i="31"/>
  <c r="U99" i="31" l="1"/>
  <c r="O61" i="31"/>
  <c r="N87" i="31"/>
  <c r="M50" i="31"/>
  <c r="N28" i="31"/>
  <c r="V99" i="31" l="1"/>
  <c r="P61" i="31"/>
  <c r="O87" i="31"/>
  <c r="O28" i="31"/>
  <c r="N50" i="31"/>
  <c r="W99" i="31" l="1"/>
  <c r="P87" i="31"/>
  <c r="Q61" i="31"/>
  <c r="O50" i="31"/>
  <c r="P28" i="31"/>
  <c r="X99" i="31" l="1"/>
  <c r="Q87" i="31"/>
  <c r="R61" i="31"/>
  <c r="P50" i="31"/>
  <c r="Q28" i="31"/>
  <c r="Y99" i="31" l="1"/>
  <c r="S61" i="31"/>
  <c r="R87" i="31"/>
  <c r="Q50" i="31"/>
  <c r="R28" i="31"/>
  <c r="Z99" i="31" l="1"/>
  <c r="T61" i="31"/>
  <c r="S87" i="31"/>
  <c r="R50" i="31"/>
  <c r="S28" i="31"/>
  <c r="AA99" i="31" l="1"/>
  <c r="T87" i="31"/>
  <c r="U61" i="31"/>
  <c r="S50" i="31"/>
  <c r="T28" i="31"/>
  <c r="U87" i="31" l="1"/>
  <c r="V61" i="31"/>
  <c r="T50" i="31"/>
  <c r="U28" i="31"/>
  <c r="W61" i="31" l="1"/>
  <c r="V87" i="31"/>
  <c r="U50" i="31"/>
  <c r="V28" i="31"/>
  <c r="X61" i="31" l="1"/>
  <c r="W87" i="31"/>
  <c r="W28" i="31"/>
  <c r="V50" i="31"/>
  <c r="X87" i="31" l="1"/>
  <c r="Y61" i="31"/>
  <c r="W50" i="31"/>
  <c r="X28" i="31"/>
  <c r="Y87" i="31" l="1"/>
  <c r="Z61" i="31"/>
  <c r="X50" i="31"/>
  <c r="Y28" i="31"/>
  <c r="AA61" i="31" l="1"/>
  <c r="AA87" i="31" s="1"/>
  <c r="Z87" i="31"/>
  <c r="Y50" i="31"/>
  <c r="Z28" i="31"/>
  <c r="Z50" i="31" l="1"/>
  <c r="AA28" i="31"/>
  <c r="AA50" i="31" s="1"/>
  <c r="E21" i="37" l="1"/>
  <c r="H21" i="37"/>
  <c r="G21" i="37"/>
  <c r="F21" i="37"/>
  <c r="E61" i="37"/>
  <c r="H45" i="37"/>
  <c r="H51" i="37" s="1"/>
  <c r="H52" i="37" s="1"/>
  <c r="E45" i="37"/>
  <c r="E51" i="37" s="1"/>
  <c r="E52" i="37" s="1"/>
  <c r="H44" i="37"/>
  <c r="H50" i="37" s="1"/>
  <c r="E44" i="37"/>
  <c r="E50" i="37" s="1"/>
  <c r="F45" i="37"/>
  <c r="H25" i="37"/>
  <c r="G25" i="37"/>
  <c r="F25" i="37"/>
  <c r="E56" i="37" s="1"/>
  <c r="E25" i="37"/>
  <c r="G15" i="37"/>
  <c r="H15" i="37" s="1"/>
  <c r="G14" i="37"/>
  <c r="H14" i="37" s="1"/>
  <c r="F8" i="37"/>
  <c r="E57" i="37" s="1"/>
  <c r="E58" i="37" s="1"/>
  <c r="E62" i="37" l="1"/>
  <c r="E63" i="37" s="1"/>
  <c r="E66" i="37" s="1"/>
  <c r="E81" i="7" s="1"/>
  <c r="F51" i="37"/>
  <c r="F52" i="37" s="1"/>
  <c r="G44" i="37"/>
  <c r="G50" i="37" s="1"/>
  <c r="F44" i="37"/>
  <c r="F50" i="37" s="1"/>
  <c r="G45" i="37"/>
  <c r="G51" i="37" s="1"/>
  <c r="G52" i="37" s="1"/>
  <c r="G183" i="7" l="1"/>
  <c r="G185" i="7" l="1"/>
  <c r="E191" i="7" l="1"/>
  <c r="F191" i="7" s="1"/>
  <c r="G191" i="7" s="1"/>
  <c r="G181" i="7" l="1"/>
  <c r="C284" i="7" l="1"/>
  <c r="C283" i="7"/>
  <c r="C282" i="7"/>
  <c r="C281" i="7"/>
  <c r="C280" i="7"/>
  <c r="C279" i="7"/>
  <c r="C278" i="7"/>
  <c r="C277" i="7"/>
  <c r="C276" i="7"/>
  <c r="C275" i="7"/>
  <c r="C274" i="7"/>
  <c r="C273" i="7"/>
  <c r="C272" i="7"/>
  <c r="E270" i="7"/>
  <c r="F270" i="7" s="1"/>
  <c r="G270" i="7" s="1"/>
  <c r="H270" i="7" s="1"/>
  <c r="I270" i="7" s="1"/>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E263" i="7"/>
  <c r="F263" i="7" s="1"/>
  <c r="G263" i="7" s="1"/>
  <c r="H263" i="7" s="1"/>
  <c r="I263" i="7" s="1"/>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E259" i="7"/>
  <c r="F259" i="7" s="1"/>
  <c r="G259" i="7" s="1"/>
  <c r="H259" i="7" s="1"/>
  <c r="I259" i="7" s="1"/>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C219" i="7"/>
  <c r="C218" i="7"/>
  <c r="C217" i="7"/>
  <c r="C216" i="7"/>
  <c r="C215" i="7"/>
  <c r="C214" i="7"/>
  <c r="C213" i="7"/>
  <c r="C212" i="7"/>
  <c r="C211" i="7"/>
  <c r="C210" i="7"/>
  <c r="C209" i="7"/>
  <c r="C208" i="7"/>
  <c r="C207" i="7"/>
  <c r="E206" i="7"/>
  <c r="F206" i="7" s="1"/>
  <c r="G206" i="7" s="1"/>
  <c r="H206" i="7" s="1"/>
  <c r="I206" i="7" s="1"/>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E251" i="7"/>
  <c r="F251" i="7" s="1"/>
  <c r="G251" i="7" s="1"/>
  <c r="H251" i="7" s="1"/>
  <c r="I251" i="7" s="1"/>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C234" i="7"/>
  <c r="C233" i="7"/>
  <c r="C232" i="7"/>
  <c r="C231" i="7"/>
  <c r="C230" i="7"/>
  <c r="C229" i="7"/>
  <c r="C228" i="7"/>
  <c r="C227" i="7"/>
  <c r="C226" i="7"/>
  <c r="C225" i="7"/>
  <c r="C224" i="7"/>
  <c r="C223" i="7"/>
  <c r="C222" i="7"/>
  <c r="E221" i="7"/>
  <c r="F221" i="7" s="1"/>
  <c r="G221" i="7" s="1"/>
  <c r="H221" i="7" s="1"/>
  <c r="I221" i="7" s="1"/>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C249" i="7"/>
  <c r="C248" i="7"/>
  <c r="C247" i="7"/>
  <c r="C246" i="7"/>
  <c r="C245" i="7"/>
  <c r="C244" i="7"/>
  <c r="C243" i="7"/>
  <c r="C242" i="7"/>
  <c r="C241" i="7"/>
  <c r="C240" i="7"/>
  <c r="C239" i="7"/>
  <c r="C238" i="7"/>
  <c r="C237" i="7"/>
  <c r="E236" i="7"/>
  <c r="F236" i="7" s="1"/>
  <c r="G236" i="7" s="1"/>
  <c r="H236" i="7" s="1"/>
  <c r="I236" i="7" s="1"/>
  <c r="J236" i="7" s="1"/>
  <c r="K236" i="7" s="1"/>
  <c r="L236" i="7" s="1"/>
  <c r="M236" i="7" s="1"/>
  <c r="N236" i="7" s="1"/>
  <c r="E255" i="7"/>
  <c r="F255" i="7" s="1"/>
  <c r="G255" i="7" s="1"/>
  <c r="H255" i="7" s="1"/>
  <c r="I255" i="7" s="1"/>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P15" i="7"/>
  <c r="O15" i="7"/>
  <c r="N15" i="7"/>
  <c r="R14" i="7"/>
  <c r="Q14" i="7"/>
  <c r="P14" i="7"/>
  <c r="C14" i="7" s="1" a="1"/>
  <c r="C14" i="7" s="1"/>
  <c r="O14" i="7"/>
  <c r="N14" i="7"/>
  <c r="R13" i="7"/>
  <c r="Q13" i="7"/>
  <c r="P13" i="7"/>
  <c r="C13" i="7" s="1" a="1"/>
  <c r="C13" i="7" s="1"/>
  <c r="O13" i="7"/>
  <c r="N13" i="7"/>
  <c r="C204" i="7"/>
  <c r="C203" i="7"/>
  <c r="C202" i="7"/>
  <c r="C201" i="7"/>
  <c r="C200" i="7"/>
  <c r="C199" i="7"/>
  <c r="C198" i="7"/>
  <c r="C197" i="7"/>
  <c r="C196" i="7"/>
  <c r="C195" i="7"/>
  <c r="C194" i="7"/>
  <c r="C193" i="7"/>
  <c r="C192" i="7"/>
  <c r="H191" i="7"/>
  <c r="I191" i="7" s="1"/>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A20" i="30"/>
  <c r="Z20" i="30"/>
  <c r="Y20" i="30"/>
  <c r="X20" i="30"/>
  <c r="W20" i="30"/>
  <c r="V20" i="30"/>
  <c r="U20" i="30"/>
  <c r="T20" i="30"/>
  <c r="S20" i="30"/>
  <c r="R20" i="30"/>
  <c r="Q20" i="30"/>
  <c r="P20" i="30"/>
  <c r="O20" i="30"/>
  <c r="N20" i="30"/>
  <c r="M20" i="30"/>
  <c r="B17" i="7"/>
  <c r="B3" i="1"/>
  <c r="AA42" i="20"/>
  <c r="X42" i="20"/>
  <c r="W42" i="20"/>
  <c r="T42" i="20"/>
  <c r="S42" i="20"/>
  <c r="P42" i="20"/>
  <c r="O42" i="20"/>
  <c r="Z42" i="20"/>
  <c r="Y42" i="20"/>
  <c r="V42" i="20"/>
  <c r="U42" i="20"/>
  <c r="R42" i="20"/>
  <c r="Q42" i="20"/>
  <c r="N42" i="20"/>
  <c r="M42" i="20"/>
  <c r="AA12" i="25"/>
  <c r="Z12" i="25"/>
  <c r="Y12" i="25"/>
  <c r="X12" i="25"/>
  <c r="W12" i="25"/>
  <c r="V12" i="25"/>
  <c r="U12" i="25"/>
  <c r="T12" i="25"/>
  <c r="S12" i="25"/>
  <c r="R12" i="25"/>
  <c r="Q12" i="25"/>
  <c r="P12" i="25"/>
  <c r="O12" i="25"/>
  <c r="N12" i="25"/>
  <c r="M12" i="25"/>
  <c r="L12" i="25"/>
  <c r="K12" i="25"/>
  <c r="J12" i="25"/>
  <c r="I12" i="25"/>
  <c r="H12" i="25"/>
  <c r="G12" i="25"/>
  <c r="L11" i="25"/>
  <c r="K11" i="25"/>
  <c r="J11" i="25"/>
  <c r="I11" i="25"/>
  <c r="H11" i="25"/>
  <c r="G11" i="25"/>
  <c r="E11" i="25"/>
  <c r="D11" i="25"/>
  <c r="C11" i="25"/>
  <c r="B11" i="25"/>
  <c r="F11" i="25"/>
  <c r="C15" i="7" l="1" a="1"/>
  <c r="C15" i="7" s="1"/>
  <c r="H75" i="7" s="1"/>
  <c r="X43" i="1"/>
  <c r="T43" i="1"/>
  <c r="P43" i="1"/>
  <c r="AA43" i="1"/>
  <c r="Z43" i="1"/>
  <c r="Y43" i="1"/>
  <c r="W43" i="1"/>
  <c r="V43" i="1"/>
  <c r="U43" i="1"/>
  <c r="S43" i="1"/>
  <c r="R43" i="1"/>
  <c r="Q43" i="1"/>
  <c r="O43" i="1"/>
  <c r="N43" i="1"/>
  <c r="M43" i="1"/>
  <c r="AA11" i="14"/>
  <c r="Z11" i="14"/>
  <c r="Y11" i="14"/>
  <c r="X11" i="14"/>
  <c r="W11" i="14"/>
  <c r="V11" i="14"/>
  <c r="U11" i="14"/>
  <c r="T11" i="14"/>
  <c r="S11" i="14"/>
  <c r="R11" i="14"/>
  <c r="Q11" i="14"/>
  <c r="P11" i="14"/>
  <c r="O11" i="14"/>
  <c r="N11" i="14"/>
  <c r="M11" i="14"/>
  <c r="I64" i="7"/>
  <c r="K75" i="7" l="1"/>
  <c r="F75" i="7"/>
  <c r="I75" i="7"/>
  <c r="O75" i="7"/>
  <c r="N75" i="7"/>
  <c r="E75" i="7"/>
  <c r="J75" i="7"/>
  <c r="L75" i="7"/>
  <c r="G75" i="7"/>
  <c r="M75" i="7"/>
  <c r="A2" i="33"/>
  <c r="A2" i="32"/>
  <c r="A18" i="31"/>
  <c r="A2" i="31"/>
  <c r="B4" i="30"/>
  <c r="B3" i="30"/>
  <c r="A2" i="30"/>
  <c r="C7" i="33" l="1"/>
  <c r="D7" i="33" s="1"/>
  <c r="E7" i="33" s="1"/>
  <c r="F7" i="33" s="1"/>
  <c r="G7" i="33" s="1"/>
  <c r="H7" i="33" s="1"/>
  <c r="I7" i="33" s="1"/>
  <c r="J7" i="33" s="1"/>
  <c r="K7" i="33" s="1"/>
  <c r="L7" i="33" s="1"/>
  <c r="M7" i="33" s="1"/>
  <c r="N7" i="33" s="1"/>
  <c r="O7" i="33" s="1"/>
  <c r="P7" i="33" s="1"/>
  <c r="Q7" i="33" s="1"/>
  <c r="R7" i="33" s="1"/>
  <c r="S7" i="33" s="1"/>
  <c r="T7" i="33" s="1"/>
  <c r="U7" i="33" s="1"/>
  <c r="V7" i="33" s="1"/>
  <c r="W7" i="33" s="1"/>
  <c r="X7" i="33" s="1"/>
  <c r="Y7" i="33" s="1"/>
  <c r="Z7" i="33" s="1"/>
  <c r="AA7" i="33" s="1"/>
  <c r="C8" i="33"/>
  <c r="C7" i="32"/>
  <c r="D7" i="32" s="1"/>
  <c r="E7" i="32" s="1"/>
  <c r="F7" i="32" s="1"/>
  <c r="G7" i="32" s="1"/>
  <c r="H7" i="32" s="1"/>
  <c r="I7" i="32" s="1"/>
  <c r="J7" i="32" s="1"/>
  <c r="K7" i="32" s="1"/>
  <c r="L7" i="32" s="1"/>
  <c r="M7" i="32" s="1"/>
  <c r="N7" i="32" s="1"/>
  <c r="O7" i="32" s="1"/>
  <c r="P7" i="32" s="1"/>
  <c r="Q7" i="32" s="1"/>
  <c r="R7" i="32" s="1"/>
  <c r="S7" i="32" s="1"/>
  <c r="T7" i="32" s="1"/>
  <c r="U7" i="32" s="1"/>
  <c r="V7" i="32" s="1"/>
  <c r="W7" i="32" s="1"/>
  <c r="X7" i="32" s="1"/>
  <c r="Y7" i="32" s="1"/>
  <c r="Z7" i="32" s="1"/>
  <c r="AA7" i="32" s="1"/>
  <c r="C8" i="32"/>
  <c r="C6" i="31"/>
  <c r="D6" i="31" s="1"/>
  <c r="E6" i="31" s="1"/>
  <c r="F6" i="31" s="1"/>
  <c r="G6" i="31" s="1"/>
  <c r="H6" i="31" s="1"/>
  <c r="I6" i="31" s="1"/>
  <c r="J6" i="31" s="1"/>
  <c r="K6" i="31" s="1"/>
  <c r="L6" i="31" s="1"/>
  <c r="M6" i="31" s="1"/>
  <c r="N6" i="31" s="1"/>
  <c r="O6" i="31" s="1"/>
  <c r="P6" i="31" s="1"/>
  <c r="Q6" i="31" s="1"/>
  <c r="R6" i="31" s="1"/>
  <c r="S6" i="31" s="1"/>
  <c r="T6" i="31" s="1"/>
  <c r="U6" i="31" s="1"/>
  <c r="V6" i="31" s="1"/>
  <c r="W6" i="31" s="1"/>
  <c r="X6" i="31" s="1"/>
  <c r="Y6" i="31" s="1"/>
  <c r="Z6" i="31" s="1"/>
  <c r="AA6" i="31" s="1"/>
  <c r="C7" i="31"/>
  <c r="D7" i="31" s="1"/>
  <c r="E7" i="31" s="1"/>
  <c r="F7" i="31" s="1"/>
  <c r="G7" i="31" s="1"/>
  <c r="H7" i="31" s="1"/>
  <c r="I7" i="31" s="1"/>
  <c r="J7" i="31" s="1"/>
  <c r="K7" i="31" s="1"/>
  <c r="L7" i="31" s="1"/>
  <c r="M7" i="31" s="1"/>
  <c r="N7" i="31" s="1"/>
  <c r="O7" i="31" s="1"/>
  <c r="P7" i="31" s="1"/>
  <c r="Q7" i="31" s="1"/>
  <c r="R7" i="31" s="1"/>
  <c r="S7" i="31" s="1"/>
  <c r="T7" i="31" s="1"/>
  <c r="U7" i="31" s="1"/>
  <c r="V7" i="31" s="1"/>
  <c r="W7" i="31" s="1"/>
  <c r="X7" i="31" s="1"/>
  <c r="Y7" i="31" s="1"/>
  <c r="Z7" i="31" s="1"/>
  <c r="AA7" i="31" s="1"/>
  <c r="C184" i="31"/>
  <c r="D184" i="31" s="1"/>
  <c r="E184" i="31" s="1"/>
  <c r="F184" i="31" s="1"/>
  <c r="G184" i="31" s="1"/>
  <c r="H184" i="31" s="1"/>
  <c r="I184" i="31" s="1"/>
  <c r="J184" i="31" s="1"/>
  <c r="K184" i="31" s="1"/>
  <c r="L184" i="31" s="1"/>
  <c r="M184" i="31" s="1"/>
  <c r="N184" i="31" s="1"/>
  <c r="O184" i="31" s="1"/>
  <c r="P184" i="31" s="1"/>
  <c r="Q184" i="31" s="1"/>
  <c r="R184" i="31" s="1"/>
  <c r="S184" i="31" s="1"/>
  <c r="T184" i="31" s="1"/>
  <c r="U184" i="31" s="1"/>
  <c r="V184" i="31" s="1"/>
  <c r="W184" i="31" s="1"/>
  <c r="X184" i="31" s="1"/>
  <c r="Y184" i="31" s="1"/>
  <c r="Z184" i="31" s="1"/>
  <c r="AA184" i="31" s="1"/>
  <c r="C185" i="31"/>
  <c r="C189" i="31" s="1"/>
  <c r="B189" i="31"/>
  <c r="C113" i="31"/>
  <c r="D113" i="31" s="1"/>
  <c r="E113" i="31" s="1"/>
  <c r="F113" i="31" s="1"/>
  <c r="G113" i="31" s="1"/>
  <c r="H113" i="31" s="1"/>
  <c r="I113" i="31" s="1"/>
  <c r="J113" i="31" s="1"/>
  <c r="K113" i="31" s="1"/>
  <c r="L113" i="31" s="1"/>
  <c r="M113" i="31" s="1"/>
  <c r="N113" i="31" s="1"/>
  <c r="O113" i="31" s="1"/>
  <c r="P113" i="31" s="1"/>
  <c r="Q113" i="31" s="1"/>
  <c r="R113" i="31" s="1"/>
  <c r="S113" i="31" s="1"/>
  <c r="T113" i="31" s="1"/>
  <c r="C114" i="31"/>
  <c r="C123" i="31"/>
  <c r="D123" i="31" s="1"/>
  <c r="E123" i="31" s="1"/>
  <c r="F123" i="31" s="1"/>
  <c r="G123" i="31" s="1"/>
  <c r="H123" i="31" s="1"/>
  <c r="I123" i="31" s="1"/>
  <c r="J123" i="31" s="1"/>
  <c r="K123" i="31" s="1"/>
  <c r="L123" i="31" s="1"/>
  <c r="M123" i="31" s="1"/>
  <c r="N123" i="31" s="1"/>
  <c r="O123" i="31" s="1"/>
  <c r="P123" i="31" s="1"/>
  <c r="Q123" i="31" s="1"/>
  <c r="R123" i="31" s="1"/>
  <c r="S123" i="31" s="1"/>
  <c r="T123" i="31" s="1"/>
  <c r="U123" i="31" s="1"/>
  <c r="V123" i="31" s="1"/>
  <c r="W123" i="31" s="1"/>
  <c r="X123" i="31" s="1"/>
  <c r="Y123" i="31" s="1"/>
  <c r="Z123" i="31" s="1"/>
  <c r="AA123" i="31" s="1"/>
  <c r="C124" i="31"/>
  <c r="D124" i="31" s="1"/>
  <c r="E124" i="31" s="1"/>
  <c r="F124" i="31" s="1"/>
  <c r="G124" i="31" s="1"/>
  <c r="H124" i="31" s="1"/>
  <c r="I124" i="31" s="1"/>
  <c r="J124" i="31" s="1"/>
  <c r="K124" i="31" s="1"/>
  <c r="L124" i="31" s="1"/>
  <c r="M124" i="31" s="1"/>
  <c r="N124" i="31" s="1"/>
  <c r="O124" i="31" s="1"/>
  <c r="P124" i="31" s="1"/>
  <c r="Q124" i="31" s="1"/>
  <c r="R124" i="31" s="1"/>
  <c r="S124" i="31" s="1"/>
  <c r="T124" i="31" s="1"/>
  <c r="U124" i="31" s="1"/>
  <c r="V124" i="31" s="1"/>
  <c r="W124" i="31" s="1"/>
  <c r="X124" i="31" s="1"/>
  <c r="Y124" i="31" s="1"/>
  <c r="Z124" i="31" s="1"/>
  <c r="AA124" i="31" s="1"/>
  <c r="B127" i="31"/>
  <c r="C138" i="31"/>
  <c r="D138" i="31" s="1"/>
  <c r="E138" i="31" s="1"/>
  <c r="F138" i="31" s="1"/>
  <c r="G138" i="31" s="1"/>
  <c r="H138" i="31" s="1"/>
  <c r="I138" i="31" s="1"/>
  <c r="J138" i="31" s="1"/>
  <c r="K138" i="31" s="1"/>
  <c r="L138" i="31" s="1"/>
  <c r="M138" i="31" s="1"/>
  <c r="N138" i="31" s="1"/>
  <c r="O138" i="31" s="1"/>
  <c r="P138" i="31" s="1"/>
  <c r="Q138" i="31" s="1"/>
  <c r="R138" i="31" s="1"/>
  <c r="S138" i="31" s="1"/>
  <c r="T138" i="31" s="1"/>
  <c r="U138" i="31" s="1"/>
  <c r="V138" i="31" s="1"/>
  <c r="W138" i="31" s="1"/>
  <c r="X138" i="31" s="1"/>
  <c r="Y138" i="31" s="1"/>
  <c r="Z138" i="31" s="1"/>
  <c r="AA138" i="31" s="1"/>
  <c r="C139" i="31"/>
  <c r="D139" i="31" s="1"/>
  <c r="D154" i="31" s="1"/>
  <c r="C148" i="31"/>
  <c r="D148" i="31" s="1"/>
  <c r="E148" i="31" s="1"/>
  <c r="F148" i="31" s="1"/>
  <c r="G148" i="31" s="1"/>
  <c r="H148" i="31" s="1"/>
  <c r="I148" i="31" s="1"/>
  <c r="J148" i="31" s="1"/>
  <c r="K148" i="31" s="1"/>
  <c r="L148" i="31" s="1"/>
  <c r="M148" i="31" s="1"/>
  <c r="N148" i="31" s="1"/>
  <c r="O148" i="31" s="1"/>
  <c r="P148" i="31" s="1"/>
  <c r="Q148" i="31" s="1"/>
  <c r="R148" i="31" s="1"/>
  <c r="S148" i="31" s="1"/>
  <c r="T148" i="31" s="1"/>
  <c r="U148" i="31" s="1"/>
  <c r="V148" i="31" s="1"/>
  <c r="W148" i="31" s="1"/>
  <c r="X148" i="31" s="1"/>
  <c r="Y148" i="31" s="1"/>
  <c r="Z148" i="31" s="1"/>
  <c r="AA148" i="31" s="1"/>
  <c r="C149" i="31"/>
  <c r="D149" i="31" s="1"/>
  <c r="E149" i="31" s="1"/>
  <c r="F149" i="31" s="1"/>
  <c r="G149" i="31" s="1"/>
  <c r="H149" i="31" s="1"/>
  <c r="I149" i="31" s="1"/>
  <c r="J149" i="31" s="1"/>
  <c r="K149" i="31" s="1"/>
  <c r="L149" i="31" s="1"/>
  <c r="M149" i="31" s="1"/>
  <c r="N149" i="31" s="1"/>
  <c r="O149" i="31" s="1"/>
  <c r="P149" i="31" s="1"/>
  <c r="Q149" i="31" s="1"/>
  <c r="R149" i="31" s="1"/>
  <c r="S149" i="31" s="1"/>
  <c r="T149" i="31" s="1"/>
  <c r="U149" i="31" s="1"/>
  <c r="V149" i="31" s="1"/>
  <c r="W149" i="31" s="1"/>
  <c r="X149" i="31" s="1"/>
  <c r="Y149" i="31" s="1"/>
  <c r="Z149" i="31" s="1"/>
  <c r="AA149" i="31" s="1"/>
  <c r="B154" i="31"/>
  <c r="C5" i="30"/>
  <c r="D5" i="30" s="1"/>
  <c r="E5" i="30" s="1"/>
  <c r="F5" i="30" s="1"/>
  <c r="G5" i="30" s="1"/>
  <c r="H5" i="30" s="1"/>
  <c r="I5" i="30" s="1"/>
  <c r="J5" i="30" s="1"/>
  <c r="K5" i="30" s="1"/>
  <c r="L5" i="30" s="1"/>
  <c r="M5" i="30" s="1"/>
  <c r="N5" i="30" s="1"/>
  <c r="O5" i="30" s="1"/>
  <c r="P5" i="30" s="1"/>
  <c r="Q5" i="30" s="1"/>
  <c r="R5" i="30" s="1"/>
  <c r="S5" i="30" s="1"/>
  <c r="T5" i="30" s="1"/>
  <c r="U5" i="30" s="1"/>
  <c r="V5" i="30" s="1"/>
  <c r="W5" i="30" s="1"/>
  <c r="X5" i="30" s="1"/>
  <c r="Y5" i="30" s="1"/>
  <c r="Z5" i="30" s="1"/>
  <c r="AA5" i="30" s="1"/>
  <c r="C6" i="30"/>
  <c r="D6" i="30" s="1"/>
  <c r="E6" i="30" s="1"/>
  <c r="F6" i="30" s="1"/>
  <c r="G6" i="30" s="1"/>
  <c r="H6" i="30" s="1"/>
  <c r="I6" i="30" s="1"/>
  <c r="J6" i="30" s="1"/>
  <c r="K6" i="30" s="1"/>
  <c r="L6" i="30" s="1"/>
  <c r="M6" i="30" s="1"/>
  <c r="N6" i="30" s="1"/>
  <c r="O6" i="30" s="1"/>
  <c r="P6" i="30" s="1"/>
  <c r="Q6" i="30" s="1"/>
  <c r="R6" i="30" s="1"/>
  <c r="S6" i="30" s="1"/>
  <c r="T6" i="30" s="1"/>
  <c r="U6" i="30" s="1"/>
  <c r="V6" i="30" s="1"/>
  <c r="W6" i="30" s="1"/>
  <c r="X6" i="30" s="1"/>
  <c r="Y6" i="30" s="1"/>
  <c r="Z6" i="30" s="1"/>
  <c r="AA6" i="30" s="1"/>
  <c r="M27" i="30"/>
  <c r="N27" i="30"/>
  <c r="O27" i="30"/>
  <c r="P27" i="30"/>
  <c r="Q27" i="30"/>
  <c r="R27" i="30"/>
  <c r="S27" i="30"/>
  <c r="T27" i="30"/>
  <c r="U27" i="30"/>
  <c r="V27" i="30"/>
  <c r="W27" i="30"/>
  <c r="X27" i="30"/>
  <c r="Y27" i="30"/>
  <c r="Z27" i="30"/>
  <c r="AA27" i="30"/>
  <c r="D8" i="33" l="1"/>
  <c r="E8" i="33" s="1"/>
  <c r="F8" i="33" s="1"/>
  <c r="G8" i="33" s="1"/>
  <c r="H8" i="33" s="1"/>
  <c r="I8" i="33" s="1"/>
  <c r="J8" i="33" s="1"/>
  <c r="K8" i="33" s="1"/>
  <c r="L8" i="33" s="1"/>
  <c r="M8" i="33" s="1"/>
  <c r="N8" i="33" s="1"/>
  <c r="O8" i="33" s="1"/>
  <c r="P8" i="33" s="1"/>
  <c r="Q8" i="33" s="1"/>
  <c r="R8" i="33" s="1"/>
  <c r="S8" i="33" s="1"/>
  <c r="T8" i="33" s="1"/>
  <c r="U8" i="33" s="1"/>
  <c r="V8" i="33" s="1"/>
  <c r="W8" i="33" s="1"/>
  <c r="X8" i="33" s="1"/>
  <c r="Y8" i="33" s="1"/>
  <c r="Z8" i="33" s="1"/>
  <c r="AA8" i="33" s="1"/>
  <c r="C154" i="31"/>
  <c r="D185" i="31"/>
  <c r="E185" i="31" s="1"/>
  <c r="D8" i="32"/>
  <c r="U113" i="31"/>
  <c r="V113" i="31" s="1"/>
  <c r="W113" i="31" s="1"/>
  <c r="X113" i="31" s="1"/>
  <c r="Y113" i="31" s="1"/>
  <c r="Z113" i="31" s="1"/>
  <c r="AA113" i="31" s="1"/>
  <c r="D114" i="31"/>
  <c r="C127" i="31"/>
  <c r="E139" i="31"/>
  <c r="A19" i="25"/>
  <c r="A18" i="24"/>
  <c r="A4" i="24"/>
  <c r="A4" i="23"/>
  <c r="A17" i="22"/>
  <c r="A3" i="22"/>
  <c r="A17" i="21"/>
  <c r="A2" i="25"/>
  <c r="A2" i="24"/>
  <c r="A2" i="23"/>
  <c r="A2" i="22"/>
  <c r="A2" i="21"/>
  <c r="B4" i="20"/>
  <c r="B3" i="20"/>
  <c r="A2" i="20"/>
  <c r="G99" i="7"/>
  <c r="F99" i="7"/>
  <c r="C7" i="25"/>
  <c r="D7" i="25" s="1"/>
  <c r="E7" i="25" s="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s="1"/>
  <c r="C8" i="25"/>
  <c r="D8" i="25" s="1"/>
  <c r="E8" i="25" s="1"/>
  <c r="F8" i="25" s="1"/>
  <c r="G8" i="25" s="1"/>
  <c r="H8" i="25" s="1"/>
  <c r="I8" i="25" s="1"/>
  <c r="J8" i="25" s="1"/>
  <c r="K8" i="25" s="1"/>
  <c r="L8" i="25" s="1"/>
  <c r="M8" i="25" s="1"/>
  <c r="N8" i="25" s="1"/>
  <c r="O8" i="25" s="1"/>
  <c r="P8" i="25" s="1"/>
  <c r="Q8" i="25" s="1"/>
  <c r="R8" i="25" s="1"/>
  <c r="S8" i="25" s="1"/>
  <c r="T8" i="25" s="1"/>
  <c r="U8" i="25" s="1"/>
  <c r="V8" i="25" s="1"/>
  <c r="W8" i="25" s="1"/>
  <c r="X8" i="25" s="1"/>
  <c r="Y8" i="25" s="1"/>
  <c r="Z8" i="25" s="1"/>
  <c r="AA8" i="25" s="1"/>
  <c r="A9" i="25"/>
  <c r="A10" i="25"/>
  <c r="A12" i="25"/>
  <c r="A13" i="25"/>
  <c r="A14" i="25"/>
  <c r="C27" i="25"/>
  <c r="D27" i="25" s="1"/>
  <c r="E27" i="25" s="1"/>
  <c r="F27" i="25" s="1"/>
  <c r="G27" i="25" s="1"/>
  <c r="H27" i="25" s="1"/>
  <c r="I27" i="25" s="1"/>
  <c r="J27" i="25" s="1"/>
  <c r="K27" i="25" s="1"/>
  <c r="L27" i="25" s="1"/>
  <c r="M27" i="25" s="1"/>
  <c r="N27" i="25" s="1"/>
  <c r="O27" i="25" s="1"/>
  <c r="P27" i="25" s="1"/>
  <c r="Q27" i="25" s="1"/>
  <c r="R27" i="25" s="1"/>
  <c r="S27" i="25" s="1"/>
  <c r="T27" i="25" s="1"/>
  <c r="U27" i="25" s="1"/>
  <c r="V27" i="25" s="1"/>
  <c r="W27" i="25" s="1"/>
  <c r="X27" i="25" s="1"/>
  <c r="Y27" i="25" s="1"/>
  <c r="Z27" i="25" s="1"/>
  <c r="AA27" i="25" s="1"/>
  <c r="C28" i="25"/>
  <c r="C37" i="25"/>
  <c r="D37" i="25" s="1"/>
  <c r="E37" i="25" s="1"/>
  <c r="F37" i="25" s="1"/>
  <c r="G37" i="25" s="1"/>
  <c r="H37" i="25" s="1"/>
  <c r="I37" i="25" s="1"/>
  <c r="J37" i="25" s="1"/>
  <c r="K37" i="25" s="1"/>
  <c r="L37" i="25" s="1"/>
  <c r="M37" i="25" s="1"/>
  <c r="N37" i="25" s="1"/>
  <c r="O37" i="25" s="1"/>
  <c r="P37" i="25" s="1"/>
  <c r="Q37" i="25" s="1"/>
  <c r="R37" i="25" s="1"/>
  <c r="S37" i="25" s="1"/>
  <c r="T37" i="25" s="1"/>
  <c r="U37" i="25" s="1"/>
  <c r="V37" i="25" s="1"/>
  <c r="W37" i="25" s="1"/>
  <c r="X37" i="25" s="1"/>
  <c r="Y37" i="25" s="1"/>
  <c r="Z37" i="25" s="1"/>
  <c r="AA37" i="25" s="1"/>
  <c r="C38" i="25"/>
  <c r="D38" i="25" s="1"/>
  <c r="E38" i="25" s="1"/>
  <c r="F38" i="25" s="1"/>
  <c r="G38" i="25" s="1"/>
  <c r="H38" i="25" s="1"/>
  <c r="I38" i="25" s="1"/>
  <c r="J38" i="25" s="1"/>
  <c r="K38" i="25" s="1"/>
  <c r="L38" i="25" s="1"/>
  <c r="M38" i="25" s="1"/>
  <c r="N38" i="25" s="1"/>
  <c r="O38" i="25" s="1"/>
  <c r="P38" i="25" s="1"/>
  <c r="Q38" i="25" s="1"/>
  <c r="R38" i="25" s="1"/>
  <c r="S38" i="25" s="1"/>
  <c r="T38" i="25" s="1"/>
  <c r="U38" i="25" s="1"/>
  <c r="V38" i="25" s="1"/>
  <c r="W38" i="25" s="1"/>
  <c r="X38" i="25" s="1"/>
  <c r="Y38" i="25" s="1"/>
  <c r="Z38" i="25" s="1"/>
  <c r="AA38" i="25" s="1"/>
  <c r="C44" i="25"/>
  <c r="D44" i="25" s="1"/>
  <c r="E44" i="25" s="1"/>
  <c r="F44" i="25" s="1"/>
  <c r="G44" i="25" s="1"/>
  <c r="H44" i="25" s="1"/>
  <c r="I44" i="25" s="1"/>
  <c r="J44" i="25" s="1"/>
  <c r="K44" i="25" s="1"/>
  <c r="L44" i="25" s="1"/>
  <c r="M44" i="25" s="1"/>
  <c r="N44" i="25" s="1"/>
  <c r="O44" i="25" s="1"/>
  <c r="P44" i="25" s="1"/>
  <c r="Q44" i="25" s="1"/>
  <c r="R44" i="25" s="1"/>
  <c r="S44" i="25" s="1"/>
  <c r="T44" i="25" s="1"/>
  <c r="U44" i="25" s="1"/>
  <c r="V44" i="25" s="1"/>
  <c r="W44" i="25" s="1"/>
  <c r="X44" i="25" s="1"/>
  <c r="Y44" i="25" s="1"/>
  <c r="Z44" i="25" s="1"/>
  <c r="AA44" i="25" s="1"/>
  <c r="B47" i="25"/>
  <c r="C57" i="25"/>
  <c r="D57" i="25" s="1"/>
  <c r="E57" i="25" s="1"/>
  <c r="F57" i="25" s="1"/>
  <c r="G57" i="25" s="1"/>
  <c r="H57" i="25" s="1"/>
  <c r="I57" i="25" s="1"/>
  <c r="C58" i="25"/>
  <c r="C68" i="25"/>
  <c r="D68" i="25" s="1"/>
  <c r="C69" i="25"/>
  <c r="D69" i="25" s="1"/>
  <c r="E69" i="25" s="1"/>
  <c r="F69" i="25" s="1"/>
  <c r="G69" i="25" s="1"/>
  <c r="H69" i="25" s="1"/>
  <c r="I69" i="25" s="1"/>
  <c r="J69" i="25" s="1"/>
  <c r="K69" i="25" s="1"/>
  <c r="L69" i="25" s="1"/>
  <c r="M69" i="25" s="1"/>
  <c r="N69" i="25" s="1"/>
  <c r="O69" i="25" s="1"/>
  <c r="P69" i="25" s="1"/>
  <c r="Q69" i="25" s="1"/>
  <c r="R69" i="25" s="1"/>
  <c r="S69" i="25" s="1"/>
  <c r="T69" i="25" s="1"/>
  <c r="U69" i="25" s="1"/>
  <c r="V69" i="25" s="1"/>
  <c r="W69" i="25" s="1"/>
  <c r="X69" i="25" s="1"/>
  <c r="Y69" i="25" s="1"/>
  <c r="Z69" i="25" s="1"/>
  <c r="AA69" i="25" s="1"/>
  <c r="C79" i="25"/>
  <c r="D79" i="25" s="1"/>
  <c r="E79" i="25" s="1"/>
  <c r="F79" i="25" s="1"/>
  <c r="G79" i="25" s="1"/>
  <c r="H79" i="25" s="1"/>
  <c r="I79" i="25" s="1"/>
  <c r="J79" i="25" s="1"/>
  <c r="K79" i="25" s="1"/>
  <c r="L79" i="25" s="1"/>
  <c r="M79" i="25" s="1"/>
  <c r="N79" i="25" s="1"/>
  <c r="O79" i="25" s="1"/>
  <c r="P79" i="25" s="1"/>
  <c r="Q79" i="25" s="1"/>
  <c r="R79" i="25" s="1"/>
  <c r="S79" i="25" s="1"/>
  <c r="T79" i="25" s="1"/>
  <c r="U79" i="25" s="1"/>
  <c r="V79" i="25" s="1"/>
  <c r="W79" i="25" s="1"/>
  <c r="X79" i="25" s="1"/>
  <c r="Y79" i="25" s="1"/>
  <c r="Z79" i="25" s="1"/>
  <c r="AA79" i="25" s="1"/>
  <c r="C80" i="25"/>
  <c r="D80" i="25" s="1"/>
  <c r="E80" i="25" s="1"/>
  <c r="F80" i="25" s="1"/>
  <c r="G80" i="25" s="1"/>
  <c r="H80" i="25" s="1"/>
  <c r="I80" i="25" s="1"/>
  <c r="J80" i="25" s="1"/>
  <c r="K80" i="25" s="1"/>
  <c r="L80" i="25" s="1"/>
  <c r="M80" i="25" s="1"/>
  <c r="N80" i="25" s="1"/>
  <c r="O80" i="25" s="1"/>
  <c r="P80" i="25" s="1"/>
  <c r="Q80" i="25" s="1"/>
  <c r="R80" i="25" s="1"/>
  <c r="S80" i="25" s="1"/>
  <c r="T80" i="25" s="1"/>
  <c r="U80" i="25" s="1"/>
  <c r="V80" i="25" s="1"/>
  <c r="W80" i="25" s="1"/>
  <c r="X80" i="25" s="1"/>
  <c r="Y80" i="25" s="1"/>
  <c r="Z80" i="25" s="1"/>
  <c r="AA80" i="25" s="1"/>
  <c r="B83" i="25"/>
  <c r="C91" i="25"/>
  <c r="D91" i="25" s="1"/>
  <c r="E91" i="25" s="1"/>
  <c r="F91" i="25" s="1"/>
  <c r="G91" i="25" s="1"/>
  <c r="H91" i="25" s="1"/>
  <c r="I91" i="25" s="1"/>
  <c r="J91" i="25" s="1"/>
  <c r="K91" i="25" s="1"/>
  <c r="L91" i="25" s="1"/>
  <c r="M91" i="25" s="1"/>
  <c r="N91" i="25" s="1"/>
  <c r="O91" i="25" s="1"/>
  <c r="P91" i="25" s="1"/>
  <c r="Q91" i="25" s="1"/>
  <c r="R91" i="25" s="1"/>
  <c r="S91" i="25" s="1"/>
  <c r="T91" i="25" s="1"/>
  <c r="U91" i="25" s="1"/>
  <c r="V91" i="25" s="1"/>
  <c r="W91" i="25" s="1"/>
  <c r="X91" i="25" s="1"/>
  <c r="Y91" i="25" s="1"/>
  <c r="Z91" i="25" s="1"/>
  <c r="AA91" i="25" s="1"/>
  <c r="C92" i="25"/>
  <c r="C98" i="25"/>
  <c r="D98" i="25" s="1"/>
  <c r="E98" i="25" s="1"/>
  <c r="F98" i="25" s="1"/>
  <c r="G98" i="25" s="1"/>
  <c r="H98" i="25" s="1"/>
  <c r="I98" i="25" s="1"/>
  <c r="J98" i="25" s="1"/>
  <c r="K98" i="25" s="1"/>
  <c r="L98" i="25" s="1"/>
  <c r="M98" i="25" s="1"/>
  <c r="N98" i="25" s="1"/>
  <c r="O98" i="25" s="1"/>
  <c r="P98" i="25" s="1"/>
  <c r="Q98" i="25" s="1"/>
  <c r="R98" i="25" s="1"/>
  <c r="S98" i="25" s="1"/>
  <c r="T98" i="25" s="1"/>
  <c r="U98" i="25" s="1"/>
  <c r="V98" i="25" s="1"/>
  <c r="W98" i="25" s="1"/>
  <c r="X98" i="25" s="1"/>
  <c r="Y98" i="25" s="1"/>
  <c r="Z98" i="25" s="1"/>
  <c r="AA98" i="25" s="1"/>
  <c r="C99" i="25"/>
  <c r="D99" i="25"/>
  <c r="E99" i="25" s="1"/>
  <c r="F99" i="25" s="1"/>
  <c r="G99" i="25" s="1"/>
  <c r="H99" i="25" s="1"/>
  <c r="I99" i="25" s="1"/>
  <c r="J99" i="25" s="1"/>
  <c r="K99" i="25" s="1"/>
  <c r="L99" i="25" s="1"/>
  <c r="M99" i="25" s="1"/>
  <c r="N99" i="25" s="1"/>
  <c r="O99" i="25" s="1"/>
  <c r="P99" i="25" s="1"/>
  <c r="Q99" i="25" s="1"/>
  <c r="R99" i="25" s="1"/>
  <c r="S99" i="25" s="1"/>
  <c r="T99" i="25" s="1"/>
  <c r="U99" i="25" s="1"/>
  <c r="V99" i="25" s="1"/>
  <c r="W99" i="25" s="1"/>
  <c r="X99" i="25" s="1"/>
  <c r="Y99" i="25" s="1"/>
  <c r="Z99" i="25" s="1"/>
  <c r="AA99" i="25" s="1"/>
  <c r="M101" i="25"/>
  <c r="N101" i="25"/>
  <c r="O101" i="25"/>
  <c r="P101" i="25"/>
  <c r="Q101" i="25"/>
  <c r="R101" i="25"/>
  <c r="S101" i="25"/>
  <c r="T101" i="25"/>
  <c r="U101" i="25"/>
  <c r="V101" i="25"/>
  <c r="W101" i="25"/>
  <c r="X101" i="25"/>
  <c r="Y101" i="25"/>
  <c r="Z101" i="25"/>
  <c r="AA101" i="25"/>
  <c r="C110" i="25"/>
  <c r="D110" i="25" s="1"/>
  <c r="E110" i="25" s="1"/>
  <c r="F110" i="25" s="1"/>
  <c r="G110" i="25" s="1"/>
  <c r="H110" i="25" s="1"/>
  <c r="I110" i="25" s="1"/>
  <c r="J110" i="25" s="1"/>
  <c r="K110" i="25" s="1"/>
  <c r="L110" i="25" s="1"/>
  <c r="M110" i="25" s="1"/>
  <c r="N110" i="25" s="1"/>
  <c r="O110" i="25" s="1"/>
  <c r="P110" i="25" s="1"/>
  <c r="Q110" i="25" s="1"/>
  <c r="R110" i="25" s="1"/>
  <c r="S110" i="25" s="1"/>
  <c r="T110" i="25" s="1"/>
  <c r="U110" i="25" s="1"/>
  <c r="V110" i="25" s="1"/>
  <c r="W110" i="25" s="1"/>
  <c r="X110" i="25" s="1"/>
  <c r="Y110" i="25" s="1"/>
  <c r="Z110" i="25" s="1"/>
  <c r="AA110" i="25" s="1"/>
  <c r="C111" i="25"/>
  <c r="D111" i="25" s="1"/>
  <c r="E111" i="25" s="1"/>
  <c r="F111" i="25" s="1"/>
  <c r="G111" i="25" s="1"/>
  <c r="H111" i="25" s="1"/>
  <c r="I111" i="25" s="1"/>
  <c r="J111" i="25" s="1"/>
  <c r="K111" i="25" s="1"/>
  <c r="L111" i="25" s="1"/>
  <c r="M111" i="25" s="1"/>
  <c r="N111" i="25" s="1"/>
  <c r="O111" i="25" s="1"/>
  <c r="P111" i="25" s="1"/>
  <c r="Q111" i="25" s="1"/>
  <c r="R111" i="25" s="1"/>
  <c r="S111" i="25" s="1"/>
  <c r="T111" i="25" s="1"/>
  <c r="U111" i="25" s="1"/>
  <c r="V111" i="25" s="1"/>
  <c r="W111" i="25" s="1"/>
  <c r="X111" i="25" s="1"/>
  <c r="Y111" i="25" s="1"/>
  <c r="Z111" i="25" s="1"/>
  <c r="AA111" i="25" s="1"/>
  <c r="G112" i="25"/>
  <c r="B115" i="25"/>
  <c r="C125" i="25"/>
  <c r="D125" i="25"/>
  <c r="E125" i="25" s="1"/>
  <c r="F125" i="25" s="1"/>
  <c r="G125" i="25" s="1"/>
  <c r="H125" i="25" s="1"/>
  <c r="I125" i="25" s="1"/>
  <c r="J125" i="25" s="1"/>
  <c r="K125" i="25" s="1"/>
  <c r="L125" i="25" s="1"/>
  <c r="M125" i="25" s="1"/>
  <c r="N125" i="25" s="1"/>
  <c r="O125" i="25" s="1"/>
  <c r="P125" i="25" s="1"/>
  <c r="Q125" i="25" s="1"/>
  <c r="R125" i="25" s="1"/>
  <c r="S125" i="25" s="1"/>
  <c r="T125" i="25" s="1"/>
  <c r="U125" i="25" s="1"/>
  <c r="V125" i="25" s="1"/>
  <c r="W125" i="25" s="1"/>
  <c r="X125" i="25" s="1"/>
  <c r="Y125" i="25" s="1"/>
  <c r="Z125" i="25" s="1"/>
  <c r="AA125" i="25" s="1"/>
  <c r="C126" i="25"/>
  <c r="D126" i="25" s="1"/>
  <c r="E126" i="25" s="1"/>
  <c r="E138" i="25" s="1"/>
  <c r="C134" i="25"/>
  <c r="D134" i="25" s="1"/>
  <c r="E134" i="25" s="1"/>
  <c r="F134" i="25" s="1"/>
  <c r="G134" i="25" s="1"/>
  <c r="H134" i="25" s="1"/>
  <c r="I134" i="25" s="1"/>
  <c r="J134" i="25" s="1"/>
  <c r="K134" i="25" s="1"/>
  <c r="L134" i="25" s="1"/>
  <c r="M134" i="25" s="1"/>
  <c r="N134" i="25" s="1"/>
  <c r="O134" i="25" s="1"/>
  <c r="P134" i="25" s="1"/>
  <c r="Q134" i="25" s="1"/>
  <c r="R134" i="25" s="1"/>
  <c r="S134" i="25" s="1"/>
  <c r="T134" i="25" s="1"/>
  <c r="U134" i="25" s="1"/>
  <c r="V134" i="25" s="1"/>
  <c r="W134" i="25" s="1"/>
  <c r="X134" i="25" s="1"/>
  <c r="Y134" i="25" s="1"/>
  <c r="Z134" i="25" s="1"/>
  <c r="AA134" i="25" s="1"/>
  <c r="C135" i="25"/>
  <c r="D135" i="25" s="1"/>
  <c r="E135" i="25" s="1"/>
  <c r="F135" i="25" s="1"/>
  <c r="G135" i="25" s="1"/>
  <c r="H135" i="25" s="1"/>
  <c r="I135" i="25" s="1"/>
  <c r="J135" i="25" s="1"/>
  <c r="K135" i="25" s="1"/>
  <c r="L135" i="25" s="1"/>
  <c r="M135" i="25" s="1"/>
  <c r="N135" i="25" s="1"/>
  <c r="O135" i="25" s="1"/>
  <c r="P135" i="25" s="1"/>
  <c r="Q135" i="25" s="1"/>
  <c r="R135" i="25" s="1"/>
  <c r="S135" i="25" s="1"/>
  <c r="T135" i="25" s="1"/>
  <c r="U135" i="25" s="1"/>
  <c r="V135" i="25" s="1"/>
  <c r="W135" i="25" s="1"/>
  <c r="X135" i="25" s="1"/>
  <c r="Y135" i="25" s="1"/>
  <c r="Z135" i="25" s="1"/>
  <c r="AA135" i="25" s="1"/>
  <c r="B138" i="25"/>
  <c r="C145" i="25"/>
  <c r="D145" i="25" s="1"/>
  <c r="E145" i="25" s="1"/>
  <c r="F145" i="25" s="1"/>
  <c r="G145" i="25" s="1"/>
  <c r="H145" i="25" s="1"/>
  <c r="I145" i="25" s="1"/>
  <c r="J145" i="25" s="1"/>
  <c r="K145" i="25" s="1"/>
  <c r="L145" i="25" s="1"/>
  <c r="M145" i="25" s="1"/>
  <c r="N145" i="25" s="1"/>
  <c r="O145" i="25" s="1"/>
  <c r="P145" i="25" s="1"/>
  <c r="Q145" i="25" s="1"/>
  <c r="R145" i="25" s="1"/>
  <c r="S145" i="25" s="1"/>
  <c r="T145" i="25" s="1"/>
  <c r="U145" i="25" s="1"/>
  <c r="V145" i="25" s="1"/>
  <c r="W145" i="25" s="1"/>
  <c r="X145" i="25" s="1"/>
  <c r="Y145" i="25" s="1"/>
  <c r="Z145" i="25" s="1"/>
  <c r="AA145" i="25" s="1"/>
  <c r="C146" i="25"/>
  <c r="B150" i="25"/>
  <c r="C9" i="24"/>
  <c r="D9" i="24" s="1"/>
  <c r="E9" i="24" s="1"/>
  <c r="F9" i="24" s="1"/>
  <c r="G9" i="24" s="1"/>
  <c r="H9" i="24" s="1"/>
  <c r="I9" i="24" s="1"/>
  <c r="J9" i="24" s="1"/>
  <c r="K9" i="24" s="1"/>
  <c r="L9" i="24" s="1"/>
  <c r="M9" i="24" s="1"/>
  <c r="N9" i="24" s="1"/>
  <c r="O9" i="24" s="1"/>
  <c r="P9" i="24" s="1"/>
  <c r="Q9" i="24" s="1"/>
  <c r="R9" i="24" s="1"/>
  <c r="S9" i="24" s="1"/>
  <c r="T9" i="24" s="1"/>
  <c r="U9" i="24" s="1"/>
  <c r="V9" i="24" s="1"/>
  <c r="W9" i="24" s="1"/>
  <c r="X9" i="24" s="1"/>
  <c r="Y9" i="24" s="1"/>
  <c r="Z9" i="24" s="1"/>
  <c r="AA9" i="24" s="1"/>
  <c r="C10" i="24"/>
  <c r="C31" i="24" s="1"/>
  <c r="D10" i="24"/>
  <c r="D31" i="24" s="1"/>
  <c r="C27" i="24"/>
  <c r="D27" i="24" s="1"/>
  <c r="E27" i="24"/>
  <c r="F27" i="24" s="1"/>
  <c r="G27" i="24" s="1"/>
  <c r="H27" i="24" s="1"/>
  <c r="I27" i="24" s="1"/>
  <c r="J27" i="24" s="1"/>
  <c r="K27" i="24" s="1"/>
  <c r="L27" i="24" s="1"/>
  <c r="M27" i="24" s="1"/>
  <c r="N27" i="24" s="1"/>
  <c r="O27" i="24" s="1"/>
  <c r="P27" i="24" s="1"/>
  <c r="Q27" i="24" s="1"/>
  <c r="R27" i="24" s="1"/>
  <c r="S27" i="24" s="1"/>
  <c r="T27" i="24" s="1"/>
  <c r="U27" i="24" s="1"/>
  <c r="V27" i="24" s="1"/>
  <c r="W27" i="24" s="1"/>
  <c r="X27" i="24" s="1"/>
  <c r="Y27" i="24" s="1"/>
  <c r="Z27" i="24" s="1"/>
  <c r="AA27" i="24" s="1"/>
  <c r="C28" i="24"/>
  <c r="D28" i="24"/>
  <c r="E28" i="24"/>
  <c r="F28" i="24" s="1"/>
  <c r="G28" i="24" s="1"/>
  <c r="H28" i="24" s="1"/>
  <c r="I28" i="24" s="1"/>
  <c r="J28" i="24" s="1"/>
  <c r="K28" i="24" s="1"/>
  <c r="L28" i="24" s="1"/>
  <c r="M28" i="24" s="1"/>
  <c r="N28" i="24" s="1"/>
  <c r="O28" i="24" s="1"/>
  <c r="P28" i="24" s="1"/>
  <c r="Q28" i="24" s="1"/>
  <c r="R28" i="24" s="1"/>
  <c r="S28" i="24" s="1"/>
  <c r="T28" i="24" s="1"/>
  <c r="U28" i="24" s="1"/>
  <c r="V28" i="24" s="1"/>
  <c r="W28" i="24" s="1"/>
  <c r="X28" i="24" s="1"/>
  <c r="Y28" i="24" s="1"/>
  <c r="Z28" i="24" s="1"/>
  <c r="AA28" i="24" s="1"/>
  <c r="B31" i="24"/>
  <c r="C9" i="23"/>
  <c r="D9" i="23" s="1"/>
  <c r="E9" i="23" s="1"/>
  <c r="F9" i="23" s="1"/>
  <c r="G9" i="23" s="1"/>
  <c r="H9" i="23"/>
  <c r="I9" i="23" s="1"/>
  <c r="J9" i="23"/>
  <c r="K9" i="23" s="1"/>
  <c r="L9" i="23" s="1"/>
  <c r="M9" i="23" s="1"/>
  <c r="N9" i="23" s="1"/>
  <c r="O9" i="23"/>
  <c r="P9" i="23" s="1"/>
  <c r="Q9" i="23" s="1"/>
  <c r="R9" i="23" s="1"/>
  <c r="S9" i="23" s="1"/>
  <c r="T9" i="23" s="1"/>
  <c r="U9" i="23" s="1"/>
  <c r="V9" i="23" s="1"/>
  <c r="W9" i="23" s="1"/>
  <c r="X9" i="23" s="1"/>
  <c r="Y9" i="23" s="1"/>
  <c r="Z9" i="23" s="1"/>
  <c r="AA9" i="23" s="1"/>
  <c r="C10" i="23"/>
  <c r="D10" i="23" s="1"/>
  <c r="E10" i="23"/>
  <c r="C24" i="23"/>
  <c r="D24" i="23" s="1"/>
  <c r="E24" i="23"/>
  <c r="F24" i="23"/>
  <c r="G24" i="23"/>
  <c r="H24" i="23" s="1"/>
  <c r="I24" i="23" s="1"/>
  <c r="J24" i="23" s="1"/>
  <c r="K24" i="23" s="1"/>
  <c r="L24" i="23" s="1"/>
  <c r="M24" i="23" s="1"/>
  <c r="N24" i="23" s="1"/>
  <c r="O24" i="23" s="1"/>
  <c r="P24" i="23" s="1"/>
  <c r="Q24" i="23" s="1"/>
  <c r="R24" i="23" s="1"/>
  <c r="S24" i="23" s="1"/>
  <c r="T24" i="23" s="1"/>
  <c r="U24" i="23" s="1"/>
  <c r="V24" i="23" s="1"/>
  <c r="W24" i="23" s="1"/>
  <c r="X24" i="23" s="1"/>
  <c r="Y24" i="23" s="1"/>
  <c r="Z24" i="23" s="1"/>
  <c r="AA24" i="23" s="1"/>
  <c r="C25" i="23"/>
  <c r="D25" i="23"/>
  <c r="E25" i="23"/>
  <c r="F25" i="23"/>
  <c r="G25" i="23" s="1"/>
  <c r="H25" i="23"/>
  <c r="I25" i="23" s="1"/>
  <c r="J25" i="23"/>
  <c r="K25" i="23" s="1"/>
  <c r="L25" i="23" s="1"/>
  <c r="M25" i="23" s="1"/>
  <c r="N25" i="23" s="1"/>
  <c r="O25" i="23" s="1"/>
  <c r="P25" i="23"/>
  <c r="Q25" i="23" s="1"/>
  <c r="R25" i="23" s="1"/>
  <c r="S25" i="23" s="1"/>
  <c r="T25" i="23" s="1"/>
  <c r="U25" i="23" s="1"/>
  <c r="V25" i="23" s="1"/>
  <c r="W25" i="23" s="1"/>
  <c r="X25" i="23" s="1"/>
  <c r="Y25" i="23" s="1"/>
  <c r="Z25" i="23" s="1"/>
  <c r="AA25" i="23" s="1"/>
  <c r="B28" i="23"/>
  <c r="C28" i="23"/>
  <c r="D28" i="23"/>
  <c r="C8" i="22"/>
  <c r="D8" i="22" s="1"/>
  <c r="E8" i="22"/>
  <c r="F8" i="22"/>
  <c r="G8" i="22" s="1"/>
  <c r="H8" i="22" s="1"/>
  <c r="I8" i="22" s="1"/>
  <c r="J8" i="22" s="1"/>
  <c r="K8" i="22"/>
  <c r="L8" i="22" s="1"/>
  <c r="M8" i="22"/>
  <c r="N8" i="22" s="1"/>
  <c r="O8" i="22" s="1"/>
  <c r="P8" i="22" s="1"/>
  <c r="Q8" i="22" s="1"/>
  <c r="R8" i="22" s="1"/>
  <c r="S8" i="22" s="1"/>
  <c r="T8" i="22" s="1"/>
  <c r="U8" i="22" s="1"/>
  <c r="V8" i="22" s="1"/>
  <c r="W8" i="22" s="1"/>
  <c r="X8" i="22" s="1"/>
  <c r="Y8" i="22" s="1"/>
  <c r="Z8" i="22" s="1"/>
  <c r="AA8" i="22" s="1"/>
  <c r="C9" i="22"/>
  <c r="D9" i="22"/>
  <c r="E9" i="22"/>
  <c r="F9" i="22"/>
  <c r="G9" i="22" s="1"/>
  <c r="H9" i="22" s="1"/>
  <c r="I9" i="22" s="1"/>
  <c r="J9" i="22" s="1"/>
  <c r="K9" i="22" s="1"/>
  <c r="L9" i="22" s="1"/>
  <c r="M9" i="22" s="1"/>
  <c r="N9" i="22" s="1"/>
  <c r="O9" i="22" s="1"/>
  <c r="P9" i="22" s="1"/>
  <c r="Q9" i="22" s="1"/>
  <c r="R9" i="22" s="1"/>
  <c r="S9" i="22" s="1"/>
  <c r="T9" i="22" s="1"/>
  <c r="U9" i="22" s="1"/>
  <c r="V9" i="22" s="1"/>
  <c r="W9" i="22" s="1"/>
  <c r="X9" i="22" s="1"/>
  <c r="Y9" i="22" s="1"/>
  <c r="Z9" i="22" s="1"/>
  <c r="AA9" i="22" s="1"/>
  <c r="C26" i="22"/>
  <c r="D26" i="22"/>
  <c r="E26" i="22"/>
  <c r="F26" i="22" s="1"/>
  <c r="G26" i="22" s="1"/>
  <c r="H26" i="22" s="1"/>
  <c r="I26" i="22" s="1"/>
  <c r="J26" i="22" s="1"/>
  <c r="K26" i="22" s="1"/>
  <c r="L26" i="22" s="1"/>
  <c r="M26" i="22" s="1"/>
  <c r="C27" i="22"/>
  <c r="C46" i="22" s="1"/>
  <c r="D27" i="22"/>
  <c r="E27" i="22" s="1"/>
  <c r="F27" i="22"/>
  <c r="G27" i="22"/>
  <c r="C36" i="22"/>
  <c r="D36" i="22"/>
  <c r="E36" i="22"/>
  <c r="F36" i="22" s="1"/>
  <c r="G36" i="22" s="1"/>
  <c r="H36" i="22" s="1"/>
  <c r="I36" i="22"/>
  <c r="J36" i="22" s="1"/>
  <c r="K36" i="22"/>
  <c r="L36" i="22" s="1"/>
  <c r="M36" i="22" s="1"/>
  <c r="N36" i="22" s="1"/>
  <c r="O36" i="22" s="1"/>
  <c r="P36" i="22" s="1"/>
  <c r="Q36" i="22" s="1"/>
  <c r="R36" i="22" s="1"/>
  <c r="S36" i="22" s="1"/>
  <c r="T36" i="22" s="1"/>
  <c r="U36" i="22" s="1"/>
  <c r="V36" i="22" s="1"/>
  <c r="W36" i="22" s="1"/>
  <c r="X36" i="22" s="1"/>
  <c r="Y36" i="22" s="1"/>
  <c r="Z36" i="22" s="1"/>
  <c r="AA36" i="22" s="1"/>
  <c r="C37" i="22"/>
  <c r="D37" i="22"/>
  <c r="E37" i="22" s="1"/>
  <c r="F37" i="22"/>
  <c r="G37" i="22"/>
  <c r="H37" i="22" s="1"/>
  <c r="I37" i="22" s="1"/>
  <c r="J37" i="22" s="1"/>
  <c r="K37" i="22"/>
  <c r="L37" i="22"/>
  <c r="M37" i="22" s="1"/>
  <c r="N37" i="22" s="1"/>
  <c r="O37" i="22" s="1"/>
  <c r="P37" i="22" s="1"/>
  <c r="Q37" i="22" s="1"/>
  <c r="R37" i="22" s="1"/>
  <c r="S37" i="22" s="1"/>
  <c r="T37" i="22" s="1"/>
  <c r="U37" i="22" s="1"/>
  <c r="V37" i="22" s="1"/>
  <c r="W37" i="22" s="1"/>
  <c r="X37" i="22" s="1"/>
  <c r="Y37" i="22" s="1"/>
  <c r="Z37" i="22" s="1"/>
  <c r="AA37" i="22" s="1"/>
  <c r="C43" i="22"/>
  <c r="D43" i="22"/>
  <c r="E43" i="22" s="1"/>
  <c r="F43" i="22" s="1"/>
  <c r="G43" i="22" s="1"/>
  <c r="H43" i="22" s="1"/>
  <c r="I43" i="22" s="1"/>
  <c r="J43" i="22" s="1"/>
  <c r="K43" i="22" s="1"/>
  <c r="L43" i="22" s="1"/>
  <c r="M43" i="22" s="1"/>
  <c r="N43" i="22" s="1"/>
  <c r="O43" i="22" s="1"/>
  <c r="P43" i="22" s="1"/>
  <c r="Q43" i="22" s="1"/>
  <c r="R43" i="22" s="1"/>
  <c r="S43" i="22" s="1"/>
  <c r="T43" i="22" s="1"/>
  <c r="U43" i="22" s="1"/>
  <c r="V43" i="22" s="1"/>
  <c r="W43" i="22" s="1"/>
  <c r="X43" i="22" s="1"/>
  <c r="Y43" i="22" s="1"/>
  <c r="Z43" i="22" s="1"/>
  <c r="AA43" i="22" s="1"/>
  <c r="B46" i="22"/>
  <c r="D46" i="22"/>
  <c r="E46" i="22"/>
  <c r="F46" i="22"/>
  <c r="C56" i="22"/>
  <c r="D56" i="22" s="1"/>
  <c r="E56" i="22" s="1"/>
  <c r="C57" i="22"/>
  <c r="C82" i="22" s="1"/>
  <c r="C96" i="22" s="1"/>
  <c r="D57" i="22"/>
  <c r="C68" i="22"/>
  <c r="D68" i="22" s="1"/>
  <c r="E68" i="22" s="1"/>
  <c r="F68" i="22"/>
  <c r="G68" i="22"/>
  <c r="H68" i="22" s="1"/>
  <c r="I68" i="22" s="1"/>
  <c r="J68" i="22"/>
  <c r="K68" i="22" s="1"/>
  <c r="C69" i="22"/>
  <c r="D69" i="22"/>
  <c r="E69" i="22"/>
  <c r="F69" i="22" s="1"/>
  <c r="G69" i="22" s="1"/>
  <c r="H69" i="22" s="1"/>
  <c r="I69" i="22" s="1"/>
  <c r="J69" i="22" s="1"/>
  <c r="K69" i="22" s="1"/>
  <c r="L69" i="22" s="1"/>
  <c r="M69" i="22" s="1"/>
  <c r="N69" i="22" s="1"/>
  <c r="O69" i="22" s="1"/>
  <c r="P69" i="22" s="1"/>
  <c r="Q69" i="22" s="1"/>
  <c r="R69" i="22" s="1"/>
  <c r="S69" i="22" s="1"/>
  <c r="T69" i="22" s="1"/>
  <c r="U69" i="22" s="1"/>
  <c r="V69" i="22" s="1"/>
  <c r="W69" i="22" s="1"/>
  <c r="X69" i="22" s="1"/>
  <c r="Y69" i="22" s="1"/>
  <c r="Z69" i="22" s="1"/>
  <c r="AA69" i="22" s="1"/>
  <c r="C78" i="22"/>
  <c r="D78" i="22" s="1"/>
  <c r="E78" i="22" s="1"/>
  <c r="F78" i="22"/>
  <c r="G78" i="22"/>
  <c r="H78" i="22" s="1"/>
  <c r="I78" i="22" s="1"/>
  <c r="J78" i="22"/>
  <c r="K78" i="22" s="1"/>
  <c r="L78" i="22" s="1"/>
  <c r="M78" i="22" s="1"/>
  <c r="N78" i="22" s="1"/>
  <c r="O78" i="22" s="1"/>
  <c r="P78" i="22" s="1"/>
  <c r="Q78" i="22" s="1"/>
  <c r="R78" i="22" s="1"/>
  <c r="S78" i="22" s="1"/>
  <c r="T78" i="22" s="1"/>
  <c r="U78" i="22" s="1"/>
  <c r="V78" i="22" s="1"/>
  <c r="W78" i="22" s="1"/>
  <c r="X78" i="22" s="1"/>
  <c r="Y78" i="22" s="1"/>
  <c r="Z78" i="22" s="1"/>
  <c r="AA78" i="22" s="1"/>
  <c r="C79" i="22"/>
  <c r="D79" i="22"/>
  <c r="E79" i="22"/>
  <c r="F79" i="22" s="1"/>
  <c r="G79" i="22" s="1"/>
  <c r="H79" i="22" s="1"/>
  <c r="I79" i="22" s="1"/>
  <c r="J79" i="22" s="1"/>
  <c r="K79" i="22" s="1"/>
  <c r="L79" i="22" s="1"/>
  <c r="M79" i="22" s="1"/>
  <c r="N79" i="22" s="1"/>
  <c r="O79" i="22" s="1"/>
  <c r="P79" i="22" s="1"/>
  <c r="Q79" i="22" s="1"/>
  <c r="R79" i="22" s="1"/>
  <c r="S79" i="22" s="1"/>
  <c r="T79" i="22" s="1"/>
  <c r="U79" i="22" s="1"/>
  <c r="V79" i="22" s="1"/>
  <c r="W79" i="22" s="1"/>
  <c r="X79" i="22" s="1"/>
  <c r="Y79" i="22" s="1"/>
  <c r="Z79" i="22" s="1"/>
  <c r="AA79" i="22" s="1"/>
  <c r="B82" i="22"/>
  <c r="B96" i="22" s="1"/>
  <c r="C92" i="22"/>
  <c r="D92" i="22" s="1"/>
  <c r="E92" i="22" s="1"/>
  <c r="F92" i="22" s="1"/>
  <c r="G92" i="22" s="1"/>
  <c r="H92" i="22" s="1"/>
  <c r="I92" i="22" s="1"/>
  <c r="J92" i="22" s="1"/>
  <c r="K92" i="22" s="1"/>
  <c r="L92" i="22" s="1"/>
  <c r="M92" i="22" s="1"/>
  <c r="N92" i="22" s="1"/>
  <c r="O92" i="22" s="1"/>
  <c r="P92" i="22" s="1"/>
  <c r="Q92" i="22" s="1"/>
  <c r="R92" i="22" s="1"/>
  <c r="S92" i="22" s="1"/>
  <c r="T92" i="22" s="1"/>
  <c r="U92" i="22" s="1"/>
  <c r="V92" i="22" s="1"/>
  <c r="W92" i="22" s="1"/>
  <c r="X92" i="22" s="1"/>
  <c r="Y92" i="22" s="1"/>
  <c r="Z92" i="22" s="1"/>
  <c r="AA92" i="22" s="1"/>
  <c r="C93" i="22"/>
  <c r="D93" i="22" s="1"/>
  <c r="E93" i="22" s="1"/>
  <c r="F93" i="22"/>
  <c r="G93" i="22"/>
  <c r="H93" i="22" s="1"/>
  <c r="I93" i="22" s="1"/>
  <c r="J93" i="22"/>
  <c r="K93" i="22" s="1"/>
  <c r="L93" i="22" s="1"/>
  <c r="M93" i="22" s="1"/>
  <c r="N93" i="22" s="1"/>
  <c r="O93" i="22" s="1"/>
  <c r="P93" i="22" s="1"/>
  <c r="Q93" i="22" s="1"/>
  <c r="R93" i="22" s="1"/>
  <c r="S93" i="22" s="1"/>
  <c r="T93" i="22" s="1"/>
  <c r="U93" i="22" s="1"/>
  <c r="V93" i="22" s="1"/>
  <c r="W93" i="22" s="1"/>
  <c r="X93" i="22" s="1"/>
  <c r="Y93" i="22" s="1"/>
  <c r="Z93" i="22" s="1"/>
  <c r="AA93" i="22" s="1"/>
  <c r="C6" i="21"/>
  <c r="D6" i="21"/>
  <c r="E6" i="21" s="1"/>
  <c r="F6" i="21" s="1"/>
  <c r="G6" i="21"/>
  <c r="H6" i="21" s="1"/>
  <c r="I6" i="21" s="1"/>
  <c r="J6" i="21" s="1"/>
  <c r="K6" i="21" s="1"/>
  <c r="L6" i="21" s="1"/>
  <c r="M6" i="21" s="1"/>
  <c r="N6" i="21" s="1"/>
  <c r="O6" i="21" s="1"/>
  <c r="P6" i="21" s="1"/>
  <c r="Q6" i="21" s="1"/>
  <c r="R6" i="21" s="1"/>
  <c r="S6" i="21" s="1"/>
  <c r="T6" i="21" s="1"/>
  <c r="U6" i="21" s="1"/>
  <c r="V6" i="21" s="1"/>
  <c r="W6" i="21" s="1"/>
  <c r="X6" i="21" s="1"/>
  <c r="Y6" i="21" s="1"/>
  <c r="Z6" i="21" s="1"/>
  <c r="AA6" i="21" s="1"/>
  <c r="C7" i="21"/>
  <c r="D7" i="21" s="1"/>
  <c r="E7" i="21" s="1"/>
  <c r="F7" i="21"/>
  <c r="G7" i="21" s="1"/>
  <c r="H7" i="21" s="1"/>
  <c r="I7" i="21" s="1"/>
  <c r="J7" i="21" s="1"/>
  <c r="K7" i="21" s="1"/>
  <c r="L7" i="21" s="1"/>
  <c r="M7" i="21" s="1"/>
  <c r="N7" i="21" s="1"/>
  <c r="O7" i="21" s="1"/>
  <c r="P7" i="21" s="1"/>
  <c r="Q7" i="21" s="1"/>
  <c r="R7" i="21" s="1"/>
  <c r="S7" i="21" s="1"/>
  <c r="T7" i="21" s="1"/>
  <c r="U7" i="21" s="1"/>
  <c r="V7" i="21" s="1"/>
  <c r="W7" i="21" s="1"/>
  <c r="X7" i="21" s="1"/>
  <c r="Y7" i="21" s="1"/>
  <c r="Z7" i="21" s="1"/>
  <c r="AA7" i="21" s="1"/>
  <c r="A8" i="21"/>
  <c r="A9" i="21"/>
  <c r="A10" i="21"/>
  <c r="A11" i="21"/>
  <c r="A12" i="21"/>
  <c r="C26" i="21"/>
  <c r="D26" i="21"/>
  <c r="E26" i="21"/>
  <c r="F26" i="21" s="1"/>
  <c r="G26" i="21" s="1"/>
  <c r="H26" i="21" s="1"/>
  <c r="I26" i="21" s="1"/>
  <c r="J26" i="21" s="1"/>
  <c r="K26" i="21" s="1"/>
  <c r="L26" i="21" s="1"/>
  <c r="M26" i="21" s="1"/>
  <c r="N26" i="21" s="1"/>
  <c r="O26" i="21" s="1"/>
  <c r="P26" i="21" s="1"/>
  <c r="Q26" i="21" s="1"/>
  <c r="R26" i="21" s="1"/>
  <c r="S26" i="21" s="1"/>
  <c r="T26" i="21" s="1"/>
  <c r="U26" i="21" s="1"/>
  <c r="V26" i="21" s="1"/>
  <c r="W26" i="21" s="1"/>
  <c r="X26" i="21" s="1"/>
  <c r="Y26" i="21" s="1"/>
  <c r="Z26" i="21" s="1"/>
  <c r="AA26" i="21" s="1"/>
  <c r="C27" i="21"/>
  <c r="C49" i="21" s="1"/>
  <c r="D27" i="21"/>
  <c r="D49" i="21" s="1"/>
  <c r="E27" i="21"/>
  <c r="F27" i="21" s="1"/>
  <c r="G27" i="21" s="1"/>
  <c r="G49" i="21" s="1"/>
  <c r="H27" i="21"/>
  <c r="H49" i="21" s="1"/>
  <c r="I27" i="21"/>
  <c r="J27" i="21" s="1"/>
  <c r="K27" i="21" s="1"/>
  <c r="K49" i="21" s="1"/>
  <c r="C37" i="21"/>
  <c r="D37" i="21"/>
  <c r="E37" i="21"/>
  <c r="F37" i="21" s="1"/>
  <c r="G37" i="21" s="1"/>
  <c r="H37" i="21" s="1"/>
  <c r="I37" i="21" s="1"/>
  <c r="J37" i="21" s="1"/>
  <c r="K37" i="21" s="1"/>
  <c r="L37" i="21" s="1"/>
  <c r="M37" i="21" s="1"/>
  <c r="N37" i="21" s="1"/>
  <c r="O37" i="21" s="1"/>
  <c r="P37" i="21" s="1"/>
  <c r="Q37" i="21" s="1"/>
  <c r="R37" i="21" s="1"/>
  <c r="S37" i="21" s="1"/>
  <c r="T37" i="21" s="1"/>
  <c r="U37" i="21" s="1"/>
  <c r="V37" i="21" s="1"/>
  <c r="W37" i="21" s="1"/>
  <c r="X37" i="21" s="1"/>
  <c r="Y37" i="21" s="1"/>
  <c r="Z37" i="21" s="1"/>
  <c r="AA37" i="21" s="1"/>
  <c r="C38" i="21"/>
  <c r="D38" i="21"/>
  <c r="E38" i="21"/>
  <c r="F38" i="21" s="1"/>
  <c r="G38" i="21" s="1"/>
  <c r="H38" i="21"/>
  <c r="I38" i="21"/>
  <c r="J38" i="21" s="1"/>
  <c r="K38" i="21" s="1"/>
  <c r="L38" i="21" s="1"/>
  <c r="M38" i="21" s="1"/>
  <c r="N38" i="21" s="1"/>
  <c r="O38" i="21" s="1"/>
  <c r="P38" i="21" s="1"/>
  <c r="Q38" i="21" s="1"/>
  <c r="R38" i="21" s="1"/>
  <c r="S38" i="21" s="1"/>
  <c r="T38" i="21" s="1"/>
  <c r="U38" i="21" s="1"/>
  <c r="V38" i="21" s="1"/>
  <c r="W38" i="21" s="1"/>
  <c r="X38" i="21" s="1"/>
  <c r="Y38" i="21" s="1"/>
  <c r="Z38" i="21" s="1"/>
  <c r="AA38" i="21" s="1"/>
  <c r="C45" i="21"/>
  <c r="D45" i="21"/>
  <c r="E45" i="21"/>
  <c r="F45" i="21"/>
  <c r="G45" i="21" s="1"/>
  <c r="H45" i="21" s="1"/>
  <c r="I45" i="21"/>
  <c r="J45" i="21"/>
  <c r="K45" i="21" s="1"/>
  <c r="L45" i="21" s="1"/>
  <c r="M45" i="21" s="1"/>
  <c r="N45" i="21" s="1"/>
  <c r="O45" i="21" s="1"/>
  <c r="P45" i="21" s="1"/>
  <c r="Q45" i="21" s="1"/>
  <c r="R45" i="21" s="1"/>
  <c r="S45" i="21" s="1"/>
  <c r="T45" i="21" s="1"/>
  <c r="U45" i="21" s="1"/>
  <c r="V45" i="21" s="1"/>
  <c r="W45" i="21" s="1"/>
  <c r="X45" i="21" s="1"/>
  <c r="Y45" i="21" s="1"/>
  <c r="Z45" i="21" s="1"/>
  <c r="AA45" i="21" s="1"/>
  <c r="B49" i="21"/>
  <c r="E49" i="21"/>
  <c r="C59" i="21"/>
  <c r="D59" i="21"/>
  <c r="E59" i="21" s="1"/>
  <c r="F59" i="21" s="1"/>
  <c r="G59" i="21" s="1"/>
  <c r="H59" i="21" s="1"/>
  <c r="C60" i="21"/>
  <c r="C71" i="21"/>
  <c r="D71" i="21" s="1"/>
  <c r="E71" i="21" s="1"/>
  <c r="F71" i="21"/>
  <c r="G71" i="21"/>
  <c r="H71" i="21" s="1"/>
  <c r="I71" i="21" s="1"/>
  <c r="J71" i="21" s="1"/>
  <c r="K71" i="21" s="1"/>
  <c r="C72" i="21"/>
  <c r="D72" i="21"/>
  <c r="E72" i="21"/>
  <c r="F72" i="21"/>
  <c r="G72" i="21" s="1"/>
  <c r="H72" i="21" s="1"/>
  <c r="I72" i="21"/>
  <c r="J72" i="21"/>
  <c r="K72" i="21" s="1"/>
  <c r="L72" i="21" s="1"/>
  <c r="M72" i="21" s="1"/>
  <c r="N72" i="21" s="1"/>
  <c r="O72" i="21" s="1"/>
  <c r="P72" i="21" s="1"/>
  <c r="Q72" i="21" s="1"/>
  <c r="R72" i="21" s="1"/>
  <c r="S72" i="21" s="1"/>
  <c r="T72" i="21" s="1"/>
  <c r="U72" i="21" s="1"/>
  <c r="V72" i="21" s="1"/>
  <c r="W72" i="21" s="1"/>
  <c r="X72" i="21" s="1"/>
  <c r="Y72" i="21" s="1"/>
  <c r="Z72" i="21" s="1"/>
  <c r="AA72" i="21" s="1"/>
  <c r="C82" i="21"/>
  <c r="D82" i="21" s="1"/>
  <c r="E82" i="21" s="1"/>
  <c r="F82" i="21"/>
  <c r="G82" i="21" s="1"/>
  <c r="H82" i="21" s="1"/>
  <c r="I82" i="21" s="1"/>
  <c r="J82" i="21" s="1"/>
  <c r="K82" i="21" s="1"/>
  <c r="L82" i="21" s="1"/>
  <c r="M82" i="21" s="1"/>
  <c r="N82" i="21" s="1"/>
  <c r="O82" i="21" s="1"/>
  <c r="P82" i="21" s="1"/>
  <c r="Q82" i="21" s="1"/>
  <c r="R82" i="21" s="1"/>
  <c r="S82" i="21" s="1"/>
  <c r="T82" i="21" s="1"/>
  <c r="U82" i="21" s="1"/>
  <c r="V82" i="21" s="1"/>
  <c r="W82" i="21" s="1"/>
  <c r="X82" i="21" s="1"/>
  <c r="Y82" i="21" s="1"/>
  <c r="Z82" i="21" s="1"/>
  <c r="AA82" i="21" s="1"/>
  <c r="C83" i="21"/>
  <c r="D83" i="21"/>
  <c r="E83" i="21"/>
  <c r="F83" i="21"/>
  <c r="G83" i="21" s="1"/>
  <c r="H83" i="21" s="1"/>
  <c r="I83" i="21"/>
  <c r="J83" i="21" s="1"/>
  <c r="K83" i="21" s="1"/>
  <c r="L83" i="21" s="1"/>
  <c r="M83" i="21" s="1"/>
  <c r="N83" i="21" s="1"/>
  <c r="O83" i="21" s="1"/>
  <c r="P83" i="21" s="1"/>
  <c r="Q83" i="21" s="1"/>
  <c r="R83" i="21" s="1"/>
  <c r="S83" i="21" s="1"/>
  <c r="T83" i="21" s="1"/>
  <c r="U83" i="21" s="1"/>
  <c r="V83" i="21" s="1"/>
  <c r="W83" i="21" s="1"/>
  <c r="X83" i="21" s="1"/>
  <c r="Y83" i="21" s="1"/>
  <c r="Z83" i="21" s="1"/>
  <c r="AA83" i="21" s="1"/>
  <c r="B86" i="21"/>
  <c r="C93" i="21"/>
  <c r="C95" i="21"/>
  <c r="D95" i="21"/>
  <c r="E95" i="21"/>
  <c r="F95" i="21" s="1"/>
  <c r="G95" i="21" s="1"/>
  <c r="H95" i="21" s="1"/>
  <c r="I95" i="21" s="1"/>
  <c r="J95" i="21" s="1"/>
  <c r="K95" i="21" s="1"/>
  <c r="L95" i="21" s="1"/>
  <c r="M95" i="21" s="1"/>
  <c r="N95" i="21" s="1"/>
  <c r="O95" i="21" s="1"/>
  <c r="P95" i="21" s="1"/>
  <c r="Q95" i="21" s="1"/>
  <c r="R95" i="21" s="1"/>
  <c r="S95" i="21" s="1"/>
  <c r="T95" i="21" s="1"/>
  <c r="U95" i="21" s="1"/>
  <c r="V95" i="21" s="1"/>
  <c r="W95" i="21" s="1"/>
  <c r="X95" i="21" s="1"/>
  <c r="Y95" i="21" s="1"/>
  <c r="Z95" i="21" s="1"/>
  <c r="AA95" i="21" s="1"/>
  <c r="C96" i="21"/>
  <c r="D96" i="21"/>
  <c r="E96" i="21"/>
  <c r="F96" i="21" s="1"/>
  <c r="C107" i="21"/>
  <c r="D107" i="21"/>
  <c r="E107" i="21"/>
  <c r="F107" i="21"/>
  <c r="G107" i="21" s="1"/>
  <c r="H107" i="21" s="1"/>
  <c r="I107" i="21"/>
  <c r="J107" i="21"/>
  <c r="K107" i="21" s="1"/>
  <c r="L107" i="21" s="1"/>
  <c r="M107" i="21" s="1"/>
  <c r="N107" i="21" s="1"/>
  <c r="O107" i="21" s="1"/>
  <c r="P107" i="21" s="1"/>
  <c r="Q107" i="21" s="1"/>
  <c r="R107" i="21" s="1"/>
  <c r="S107" i="21" s="1"/>
  <c r="T107" i="21" s="1"/>
  <c r="U107" i="21" s="1"/>
  <c r="V107" i="21" s="1"/>
  <c r="W107" i="21" s="1"/>
  <c r="X107" i="21" s="1"/>
  <c r="Y107" i="21" s="1"/>
  <c r="Z107" i="21" s="1"/>
  <c r="AA107" i="21" s="1"/>
  <c r="C108" i="21"/>
  <c r="D108" i="21"/>
  <c r="E108" i="21"/>
  <c r="F108" i="21" s="1"/>
  <c r="G108" i="21" s="1"/>
  <c r="H108" i="21"/>
  <c r="I108" i="21" s="1"/>
  <c r="J108" i="21" s="1"/>
  <c r="K108" i="21" s="1"/>
  <c r="L108" i="21" s="1"/>
  <c r="M108" i="21" s="1"/>
  <c r="N108" i="21" s="1"/>
  <c r="O108" i="21" s="1"/>
  <c r="P108" i="21" s="1"/>
  <c r="Q108" i="21" s="1"/>
  <c r="R108" i="21" s="1"/>
  <c r="S108" i="21" s="1"/>
  <c r="T108" i="21" s="1"/>
  <c r="U108" i="21" s="1"/>
  <c r="V108" i="21" s="1"/>
  <c r="W108" i="21" s="1"/>
  <c r="X108" i="21" s="1"/>
  <c r="Y108" i="21" s="1"/>
  <c r="Z108" i="21" s="1"/>
  <c r="AA108" i="21" s="1"/>
  <c r="B111" i="21"/>
  <c r="C111" i="21"/>
  <c r="D111" i="21"/>
  <c r="E111" i="21"/>
  <c r="C121" i="21"/>
  <c r="D121" i="21" s="1"/>
  <c r="E121" i="21" s="1"/>
  <c r="F121" i="21"/>
  <c r="G121" i="21" s="1"/>
  <c r="H121" i="21" s="1"/>
  <c r="C122" i="21"/>
  <c r="D122" i="21"/>
  <c r="D135" i="21" s="1"/>
  <c r="E122" i="21"/>
  <c r="E135" i="21" s="1"/>
  <c r="F122" i="21"/>
  <c r="G122" i="21" s="1"/>
  <c r="H122" i="21" s="1"/>
  <c r="H135" i="21" s="1"/>
  <c r="I122" i="21"/>
  <c r="I135" i="21" s="1"/>
  <c r="C131" i="21"/>
  <c r="D131" i="21"/>
  <c r="E131" i="21" s="1"/>
  <c r="F131" i="21" s="1"/>
  <c r="G131" i="21"/>
  <c r="H131" i="21" s="1"/>
  <c r="I131" i="21" s="1"/>
  <c r="J131" i="21" s="1"/>
  <c r="K131" i="21" s="1"/>
  <c r="L131" i="21" s="1"/>
  <c r="M131" i="21" s="1"/>
  <c r="N131" i="21" s="1"/>
  <c r="O131" i="21" s="1"/>
  <c r="P131" i="21" s="1"/>
  <c r="Q131" i="21" s="1"/>
  <c r="R131" i="21" s="1"/>
  <c r="S131" i="21" s="1"/>
  <c r="T131" i="21" s="1"/>
  <c r="U131" i="21" s="1"/>
  <c r="V131" i="21" s="1"/>
  <c r="W131" i="21" s="1"/>
  <c r="X131" i="21" s="1"/>
  <c r="Y131" i="21" s="1"/>
  <c r="Z131" i="21" s="1"/>
  <c r="AA131" i="21" s="1"/>
  <c r="C132" i="21"/>
  <c r="D132" i="21" s="1"/>
  <c r="E132" i="21" s="1"/>
  <c r="F132" i="21"/>
  <c r="G132" i="21" s="1"/>
  <c r="H132" i="21" s="1"/>
  <c r="I132" i="21" s="1"/>
  <c r="J132" i="21" s="1"/>
  <c r="K132" i="21" s="1"/>
  <c r="L132" i="21" s="1"/>
  <c r="M132" i="21" s="1"/>
  <c r="N132" i="21" s="1"/>
  <c r="O132" i="21" s="1"/>
  <c r="P132" i="21" s="1"/>
  <c r="Q132" i="21" s="1"/>
  <c r="R132" i="21" s="1"/>
  <c r="S132" i="21" s="1"/>
  <c r="T132" i="21" s="1"/>
  <c r="U132" i="21" s="1"/>
  <c r="V132" i="21" s="1"/>
  <c r="W132" i="21" s="1"/>
  <c r="X132" i="21" s="1"/>
  <c r="Y132" i="21" s="1"/>
  <c r="Z132" i="21" s="1"/>
  <c r="AA132" i="21" s="1"/>
  <c r="B135" i="21"/>
  <c r="C135" i="21"/>
  <c r="G135" i="21"/>
  <c r="C145" i="21"/>
  <c r="D145" i="21"/>
  <c r="E145" i="21"/>
  <c r="F145" i="21"/>
  <c r="G145" i="21" s="1"/>
  <c r="H145" i="21" s="1"/>
  <c r="I145" i="21"/>
  <c r="J145" i="21" s="1"/>
  <c r="K145" i="21" s="1"/>
  <c r="L145" i="21" s="1"/>
  <c r="M145" i="21" s="1"/>
  <c r="N145" i="21" s="1"/>
  <c r="O145" i="21" s="1"/>
  <c r="P145" i="21" s="1"/>
  <c r="Q145" i="21" s="1"/>
  <c r="R145" i="21" s="1"/>
  <c r="S145" i="21" s="1"/>
  <c r="T145" i="21" s="1"/>
  <c r="U145" i="21" s="1"/>
  <c r="V145" i="21" s="1"/>
  <c r="W145" i="21" s="1"/>
  <c r="X145" i="21" s="1"/>
  <c r="Y145" i="21" s="1"/>
  <c r="Z145" i="21" s="1"/>
  <c r="AA145" i="21" s="1"/>
  <c r="C146" i="21"/>
  <c r="C161" i="21" s="1"/>
  <c r="D146" i="21"/>
  <c r="D161" i="21" s="1"/>
  <c r="E146" i="21"/>
  <c r="F146" i="21" s="1"/>
  <c r="G146" i="21" s="1"/>
  <c r="G161" i="21" s="1"/>
  <c r="C155" i="21"/>
  <c r="D155" i="21" s="1"/>
  <c r="E155" i="21" s="1"/>
  <c r="F155" i="21"/>
  <c r="G155" i="21" s="1"/>
  <c r="H155" i="21" s="1"/>
  <c r="I155" i="21" s="1"/>
  <c r="J155" i="21" s="1"/>
  <c r="K155" i="21" s="1"/>
  <c r="L155" i="21" s="1"/>
  <c r="M155" i="21" s="1"/>
  <c r="N155" i="21" s="1"/>
  <c r="O155" i="21" s="1"/>
  <c r="P155" i="21" s="1"/>
  <c r="Q155" i="21" s="1"/>
  <c r="R155" i="21" s="1"/>
  <c r="S155" i="21" s="1"/>
  <c r="T155" i="21" s="1"/>
  <c r="U155" i="21" s="1"/>
  <c r="V155" i="21" s="1"/>
  <c r="W155" i="21" s="1"/>
  <c r="X155" i="21" s="1"/>
  <c r="Y155" i="21" s="1"/>
  <c r="Z155" i="21" s="1"/>
  <c r="AA155" i="21" s="1"/>
  <c r="C156" i="21"/>
  <c r="D156" i="21"/>
  <c r="E156" i="21"/>
  <c r="F156" i="21"/>
  <c r="G156" i="21" s="1"/>
  <c r="H156" i="21" s="1"/>
  <c r="I156" i="21"/>
  <c r="J156" i="21" s="1"/>
  <c r="K156" i="21" s="1"/>
  <c r="L156" i="21" s="1"/>
  <c r="M156" i="21" s="1"/>
  <c r="N156" i="21" s="1"/>
  <c r="O156" i="21" s="1"/>
  <c r="P156" i="21" s="1"/>
  <c r="Q156" i="21" s="1"/>
  <c r="R156" i="21" s="1"/>
  <c r="S156" i="21" s="1"/>
  <c r="T156" i="21" s="1"/>
  <c r="U156" i="21" s="1"/>
  <c r="V156" i="21" s="1"/>
  <c r="W156" i="21" s="1"/>
  <c r="X156" i="21" s="1"/>
  <c r="Y156" i="21" s="1"/>
  <c r="Z156" i="21" s="1"/>
  <c r="AA156" i="21" s="1"/>
  <c r="B161" i="21"/>
  <c r="C5" i="20"/>
  <c r="D5" i="20"/>
  <c r="E5" i="20" s="1"/>
  <c r="F5" i="20" s="1"/>
  <c r="G5" i="20"/>
  <c r="H5" i="20" s="1"/>
  <c r="I5" i="20" s="1"/>
  <c r="J5" i="20" s="1"/>
  <c r="K5" i="20" s="1"/>
  <c r="L5" i="20" s="1"/>
  <c r="M5" i="20" s="1"/>
  <c r="N5" i="20" s="1"/>
  <c r="O5" i="20" s="1"/>
  <c r="P5" i="20" s="1"/>
  <c r="Q5" i="20" s="1"/>
  <c r="R5" i="20" s="1"/>
  <c r="S5" i="20" s="1"/>
  <c r="T5" i="20" s="1"/>
  <c r="U5" i="20" s="1"/>
  <c r="V5" i="20" s="1"/>
  <c r="W5" i="20" s="1"/>
  <c r="X5" i="20" s="1"/>
  <c r="Y5" i="20" s="1"/>
  <c r="Z5" i="20" s="1"/>
  <c r="AA5" i="20" s="1"/>
  <c r="C6" i="20"/>
  <c r="D6" i="20" s="1"/>
  <c r="E6" i="20" s="1"/>
  <c r="F6" i="20"/>
  <c r="G6" i="20" s="1"/>
  <c r="H6" i="20" s="1"/>
  <c r="I6" i="20" s="1"/>
  <c r="J6" i="20" s="1"/>
  <c r="K6" i="20" s="1"/>
  <c r="L6" i="20" s="1"/>
  <c r="M6" i="20" s="1"/>
  <c r="N6" i="20" s="1"/>
  <c r="O6" i="20" s="1"/>
  <c r="P6" i="20" s="1"/>
  <c r="Q6" i="20" s="1"/>
  <c r="R6" i="20" s="1"/>
  <c r="S6" i="20" s="1"/>
  <c r="T6" i="20" s="1"/>
  <c r="U6" i="20" s="1"/>
  <c r="V6" i="20" s="1"/>
  <c r="W6" i="20" s="1"/>
  <c r="X6" i="20" s="1"/>
  <c r="Y6" i="20" s="1"/>
  <c r="Z6" i="20" s="1"/>
  <c r="AA6" i="20" s="1"/>
  <c r="M19" i="20"/>
  <c r="N19" i="20"/>
  <c r="O19" i="20"/>
  <c r="P19" i="20"/>
  <c r="Q19" i="20"/>
  <c r="R19" i="20"/>
  <c r="S19" i="20"/>
  <c r="T19" i="20"/>
  <c r="U19" i="20"/>
  <c r="V19" i="20"/>
  <c r="W19" i="20"/>
  <c r="X19" i="20"/>
  <c r="Y19" i="20"/>
  <c r="Z19" i="20"/>
  <c r="AA19" i="20"/>
  <c r="M26" i="20"/>
  <c r="N26" i="20"/>
  <c r="O26" i="20"/>
  <c r="P26" i="20"/>
  <c r="Q26" i="20"/>
  <c r="R26" i="20"/>
  <c r="S26" i="20"/>
  <c r="T26" i="20"/>
  <c r="U26" i="20"/>
  <c r="V26" i="20"/>
  <c r="W26" i="20"/>
  <c r="X26" i="20"/>
  <c r="Y26" i="20"/>
  <c r="Z26" i="20"/>
  <c r="AA26" i="20"/>
  <c r="M33" i="20"/>
  <c r="N33" i="20"/>
  <c r="O33" i="20"/>
  <c r="P33" i="20"/>
  <c r="Q33" i="20"/>
  <c r="R33" i="20"/>
  <c r="S33" i="20"/>
  <c r="T33" i="20"/>
  <c r="U33" i="20"/>
  <c r="V33" i="20"/>
  <c r="W33" i="20"/>
  <c r="X33" i="20"/>
  <c r="Y33" i="20"/>
  <c r="Z33" i="20"/>
  <c r="AA33" i="20"/>
  <c r="D189" i="31" l="1"/>
  <c r="E8" i="32"/>
  <c r="D138" i="25"/>
  <c r="C138" i="25"/>
  <c r="F126" i="25"/>
  <c r="F138" i="25" s="1"/>
  <c r="G126" i="25"/>
  <c r="H126" i="25" s="1"/>
  <c r="E10" i="24"/>
  <c r="E114" i="31"/>
  <c r="D127" i="31"/>
  <c r="F139" i="31"/>
  <c r="E154" i="31"/>
  <c r="F185" i="31"/>
  <c r="E189" i="31"/>
  <c r="F56" i="22"/>
  <c r="G56" i="22" s="1"/>
  <c r="H56" i="22" s="1"/>
  <c r="I56" i="22" s="1"/>
  <c r="J56" i="22" s="1"/>
  <c r="N26" i="22"/>
  <c r="O26" i="22" s="1"/>
  <c r="P26" i="22" s="1"/>
  <c r="Q26" i="22" s="1"/>
  <c r="R26" i="22" s="1"/>
  <c r="S26" i="22" s="1"/>
  <c r="T26" i="22" s="1"/>
  <c r="U26" i="22" s="1"/>
  <c r="V26" i="22" s="1"/>
  <c r="W26" i="22" s="1"/>
  <c r="X26" i="22" s="1"/>
  <c r="J57" i="25"/>
  <c r="I121" i="21"/>
  <c r="J121" i="21" s="1"/>
  <c r="K121" i="21" s="1"/>
  <c r="L71" i="21"/>
  <c r="I59" i="21"/>
  <c r="L68" i="22"/>
  <c r="M68" i="22" s="1"/>
  <c r="N68" i="22" s="1"/>
  <c r="O68" i="22" s="1"/>
  <c r="P68" i="22" s="1"/>
  <c r="Q68" i="22" s="1"/>
  <c r="R68" i="22" s="1"/>
  <c r="S68" i="22" s="1"/>
  <c r="D60" i="21"/>
  <c r="C86" i="21"/>
  <c r="G46" i="22"/>
  <c r="H27" i="22"/>
  <c r="F10" i="24"/>
  <c r="E31" i="24"/>
  <c r="D146" i="25"/>
  <c r="C150" i="25"/>
  <c r="G138" i="25"/>
  <c r="F161" i="21"/>
  <c r="F135" i="21"/>
  <c r="F111" i="21"/>
  <c r="G96" i="21"/>
  <c r="I49" i="21"/>
  <c r="H112" i="25"/>
  <c r="E68" i="25"/>
  <c r="J49" i="21"/>
  <c r="E57" i="22"/>
  <c r="D82" i="22"/>
  <c r="D96" i="22" s="1"/>
  <c r="C115" i="25"/>
  <c r="D92" i="25"/>
  <c r="E161" i="21"/>
  <c r="H146" i="21"/>
  <c r="J122" i="21"/>
  <c r="F49" i="21"/>
  <c r="L27" i="21"/>
  <c r="E28" i="23"/>
  <c r="F10" i="23"/>
  <c r="C83" i="25"/>
  <c r="D58" i="25"/>
  <c r="C47" i="25"/>
  <c r="D28" i="25"/>
  <c r="B73" i="7"/>
  <c r="B72" i="7"/>
  <c r="B71" i="7"/>
  <c r="B70" i="7"/>
  <c r="B36" i="7" s="1"/>
  <c r="B69" i="7"/>
  <c r="B35" i="7" s="1"/>
  <c r="B68" i="7"/>
  <c r="B34" i="7" s="1"/>
  <c r="B67" i="7"/>
  <c r="B33" i="7" s="1"/>
  <c r="B66" i="7"/>
  <c r="B32" i="7" s="1"/>
  <c r="B65" i="7"/>
  <c r="B64" i="7"/>
  <c r="B63" i="7"/>
  <c r="B62" i="7"/>
  <c r="B61" i="7"/>
  <c r="F60" i="7"/>
  <c r="B128" i="14"/>
  <c r="C16" i="7"/>
  <c r="B2" i="7"/>
  <c r="G101" i="7"/>
  <c r="F101" i="7"/>
  <c r="B23" i="24" l="1"/>
  <c r="B20" i="23"/>
  <c r="B88" i="22"/>
  <c r="Q86" i="7" a="1"/>
  <c r="Q86" i="7" s="1"/>
  <c r="B23" i="31" s="1"/>
  <c r="P86" i="7" a="1"/>
  <c r="P86" i="7" s="1"/>
  <c r="B31" i="7"/>
  <c r="A1" i="14"/>
  <c r="A40" i="1"/>
  <c r="B28" i="7"/>
  <c r="A1" i="11"/>
  <c r="A19" i="1"/>
  <c r="B30" i="7"/>
  <c r="A1" i="13"/>
  <c r="A33" i="1"/>
  <c r="B27" i="7"/>
  <c r="A1" i="10"/>
  <c r="A8" i="1"/>
  <c r="B29" i="7"/>
  <c r="A1" i="12"/>
  <c r="A26" i="1"/>
  <c r="P186" i="7" a="1"/>
  <c r="P186" i="7" s="1"/>
  <c r="Q186" i="7" a="1"/>
  <c r="Q186" i="7" s="1"/>
  <c r="B183" i="31" s="1"/>
  <c r="O186" i="7" a="1"/>
  <c r="O186" i="7" s="1"/>
  <c r="P183" i="7" a="1"/>
  <c r="P183" i="7" s="1"/>
  <c r="P181" i="7" a="1"/>
  <c r="P181" i="7" s="1"/>
  <c r="Q183" i="7" a="1"/>
  <c r="Q183" i="7" s="1"/>
  <c r="B173" i="31" s="1"/>
  <c r="O183" i="7" a="1"/>
  <c r="O183" i="7" s="1"/>
  <c r="O181" i="7" a="1"/>
  <c r="O181" i="7" s="1"/>
  <c r="Q181" i="7" a="1"/>
  <c r="Q181" i="7" s="1"/>
  <c r="B163" i="31" s="1"/>
  <c r="P185" i="7" a="1"/>
  <c r="P185" i="7" s="1"/>
  <c r="O185" i="7" a="1"/>
  <c r="O185" i="7" s="1"/>
  <c r="Q185" i="7" a="1"/>
  <c r="Q185" i="7" s="1"/>
  <c r="B182" i="31" s="1"/>
  <c r="B37" i="7"/>
  <c r="B38" i="7"/>
  <c r="A1" i="32"/>
  <c r="B39" i="7"/>
  <c r="A1" i="33"/>
  <c r="F8" i="32"/>
  <c r="B209" i="7"/>
  <c r="B274" i="7"/>
  <c r="B216" i="7"/>
  <c r="B281" i="7"/>
  <c r="B219" i="7"/>
  <c r="B284" i="7"/>
  <c r="B210" i="7"/>
  <c r="B275" i="7"/>
  <c r="B213" i="7"/>
  <c r="B278" i="7"/>
  <c r="B208" i="7"/>
  <c r="B273" i="7"/>
  <c r="B215" i="7"/>
  <c r="B280" i="7"/>
  <c r="B218" i="7"/>
  <c r="B283" i="7"/>
  <c r="B212" i="7"/>
  <c r="B277" i="7"/>
  <c r="B207" i="7"/>
  <c r="B272" i="7"/>
  <c r="B211" i="7"/>
  <c r="B276" i="7"/>
  <c r="B214" i="7"/>
  <c r="B279" i="7"/>
  <c r="B217" i="7"/>
  <c r="B282" i="7"/>
  <c r="Q103" i="7" a="1"/>
  <c r="Q103" i="7" s="1"/>
  <c r="P103" i="7" a="1"/>
  <c r="P103" i="7" s="1"/>
  <c r="O103" i="7" a="1"/>
  <c r="O103" i="7" s="1"/>
  <c r="B239" i="7"/>
  <c r="B194" i="7"/>
  <c r="B224" i="7"/>
  <c r="B234" i="7"/>
  <c r="B249" i="7"/>
  <c r="B204" i="7"/>
  <c r="B225" i="7"/>
  <c r="B240" i="7"/>
  <c r="B195" i="7"/>
  <c r="B198" i="7"/>
  <c r="B228" i="7"/>
  <c r="B243" i="7"/>
  <c r="B246" i="7"/>
  <c r="B201" i="7"/>
  <c r="B231" i="7"/>
  <c r="B222" i="7"/>
  <c r="B237" i="7"/>
  <c r="B192" i="7"/>
  <c r="B226" i="7"/>
  <c r="B241" i="7"/>
  <c r="B196" i="7"/>
  <c r="B229" i="7"/>
  <c r="B244" i="7"/>
  <c r="B199" i="7"/>
  <c r="B232" i="7"/>
  <c r="B247" i="7"/>
  <c r="B202" i="7"/>
  <c r="B242" i="7"/>
  <c r="B197" i="7"/>
  <c r="B227" i="7"/>
  <c r="B238" i="7"/>
  <c r="B193" i="7"/>
  <c r="B223" i="7"/>
  <c r="B230" i="7"/>
  <c r="B245" i="7"/>
  <c r="B200" i="7"/>
  <c r="B233" i="7"/>
  <c r="B248" i="7"/>
  <c r="B203" i="7"/>
  <c r="Q161" i="7" a="1"/>
  <c r="Q161" i="7" s="1"/>
  <c r="O177" i="7" a="1"/>
  <c r="O177" i="7" s="1"/>
  <c r="P119" i="7" a="1"/>
  <c r="P119" i="7" s="1"/>
  <c r="Q177" i="7" a="1"/>
  <c r="Q177" i="7" s="1"/>
  <c r="Q176" i="7" a="1"/>
  <c r="Q176" i="7" s="1"/>
  <c r="O119" i="7" a="1"/>
  <c r="O119" i="7" s="1"/>
  <c r="P177" i="7" a="1"/>
  <c r="P177" i="7" s="1"/>
  <c r="P176" i="7" a="1"/>
  <c r="P176" i="7" s="1"/>
  <c r="Q119" i="7" a="1"/>
  <c r="Q119" i="7" s="1"/>
  <c r="O176" i="7" a="1"/>
  <c r="O176" i="7" s="1"/>
  <c r="P172" i="7" a="1"/>
  <c r="P172" i="7" s="1"/>
  <c r="B132" i="25" s="1"/>
  <c r="O170" i="7" a="1"/>
  <c r="O170" i="7" s="1"/>
  <c r="B129" i="14" s="1"/>
  <c r="Q166" i="7" a="1"/>
  <c r="Q166" i="7" s="1"/>
  <c r="P166" i="7" a="1"/>
  <c r="P166" i="7" s="1"/>
  <c r="Q172" i="7" a="1"/>
  <c r="Q172" i="7" s="1"/>
  <c r="O166" i="7" a="1"/>
  <c r="O166" i="7" s="1"/>
  <c r="O172" i="7" a="1"/>
  <c r="O172" i="7" s="1"/>
  <c r="B139" i="14" s="1"/>
  <c r="P170" i="7" a="1"/>
  <c r="P170" i="7" s="1"/>
  <c r="B123" i="25" s="1"/>
  <c r="Q170" i="7" a="1"/>
  <c r="Q170" i="7" s="1"/>
  <c r="A1" i="31"/>
  <c r="A25" i="20"/>
  <c r="A1" i="23"/>
  <c r="A18" i="20"/>
  <c r="A1" i="22"/>
  <c r="A1" i="24"/>
  <c r="A32" i="20"/>
  <c r="A1" i="21"/>
  <c r="A8" i="20"/>
  <c r="A39" i="20"/>
  <c r="A1" i="25"/>
  <c r="A26" i="30"/>
  <c r="A8" i="30"/>
  <c r="A19" i="30"/>
  <c r="E127" i="31"/>
  <c r="F114" i="31"/>
  <c r="F189" i="31"/>
  <c r="G185" i="31"/>
  <c r="G139" i="31"/>
  <c r="F154" i="31"/>
  <c r="G60" i="7"/>
  <c r="H60" i="7" s="1"/>
  <c r="I60" i="7" s="1"/>
  <c r="J60" i="7" s="1"/>
  <c r="K60" i="7" s="1"/>
  <c r="L60" i="7" s="1"/>
  <c r="M60" i="7" s="1"/>
  <c r="N60" i="7" s="1"/>
  <c r="O60" i="7" s="1"/>
  <c r="F28" i="23"/>
  <c r="G10" i="23"/>
  <c r="E58" i="25"/>
  <c r="D83" i="25"/>
  <c r="E92" i="25"/>
  <c r="D115" i="25"/>
  <c r="E146" i="25"/>
  <c r="D150" i="25"/>
  <c r="H161" i="21"/>
  <c r="I146" i="21"/>
  <c r="F57" i="22"/>
  <c r="E82" i="22"/>
  <c r="E96" i="22" s="1"/>
  <c r="G111" i="21"/>
  <c r="H96" i="21"/>
  <c r="I27" i="22"/>
  <c r="H46" i="22"/>
  <c r="E60" i="21"/>
  <c r="D86" i="21"/>
  <c r="J59" i="21"/>
  <c r="K56" i="22"/>
  <c r="T68" i="22"/>
  <c r="M71" i="21"/>
  <c r="K57" i="25"/>
  <c r="Y26" i="22"/>
  <c r="E28" i="25"/>
  <c r="D47" i="25"/>
  <c r="I112" i="25"/>
  <c r="L49" i="21"/>
  <c r="M27" i="21"/>
  <c r="K122" i="21"/>
  <c r="J135" i="21"/>
  <c r="I126" i="25"/>
  <c r="H138" i="25"/>
  <c r="G10" i="24"/>
  <c r="F31" i="24"/>
  <c r="F68" i="25"/>
  <c r="L121" i="21"/>
  <c r="O99" i="7" a="1"/>
  <c r="O99" i="7" s="1"/>
  <c r="B110" i="14" s="1"/>
  <c r="P108" i="7" a="1"/>
  <c r="P108" i="7" s="1"/>
  <c r="B25" i="31" s="1"/>
  <c r="Q109" i="7" a="1"/>
  <c r="Q109" i="7" s="1"/>
  <c r="O113" i="7" a="1"/>
  <c r="O113" i="7" s="1"/>
  <c r="P117" i="7" a="1"/>
  <c r="P117" i="7" s="1"/>
  <c r="B58" i="31" s="1"/>
  <c r="Q118" i="7" a="1"/>
  <c r="Q118" i="7" s="1"/>
  <c r="O122" i="7" a="1"/>
  <c r="O122" i="7" s="1"/>
  <c r="P124" i="7" a="1"/>
  <c r="P124" i="7" s="1"/>
  <c r="B81" i="31" s="1"/>
  <c r="Q128" i="7" a="1"/>
  <c r="Q128" i="7" s="1"/>
  <c r="O131" i="7" a="1"/>
  <c r="O131" i="7" s="1"/>
  <c r="B101" i="10" s="1"/>
  <c r="P132" i="7" a="1"/>
  <c r="P132" i="7" s="1"/>
  <c r="Q133" i="7" a="1"/>
  <c r="Q133" i="7" s="1"/>
  <c r="O135" i="7" a="1"/>
  <c r="O135" i="7" s="1"/>
  <c r="P137" i="7" a="1"/>
  <c r="P137" i="7" s="1"/>
  <c r="B95" i="31" s="1"/>
  <c r="Q138" i="7" a="1"/>
  <c r="Q138" i="7" s="1"/>
  <c r="O140" i="7" a="1"/>
  <c r="O140" i="7" s="1"/>
  <c r="P144" i="7" a="1"/>
  <c r="P144" i="7" s="1"/>
  <c r="B111" i="31" s="1"/>
  <c r="Q145" i="7" a="1"/>
  <c r="Q145" i="7" s="1"/>
  <c r="O148" i="7" a="1"/>
  <c r="O148" i="7" s="1"/>
  <c r="P152" i="7" a="1"/>
  <c r="P152" i="7" s="1"/>
  <c r="O155" i="7" a="1"/>
  <c r="O155" i="7" s="1"/>
  <c r="B167" i="10" s="1"/>
  <c r="P156" i="7" a="1"/>
  <c r="P156" i="7" s="1"/>
  <c r="Q160" i="7" a="1"/>
  <c r="Q160" i="7" s="1"/>
  <c r="O85" i="7" a="1"/>
  <c r="O85" i="7" s="1"/>
  <c r="Q108" i="7" a="1"/>
  <c r="Q108" i="7" s="1"/>
  <c r="P113" i="7" a="1"/>
  <c r="P113" i="7" s="1"/>
  <c r="B44" i="31" s="1"/>
  <c r="B47" i="31" s="1"/>
  <c r="C47" i="31" s="1"/>
  <c r="D47" i="31" s="1"/>
  <c r="E47" i="31" s="1"/>
  <c r="F47" i="31" s="1"/>
  <c r="G47" i="31" s="1"/>
  <c r="H47" i="31" s="1"/>
  <c r="I47" i="31" s="1"/>
  <c r="J47" i="31" s="1"/>
  <c r="K47" i="31" s="1"/>
  <c r="L47" i="31" s="1"/>
  <c r="M47" i="31" s="1"/>
  <c r="N47" i="31" s="1"/>
  <c r="O47" i="31" s="1"/>
  <c r="P47" i="31" s="1"/>
  <c r="Q47" i="31" s="1"/>
  <c r="R47" i="31" s="1"/>
  <c r="S47" i="31" s="1"/>
  <c r="T47" i="31" s="1"/>
  <c r="U47" i="31" s="1"/>
  <c r="V47" i="31" s="1"/>
  <c r="W47" i="31" s="1"/>
  <c r="X47" i="31" s="1"/>
  <c r="Y47" i="31" s="1"/>
  <c r="Z47" i="31" s="1"/>
  <c r="AA47" i="31" s="1"/>
  <c r="O121" i="7" a="1"/>
  <c r="O121" i="7" s="1"/>
  <c r="O130" i="7" a="1"/>
  <c r="O130" i="7" s="1"/>
  <c r="B100" i="10" s="1"/>
  <c r="Q132" i="7" a="1"/>
  <c r="Q132" i="7" s="1"/>
  <c r="P135" i="7" a="1"/>
  <c r="P135" i="7" s="1"/>
  <c r="P140" i="7" a="1"/>
  <c r="P140" i="7" s="1"/>
  <c r="B98" i="31" s="1"/>
  <c r="O147" i="7" a="1"/>
  <c r="O147" i="7" s="1"/>
  <c r="P148" i="7" a="1"/>
  <c r="P148" i="7" s="1"/>
  <c r="B122" i="31" s="1"/>
  <c r="P153" i="7" a="1"/>
  <c r="P153" i="7" s="1"/>
  <c r="P155" i="7" a="1"/>
  <c r="P155" i="7" s="1"/>
  <c r="Q156" i="7" a="1"/>
  <c r="Q156" i="7" s="1"/>
  <c r="O161" i="7" a="1"/>
  <c r="O161" i="7" s="1"/>
  <c r="P85" i="7" a="1"/>
  <c r="P85" i="7" s="1"/>
  <c r="Q99" i="7" a="1"/>
  <c r="Q99" i="7" s="1"/>
  <c r="B94" i="31" s="1"/>
  <c r="O109" i="7" a="1"/>
  <c r="O109" i="7" s="1"/>
  <c r="P111" i="7" a="1"/>
  <c r="P111" i="7" s="1"/>
  <c r="B36" i="31" s="1"/>
  <c r="Q113" i="7" a="1"/>
  <c r="Q113" i="7" s="1"/>
  <c r="O118" i="7" a="1"/>
  <c r="O118" i="7" s="1"/>
  <c r="P121" i="7" a="1"/>
  <c r="P121" i="7" s="1"/>
  <c r="B70" i="31" s="1"/>
  <c r="Q122" i="7" a="1"/>
  <c r="Q122" i="7" s="1"/>
  <c r="O128" i="7" a="1"/>
  <c r="O128" i="7" s="1"/>
  <c r="P130" i="7" a="1"/>
  <c r="P130" i="7" s="1"/>
  <c r="Q131" i="7" a="1"/>
  <c r="Q131" i="7" s="1"/>
  <c r="O133" i="7" a="1"/>
  <c r="O133" i="7" s="1"/>
  <c r="B103" i="10" s="1"/>
  <c r="P134" i="7" a="1"/>
  <c r="P134" i="7" s="1"/>
  <c r="Q135" i="7" a="1"/>
  <c r="Q135" i="7" s="1"/>
  <c r="O138" i="7" a="1"/>
  <c r="O138" i="7" s="1"/>
  <c r="P139" i="7" a="1"/>
  <c r="P139" i="7" s="1"/>
  <c r="B97" i="31" s="1"/>
  <c r="Q140" i="7" a="1"/>
  <c r="Q140" i="7" s="1"/>
  <c r="O145" i="7" a="1"/>
  <c r="O145" i="7" s="1"/>
  <c r="P147" i="7" a="1"/>
  <c r="P147" i="7" s="1"/>
  <c r="B121" i="31" s="1"/>
  <c r="Q148" i="7" a="1"/>
  <c r="Q148" i="7" s="1"/>
  <c r="Q152" i="7" a="1"/>
  <c r="Q152" i="7" s="1"/>
  <c r="Q153" i="7" a="1"/>
  <c r="Q153" i="7" s="1"/>
  <c r="Q155" i="7" a="1"/>
  <c r="Q155" i="7" s="1"/>
  <c r="O160" i="7" a="1"/>
  <c r="O160" i="7" s="1"/>
  <c r="P161" i="7" a="1"/>
  <c r="P161" i="7" s="1"/>
  <c r="P99" i="7" a="1"/>
  <c r="P99" i="7" s="1"/>
  <c r="B105" i="25" s="1"/>
  <c r="O111" i="7" a="1"/>
  <c r="O111" i="7" s="1"/>
  <c r="Q117" i="7" a="1"/>
  <c r="Q117" i="7" s="1"/>
  <c r="P122" i="7" a="1"/>
  <c r="P122" i="7" s="1"/>
  <c r="B71" i="31" s="1"/>
  <c r="Q124" i="7" a="1"/>
  <c r="Q124" i="7" s="1"/>
  <c r="P131" i="7" a="1"/>
  <c r="P131" i="7" s="1"/>
  <c r="O134" i="7" a="1"/>
  <c r="O134" i="7" s="1"/>
  <c r="Q137" i="7" a="1"/>
  <c r="Q137" i="7" s="1"/>
  <c r="O139" i="7" a="1"/>
  <c r="O139" i="7" s="1"/>
  <c r="Q144" i="7" a="1"/>
  <c r="Q144" i="7" s="1"/>
  <c r="Q85" i="7" a="1"/>
  <c r="Q85" i="7" s="1"/>
  <c r="O108" i="7" a="1"/>
  <c r="O108" i="7" s="1"/>
  <c r="P109" i="7" a="1"/>
  <c r="P109" i="7" s="1"/>
  <c r="B26" i="31" s="1"/>
  <c r="Q111" i="7" a="1"/>
  <c r="Q111" i="7" s="1"/>
  <c r="O117" i="7" a="1"/>
  <c r="O117" i="7" s="1"/>
  <c r="P118" i="7" a="1"/>
  <c r="P118" i="7" s="1"/>
  <c r="B59" i="31" s="1"/>
  <c r="Q121" i="7" a="1"/>
  <c r="Q121" i="7" s="1"/>
  <c r="O124" i="7" a="1"/>
  <c r="O124" i="7" s="1"/>
  <c r="P128" i="7" a="1"/>
  <c r="P128" i="7" s="1"/>
  <c r="Q130" i="7" a="1"/>
  <c r="Q130" i="7" s="1"/>
  <c r="O132" i="7" a="1"/>
  <c r="O132" i="7" s="1"/>
  <c r="B102" i="10" s="1"/>
  <c r="P133" i="7" a="1"/>
  <c r="P133" i="7" s="1"/>
  <c r="Q134" i="7" a="1"/>
  <c r="Q134" i="7" s="1"/>
  <c r="O137" i="7" a="1"/>
  <c r="O137" i="7" s="1"/>
  <c r="P138" i="7" a="1"/>
  <c r="P138" i="7" s="1"/>
  <c r="B96" i="31" s="1"/>
  <c r="Q139" i="7" a="1"/>
  <c r="Q139" i="7" s="1"/>
  <c r="O144" i="7" a="1"/>
  <c r="O144" i="7" s="1"/>
  <c r="P145" i="7" a="1"/>
  <c r="P145" i="7" s="1"/>
  <c r="B112" i="31" s="1"/>
  <c r="Q147" i="7" a="1"/>
  <c r="Q147" i="7" s="1"/>
  <c r="O152" i="7" a="1"/>
  <c r="O152" i="7" s="1"/>
  <c r="B157" i="10" s="1"/>
  <c r="O153" i="7" a="1"/>
  <c r="O153" i="7" s="1"/>
  <c r="B158" i="10" s="1"/>
  <c r="O156" i="7" a="1"/>
  <c r="O156" i="7" s="1"/>
  <c r="B168" i="10" s="1"/>
  <c r="P160" i="7" a="1"/>
  <c r="P160" i="7" s="1"/>
  <c r="B24" i="13" l="1"/>
  <c r="B86" i="11"/>
  <c r="B89" i="22"/>
  <c r="B94" i="22" s="1"/>
  <c r="B24" i="24"/>
  <c r="B29" i="24" s="1"/>
  <c r="B21" i="23"/>
  <c r="B26" i="23" s="1"/>
  <c r="B87" i="11"/>
  <c r="B25" i="13"/>
  <c r="B25" i="24"/>
  <c r="B22" i="23"/>
  <c r="B90" i="22"/>
  <c r="B29" i="31"/>
  <c r="B154" i="21"/>
  <c r="B158" i="21" s="1"/>
  <c r="C158" i="21" s="1"/>
  <c r="D158" i="21" s="1"/>
  <c r="B147" i="31"/>
  <c r="B151" i="31" s="1"/>
  <c r="C151" i="31" s="1"/>
  <c r="B143" i="21"/>
  <c r="B136" i="31"/>
  <c r="B153" i="21"/>
  <c r="B146" i="31"/>
  <c r="B62" i="31"/>
  <c r="B74" i="31"/>
  <c r="B162" i="31"/>
  <c r="B80" i="31"/>
  <c r="B24" i="31"/>
  <c r="B35" i="31"/>
  <c r="C63" i="31"/>
  <c r="G63" i="31"/>
  <c r="K63" i="31"/>
  <c r="O63" i="31"/>
  <c r="S63" i="31"/>
  <c r="W63" i="31"/>
  <c r="AA63" i="31"/>
  <c r="E62" i="21"/>
  <c r="I62" i="21"/>
  <c r="M62" i="21"/>
  <c r="Q62" i="21"/>
  <c r="U62" i="21"/>
  <c r="Y62" i="21"/>
  <c r="D63" i="31"/>
  <c r="H63" i="31"/>
  <c r="L63" i="31"/>
  <c r="P63" i="31"/>
  <c r="T63" i="31"/>
  <c r="X63" i="31"/>
  <c r="B63" i="31"/>
  <c r="F62" i="21"/>
  <c r="J62" i="21"/>
  <c r="N62" i="21"/>
  <c r="R62" i="21"/>
  <c r="V62" i="21"/>
  <c r="Z62" i="21"/>
  <c r="J63" i="31"/>
  <c r="R63" i="31"/>
  <c r="Z63" i="31"/>
  <c r="H62" i="21"/>
  <c r="P62" i="21"/>
  <c r="X62" i="21"/>
  <c r="E63" i="31"/>
  <c r="U63" i="31"/>
  <c r="K62" i="21"/>
  <c r="S62" i="21"/>
  <c r="N63" i="31"/>
  <c r="D62" i="21"/>
  <c r="T62" i="21"/>
  <c r="I63" i="31"/>
  <c r="Q63" i="31"/>
  <c r="Y63" i="31"/>
  <c r="G62" i="21"/>
  <c r="O62" i="21"/>
  <c r="W62" i="21"/>
  <c r="M63" i="31"/>
  <c r="C62" i="21"/>
  <c r="AA62" i="21"/>
  <c r="F63" i="31"/>
  <c r="V63" i="31"/>
  <c r="L62" i="21"/>
  <c r="B62" i="21"/>
  <c r="B144" i="21"/>
  <c r="B137" i="31"/>
  <c r="G8" i="32"/>
  <c r="P73" i="7" a="1"/>
  <c r="P73" i="7" s="1"/>
  <c r="B4" i="33" s="1"/>
  <c r="P66" i="7" a="1"/>
  <c r="P66" i="7" s="1"/>
  <c r="P64" i="7" a="1"/>
  <c r="P64" i="7" s="1"/>
  <c r="B6" i="13" s="1"/>
  <c r="P61" i="7" a="1"/>
  <c r="P61" i="7" s="1"/>
  <c r="P67" i="7" a="1"/>
  <c r="P67" i="7" s="1"/>
  <c r="B5" i="22" s="1"/>
  <c r="D246" i="7" a="1"/>
  <c r="D246" i="7" s="1"/>
  <c r="E244" i="7" a="1"/>
  <c r="E244" i="7" s="1"/>
  <c r="K237" i="7" a="1"/>
  <c r="K237" i="7" s="1"/>
  <c r="I244" i="7" a="1"/>
  <c r="I244" i="7" s="1"/>
  <c r="P72" i="7" a="1"/>
  <c r="P72" i="7" s="1"/>
  <c r="B4" i="32" s="1"/>
  <c r="J242" i="7" a="1"/>
  <c r="J242" i="7" s="1"/>
  <c r="N238" i="7" a="1"/>
  <c r="N238" i="7" s="1"/>
  <c r="N239" i="7" a="1"/>
  <c r="N239" i="7" s="1"/>
  <c r="K241" i="7" a="1"/>
  <c r="K241" i="7" s="1"/>
  <c r="N241" i="7" a="1"/>
  <c r="N241" i="7" s="1"/>
  <c r="P65" i="7" a="1"/>
  <c r="P65" i="7" s="1"/>
  <c r="B4" i="14" s="1"/>
  <c r="H248" i="7" a="1"/>
  <c r="H248" i="7" s="1"/>
  <c r="H249" i="7" a="1"/>
  <c r="H249" i="7" s="1"/>
  <c r="D241" i="7" a="1"/>
  <c r="D241" i="7" s="1"/>
  <c r="K246" i="7" a="1"/>
  <c r="K246" i="7" s="1"/>
  <c r="N247" i="7" a="1"/>
  <c r="N247" i="7" s="1"/>
  <c r="M248" i="7" a="1"/>
  <c r="M248" i="7" s="1"/>
  <c r="J238" i="7" a="1"/>
  <c r="J238" i="7" s="1"/>
  <c r="P68" i="7" a="1"/>
  <c r="P68" i="7" s="1"/>
  <c r="B6" i="23" s="1"/>
  <c r="I241" i="7" a="1"/>
  <c r="I241" i="7" s="1"/>
  <c r="G243" i="7" a="1"/>
  <c r="G243" i="7" s="1"/>
  <c r="M246" i="7" a="1"/>
  <c r="M246" i="7" s="1"/>
  <c r="D243" i="7" a="1"/>
  <c r="D243" i="7" s="1"/>
  <c r="N240" i="7" a="1"/>
  <c r="N240" i="7" s="1"/>
  <c r="M242" i="7" a="1"/>
  <c r="M242" i="7" s="1"/>
  <c r="M244" i="7" a="1"/>
  <c r="M244" i="7" s="1"/>
  <c r="E243" i="7" a="1"/>
  <c r="E243" i="7" s="1"/>
  <c r="J244" i="7" a="1"/>
  <c r="J244" i="7" s="1"/>
  <c r="I248" i="7" a="1"/>
  <c r="I248" i="7" s="1"/>
  <c r="G241" i="7" a="1"/>
  <c r="G241" i="7" s="1"/>
  <c r="D239" i="7" a="1"/>
  <c r="D239" i="7" s="1"/>
  <c r="P71" i="7" a="1"/>
  <c r="P71" i="7" s="1"/>
  <c r="I245" i="7" a="1"/>
  <c r="I245" i="7" s="1"/>
  <c r="J237" i="7" a="1"/>
  <c r="J237" i="7" s="1"/>
  <c r="G239" i="7" a="1"/>
  <c r="G239" i="7" s="1"/>
  <c r="K249" i="7" a="1"/>
  <c r="K249" i="7" s="1"/>
  <c r="N242" i="7" a="1"/>
  <c r="N242" i="7" s="1"/>
  <c r="K245" i="7" a="1"/>
  <c r="K245" i="7" s="1"/>
  <c r="M237" i="7" a="1"/>
  <c r="M237" i="7" s="1"/>
  <c r="G11" i="12"/>
  <c r="I104" i="14"/>
  <c r="D11" i="13"/>
  <c r="J10" i="11"/>
  <c r="C11" i="12"/>
  <c r="E104" i="14"/>
  <c r="K11" i="12"/>
  <c r="F10" i="11"/>
  <c r="L11" i="13"/>
  <c r="B10" i="11"/>
  <c r="H11" i="13"/>
  <c r="B104" i="14"/>
  <c r="H10" i="11"/>
  <c r="B11" i="13"/>
  <c r="G104" i="14"/>
  <c r="L11" i="12"/>
  <c r="K10" i="11"/>
  <c r="L10" i="11"/>
  <c r="F11" i="13"/>
  <c r="K104" i="14"/>
  <c r="C10" i="11"/>
  <c r="I11" i="13"/>
  <c r="H11" i="12"/>
  <c r="E11" i="12"/>
  <c r="J11" i="13"/>
  <c r="G10" i="11"/>
  <c r="F104" i="14"/>
  <c r="E11" i="13"/>
  <c r="D10" i="11"/>
  <c r="I11" i="12"/>
  <c r="C104" i="14"/>
  <c r="D11" i="12"/>
  <c r="J104" i="14"/>
  <c r="E10" i="11"/>
  <c r="J11" i="12"/>
  <c r="D104" i="14"/>
  <c r="C11" i="13"/>
  <c r="B11" i="12"/>
  <c r="G11" i="13"/>
  <c r="L104" i="14"/>
  <c r="F11" i="12"/>
  <c r="K11" i="13"/>
  <c r="I10" i="11"/>
  <c r="H104" i="14"/>
  <c r="H100" i="25"/>
  <c r="H101" i="25" s="1"/>
  <c r="H116" i="25" s="1"/>
  <c r="B100" i="25"/>
  <c r="B101" i="25" s="1"/>
  <c r="H11" i="24"/>
  <c r="C11" i="24"/>
  <c r="H11" i="23"/>
  <c r="C11" i="23"/>
  <c r="G11" i="23"/>
  <c r="F100" i="25"/>
  <c r="F101" i="25" s="1"/>
  <c r="B11" i="23"/>
  <c r="G10" i="22"/>
  <c r="B10" i="22"/>
  <c r="L100" i="25"/>
  <c r="L101" i="25" s="1"/>
  <c r="E100" i="25"/>
  <c r="E101" i="25" s="1"/>
  <c r="I11" i="24"/>
  <c r="L11" i="23"/>
  <c r="F11" i="23"/>
  <c r="K10" i="22"/>
  <c r="F10" i="22"/>
  <c r="E11" i="24"/>
  <c r="C10" i="22"/>
  <c r="K11" i="24"/>
  <c r="J100" i="25"/>
  <c r="J101" i="25" s="1"/>
  <c r="D100" i="25"/>
  <c r="D101" i="25" s="1"/>
  <c r="G11" i="24"/>
  <c r="K11" i="23"/>
  <c r="D11" i="23"/>
  <c r="J10" i="22"/>
  <c r="E10" i="22"/>
  <c r="I100" i="25"/>
  <c r="I101" i="25" s="1"/>
  <c r="I116" i="25" s="1"/>
  <c r="L11" i="24"/>
  <c r="J11" i="23"/>
  <c r="I10" i="22"/>
  <c r="D11" i="24"/>
  <c r="L10" i="22"/>
  <c r="F11" i="24"/>
  <c r="K100" i="25"/>
  <c r="K101" i="25" s="1"/>
  <c r="E11" i="23"/>
  <c r="J11" i="24"/>
  <c r="D10" i="22"/>
  <c r="I11" i="23"/>
  <c r="C100" i="25"/>
  <c r="C101" i="25" s="1"/>
  <c r="H10" i="22"/>
  <c r="B11" i="24"/>
  <c r="G100" i="25"/>
  <c r="G101" i="25" s="1"/>
  <c r="G116" i="25" s="1"/>
  <c r="G9" i="33"/>
  <c r="J9" i="32"/>
  <c r="B9" i="32"/>
  <c r="D9" i="33"/>
  <c r="L9" i="33"/>
  <c r="C9" i="33"/>
  <c r="C9" i="32"/>
  <c r="K9" i="33"/>
  <c r="K9" i="32"/>
  <c r="H9" i="33"/>
  <c r="G9" i="32"/>
  <c r="F9" i="32"/>
  <c r="E9" i="33"/>
  <c r="D9" i="32"/>
  <c r="I9" i="33"/>
  <c r="H9" i="32"/>
  <c r="L9" i="32"/>
  <c r="I9" i="32"/>
  <c r="B9" i="33"/>
  <c r="F9" i="33"/>
  <c r="E9" i="32"/>
  <c r="J9" i="33"/>
  <c r="H240" i="7" a="1"/>
  <c r="H240" i="7" s="1"/>
  <c r="M238" i="7" a="1"/>
  <c r="M238" i="7" s="1"/>
  <c r="F245" i="7" a="1"/>
  <c r="F245" i="7" s="1"/>
  <c r="K239" i="7" a="1"/>
  <c r="K239" i="7" s="1"/>
  <c r="F249" i="7" a="1"/>
  <c r="F249" i="7" s="1"/>
  <c r="K243" i="7" a="1"/>
  <c r="K243" i="7" s="1"/>
  <c r="H238" i="7" a="1"/>
  <c r="H238" i="7" s="1"/>
  <c r="F244" i="7" a="1"/>
  <c r="F244" i="7" s="1"/>
  <c r="G249" i="7" a="1"/>
  <c r="G249" i="7" s="1"/>
  <c r="E248" i="7" a="1"/>
  <c r="E248" i="7" s="1"/>
  <c r="I246" i="7" a="1"/>
  <c r="I246" i="7" s="1"/>
  <c r="M240" i="7" a="1"/>
  <c r="M240" i="7" s="1"/>
  <c r="J248" i="7" a="1"/>
  <c r="J248" i="7" s="1"/>
  <c r="H243" i="7" a="1"/>
  <c r="H243" i="7" s="1"/>
  <c r="L237" i="7" a="1"/>
  <c r="L237" i="7" s="1"/>
  <c r="H247" i="7" a="1"/>
  <c r="H247" i="7" s="1"/>
  <c r="L245" i="7" a="1"/>
  <c r="L245" i="7" s="1"/>
  <c r="F240" i="7" a="1"/>
  <c r="F240" i="7" s="1"/>
  <c r="H242" i="7" a="1"/>
  <c r="H242" i="7" s="1"/>
  <c r="F238" i="7" a="1"/>
  <c r="F238" i="7" s="1"/>
  <c r="J249" i="7" a="1"/>
  <c r="J249" i="7" s="1"/>
  <c r="G245" i="7" a="1"/>
  <c r="G245" i="7" s="1"/>
  <c r="F248" i="7" a="1"/>
  <c r="F248" i="7" s="1"/>
  <c r="K242" i="7" a="1"/>
  <c r="K242" i="7" s="1"/>
  <c r="H237" i="7" a="1"/>
  <c r="H237" i="7" s="1"/>
  <c r="H245" i="7" a="1"/>
  <c r="H245" i="7" s="1"/>
  <c r="M239" i="7" a="1"/>
  <c r="M239" i="7" s="1"/>
  <c r="K238" i="7" a="1"/>
  <c r="K238" i="7" s="1"/>
  <c r="I237" i="7" a="1"/>
  <c r="I237" i="7" s="1"/>
  <c r="F241" i="7" a="1"/>
  <c r="F241" i="7" s="1"/>
  <c r="G248" i="7" a="1"/>
  <c r="G248" i="7" s="1"/>
  <c r="E237" i="7" a="1"/>
  <c r="E237" i="7" s="1"/>
  <c r="D245" i="7" a="1"/>
  <c r="D245" i="7" s="1"/>
  <c r="D238" i="7" a="1"/>
  <c r="D238" i="7" s="1"/>
  <c r="E240" i="7" a="1"/>
  <c r="E240" i="7" s="1"/>
  <c r="F247" i="7" a="1"/>
  <c r="F247" i="7" s="1"/>
  <c r="P63" i="7" a="1"/>
  <c r="P63" i="7" s="1"/>
  <c r="B6" i="12" s="1"/>
  <c r="H13" i="12" s="1"/>
  <c r="L248" i="7" a="1"/>
  <c r="L248" i="7" s="1"/>
  <c r="N248" i="7" a="1"/>
  <c r="N248" i="7" s="1"/>
  <c r="L243" i="7" a="1"/>
  <c r="L243" i="7" s="1"/>
  <c r="E238" i="7" a="1"/>
  <c r="E238" i="7" s="1"/>
  <c r="L247" i="7" a="1"/>
  <c r="L247" i="7" s="1"/>
  <c r="F242" i="7" a="1"/>
  <c r="F242" i="7" s="1"/>
  <c r="E246" i="7" a="1"/>
  <c r="E246" i="7" s="1"/>
  <c r="J240" i="7" a="1"/>
  <c r="J240" i="7" s="1"/>
  <c r="I243" i="7" a="1"/>
  <c r="I243" i="7" s="1"/>
  <c r="L239" i="7" a="1"/>
  <c r="L239" i="7" s="1"/>
  <c r="J245" i="7" a="1"/>
  <c r="J245" i="7" s="1"/>
  <c r="H244" i="7" a="1"/>
  <c r="H244" i="7" s="1"/>
  <c r="H239" i="7" a="1"/>
  <c r="H239" i="7" s="1"/>
  <c r="E247" i="7" a="1"/>
  <c r="E247" i="7" s="1"/>
  <c r="J246" i="7" a="1"/>
  <c r="J246" i="7" s="1"/>
  <c r="H241" i="7" a="1"/>
  <c r="H241" i="7" s="1"/>
  <c r="I249" i="7" a="1"/>
  <c r="I249" i="7" s="1"/>
  <c r="N243" i="7" a="1"/>
  <c r="N243" i="7" s="1"/>
  <c r="L238" i="7" a="1"/>
  <c r="L238" i="7" s="1"/>
  <c r="J247" i="7" a="1"/>
  <c r="J247" i="7" s="1"/>
  <c r="M245" i="7" a="1"/>
  <c r="M245" i="7" s="1"/>
  <c r="F243" i="7" a="1"/>
  <c r="F243" i="7" s="1"/>
  <c r="H246" i="7" a="1"/>
  <c r="H246" i="7" s="1"/>
  <c r="F246" i="7" a="1"/>
  <c r="F246" i="7" s="1"/>
  <c r="K240" i="7" a="1"/>
  <c r="K240" i="7" s="1"/>
  <c r="E249" i="7" a="1"/>
  <c r="E249" i="7" s="1"/>
  <c r="J243" i="7" a="1"/>
  <c r="J243" i="7" s="1"/>
  <c r="G238" i="7" a="1"/>
  <c r="G238" i="7" s="1"/>
  <c r="L242" i="7" a="1"/>
  <c r="L242" i="7" s="1"/>
  <c r="D240" i="7" a="1"/>
  <c r="D240" i="7" s="1"/>
  <c r="D247" i="7" a="1"/>
  <c r="D247" i="7" s="1"/>
  <c r="D244" i="7" a="1"/>
  <c r="D244" i="7" s="1"/>
  <c r="L249" i="7" a="1"/>
  <c r="L249" i="7" s="1"/>
  <c r="P70" i="7" a="1"/>
  <c r="P70" i="7" s="1"/>
  <c r="B4" i="25" s="1"/>
  <c r="M247" i="7" a="1"/>
  <c r="M247" i="7" s="1"/>
  <c r="K244" i="7" a="1"/>
  <c r="K244" i="7" s="1"/>
  <c r="I238" i="7" a="1"/>
  <c r="I238" i="7" s="1"/>
  <c r="I247" i="7" a="1"/>
  <c r="I247" i="7" s="1"/>
  <c r="N246" i="7" a="1"/>
  <c r="N246" i="7" s="1"/>
  <c r="L241" i="7" a="1"/>
  <c r="L241" i="7" s="1"/>
  <c r="M249" i="7" a="1"/>
  <c r="M249" i="7" s="1"/>
  <c r="G244" i="7" a="1"/>
  <c r="G244" i="7" s="1"/>
  <c r="E239" i="7" a="1"/>
  <c r="E239" i="7" s="1"/>
  <c r="G237" i="7" a="1"/>
  <c r="G237" i="7" s="1"/>
  <c r="K248" i="7" a="1"/>
  <c r="K248" i="7" s="1"/>
  <c r="M241" i="7" a="1"/>
  <c r="M241" i="7" s="1"/>
  <c r="G240" i="7" a="1"/>
  <c r="G240" i="7" s="1"/>
  <c r="N237" i="7" a="1"/>
  <c r="N237" i="7" s="1"/>
  <c r="G246" i="7" a="1"/>
  <c r="G246" i="7" s="1"/>
  <c r="E241" i="7" a="1"/>
  <c r="E241" i="7" s="1"/>
  <c r="E245" i="7" a="1"/>
  <c r="E245" i="7" s="1"/>
  <c r="J239" i="7" a="1"/>
  <c r="J239" i="7" s="1"/>
  <c r="K247" i="7" a="1"/>
  <c r="K247" i="7" s="1"/>
  <c r="I242" i="7" a="1"/>
  <c r="I242" i="7" s="1"/>
  <c r="F237" i="7" a="1"/>
  <c r="F237" i="7" s="1"/>
  <c r="J241" i="7" a="1"/>
  <c r="J241" i="7" s="1"/>
  <c r="G242" i="7" a="1"/>
  <c r="G242" i="7" s="1"/>
  <c r="I239" i="7" a="1"/>
  <c r="I239" i="7" s="1"/>
  <c r="N245" i="7" a="1"/>
  <c r="N245" i="7" s="1"/>
  <c r="L240" i="7" a="1"/>
  <c r="L240" i="7" s="1"/>
  <c r="N249" i="7" a="1"/>
  <c r="N249" i="7" s="1"/>
  <c r="L244" i="7" a="1"/>
  <c r="L244" i="7" s="1"/>
  <c r="F239" i="7" a="1"/>
  <c r="F239" i="7" s="1"/>
  <c r="G247" i="7" a="1"/>
  <c r="G247" i="7" s="1"/>
  <c r="E242" i="7" a="1"/>
  <c r="E242" i="7" s="1"/>
  <c r="L246" i="7" a="1"/>
  <c r="L246" i="7" s="1"/>
  <c r="I240" i="7" a="1"/>
  <c r="I240" i="7" s="1"/>
  <c r="D237" i="7" a="1"/>
  <c r="D237" i="7" s="1"/>
  <c r="N244" i="7" a="1"/>
  <c r="N244" i="7" s="1"/>
  <c r="D242" i="7" a="1"/>
  <c r="D242" i="7" s="1"/>
  <c r="D249" i="7" a="1"/>
  <c r="D249" i="7" s="1"/>
  <c r="D248" i="7" a="1"/>
  <c r="D248" i="7" s="1"/>
  <c r="M243" i="7" a="1"/>
  <c r="M243" i="7" s="1"/>
  <c r="P62" i="7" a="1"/>
  <c r="P62" i="7" s="1"/>
  <c r="B5" i="11" s="1"/>
  <c r="U43" i="11" s="1"/>
  <c r="P69" i="7" a="1"/>
  <c r="P69" i="7" s="1"/>
  <c r="B6" i="24" s="1"/>
  <c r="B181" i="31"/>
  <c r="B180" i="31"/>
  <c r="B145" i="31"/>
  <c r="B135" i="31"/>
  <c r="B104" i="21"/>
  <c r="B107" i="25"/>
  <c r="B34" i="25"/>
  <c r="B24" i="25"/>
  <c r="B75" i="22"/>
  <c r="B76" i="25"/>
  <c r="B33" i="22"/>
  <c r="B22" i="22"/>
  <c r="B43" i="21"/>
  <c r="B46" i="21" s="1"/>
  <c r="C46" i="21" s="1"/>
  <c r="D46" i="21" s="1"/>
  <c r="E46" i="21" s="1"/>
  <c r="F46" i="21" s="1"/>
  <c r="G46" i="21" s="1"/>
  <c r="H46" i="21" s="1"/>
  <c r="I46" i="21" s="1"/>
  <c r="J46" i="21" s="1"/>
  <c r="K46" i="21" s="1"/>
  <c r="L46" i="21" s="1"/>
  <c r="M46" i="21" s="1"/>
  <c r="N46" i="21" s="1"/>
  <c r="O46" i="21" s="1"/>
  <c r="P46" i="21" s="1"/>
  <c r="Q46" i="21" s="1"/>
  <c r="R46" i="21" s="1"/>
  <c r="S46" i="21" s="1"/>
  <c r="T46" i="21" s="1"/>
  <c r="U46" i="21" s="1"/>
  <c r="V46" i="21" s="1"/>
  <c r="W46" i="21" s="1"/>
  <c r="X46" i="21" s="1"/>
  <c r="Y46" i="21" s="1"/>
  <c r="Z46" i="21" s="1"/>
  <c r="AA46" i="21" s="1"/>
  <c r="B45" i="25"/>
  <c r="C45" i="25" s="1"/>
  <c r="D45" i="25" s="1"/>
  <c r="E45" i="25" s="1"/>
  <c r="F45" i="25" s="1"/>
  <c r="G45" i="25" s="1"/>
  <c r="H45" i="25" s="1"/>
  <c r="I45" i="25" s="1"/>
  <c r="J45" i="25" s="1"/>
  <c r="K45" i="25" s="1"/>
  <c r="L45" i="25" s="1"/>
  <c r="M45" i="25" s="1"/>
  <c r="N45" i="25" s="1"/>
  <c r="O45" i="25" s="1"/>
  <c r="P45" i="25" s="1"/>
  <c r="Q45" i="25" s="1"/>
  <c r="R45" i="25" s="1"/>
  <c r="S45" i="25" s="1"/>
  <c r="T45" i="25" s="1"/>
  <c r="U45" i="25" s="1"/>
  <c r="V45" i="25" s="1"/>
  <c r="W45" i="25" s="1"/>
  <c r="X45" i="25" s="1"/>
  <c r="Y45" i="25" s="1"/>
  <c r="Z45" i="25" s="1"/>
  <c r="AA45" i="25" s="1"/>
  <c r="B25" i="21"/>
  <c r="B26" i="25"/>
  <c r="B24" i="22"/>
  <c r="B120" i="21"/>
  <c r="B124" i="25"/>
  <c r="B24" i="21"/>
  <c r="B25" i="25"/>
  <c r="B23" i="22"/>
  <c r="F97" i="21"/>
  <c r="B22" i="21"/>
  <c r="B21" i="22"/>
  <c r="B23" i="25"/>
  <c r="B70" i="21"/>
  <c r="B66" i="22"/>
  <c r="B67" i="25"/>
  <c r="B105" i="21"/>
  <c r="B108" i="25"/>
  <c r="B35" i="21"/>
  <c r="B34" i="22"/>
  <c r="B35" i="25"/>
  <c r="B119" i="21"/>
  <c r="B57" i="21"/>
  <c r="B54" i="22"/>
  <c r="B55" i="25"/>
  <c r="B58" i="21"/>
  <c r="B55" i="22"/>
  <c r="B56" i="25"/>
  <c r="B130" i="21"/>
  <c r="B133" i="25"/>
  <c r="B103" i="21"/>
  <c r="B106" i="25"/>
  <c r="B129" i="21"/>
  <c r="B69" i="21"/>
  <c r="B66" i="25"/>
  <c r="B65" i="22"/>
  <c r="B106" i="21"/>
  <c r="B109" i="25"/>
  <c r="B80" i="21"/>
  <c r="B76" i="22"/>
  <c r="B77" i="25"/>
  <c r="G189" i="31"/>
  <c r="H185" i="31"/>
  <c r="G154" i="31"/>
  <c r="H139" i="31"/>
  <c r="G114" i="31"/>
  <c r="F127" i="31"/>
  <c r="B152" i="21"/>
  <c r="B142" i="21"/>
  <c r="B102" i="21"/>
  <c r="B23" i="21"/>
  <c r="B34" i="21"/>
  <c r="B79" i="21"/>
  <c r="J112" i="25"/>
  <c r="F28" i="25"/>
  <c r="E47" i="25"/>
  <c r="L57" i="25"/>
  <c r="U68" i="22"/>
  <c r="K59" i="21"/>
  <c r="J27" i="22"/>
  <c r="I46" i="22"/>
  <c r="E115" i="25"/>
  <c r="F92" i="25"/>
  <c r="M121" i="21"/>
  <c r="H10" i="24"/>
  <c r="G31" i="24"/>
  <c r="F60" i="21"/>
  <c r="E86" i="21"/>
  <c r="I96" i="21"/>
  <c r="H111" i="21"/>
  <c r="L122" i="21"/>
  <c r="K135" i="21"/>
  <c r="Z26" i="22"/>
  <c r="N71" i="21"/>
  <c r="L56" i="22"/>
  <c r="F82" i="22"/>
  <c r="F96" i="22" s="1"/>
  <c r="G57" i="22"/>
  <c r="J146" i="21"/>
  <c r="I161" i="21"/>
  <c r="E150" i="25"/>
  <c r="F146" i="25"/>
  <c r="F58" i="25"/>
  <c r="E83" i="25"/>
  <c r="G68" i="25"/>
  <c r="I138" i="25"/>
  <c r="J126" i="25"/>
  <c r="N27" i="21"/>
  <c r="M49" i="21"/>
  <c r="E158" i="21"/>
  <c r="H10" i="23"/>
  <c r="G28" i="23"/>
  <c r="B25" i="10"/>
  <c r="B26" i="14"/>
  <c r="B23" i="11"/>
  <c r="B36" i="10"/>
  <c r="B37" i="14"/>
  <c r="B34" i="11"/>
  <c r="B134" i="10"/>
  <c r="B130" i="14"/>
  <c r="B79" i="10"/>
  <c r="B36" i="14"/>
  <c r="B72" i="11"/>
  <c r="B33" i="11"/>
  <c r="B25" i="14"/>
  <c r="B22" i="11"/>
  <c r="B78" i="14"/>
  <c r="B120" i="10"/>
  <c r="B114" i="14"/>
  <c r="B80" i="10"/>
  <c r="B79" i="14"/>
  <c r="B73" i="11"/>
  <c r="B183" i="10"/>
  <c r="B184" i="10"/>
  <c r="B117" i="10"/>
  <c r="B111" i="14"/>
  <c r="B60" i="10"/>
  <c r="B59" i="14"/>
  <c r="B54" i="11"/>
  <c r="B69" i="10"/>
  <c r="B62" i="11"/>
  <c r="B68" i="14"/>
  <c r="B44" i="10"/>
  <c r="B48" i="14"/>
  <c r="B133" i="10"/>
  <c r="B59" i="10"/>
  <c r="B53" i="11"/>
  <c r="B58" i="14"/>
  <c r="B119" i="10"/>
  <c r="I119" i="10" s="1"/>
  <c r="B113" i="14"/>
  <c r="F96" i="10"/>
  <c r="B144" i="10"/>
  <c r="B140" i="14"/>
  <c r="B70" i="10"/>
  <c r="B69" i="14"/>
  <c r="B63" i="11"/>
  <c r="B118" i="10"/>
  <c r="B112" i="14"/>
  <c r="B26" i="10"/>
  <c r="B27" i="14"/>
  <c r="B24" i="11"/>
  <c r="B143" i="10"/>
  <c r="X109" i="10"/>
  <c r="T109" i="10"/>
  <c r="P109" i="10"/>
  <c r="L109" i="10"/>
  <c r="H109" i="10"/>
  <c r="D109" i="10"/>
  <c r="AA109" i="10"/>
  <c r="W109" i="10"/>
  <c r="O109" i="10"/>
  <c r="G109" i="10"/>
  <c r="C109" i="10"/>
  <c r="V109" i="10"/>
  <c r="N109" i="10"/>
  <c r="F109" i="10"/>
  <c r="U109" i="10"/>
  <c r="M109" i="10"/>
  <c r="E109" i="10"/>
  <c r="S109" i="10"/>
  <c r="K109" i="10"/>
  <c r="Z109" i="10"/>
  <c r="R109" i="10"/>
  <c r="J109" i="10"/>
  <c r="Y109" i="10"/>
  <c r="Q109" i="10"/>
  <c r="I109" i="10"/>
  <c r="B109" i="10"/>
  <c r="AA110" i="10"/>
  <c r="W110" i="10"/>
  <c r="S110" i="10"/>
  <c r="O110" i="10"/>
  <c r="K110" i="10"/>
  <c r="G110" i="10"/>
  <c r="C110" i="10"/>
  <c r="Z110" i="10"/>
  <c r="R110" i="10"/>
  <c r="N110" i="10"/>
  <c r="J110" i="10"/>
  <c r="U110" i="10"/>
  <c r="M110" i="10"/>
  <c r="E110" i="10"/>
  <c r="T110" i="10"/>
  <c r="L110" i="10"/>
  <c r="D110" i="10"/>
  <c r="V110" i="10"/>
  <c r="F110" i="10"/>
  <c r="Y110" i="10"/>
  <c r="Q110" i="10"/>
  <c r="I110" i="10"/>
  <c r="B110" i="10"/>
  <c r="X110" i="10"/>
  <c r="P110" i="10"/>
  <c r="H110" i="10"/>
  <c r="B116" i="10"/>
  <c r="B166" i="10"/>
  <c r="B156" i="10"/>
  <c r="B24" i="10"/>
  <c r="B35" i="10"/>
  <c r="E94" i="22" l="1"/>
  <c r="I94" i="22"/>
  <c r="M94" i="22"/>
  <c r="Q94" i="22"/>
  <c r="U94" i="22"/>
  <c r="Y94" i="22"/>
  <c r="G94" i="22"/>
  <c r="K94" i="22"/>
  <c r="S94" i="22"/>
  <c r="AA94" i="22"/>
  <c r="D94" i="22"/>
  <c r="H94" i="22"/>
  <c r="P94" i="22"/>
  <c r="X94" i="22"/>
  <c r="F94" i="22"/>
  <c r="J94" i="22"/>
  <c r="N94" i="22"/>
  <c r="R94" i="22"/>
  <c r="V94" i="22"/>
  <c r="Z94" i="22"/>
  <c r="O94" i="22"/>
  <c r="W94" i="22"/>
  <c r="L94" i="22"/>
  <c r="T94" i="22"/>
  <c r="C94" i="22"/>
  <c r="E26" i="23"/>
  <c r="I26" i="23"/>
  <c r="M26" i="23"/>
  <c r="Q26" i="23"/>
  <c r="U26" i="23"/>
  <c r="Y26" i="23"/>
  <c r="G26" i="23"/>
  <c r="K26" i="23"/>
  <c r="S26" i="23"/>
  <c r="AA26" i="23"/>
  <c r="H26" i="23"/>
  <c r="P26" i="23"/>
  <c r="X26" i="23"/>
  <c r="F26" i="23"/>
  <c r="J26" i="23"/>
  <c r="N26" i="23"/>
  <c r="R26" i="23"/>
  <c r="V26" i="23"/>
  <c r="Z26" i="23"/>
  <c r="O26" i="23"/>
  <c r="W26" i="23"/>
  <c r="D26" i="23"/>
  <c r="L26" i="23"/>
  <c r="T26" i="23"/>
  <c r="C26" i="23"/>
  <c r="E29" i="24"/>
  <c r="I29" i="24"/>
  <c r="M29" i="24"/>
  <c r="Q29" i="24"/>
  <c r="U29" i="24"/>
  <c r="Y29" i="24"/>
  <c r="G29" i="24"/>
  <c r="K29" i="24"/>
  <c r="O29" i="24"/>
  <c r="S29" i="24"/>
  <c r="W29" i="24"/>
  <c r="AA29" i="24"/>
  <c r="L29" i="24"/>
  <c r="T29" i="24"/>
  <c r="C29" i="24"/>
  <c r="F29" i="24"/>
  <c r="J29" i="24"/>
  <c r="N29" i="24"/>
  <c r="R29" i="24"/>
  <c r="V29" i="24"/>
  <c r="Z29" i="24"/>
  <c r="D29" i="24"/>
  <c r="H29" i="24"/>
  <c r="P29" i="24"/>
  <c r="X29" i="24"/>
  <c r="C29" i="31"/>
  <c r="D29" i="31" s="1"/>
  <c r="E29" i="31" s="1"/>
  <c r="F29" i="31" s="1"/>
  <c r="G29" i="31" s="1"/>
  <c r="H29" i="31" s="1"/>
  <c r="I29" i="31" s="1"/>
  <c r="J29" i="31" s="1"/>
  <c r="K29" i="31" s="1"/>
  <c r="L29" i="31" s="1"/>
  <c r="M29" i="31" s="1"/>
  <c r="N29" i="31" s="1"/>
  <c r="O29" i="31" s="1"/>
  <c r="P29" i="31" s="1"/>
  <c r="Q29" i="31" s="1"/>
  <c r="R29" i="31" s="1"/>
  <c r="S29" i="31" s="1"/>
  <c r="T29" i="31" s="1"/>
  <c r="U29" i="31" s="1"/>
  <c r="V29" i="31" s="1"/>
  <c r="W29" i="31" s="1"/>
  <c r="X29" i="31" s="1"/>
  <c r="Y29" i="31" s="1"/>
  <c r="Z29" i="31" s="1"/>
  <c r="AA29" i="31" s="1"/>
  <c r="S62" i="31"/>
  <c r="S64" i="31" s="1"/>
  <c r="AA62" i="31"/>
  <c r="AA64" i="31" s="1"/>
  <c r="E62" i="31"/>
  <c r="E64" i="31" s="1"/>
  <c r="T62" i="31"/>
  <c r="T64" i="31" s="1"/>
  <c r="C62" i="31"/>
  <c r="C64" i="31" s="1"/>
  <c r="F62" i="31"/>
  <c r="F64" i="31" s="1"/>
  <c r="O62" i="31"/>
  <c r="O64" i="31" s="1"/>
  <c r="Q62" i="31"/>
  <c r="Q64" i="31" s="1"/>
  <c r="U62" i="31"/>
  <c r="U64" i="31" s="1"/>
  <c r="H62" i="31"/>
  <c r="H64" i="31" s="1"/>
  <c r="N62" i="31"/>
  <c r="N64" i="31" s="1"/>
  <c r="Y62" i="31"/>
  <c r="Y64" i="31" s="1"/>
  <c r="L62" i="31"/>
  <c r="L64" i="31" s="1"/>
  <c r="G62" i="31"/>
  <c r="G64" i="31" s="1"/>
  <c r="P62" i="31"/>
  <c r="P64" i="31" s="1"/>
  <c r="D62" i="31"/>
  <c r="D64" i="31" s="1"/>
  <c r="R62" i="31"/>
  <c r="R64" i="31" s="1"/>
  <c r="M62" i="31"/>
  <c r="M64" i="31" s="1"/>
  <c r="W62" i="31"/>
  <c r="W64" i="31" s="1"/>
  <c r="I62" i="31"/>
  <c r="I64" i="31" s="1"/>
  <c r="V62" i="31"/>
  <c r="V64" i="31" s="1"/>
  <c r="J62" i="31"/>
  <c r="J64" i="31" s="1"/>
  <c r="K62" i="31"/>
  <c r="K64" i="31" s="1"/>
  <c r="X62" i="31"/>
  <c r="X64" i="31" s="1"/>
  <c r="Z62" i="31"/>
  <c r="Z64" i="31" s="1"/>
  <c r="U74" i="31"/>
  <c r="X74" i="31"/>
  <c r="R74" i="31"/>
  <c r="E74" i="31"/>
  <c r="V74" i="31"/>
  <c r="M74" i="31"/>
  <c r="D74" i="31"/>
  <c r="Q74" i="31"/>
  <c r="J74" i="31"/>
  <c r="W74" i="31"/>
  <c r="AA74" i="31"/>
  <c r="N74" i="31"/>
  <c r="Y74" i="31"/>
  <c r="L74" i="31"/>
  <c r="F74" i="31"/>
  <c r="P74" i="31"/>
  <c r="O74" i="31"/>
  <c r="S74" i="31"/>
  <c r="G74" i="31"/>
  <c r="K74" i="31"/>
  <c r="T74" i="31"/>
  <c r="H74" i="31"/>
  <c r="C74" i="31"/>
  <c r="I74" i="31"/>
  <c r="Z74" i="31"/>
  <c r="B64" i="31"/>
  <c r="B176" i="31"/>
  <c r="D223" i="7"/>
  <c r="T59" i="22"/>
  <c r="H222" i="7"/>
  <c r="L222" i="7"/>
  <c r="P222" i="7"/>
  <c r="T222" i="7"/>
  <c r="X222" i="7"/>
  <c r="AB222" i="7"/>
  <c r="E222" i="7"/>
  <c r="I222" i="7"/>
  <c r="M222" i="7"/>
  <c r="Q222" i="7"/>
  <c r="U222" i="7"/>
  <c r="Y222" i="7"/>
  <c r="AC222" i="7"/>
  <c r="F222" i="7"/>
  <c r="N222" i="7"/>
  <c r="V222" i="7"/>
  <c r="D222" i="7"/>
  <c r="G222" i="7"/>
  <c r="O222" i="7"/>
  <c r="W222" i="7"/>
  <c r="J222" i="7"/>
  <c r="R222" i="7"/>
  <c r="Z222" i="7"/>
  <c r="K222" i="7"/>
  <c r="S222" i="7"/>
  <c r="AA222" i="7"/>
  <c r="AA226" i="7"/>
  <c r="W226" i="7"/>
  <c r="S226" i="7"/>
  <c r="O226" i="7"/>
  <c r="K226" i="7"/>
  <c r="G226" i="7"/>
  <c r="Y226" i="7"/>
  <c r="T226" i="7"/>
  <c r="N226" i="7"/>
  <c r="I226" i="7"/>
  <c r="D226" i="7"/>
  <c r="AC226" i="7"/>
  <c r="X226" i="7"/>
  <c r="R226" i="7"/>
  <c r="M226" i="7"/>
  <c r="H226" i="7"/>
  <c r="V226" i="7"/>
  <c r="L226" i="7"/>
  <c r="U226" i="7"/>
  <c r="J226" i="7"/>
  <c r="AB226" i="7"/>
  <c r="Q226" i="7"/>
  <c r="F226" i="7"/>
  <c r="Z226" i="7"/>
  <c r="P226" i="7"/>
  <c r="E226" i="7"/>
  <c r="AA232" i="7"/>
  <c r="W232" i="7"/>
  <c r="S232" i="7"/>
  <c r="O232" i="7"/>
  <c r="K232" i="7"/>
  <c r="G232" i="7"/>
  <c r="Y232" i="7"/>
  <c r="T232" i="7"/>
  <c r="N232" i="7"/>
  <c r="I232" i="7"/>
  <c r="D232" i="7"/>
  <c r="AC232" i="7"/>
  <c r="X232" i="7"/>
  <c r="R232" i="7"/>
  <c r="M232" i="7"/>
  <c r="H232" i="7"/>
  <c r="AB232" i="7"/>
  <c r="V232" i="7"/>
  <c r="Q232" i="7"/>
  <c r="L232" i="7"/>
  <c r="F232" i="7"/>
  <c r="Z232" i="7"/>
  <c r="E232" i="7"/>
  <c r="U232" i="7"/>
  <c r="P232" i="7"/>
  <c r="J232" i="7"/>
  <c r="AC223" i="7"/>
  <c r="AB223" i="7"/>
  <c r="X223" i="7"/>
  <c r="T223" i="7"/>
  <c r="P223" i="7"/>
  <c r="L223" i="7"/>
  <c r="H223" i="7"/>
  <c r="AA223" i="7"/>
  <c r="W223" i="7"/>
  <c r="S223" i="7"/>
  <c r="O223" i="7"/>
  <c r="K223" i="7"/>
  <c r="G223" i="7"/>
  <c r="Z223" i="7"/>
  <c r="R223" i="7"/>
  <c r="J223" i="7"/>
  <c r="Y223" i="7"/>
  <c r="Q223" i="7"/>
  <c r="I223" i="7"/>
  <c r="V223" i="7"/>
  <c r="N223" i="7"/>
  <c r="F223" i="7"/>
  <c r="U223" i="7"/>
  <c r="M223" i="7"/>
  <c r="E223" i="7"/>
  <c r="AA231" i="7"/>
  <c r="W231" i="7"/>
  <c r="S231" i="7"/>
  <c r="O231" i="7"/>
  <c r="K231" i="7"/>
  <c r="G231" i="7"/>
  <c r="AC231" i="7"/>
  <c r="X231" i="7"/>
  <c r="R231" i="7"/>
  <c r="M231" i="7"/>
  <c r="H231" i="7"/>
  <c r="AB231" i="7"/>
  <c r="V231" i="7"/>
  <c r="Q231" i="7"/>
  <c r="L231" i="7"/>
  <c r="F231" i="7"/>
  <c r="Z231" i="7"/>
  <c r="P231" i="7"/>
  <c r="E231" i="7"/>
  <c r="Y231" i="7"/>
  <c r="N231" i="7"/>
  <c r="D231" i="7"/>
  <c r="U231" i="7"/>
  <c r="J231" i="7"/>
  <c r="T231" i="7"/>
  <c r="I231" i="7"/>
  <c r="AA234" i="7"/>
  <c r="W234" i="7"/>
  <c r="S234" i="7"/>
  <c r="O234" i="7"/>
  <c r="K234" i="7"/>
  <c r="G234" i="7"/>
  <c r="Z234" i="7"/>
  <c r="U234" i="7"/>
  <c r="P234" i="7"/>
  <c r="J234" i="7"/>
  <c r="E234" i="7"/>
  <c r="Y234" i="7"/>
  <c r="T234" i="7"/>
  <c r="N234" i="7"/>
  <c r="I234" i="7"/>
  <c r="D234" i="7"/>
  <c r="AC234" i="7"/>
  <c r="X234" i="7"/>
  <c r="R234" i="7"/>
  <c r="M234" i="7"/>
  <c r="H234" i="7"/>
  <c r="Q234" i="7"/>
  <c r="L234" i="7"/>
  <c r="AB234" i="7"/>
  <c r="F234" i="7"/>
  <c r="V234" i="7"/>
  <c r="AA229" i="7"/>
  <c r="W229" i="7"/>
  <c r="S229" i="7"/>
  <c r="O229" i="7"/>
  <c r="K229" i="7"/>
  <c r="G229" i="7"/>
  <c r="AB229" i="7"/>
  <c r="V229" i="7"/>
  <c r="Q229" i="7"/>
  <c r="L229" i="7"/>
  <c r="F229" i="7"/>
  <c r="Z229" i="7"/>
  <c r="U229" i="7"/>
  <c r="P229" i="7"/>
  <c r="J229" i="7"/>
  <c r="E229" i="7"/>
  <c r="Y229" i="7"/>
  <c r="N229" i="7"/>
  <c r="D229" i="7"/>
  <c r="X229" i="7"/>
  <c r="M229" i="7"/>
  <c r="T229" i="7"/>
  <c r="I229" i="7"/>
  <c r="AC229" i="7"/>
  <c r="R229" i="7"/>
  <c r="H229" i="7"/>
  <c r="AA227" i="7"/>
  <c r="W227" i="7"/>
  <c r="S227" i="7"/>
  <c r="O227" i="7"/>
  <c r="K227" i="7"/>
  <c r="G227" i="7"/>
  <c r="Z227" i="7"/>
  <c r="U227" i="7"/>
  <c r="P227" i="7"/>
  <c r="J227" i="7"/>
  <c r="E227" i="7"/>
  <c r="Y227" i="7"/>
  <c r="T227" i="7"/>
  <c r="N227" i="7"/>
  <c r="I227" i="7"/>
  <c r="D227" i="7"/>
  <c r="X227" i="7"/>
  <c r="M227" i="7"/>
  <c r="V227" i="7"/>
  <c r="L227" i="7"/>
  <c r="AC227" i="7"/>
  <c r="R227" i="7"/>
  <c r="H227" i="7"/>
  <c r="AB227" i="7"/>
  <c r="Q227" i="7"/>
  <c r="F227" i="7"/>
  <c r="AC233" i="7"/>
  <c r="Y233" i="7"/>
  <c r="U233" i="7"/>
  <c r="Q233" i="7"/>
  <c r="M233" i="7"/>
  <c r="I233" i="7"/>
  <c r="E233" i="7"/>
  <c r="Z233" i="7"/>
  <c r="T233" i="7"/>
  <c r="O233" i="7"/>
  <c r="J233" i="7"/>
  <c r="D233" i="7"/>
  <c r="X233" i="7"/>
  <c r="S233" i="7"/>
  <c r="N233" i="7"/>
  <c r="H233" i="7"/>
  <c r="AB233" i="7"/>
  <c r="W233" i="7"/>
  <c r="R233" i="7"/>
  <c r="L233" i="7"/>
  <c r="G233" i="7"/>
  <c r="V233" i="7"/>
  <c r="P233" i="7"/>
  <c r="K233" i="7"/>
  <c r="AA233" i="7"/>
  <c r="F233" i="7"/>
  <c r="AC225" i="7"/>
  <c r="Y225" i="7"/>
  <c r="U225" i="7"/>
  <c r="Q225" i="7"/>
  <c r="M225" i="7"/>
  <c r="I225" i="7"/>
  <c r="E225" i="7"/>
  <c r="X225" i="7"/>
  <c r="S225" i="7"/>
  <c r="N225" i="7"/>
  <c r="H225" i="7"/>
  <c r="AB225" i="7"/>
  <c r="W225" i="7"/>
  <c r="R225" i="7"/>
  <c r="L225" i="7"/>
  <c r="G225" i="7"/>
  <c r="AA225" i="7"/>
  <c r="P225" i="7"/>
  <c r="F225" i="7"/>
  <c r="Z225" i="7"/>
  <c r="O225" i="7"/>
  <c r="D225" i="7"/>
  <c r="V225" i="7"/>
  <c r="K225" i="7"/>
  <c r="T225" i="7"/>
  <c r="J225" i="7"/>
  <c r="AC230" i="7"/>
  <c r="Y230" i="7"/>
  <c r="U230" i="7"/>
  <c r="Q230" i="7"/>
  <c r="M230" i="7"/>
  <c r="I230" i="7"/>
  <c r="E230" i="7"/>
  <c r="AB230" i="7"/>
  <c r="W230" i="7"/>
  <c r="R230" i="7"/>
  <c r="L230" i="7"/>
  <c r="G230" i="7"/>
  <c r="AA230" i="7"/>
  <c r="V230" i="7"/>
  <c r="P230" i="7"/>
  <c r="K230" i="7"/>
  <c r="F230" i="7"/>
  <c r="T230" i="7"/>
  <c r="J230" i="7"/>
  <c r="S230" i="7"/>
  <c r="H230" i="7"/>
  <c r="Z230" i="7"/>
  <c r="O230" i="7"/>
  <c r="D230" i="7"/>
  <c r="X230" i="7"/>
  <c r="N230" i="7"/>
  <c r="AA224" i="7"/>
  <c r="W224" i="7"/>
  <c r="S224" i="7"/>
  <c r="O224" i="7"/>
  <c r="K224" i="7"/>
  <c r="G224" i="7"/>
  <c r="AC224" i="7"/>
  <c r="X224" i="7"/>
  <c r="R224" i="7"/>
  <c r="M224" i="7"/>
  <c r="H224" i="7"/>
  <c r="AB224" i="7"/>
  <c r="V224" i="7"/>
  <c r="Q224" i="7"/>
  <c r="L224" i="7"/>
  <c r="F224" i="7"/>
  <c r="U224" i="7"/>
  <c r="J224" i="7"/>
  <c r="T224" i="7"/>
  <c r="I224" i="7"/>
  <c r="Z224" i="7"/>
  <c r="P224" i="7"/>
  <c r="E224" i="7"/>
  <c r="Y224" i="7"/>
  <c r="N224" i="7"/>
  <c r="D224" i="7"/>
  <c r="AC228" i="7"/>
  <c r="Y228" i="7"/>
  <c r="U228" i="7"/>
  <c r="Q228" i="7"/>
  <c r="M228" i="7"/>
  <c r="I228" i="7"/>
  <c r="E228" i="7"/>
  <c r="AA228" i="7"/>
  <c r="V228" i="7"/>
  <c r="P228" i="7"/>
  <c r="K228" i="7"/>
  <c r="F228" i="7"/>
  <c r="Z228" i="7"/>
  <c r="T228" i="7"/>
  <c r="O228" i="7"/>
  <c r="J228" i="7"/>
  <c r="D228" i="7"/>
  <c r="S228" i="7"/>
  <c r="H228" i="7"/>
  <c r="AB228" i="7"/>
  <c r="R228" i="7"/>
  <c r="G228" i="7"/>
  <c r="X228" i="7"/>
  <c r="N228" i="7"/>
  <c r="W228" i="7"/>
  <c r="L228" i="7"/>
  <c r="S59" i="22"/>
  <c r="J44" i="22"/>
  <c r="G44" i="22"/>
  <c r="N59" i="22"/>
  <c r="H44" i="22"/>
  <c r="E59" i="22"/>
  <c r="N44" i="22"/>
  <c r="V59" i="22"/>
  <c r="W59" i="22"/>
  <c r="T44" i="22"/>
  <c r="C44" i="22"/>
  <c r="Z59" i="22"/>
  <c r="X59" i="22"/>
  <c r="M44" i="22"/>
  <c r="Z44" i="22"/>
  <c r="S44" i="22"/>
  <c r="Y59" i="22"/>
  <c r="C59" i="22"/>
  <c r="H59" i="22"/>
  <c r="L44" i="22"/>
  <c r="U44" i="22"/>
  <c r="E44" i="22"/>
  <c r="W44" i="22"/>
  <c r="B59" i="22"/>
  <c r="G59" i="22"/>
  <c r="L59" i="22"/>
  <c r="P44" i="22"/>
  <c r="X44" i="22"/>
  <c r="B44" i="22"/>
  <c r="R44" i="22"/>
  <c r="Q44" i="22"/>
  <c r="K44" i="22"/>
  <c r="AA44" i="22"/>
  <c r="I59" i="22"/>
  <c r="J59" i="22"/>
  <c r="M59" i="22"/>
  <c r="K59" i="22"/>
  <c r="AA59" i="22"/>
  <c r="P59" i="22"/>
  <c r="D44" i="22"/>
  <c r="I44" i="22"/>
  <c r="F44" i="22"/>
  <c r="V44" i="22"/>
  <c r="Y44" i="22"/>
  <c r="O44" i="22"/>
  <c r="F59" i="22"/>
  <c r="Q59" i="22"/>
  <c r="R59" i="22"/>
  <c r="U59" i="22"/>
  <c r="O59" i="22"/>
  <c r="D59" i="22"/>
  <c r="H8" i="32"/>
  <c r="H42" i="20"/>
  <c r="P13" i="12"/>
  <c r="E13" i="12"/>
  <c r="V13" i="12"/>
  <c r="S13" i="12"/>
  <c r="J13" i="12"/>
  <c r="Z13" i="12"/>
  <c r="N13" i="12"/>
  <c r="C13" i="12"/>
  <c r="T13" i="12"/>
  <c r="Q13" i="12"/>
  <c r="I13" i="12"/>
  <c r="K13" i="12"/>
  <c r="W13" i="12"/>
  <c r="B13" i="12"/>
  <c r="M13" i="12"/>
  <c r="O13" i="12"/>
  <c r="G13" i="12"/>
  <c r="U13" i="12"/>
  <c r="AA13" i="12"/>
  <c r="R13" i="12"/>
  <c r="Y13" i="12"/>
  <c r="F13" i="12"/>
  <c r="D13" i="12"/>
  <c r="L13" i="12"/>
  <c r="X13" i="12"/>
  <c r="J27" i="30"/>
  <c r="L20" i="30"/>
  <c r="C27" i="30"/>
  <c r="J20" i="30"/>
  <c r="G42" i="20"/>
  <c r="L33" i="20"/>
  <c r="D26" i="20"/>
  <c r="K33" i="20"/>
  <c r="F19" i="20"/>
  <c r="I33" i="20"/>
  <c r="B26" i="20"/>
  <c r="G26" i="20"/>
  <c r="H26" i="20"/>
  <c r="E20" i="30"/>
  <c r="B27" i="30"/>
  <c r="I20" i="30"/>
  <c r="H20" i="30"/>
  <c r="E27" i="30"/>
  <c r="G20" i="30"/>
  <c r="L27" i="30"/>
  <c r="D27" i="30"/>
  <c r="G27" i="30"/>
  <c r="B33" i="20"/>
  <c r="I26" i="20"/>
  <c r="J33" i="20"/>
  <c r="D33" i="20"/>
  <c r="K26" i="20"/>
  <c r="C19" i="20"/>
  <c r="K19" i="20"/>
  <c r="C26" i="20"/>
  <c r="C33" i="20"/>
  <c r="I27" i="30"/>
  <c r="F20" i="30"/>
  <c r="H27" i="30"/>
  <c r="K20" i="30"/>
  <c r="H19" i="20"/>
  <c r="D19" i="20"/>
  <c r="E26" i="20"/>
  <c r="F33" i="20"/>
  <c r="I19" i="20"/>
  <c r="E19" i="20"/>
  <c r="G33" i="20"/>
  <c r="E33" i="20"/>
  <c r="F26" i="20"/>
  <c r="B19" i="20"/>
  <c r="H33" i="20"/>
  <c r="F27" i="30"/>
  <c r="D20" i="30"/>
  <c r="K27" i="30"/>
  <c r="C20" i="30"/>
  <c r="B20" i="30"/>
  <c r="L19" i="20"/>
  <c r="J26" i="20"/>
  <c r="J19" i="20"/>
  <c r="L26" i="20"/>
  <c r="G19" i="20"/>
  <c r="Z43" i="11"/>
  <c r="H43" i="11"/>
  <c r="I43" i="11"/>
  <c r="P43" i="11"/>
  <c r="T43" i="11"/>
  <c r="R43" i="11"/>
  <c r="L43" i="11"/>
  <c r="Q43" i="11"/>
  <c r="J43" i="11"/>
  <c r="V43" i="11"/>
  <c r="E43" i="11"/>
  <c r="D43" i="11"/>
  <c r="G43" i="11"/>
  <c r="C43" i="11"/>
  <c r="N43" i="11"/>
  <c r="F43" i="11"/>
  <c r="S43" i="11"/>
  <c r="AA43" i="11"/>
  <c r="W43" i="11"/>
  <c r="X43" i="11"/>
  <c r="O43" i="11"/>
  <c r="K43" i="11"/>
  <c r="M43" i="11"/>
  <c r="B43" i="11"/>
  <c r="Y43" i="11"/>
  <c r="O58" i="22"/>
  <c r="M58" i="22"/>
  <c r="F58" i="22"/>
  <c r="T58" i="22"/>
  <c r="N58" i="22"/>
  <c r="S58" i="22"/>
  <c r="I42" i="20"/>
  <c r="F12" i="25"/>
  <c r="Y58" i="22"/>
  <c r="P58" i="22"/>
  <c r="B127" i="25"/>
  <c r="F127" i="25" s="1"/>
  <c r="D58" i="22"/>
  <c r="W58" i="22"/>
  <c r="Q58" i="22"/>
  <c r="B58" i="22"/>
  <c r="J58" i="22"/>
  <c r="Z58" i="22"/>
  <c r="C58" i="22"/>
  <c r="H58" i="22"/>
  <c r="X58" i="22"/>
  <c r="E58" i="22"/>
  <c r="U58" i="22"/>
  <c r="R58" i="22"/>
  <c r="AA58" i="22"/>
  <c r="K58" i="22"/>
  <c r="L58" i="22"/>
  <c r="V58" i="22"/>
  <c r="G58" i="22"/>
  <c r="I58" i="22"/>
  <c r="B186" i="31"/>
  <c r="C186" i="31" s="1"/>
  <c r="Z57" i="11"/>
  <c r="U57" i="11"/>
  <c r="P57" i="11"/>
  <c r="J57" i="11"/>
  <c r="E57" i="11"/>
  <c r="V57" i="11"/>
  <c r="Q57" i="11"/>
  <c r="L57" i="11"/>
  <c r="F57" i="11"/>
  <c r="AA57" i="11"/>
  <c r="K57" i="11"/>
  <c r="M57" i="11"/>
  <c r="T57" i="11"/>
  <c r="O57" i="11"/>
  <c r="W57" i="11"/>
  <c r="G57" i="11"/>
  <c r="R57" i="11"/>
  <c r="D57" i="11"/>
  <c r="Y57" i="11"/>
  <c r="H57" i="11"/>
  <c r="N57" i="11"/>
  <c r="S57" i="11"/>
  <c r="C57" i="11"/>
  <c r="B57" i="11"/>
  <c r="X57" i="11"/>
  <c r="I57" i="11"/>
  <c r="D151" i="31"/>
  <c r="B115" i="31"/>
  <c r="D115" i="31" s="1"/>
  <c r="B123" i="21"/>
  <c r="L123" i="21" s="1"/>
  <c r="B28" i="21"/>
  <c r="C28" i="21" s="1"/>
  <c r="D28" i="21" s="1"/>
  <c r="E28" i="21" s="1"/>
  <c r="F28" i="21" s="1"/>
  <c r="G28" i="21" s="1"/>
  <c r="H28" i="21" s="1"/>
  <c r="I28" i="21" s="1"/>
  <c r="J28" i="21" s="1"/>
  <c r="K28" i="21" s="1"/>
  <c r="L28" i="21" s="1"/>
  <c r="M28" i="21" s="1"/>
  <c r="N28" i="21" s="1"/>
  <c r="O28" i="21" s="1"/>
  <c r="P28" i="21" s="1"/>
  <c r="Q28" i="21" s="1"/>
  <c r="R28" i="21" s="1"/>
  <c r="S28" i="21" s="1"/>
  <c r="T28" i="21" s="1"/>
  <c r="U28" i="21" s="1"/>
  <c r="V28" i="21" s="1"/>
  <c r="W28" i="21" s="1"/>
  <c r="X28" i="21" s="1"/>
  <c r="Y28" i="21" s="1"/>
  <c r="Z28" i="21" s="1"/>
  <c r="AA28" i="21" s="1"/>
  <c r="B125" i="31"/>
  <c r="B59" i="25"/>
  <c r="L59" i="25" s="1"/>
  <c r="L61" i="25" s="1"/>
  <c r="B29" i="25"/>
  <c r="C29" i="25" s="1"/>
  <c r="D29" i="25" s="1"/>
  <c r="E29" i="25" s="1"/>
  <c r="F29" i="25" s="1"/>
  <c r="G29" i="25" s="1"/>
  <c r="H29" i="25" s="1"/>
  <c r="I29" i="25" s="1"/>
  <c r="J29" i="25" s="1"/>
  <c r="K29" i="25" s="1"/>
  <c r="L29" i="25" s="1"/>
  <c r="M29" i="25" s="1"/>
  <c r="N29" i="25" s="1"/>
  <c r="O29" i="25" s="1"/>
  <c r="P29" i="25" s="1"/>
  <c r="Q29" i="25" s="1"/>
  <c r="R29" i="25" s="1"/>
  <c r="S29" i="25" s="1"/>
  <c r="T29" i="25" s="1"/>
  <c r="U29" i="25" s="1"/>
  <c r="V29" i="25" s="1"/>
  <c r="W29" i="25" s="1"/>
  <c r="X29" i="25" s="1"/>
  <c r="Y29" i="25" s="1"/>
  <c r="Z29" i="25" s="1"/>
  <c r="AA29" i="25" s="1"/>
  <c r="F116" i="25"/>
  <c r="B67" i="22"/>
  <c r="B70" i="25"/>
  <c r="G70" i="25" s="1"/>
  <c r="B25" i="22"/>
  <c r="B136" i="25"/>
  <c r="B73" i="21"/>
  <c r="C73" i="21" s="1"/>
  <c r="H154" i="31"/>
  <c r="I139" i="31"/>
  <c r="H189" i="31"/>
  <c r="I185" i="31"/>
  <c r="H114" i="31"/>
  <c r="G127" i="31"/>
  <c r="B133" i="21"/>
  <c r="Y133" i="21" s="1"/>
  <c r="B61" i="21"/>
  <c r="G58" i="25"/>
  <c r="F83" i="25"/>
  <c r="K146" i="21"/>
  <c r="J161" i="21"/>
  <c r="O71" i="21"/>
  <c r="L59" i="21"/>
  <c r="M57" i="25"/>
  <c r="O27" i="21"/>
  <c r="N49" i="21"/>
  <c r="H68" i="25"/>
  <c r="F150" i="25"/>
  <c r="G146" i="25"/>
  <c r="G82" i="22"/>
  <c r="G96" i="22" s="1"/>
  <c r="H57" i="22"/>
  <c r="M56" i="22"/>
  <c r="F86" i="21"/>
  <c r="G60" i="21"/>
  <c r="N121" i="21"/>
  <c r="F115" i="25"/>
  <c r="G92" i="25"/>
  <c r="K27" i="22"/>
  <c r="J46" i="22"/>
  <c r="F158" i="21"/>
  <c r="K126" i="25"/>
  <c r="J138" i="25"/>
  <c r="AA26" i="22"/>
  <c r="L135" i="21"/>
  <c r="M122" i="21"/>
  <c r="I10" i="24"/>
  <c r="H31" i="24"/>
  <c r="V68" i="22"/>
  <c r="F47" i="25"/>
  <c r="G28" i="25"/>
  <c r="I10" i="23"/>
  <c r="H28" i="23"/>
  <c r="J96" i="21"/>
  <c r="I111" i="21"/>
  <c r="K112" i="25"/>
  <c r="J116" i="25"/>
  <c r="B128" i="31" l="1"/>
  <c r="B11" i="31" s="1"/>
  <c r="B13" i="30" s="1"/>
  <c r="Y176" i="31"/>
  <c r="Z176" i="31"/>
  <c r="M176" i="31"/>
  <c r="P176" i="31"/>
  <c r="S176" i="31"/>
  <c r="I176" i="31"/>
  <c r="H176" i="31"/>
  <c r="V176" i="31"/>
  <c r="G176" i="31"/>
  <c r="N176" i="31"/>
  <c r="X176" i="31"/>
  <c r="J176" i="31"/>
  <c r="E176" i="31"/>
  <c r="R176" i="31"/>
  <c r="Q176" i="31"/>
  <c r="F176" i="31"/>
  <c r="D176" i="31"/>
  <c r="O176" i="31"/>
  <c r="C176" i="31"/>
  <c r="L176" i="31"/>
  <c r="K176" i="31"/>
  <c r="W176" i="31"/>
  <c r="U176" i="31"/>
  <c r="AA176" i="31"/>
  <c r="T176" i="31"/>
  <c r="L60" i="22"/>
  <c r="I8" i="32"/>
  <c r="D127" i="25"/>
  <c r="E253" i="7"/>
  <c r="G253" i="7"/>
  <c r="AA253" i="7"/>
  <c r="K253" i="7"/>
  <c r="M253" i="7"/>
  <c r="AC253" i="7"/>
  <c r="X253" i="7"/>
  <c r="W253" i="7"/>
  <c r="V253" i="7"/>
  <c r="Q253" i="7"/>
  <c r="Z253" i="7"/>
  <c r="H253" i="7"/>
  <c r="N253" i="7"/>
  <c r="L253" i="7"/>
  <c r="U253" i="7"/>
  <c r="T253" i="7"/>
  <c r="S253" i="7"/>
  <c r="R253" i="7"/>
  <c r="I253" i="7"/>
  <c r="AB253" i="7"/>
  <c r="D253" i="7"/>
  <c r="F253" i="7"/>
  <c r="J253" i="7"/>
  <c r="Y253" i="7"/>
  <c r="P253" i="7"/>
  <c r="O253" i="7"/>
  <c r="R115" i="31"/>
  <c r="Q115" i="31"/>
  <c r="G115" i="31"/>
  <c r="M115" i="31"/>
  <c r="T115" i="31"/>
  <c r="K115" i="31"/>
  <c r="J115" i="31"/>
  <c r="W115" i="31"/>
  <c r="C115" i="31"/>
  <c r="P115" i="31"/>
  <c r="O115" i="31"/>
  <c r="L115" i="31"/>
  <c r="N115" i="31"/>
  <c r="C127" i="25"/>
  <c r="K127" i="25"/>
  <c r="Z127" i="25"/>
  <c r="K73" i="21"/>
  <c r="H115" i="31"/>
  <c r="F115" i="31"/>
  <c r="AA115" i="31"/>
  <c r="I115" i="31"/>
  <c r="Z115" i="31"/>
  <c r="X115" i="31"/>
  <c r="B139" i="25"/>
  <c r="B44" i="20" s="1"/>
  <c r="Q127" i="25"/>
  <c r="U127" i="25"/>
  <c r="V115" i="31"/>
  <c r="E115" i="31"/>
  <c r="Y115" i="31"/>
  <c r="U115" i="31"/>
  <c r="S115" i="31"/>
  <c r="AA32" i="24"/>
  <c r="Q32" i="24"/>
  <c r="Q13" i="24" s="1"/>
  <c r="W32" i="24"/>
  <c r="M32" i="24"/>
  <c r="M13" i="24" s="1"/>
  <c r="D32" i="24"/>
  <c r="D13" i="24" s="1"/>
  <c r="H32" i="24"/>
  <c r="P32" i="24"/>
  <c r="P13" i="24" s="1"/>
  <c r="N32" i="24"/>
  <c r="G32" i="24"/>
  <c r="G13" i="24" s="1"/>
  <c r="B32" i="24"/>
  <c r="O32" i="24"/>
  <c r="O13" i="24" s="1"/>
  <c r="L32" i="24"/>
  <c r="L13" i="24" s="1"/>
  <c r="Z32" i="24"/>
  <c r="R32" i="24"/>
  <c r="C32" i="24"/>
  <c r="T32" i="24"/>
  <c r="S32" i="24"/>
  <c r="S13" i="24" s="1"/>
  <c r="V32" i="24"/>
  <c r="I32" i="24"/>
  <c r="I13" i="24" s="1"/>
  <c r="X32" i="24"/>
  <c r="U32" i="24"/>
  <c r="U13" i="24" s="1"/>
  <c r="Y32" i="24"/>
  <c r="Y13" i="24" s="1"/>
  <c r="J32" i="24"/>
  <c r="K32" i="24"/>
  <c r="J42" i="20"/>
  <c r="M133" i="21"/>
  <c r="F42" i="20"/>
  <c r="I123" i="21"/>
  <c r="D73" i="21"/>
  <c r="P127" i="25"/>
  <c r="N127" i="25"/>
  <c r="J127" i="25"/>
  <c r="E127" i="25"/>
  <c r="AA127" i="25"/>
  <c r="H127" i="25"/>
  <c r="S127" i="25"/>
  <c r="X127" i="25"/>
  <c r="O127" i="25"/>
  <c r="G127" i="25"/>
  <c r="M127" i="25"/>
  <c r="L127" i="25"/>
  <c r="R127" i="25"/>
  <c r="Y127" i="25"/>
  <c r="I127" i="25"/>
  <c r="T127" i="25"/>
  <c r="W127" i="25"/>
  <c r="V127" i="25"/>
  <c r="Y29" i="23"/>
  <c r="Y13" i="23" s="1"/>
  <c r="U29" i="23"/>
  <c r="Q29" i="23"/>
  <c r="Q13" i="23" s="1"/>
  <c r="M29" i="23"/>
  <c r="I29" i="23"/>
  <c r="I13" i="23" s="1"/>
  <c r="X29" i="23"/>
  <c r="X13" i="23" s="1"/>
  <c r="T29" i="23"/>
  <c r="T13" i="23" s="1"/>
  <c r="P29" i="23"/>
  <c r="L29" i="23"/>
  <c r="H29" i="23"/>
  <c r="AA29" i="23"/>
  <c r="AA13" i="23" s="1"/>
  <c r="W29" i="23"/>
  <c r="W13" i="23" s="1"/>
  <c r="S29" i="23"/>
  <c r="S13" i="23" s="1"/>
  <c r="O29" i="23"/>
  <c r="O13" i="23" s="1"/>
  <c r="K29" i="23"/>
  <c r="K13" i="23" s="1"/>
  <c r="G29" i="23"/>
  <c r="G13" i="23" s="1"/>
  <c r="Z29" i="23"/>
  <c r="V29" i="23"/>
  <c r="R29" i="23"/>
  <c r="N29" i="23"/>
  <c r="J29" i="23"/>
  <c r="F29" i="23"/>
  <c r="B29" i="23"/>
  <c r="B13" i="23" s="1"/>
  <c r="O70" i="22"/>
  <c r="M70" i="22"/>
  <c r="R70" i="22"/>
  <c r="B70" i="22"/>
  <c r="Q70" i="22"/>
  <c r="H70" i="22"/>
  <c r="X70" i="22"/>
  <c r="C70" i="22"/>
  <c r="AA70" i="22"/>
  <c r="K70" i="22"/>
  <c r="E70" i="22"/>
  <c r="T70" i="22"/>
  <c r="N70" i="22"/>
  <c r="I70" i="22"/>
  <c r="W70" i="22"/>
  <c r="G70" i="22"/>
  <c r="L70" i="22"/>
  <c r="Z70" i="22"/>
  <c r="J70" i="22"/>
  <c r="S70" i="22"/>
  <c r="U70" i="22"/>
  <c r="D70" i="22"/>
  <c r="V70" i="22"/>
  <c r="F70" i="22"/>
  <c r="Y70" i="22"/>
  <c r="P70" i="22"/>
  <c r="AA97" i="22"/>
  <c r="K97" i="22"/>
  <c r="Y97" i="22"/>
  <c r="P97" i="22"/>
  <c r="N97" i="22"/>
  <c r="V97" i="22"/>
  <c r="M97" i="22"/>
  <c r="W97" i="22"/>
  <c r="G97" i="22"/>
  <c r="Q97" i="22"/>
  <c r="L97" i="22"/>
  <c r="Z97" i="22"/>
  <c r="J97" i="22"/>
  <c r="U97" i="22"/>
  <c r="S97" i="22"/>
  <c r="I97" i="22"/>
  <c r="X97" i="22"/>
  <c r="H97" i="22"/>
  <c r="F97" i="22"/>
  <c r="O97" i="22"/>
  <c r="T97" i="22"/>
  <c r="R97" i="22"/>
  <c r="B97" i="22"/>
  <c r="G123" i="21"/>
  <c r="J123" i="21"/>
  <c r="W28" i="22"/>
  <c r="G28" i="22"/>
  <c r="Q28" i="22"/>
  <c r="Z28" i="22"/>
  <c r="B28" i="22"/>
  <c r="L28" i="22"/>
  <c r="D28" i="22"/>
  <c r="R28" i="22"/>
  <c r="S28" i="22"/>
  <c r="C28" i="22"/>
  <c r="I28" i="22"/>
  <c r="V28" i="22"/>
  <c r="U28" i="22"/>
  <c r="X28" i="22"/>
  <c r="P28" i="22"/>
  <c r="O28" i="22"/>
  <c r="N28" i="22"/>
  <c r="M28" i="22"/>
  <c r="H28" i="22"/>
  <c r="AA28" i="22"/>
  <c r="K28" i="22"/>
  <c r="F28" i="22"/>
  <c r="Y28" i="22"/>
  <c r="J28" i="22"/>
  <c r="E28" i="22"/>
  <c r="T28" i="22"/>
  <c r="H73" i="21"/>
  <c r="H123" i="21"/>
  <c r="B136" i="21"/>
  <c r="B11" i="21" s="1"/>
  <c r="K123" i="21"/>
  <c r="F123" i="21"/>
  <c r="M73" i="21"/>
  <c r="N133" i="21"/>
  <c r="G73" i="21"/>
  <c r="F73" i="21"/>
  <c r="E151" i="31"/>
  <c r="E123" i="21"/>
  <c r="J73" i="21"/>
  <c r="E73" i="21"/>
  <c r="M123" i="21"/>
  <c r="N73" i="21"/>
  <c r="D123" i="21"/>
  <c r="C123" i="21"/>
  <c r="G133" i="21"/>
  <c r="L73" i="21"/>
  <c r="I73" i="21"/>
  <c r="L133" i="21"/>
  <c r="L136" i="21" s="1"/>
  <c r="L13" i="20" s="1"/>
  <c r="D133" i="21"/>
  <c r="E133" i="21"/>
  <c r="AA133" i="21"/>
  <c r="O133" i="21"/>
  <c r="R133" i="21"/>
  <c r="K133" i="21"/>
  <c r="J133" i="21"/>
  <c r="P133" i="21"/>
  <c r="Q133" i="21"/>
  <c r="S133" i="21"/>
  <c r="Z133" i="21"/>
  <c r="C133" i="21"/>
  <c r="D70" i="25"/>
  <c r="C70" i="25"/>
  <c r="E70" i="25"/>
  <c r="F70" i="25"/>
  <c r="D60" i="22"/>
  <c r="E60" i="22"/>
  <c r="B60" i="22"/>
  <c r="C60" i="22"/>
  <c r="I60" i="22"/>
  <c r="F60" i="22"/>
  <c r="H60" i="22"/>
  <c r="J60" i="22"/>
  <c r="G60" i="22"/>
  <c r="K60" i="22"/>
  <c r="G136" i="25"/>
  <c r="W136" i="25"/>
  <c r="P136" i="25"/>
  <c r="Q136" i="25"/>
  <c r="R136" i="25"/>
  <c r="N136" i="25"/>
  <c r="K136" i="25"/>
  <c r="AA136" i="25"/>
  <c r="U136" i="25"/>
  <c r="X136" i="25"/>
  <c r="Y136" i="25"/>
  <c r="M136" i="25"/>
  <c r="O136" i="25"/>
  <c r="E136" i="25"/>
  <c r="Z136" i="25"/>
  <c r="D136" i="25"/>
  <c r="H136" i="25"/>
  <c r="F136" i="25"/>
  <c r="F139" i="25" s="1"/>
  <c r="I136" i="25"/>
  <c r="C136" i="25"/>
  <c r="L136" i="25"/>
  <c r="S136" i="25"/>
  <c r="V136" i="25"/>
  <c r="J136" i="25"/>
  <c r="T136" i="25"/>
  <c r="G59" i="25"/>
  <c r="G61" i="25" s="1"/>
  <c r="B61" i="25"/>
  <c r="C59" i="25"/>
  <c r="C61" i="25" s="1"/>
  <c r="I59" i="25"/>
  <c r="I61" i="25" s="1"/>
  <c r="F59" i="25"/>
  <c r="F61" i="25" s="1"/>
  <c r="E59" i="25"/>
  <c r="E61" i="25" s="1"/>
  <c r="H59" i="25"/>
  <c r="H61" i="25" s="1"/>
  <c r="D59" i="25"/>
  <c r="D61" i="25" s="1"/>
  <c r="J59" i="25"/>
  <c r="J61" i="25" s="1"/>
  <c r="K59" i="25"/>
  <c r="K61" i="25" s="1"/>
  <c r="N125" i="31"/>
  <c r="T125" i="31"/>
  <c r="G125" i="31"/>
  <c r="W125" i="31"/>
  <c r="S125" i="31"/>
  <c r="O125" i="31"/>
  <c r="AA125" i="31"/>
  <c r="L125" i="31"/>
  <c r="M125" i="31"/>
  <c r="P125" i="31"/>
  <c r="D125" i="31"/>
  <c r="D128" i="31" s="1"/>
  <c r="D11" i="31" s="1"/>
  <c r="D13" i="30" s="1"/>
  <c r="F125" i="31"/>
  <c r="Z125" i="31"/>
  <c r="C125" i="31"/>
  <c r="K125" i="31"/>
  <c r="Q125" i="31"/>
  <c r="R125" i="31"/>
  <c r="U125" i="31"/>
  <c r="Y125" i="31"/>
  <c r="I125" i="31"/>
  <c r="H125" i="31"/>
  <c r="J125" i="31"/>
  <c r="V125" i="31"/>
  <c r="X125" i="31"/>
  <c r="E125" i="31"/>
  <c r="D186" i="31"/>
  <c r="W133" i="21"/>
  <c r="T133" i="21"/>
  <c r="J185" i="31"/>
  <c r="I189" i="31"/>
  <c r="J139" i="31"/>
  <c r="I154" i="31"/>
  <c r="H127" i="31"/>
  <c r="I114" i="31"/>
  <c r="X133" i="21"/>
  <c r="I133" i="21"/>
  <c r="U133" i="21"/>
  <c r="V133" i="21"/>
  <c r="H133" i="21"/>
  <c r="F133" i="21"/>
  <c r="B63" i="21"/>
  <c r="F61" i="21"/>
  <c r="F63" i="21" s="1"/>
  <c r="H61" i="21"/>
  <c r="H63" i="21" s="1"/>
  <c r="G61" i="21"/>
  <c r="G63" i="21" s="1"/>
  <c r="I61" i="21"/>
  <c r="I63" i="21" s="1"/>
  <c r="E61" i="21"/>
  <c r="E63" i="21" s="1"/>
  <c r="D61" i="21"/>
  <c r="D63" i="21" s="1"/>
  <c r="C61" i="21"/>
  <c r="C63" i="21" s="1"/>
  <c r="J61" i="21"/>
  <c r="J63" i="21" s="1"/>
  <c r="K61" i="21"/>
  <c r="K63" i="21" s="1"/>
  <c r="L126" i="25"/>
  <c r="K138" i="25"/>
  <c r="I57" i="22"/>
  <c r="H82" i="22"/>
  <c r="H96" i="22" s="1"/>
  <c r="M59" i="21"/>
  <c r="L61" i="21"/>
  <c r="L63" i="21" s="1"/>
  <c r="J111" i="21"/>
  <c r="K96" i="21"/>
  <c r="N56" i="22"/>
  <c r="M60" i="22"/>
  <c r="I68" i="25"/>
  <c r="H70" i="25"/>
  <c r="H58" i="25"/>
  <c r="G83" i="25"/>
  <c r="L112" i="25"/>
  <c r="K116" i="25"/>
  <c r="I28" i="23"/>
  <c r="J10" i="23"/>
  <c r="W68" i="22"/>
  <c r="I31" i="24"/>
  <c r="J10" i="24"/>
  <c r="M135" i="21"/>
  <c r="N122" i="21"/>
  <c r="K46" i="22"/>
  <c r="L27" i="22"/>
  <c r="O121" i="21"/>
  <c r="N123" i="21"/>
  <c r="H60" i="21"/>
  <c r="G86" i="21"/>
  <c r="H146" i="25"/>
  <c r="G150" i="25"/>
  <c r="N57" i="25"/>
  <c r="M59" i="25"/>
  <c r="M61" i="25" s="1"/>
  <c r="P71" i="21"/>
  <c r="O73" i="21"/>
  <c r="G47" i="25"/>
  <c r="H28" i="25"/>
  <c r="G158" i="21"/>
  <c r="G115" i="25"/>
  <c r="H92" i="25"/>
  <c r="O49" i="21"/>
  <c r="P27" i="21"/>
  <c r="K161" i="21"/>
  <c r="L146" i="21"/>
  <c r="E101" i="7"/>
  <c r="J8" i="32" l="1"/>
  <c r="I22" i="30"/>
  <c r="D139" i="25"/>
  <c r="D13" i="25" s="1"/>
  <c r="AA261" i="7"/>
  <c r="W261" i="7"/>
  <c r="S261" i="7"/>
  <c r="O261" i="7"/>
  <c r="K261" i="7"/>
  <c r="G261" i="7"/>
  <c r="T261" i="7"/>
  <c r="L261" i="7"/>
  <c r="Z261" i="7"/>
  <c r="V261" i="7"/>
  <c r="R261" i="7"/>
  <c r="N261" i="7"/>
  <c r="J261" i="7"/>
  <c r="F261" i="7"/>
  <c r="AB261" i="7"/>
  <c r="X261" i="7"/>
  <c r="P261" i="7"/>
  <c r="H261" i="7"/>
  <c r="AC261" i="7"/>
  <c r="Y261" i="7"/>
  <c r="U261" i="7"/>
  <c r="Q261" i="7"/>
  <c r="M261" i="7"/>
  <c r="I261" i="7"/>
  <c r="E261" i="7"/>
  <c r="D261" i="7"/>
  <c r="K128" i="31"/>
  <c r="K11" i="31" s="1"/>
  <c r="K13" i="30" s="1"/>
  <c r="P128" i="31"/>
  <c r="P11" i="31" s="1"/>
  <c r="P13" i="30" s="1"/>
  <c r="R128" i="31"/>
  <c r="R11" i="31" s="1"/>
  <c r="R13" i="30" s="1"/>
  <c r="M128" i="31"/>
  <c r="M11" i="31" s="1"/>
  <c r="M13" i="30" s="1"/>
  <c r="N128" i="31"/>
  <c r="N11" i="31" s="1"/>
  <c r="N13" i="30" s="1"/>
  <c r="Q128" i="31"/>
  <c r="Q11" i="31" s="1"/>
  <c r="Q13" i="30" s="1"/>
  <c r="L128" i="31"/>
  <c r="L11" i="31" s="1"/>
  <c r="L13" i="30" s="1"/>
  <c r="T128" i="31"/>
  <c r="T11" i="31" s="1"/>
  <c r="T13" i="30" s="1"/>
  <c r="G128" i="31"/>
  <c r="G11" i="31" s="1"/>
  <c r="G13" i="30" s="1"/>
  <c r="J128" i="31"/>
  <c r="J11" i="31" s="1"/>
  <c r="J13" i="30" s="1"/>
  <c r="C128" i="31"/>
  <c r="C11" i="31" s="1"/>
  <c r="C13" i="30" s="1"/>
  <c r="W139" i="25"/>
  <c r="S128" i="31"/>
  <c r="S11" i="31" s="1"/>
  <c r="S13" i="30" s="1"/>
  <c r="O128" i="31"/>
  <c r="O11" i="31" s="1"/>
  <c r="O13" i="30" s="1"/>
  <c r="E128" i="31"/>
  <c r="E11" i="31" s="1"/>
  <c r="E13" i="30" s="1"/>
  <c r="W128" i="31"/>
  <c r="W11" i="31" s="1"/>
  <c r="W13" i="30" s="1"/>
  <c r="C139" i="25"/>
  <c r="C44" i="20" s="1"/>
  <c r="M136" i="21"/>
  <c r="M11" i="21" s="1"/>
  <c r="V128" i="31"/>
  <c r="V11" i="31" s="1"/>
  <c r="V13" i="30" s="1"/>
  <c r="AA128" i="31"/>
  <c r="AA11" i="31" s="1"/>
  <c r="AA13" i="30" s="1"/>
  <c r="Z139" i="25"/>
  <c r="Z44" i="20" s="1"/>
  <c r="K139" i="25"/>
  <c r="K44" i="20" s="1"/>
  <c r="U128" i="31"/>
  <c r="U11" i="31" s="1"/>
  <c r="U13" i="30" s="1"/>
  <c r="N139" i="25"/>
  <c r="B13" i="20"/>
  <c r="H139" i="25"/>
  <c r="U139" i="25"/>
  <c r="U13" i="25" s="1"/>
  <c r="G139" i="25"/>
  <c r="G136" i="21"/>
  <c r="F136" i="21"/>
  <c r="F13" i="20" s="1"/>
  <c r="X128" i="31"/>
  <c r="X11" i="31" s="1"/>
  <c r="X13" i="30" s="1"/>
  <c r="F128" i="31"/>
  <c r="F11" i="31" s="1"/>
  <c r="F13" i="30" s="1"/>
  <c r="B13" i="25"/>
  <c r="F29" i="30"/>
  <c r="D29" i="30"/>
  <c r="B29" i="30"/>
  <c r="E29" i="30"/>
  <c r="C29" i="30"/>
  <c r="G29" i="30"/>
  <c r="I136" i="21"/>
  <c r="I11" i="21" s="1"/>
  <c r="O139" i="25"/>
  <c r="O13" i="25" s="1"/>
  <c r="N136" i="21"/>
  <c r="I128" i="31"/>
  <c r="I11" i="31" s="1"/>
  <c r="I13" i="30" s="1"/>
  <c r="AA139" i="25"/>
  <c r="Q139" i="25"/>
  <c r="Q44" i="20" s="1"/>
  <c r="H128" i="31"/>
  <c r="H11" i="31" s="1"/>
  <c r="H13" i="30" s="1"/>
  <c r="Z128" i="31"/>
  <c r="Z11" i="31" s="1"/>
  <c r="Z13" i="30" s="1"/>
  <c r="R139" i="25"/>
  <c r="R44" i="20" s="1"/>
  <c r="Y128" i="31"/>
  <c r="Y11" i="31" s="1"/>
  <c r="Y13" i="30" s="1"/>
  <c r="C136" i="21"/>
  <c r="C13" i="20" s="1"/>
  <c r="J136" i="21"/>
  <c r="J11" i="21" s="1"/>
  <c r="B13" i="24"/>
  <c r="B35" i="20" s="1"/>
  <c r="D22" i="30"/>
  <c r="U35" i="20"/>
  <c r="S35" i="20"/>
  <c r="Z13" i="24"/>
  <c r="G35" i="20"/>
  <c r="H13" i="24"/>
  <c r="Y35" i="20"/>
  <c r="V13" i="24"/>
  <c r="R13" i="24"/>
  <c r="R35" i="20" s="1"/>
  <c r="J139" i="25"/>
  <c r="M139" i="25"/>
  <c r="M44" i="20" s="1"/>
  <c r="B22" i="30"/>
  <c r="G22" i="30"/>
  <c r="K13" i="24"/>
  <c r="K35" i="20" s="1"/>
  <c r="X13" i="24"/>
  <c r="T13" i="24"/>
  <c r="L35" i="20"/>
  <c r="N13" i="24"/>
  <c r="Q35" i="20"/>
  <c r="K42" i="20"/>
  <c r="W13" i="24"/>
  <c r="I139" i="25"/>
  <c r="I13" i="25" s="1"/>
  <c r="C22" i="30"/>
  <c r="J13" i="24"/>
  <c r="I35" i="20"/>
  <c r="C13" i="24"/>
  <c r="O35" i="20"/>
  <c r="P35" i="20"/>
  <c r="M35" i="20"/>
  <c r="AA13" i="24"/>
  <c r="AA35" i="20" s="1"/>
  <c r="S139" i="25"/>
  <c r="S13" i="25" s="1"/>
  <c r="E139" i="25"/>
  <c r="E44" i="20" s="1"/>
  <c r="X139" i="25"/>
  <c r="V139" i="25"/>
  <c r="V13" i="25" s="1"/>
  <c r="T139" i="25"/>
  <c r="T44" i="20" s="1"/>
  <c r="L139" i="25"/>
  <c r="L13" i="25" s="1"/>
  <c r="Y139" i="25"/>
  <c r="Y13" i="25" s="1"/>
  <c r="P139" i="25"/>
  <c r="J13" i="23"/>
  <c r="Z13" i="23"/>
  <c r="O28" i="20"/>
  <c r="T28" i="20"/>
  <c r="M13" i="23"/>
  <c r="N13" i="23"/>
  <c r="S28" i="20"/>
  <c r="H13" i="23"/>
  <c r="X28" i="20"/>
  <c r="Q28" i="20"/>
  <c r="R13" i="23"/>
  <c r="G28" i="20"/>
  <c r="W28" i="20"/>
  <c r="L13" i="23"/>
  <c r="U13" i="23"/>
  <c r="F13" i="23"/>
  <c r="V13" i="23"/>
  <c r="K28" i="20"/>
  <c r="AA28" i="20"/>
  <c r="P13" i="23"/>
  <c r="P28" i="20" s="1"/>
  <c r="I28" i="20"/>
  <c r="Y28" i="20"/>
  <c r="K136" i="21"/>
  <c r="E136" i="21"/>
  <c r="M29" i="30"/>
  <c r="W29" i="30"/>
  <c r="J29" i="30"/>
  <c r="H29" i="30"/>
  <c r="O29" i="30"/>
  <c r="R29" i="30"/>
  <c r="H136" i="21"/>
  <c r="H11" i="21" s="1"/>
  <c r="L11" i="21"/>
  <c r="V29" i="30"/>
  <c r="T29" i="30"/>
  <c r="S29" i="30"/>
  <c r="N29" i="30"/>
  <c r="I29" i="30"/>
  <c r="K29" i="30"/>
  <c r="D136" i="21"/>
  <c r="D11" i="21" s="1"/>
  <c r="F151" i="31"/>
  <c r="U29" i="30"/>
  <c r="Q29" i="30"/>
  <c r="P29" i="30"/>
  <c r="L29" i="30"/>
  <c r="F13" i="25"/>
  <c r="F44" i="20"/>
  <c r="E32" i="24"/>
  <c r="E13" i="24" s="1"/>
  <c r="F32" i="24"/>
  <c r="F13" i="24" s="1"/>
  <c r="C29" i="23"/>
  <c r="C13" i="23" s="1"/>
  <c r="D35" i="20"/>
  <c r="B28" i="20"/>
  <c r="C97" i="22"/>
  <c r="E186" i="31"/>
  <c r="I127" i="31"/>
  <c r="J114" i="31"/>
  <c r="K139" i="31"/>
  <c r="J154" i="31"/>
  <c r="Y29" i="30"/>
  <c r="K185" i="31"/>
  <c r="J189" i="31"/>
  <c r="I92" i="25"/>
  <c r="H115" i="25"/>
  <c r="I28" i="25"/>
  <c r="H47" i="25"/>
  <c r="I60" i="21"/>
  <c r="H86" i="21"/>
  <c r="K10" i="24"/>
  <c r="J31" i="24"/>
  <c r="J28" i="23"/>
  <c r="K10" i="23"/>
  <c r="J57" i="22"/>
  <c r="I82" i="22"/>
  <c r="I96" i="22" s="1"/>
  <c r="L138" i="25"/>
  <c r="M126" i="25"/>
  <c r="Q71" i="21"/>
  <c r="P73" i="21"/>
  <c r="J68" i="25"/>
  <c r="I70" i="25"/>
  <c r="N59" i="21"/>
  <c r="M61" i="21"/>
  <c r="M63" i="21" s="1"/>
  <c r="P49" i="21"/>
  <c r="Q27" i="21"/>
  <c r="I146" i="25"/>
  <c r="H150" i="25"/>
  <c r="P121" i="21"/>
  <c r="O123" i="21"/>
  <c r="O136" i="21" s="1"/>
  <c r="O122" i="21"/>
  <c r="N135" i="21"/>
  <c r="H83" i="25"/>
  <c r="I58" i="25"/>
  <c r="K111" i="21"/>
  <c r="L96" i="21"/>
  <c r="L161" i="21"/>
  <c r="M146" i="21"/>
  <c r="H158" i="21"/>
  <c r="N59" i="25"/>
  <c r="N61" i="25" s="1"/>
  <c r="O57" i="25"/>
  <c r="M27" i="22"/>
  <c r="L46" i="22"/>
  <c r="X68" i="22"/>
  <c r="L116" i="25"/>
  <c r="M112" i="25"/>
  <c r="O56" i="22"/>
  <c r="B48" i="10"/>
  <c r="AA29" i="30" l="1"/>
  <c r="K8" i="32"/>
  <c r="D44" i="20"/>
  <c r="H44" i="20"/>
  <c r="K13" i="25"/>
  <c r="C13" i="25"/>
  <c r="H22" i="30"/>
  <c r="W44" i="20"/>
  <c r="E22" i="30"/>
  <c r="W13" i="25"/>
  <c r="F22" i="30"/>
  <c r="J44" i="20"/>
  <c r="E13" i="25"/>
  <c r="G13" i="25"/>
  <c r="E11" i="21"/>
  <c r="H13" i="25"/>
  <c r="O44" i="20"/>
  <c r="Z13" i="25"/>
  <c r="J13" i="25"/>
  <c r="J13" i="20"/>
  <c r="M13" i="20"/>
  <c r="G13" i="20"/>
  <c r="L44" i="20"/>
  <c r="F11" i="21"/>
  <c r="M13" i="25"/>
  <c r="I13" i="20"/>
  <c r="Y44" i="20"/>
  <c r="AA13" i="25"/>
  <c r="N11" i="21"/>
  <c r="G11" i="21"/>
  <c r="S44" i="20"/>
  <c r="N13" i="20"/>
  <c r="D13" i="20"/>
  <c r="N44" i="20"/>
  <c r="G44" i="20"/>
  <c r="U44" i="20"/>
  <c r="E13" i="20"/>
  <c r="N13" i="25"/>
  <c r="X29" i="30"/>
  <c r="H13" i="20"/>
  <c r="AA44" i="20"/>
  <c r="T13" i="25"/>
  <c r="P44" i="20"/>
  <c r="I44" i="20"/>
  <c r="V44" i="20"/>
  <c r="C11" i="21"/>
  <c r="R13" i="25"/>
  <c r="H35" i="20"/>
  <c r="Z35" i="20"/>
  <c r="Q13" i="25"/>
  <c r="L42" i="20"/>
  <c r="F35" i="20"/>
  <c r="W35" i="20"/>
  <c r="N35" i="20"/>
  <c r="T35" i="20"/>
  <c r="C35" i="20"/>
  <c r="J35" i="20"/>
  <c r="X35" i="20"/>
  <c r="V35" i="20"/>
  <c r="X13" i="25"/>
  <c r="X44" i="20"/>
  <c r="P13" i="25"/>
  <c r="M28" i="20"/>
  <c r="Z28" i="20"/>
  <c r="F28" i="20"/>
  <c r="R28" i="20"/>
  <c r="L28" i="20"/>
  <c r="H28" i="20"/>
  <c r="N28" i="20"/>
  <c r="J28" i="20"/>
  <c r="V28" i="20"/>
  <c r="U28" i="20"/>
  <c r="K11" i="21"/>
  <c r="K13" i="20"/>
  <c r="G151" i="31"/>
  <c r="E35" i="20"/>
  <c r="C28" i="20"/>
  <c r="E97" i="22"/>
  <c r="D97" i="22"/>
  <c r="E29" i="23"/>
  <c r="E13" i="23" s="1"/>
  <c r="D29" i="23"/>
  <c r="D13" i="23" s="1"/>
  <c r="F186" i="31"/>
  <c r="K189" i="31"/>
  <c r="L185" i="31"/>
  <c r="K114" i="31"/>
  <c r="J127" i="31"/>
  <c r="Z29" i="30"/>
  <c r="K154" i="31"/>
  <c r="L139" i="31"/>
  <c r="N146" i="21"/>
  <c r="M161" i="21"/>
  <c r="M96" i="21"/>
  <c r="L111" i="21"/>
  <c r="P122" i="21"/>
  <c r="O135" i="21"/>
  <c r="I150" i="25"/>
  <c r="J146" i="25"/>
  <c r="R27" i="21"/>
  <c r="Q49" i="21"/>
  <c r="O59" i="21"/>
  <c r="N61" i="21"/>
  <c r="N63" i="21" s="1"/>
  <c r="R71" i="21"/>
  <c r="Q73" i="21"/>
  <c r="M138" i="25"/>
  <c r="N126" i="25"/>
  <c r="N112" i="25"/>
  <c r="M116" i="25"/>
  <c r="O13" i="20"/>
  <c r="O11" i="21"/>
  <c r="K68" i="25"/>
  <c r="J70" i="25"/>
  <c r="L10" i="24"/>
  <c r="K31" i="24"/>
  <c r="J92" i="25"/>
  <c r="I115" i="25"/>
  <c r="N60" i="22"/>
  <c r="Y68" i="22"/>
  <c r="P57" i="25"/>
  <c r="O59" i="25"/>
  <c r="O61" i="25" s="1"/>
  <c r="P56" i="22"/>
  <c r="N27" i="22"/>
  <c r="M46" i="22"/>
  <c r="I158" i="21"/>
  <c r="Q121" i="21"/>
  <c r="P123" i="21"/>
  <c r="P136" i="21" s="1"/>
  <c r="L10" i="23"/>
  <c r="K28" i="23"/>
  <c r="J58" i="25"/>
  <c r="I83" i="25"/>
  <c r="J82" i="22"/>
  <c r="J96" i="22" s="1"/>
  <c r="K57" i="22"/>
  <c r="J60" i="21"/>
  <c r="I86" i="21"/>
  <c r="J28" i="25"/>
  <c r="I47" i="25"/>
  <c r="O86" i="7" a="1"/>
  <c r="O86" i="7" s="1"/>
  <c r="J22" i="30" l="1"/>
  <c r="L8" i="32"/>
  <c r="H151" i="31"/>
  <c r="E28" i="20"/>
  <c r="D28" i="20"/>
  <c r="G186" i="31"/>
  <c r="L154" i="31"/>
  <c r="M139" i="31"/>
  <c r="L114" i="31"/>
  <c r="K127" i="31"/>
  <c r="L189" i="31"/>
  <c r="M185" i="31"/>
  <c r="J115" i="25"/>
  <c r="K92" i="25"/>
  <c r="L31" i="24"/>
  <c r="M10" i="24"/>
  <c r="N138" i="25"/>
  <c r="O126" i="25"/>
  <c r="S71" i="21"/>
  <c r="R73" i="21"/>
  <c r="J150" i="25"/>
  <c r="K146" i="25"/>
  <c r="N96" i="21"/>
  <c r="M111" i="21"/>
  <c r="K58" i="25"/>
  <c r="J83" i="25"/>
  <c r="N46" i="22"/>
  <c r="O27" i="22"/>
  <c r="Q57" i="25"/>
  <c r="P59" i="25"/>
  <c r="P61" i="25" s="1"/>
  <c r="J158" i="21"/>
  <c r="R121" i="21"/>
  <c r="Q123" i="21"/>
  <c r="Q136" i="21" s="1"/>
  <c r="Q56" i="22"/>
  <c r="Z68" i="22"/>
  <c r="P59" i="21"/>
  <c r="O61" i="21"/>
  <c r="O63" i="21" s="1"/>
  <c r="O146" i="21"/>
  <c r="N161" i="21"/>
  <c r="K82" i="22"/>
  <c r="K96" i="22" s="1"/>
  <c r="L57" i="22"/>
  <c r="P11" i="21"/>
  <c r="P13" i="20"/>
  <c r="O60" i="22"/>
  <c r="J47" i="25"/>
  <c r="K28" i="25"/>
  <c r="M10" i="23"/>
  <c r="L28" i="23"/>
  <c r="N116" i="25"/>
  <c r="O112" i="25"/>
  <c r="J86" i="21"/>
  <c r="K60" i="21"/>
  <c r="L68" i="25"/>
  <c r="K70" i="25"/>
  <c r="S27" i="21"/>
  <c r="R49" i="21"/>
  <c r="P135" i="21"/>
  <c r="Q122" i="21"/>
  <c r="B23" i="10"/>
  <c r="B24" i="14"/>
  <c r="B21" i="11"/>
  <c r="K22" i="30" l="1"/>
  <c r="M8" i="32"/>
  <c r="I151" i="31"/>
  <c r="H186" i="31"/>
  <c r="N185" i="31"/>
  <c r="M189" i="31"/>
  <c r="M114" i="31"/>
  <c r="L127" i="31"/>
  <c r="N139" i="31"/>
  <c r="M154" i="31"/>
  <c r="L58" i="25"/>
  <c r="K83" i="25"/>
  <c r="K150" i="25"/>
  <c r="L146" i="25"/>
  <c r="L60" i="21"/>
  <c r="K86" i="21"/>
  <c r="M28" i="23"/>
  <c r="N10" i="23"/>
  <c r="Q59" i="21"/>
  <c r="P61" i="21"/>
  <c r="P63" i="21" s="1"/>
  <c r="R56" i="22"/>
  <c r="K158" i="21"/>
  <c r="S49" i="21"/>
  <c r="T27" i="21"/>
  <c r="L28" i="25"/>
  <c r="K47" i="25"/>
  <c r="O161" i="21"/>
  <c r="P146" i="21"/>
  <c r="AA68" i="22"/>
  <c r="Q11" i="21"/>
  <c r="Q13" i="20"/>
  <c r="R57" i="25"/>
  <c r="Q59" i="25"/>
  <c r="Q61" i="25" s="1"/>
  <c r="T71" i="21"/>
  <c r="S73" i="21"/>
  <c r="N10" i="24"/>
  <c r="M31" i="24"/>
  <c r="L92" i="25"/>
  <c r="K115" i="25"/>
  <c r="Q135" i="21"/>
  <c r="R122" i="21"/>
  <c r="M68" i="25"/>
  <c r="L70" i="25"/>
  <c r="P112" i="25"/>
  <c r="O116" i="25"/>
  <c r="M57" i="22"/>
  <c r="L82" i="22"/>
  <c r="L96" i="22" s="1"/>
  <c r="P60" i="22"/>
  <c r="S121" i="21"/>
  <c r="R123" i="21"/>
  <c r="R136" i="21" s="1"/>
  <c r="O46" i="22"/>
  <c r="P27" i="22"/>
  <c r="N111" i="21"/>
  <c r="O96" i="21"/>
  <c r="P126" i="25"/>
  <c r="O138" i="25"/>
  <c r="G117" i="14"/>
  <c r="F34" i="1"/>
  <c r="E34" i="1"/>
  <c r="B104" i="10"/>
  <c r="L22" i="30" l="1"/>
  <c r="N8" i="32"/>
  <c r="J151" i="31"/>
  <c r="I186" i="31"/>
  <c r="M127" i="31"/>
  <c r="N114" i="31"/>
  <c r="O139" i="31"/>
  <c r="N154" i="31"/>
  <c r="N189" i="31"/>
  <c r="O185" i="31"/>
  <c r="T121" i="21"/>
  <c r="S123" i="21"/>
  <c r="S136" i="21" s="1"/>
  <c r="M60" i="21"/>
  <c r="L86" i="21"/>
  <c r="O111" i="21"/>
  <c r="P96" i="21"/>
  <c r="M92" i="25"/>
  <c r="L115" i="25"/>
  <c r="S57" i="25"/>
  <c r="R59" i="25"/>
  <c r="R61" i="25" s="1"/>
  <c r="L158" i="21"/>
  <c r="P138" i="25"/>
  <c r="Q126" i="25"/>
  <c r="O10" i="24"/>
  <c r="N31" i="24"/>
  <c r="M28" i="25"/>
  <c r="L47" i="25"/>
  <c r="T49" i="21"/>
  <c r="U27" i="21"/>
  <c r="Q60" i="22"/>
  <c r="O10" i="23"/>
  <c r="N28" i="23"/>
  <c r="M58" i="25"/>
  <c r="L83" i="25"/>
  <c r="N68" i="25"/>
  <c r="M70" i="25"/>
  <c r="Q27" i="22"/>
  <c r="P46" i="22"/>
  <c r="N57" i="22"/>
  <c r="M82" i="22"/>
  <c r="M96" i="22" s="1"/>
  <c r="R13" i="20"/>
  <c r="R11" i="21"/>
  <c r="P116" i="25"/>
  <c r="Q112" i="25"/>
  <c r="S122" i="21"/>
  <c r="R135" i="21"/>
  <c r="P161" i="21"/>
  <c r="Q146" i="21"/>
  <c r="S56" i="22"/>
  <c r="R59" i="21"/>
  <c r="Q61" i="21"/>
  <c r="Q63" i="21" s="1"/>
  <c r="M146" i="25"/>
  <c r="L150" i="25"/>
  <c r="U71" i="21"/>
  <c r="T73" i="21"/>
  <c r="Y108" i="10"/>
  <c r="U108" i="10"/>
  <c r="Q108" i="10"/>
  <c r="M108" i="10"/>
  <c r="I108" i="10"/>
  <c r="E108" i="10"/>
  <c r="T108" i="10"/>
  <c r="P108" i="10"/>
  <c r="H108" i="10"/>
  <c r="D108" i="10"/>
  <c r="W108" i="10"/>
  <c r="O108" i="10"/>
  <c r="C108" i="10"/>
  <c r="Z108" i="10"/>
  <c r="V108" i="10"/>
  <c r="N108" i="10"/>
  <c r="J108" i="10"/>
  <c r="B108" i="10"/>
  <c r="X108" i="10"/>
  <c r="L108" i="10"/>
  <c r="AA108" i="10"/>
  <c r="S108" i="10"/>
  <c r="K108" i="10"/>
  <c r="G108" i="10"/>
  <c r="R108" i="10"/>
  <c r="F108" i="10"/>
  <c r="C48" i="14"/>
  <c r="D48" i="14" s="1"/>
  <c r="E48" i="14" s="1"/>
  <c r="F48" i="14" s="1"/>
  <c r="G48" i="14" s="1"/>
  <c r="H48" i="14" s="1"/>
  <c r="I48" i="14" s="1"/>
  <c r="J48" i="14" s="1"/>
  <c r="K48" i="14" s="1"/>
  <c r="L48" i="14" s="1"/>
  <c r="M48" i="14" s="1"/>
  <c r="N48" i="14" s="1"/>
  <c r="O48" i="14" s="1"/>
  <c r="P48" i="14" s="1"/>
  <c r="Q48" i="14" s="1"/>
  <c r="R48" i="14" s="1"/>
  <c r="S48" i="14" s="1"/>
  <c r="T48" i="14" s="1"/>
  <c r="U48" i="14" s="1"/>
  <c r="V48" i="14" s="1"/>
  <c r="W48" i="14" s="1"/>
  <c r="X48" i="14" s="1"/>
  <c r="Y48" i="14" s="1"/>
  <c r="Z48" i="14" s="1"/>
  <c r="AA48" i="14" s="1"/>
  <c r="C47" i="14"/>
  <c r="D47" i="14" s="1"/>
  <c r="E47" i="14" s="1"/>
  <c r="F47" i="14" s="1"/>
  <c r="G47" i="14" s="1"/>
  <c r="H47" i="14" s="1"/>
  <c r="I47" i="14" s="1"/>
  <c r="J47" i="14" s="1"/>
  <c r="K47" i="14" s="1"/>
  <c r="L47" i="14" s="1"/>
  <c r="M47" i="14" s="1"/>
  <c r="N47" i="14" s="1"/>
  <c r="O47" i="14" s="1"/>
  <c r="P47" i="14" s="1"/>
  <c r="Q47" i="14" s="1"/>
  <c r="R47" i="14" s="1"/>
  <c r="S47" i="14" s="1"/>
  <c r="T47" i="14" s="1"/>
  <c r="U47" i="14" s="1"/>
  <c r="V47" i="14" s="1"/>
  <c r="W47" i="14" s="1"/>
  <c r="X47" i="14" s="1"/>
  <c r="Y47" i="14" s="1"/>
  <c r="Z47" i="14" s="1"/>
  <c r="AA47" i="14" s="1"/>
  <c r="C42" i="11"/>
  <c r="D42" i="11" s="1"/>
  <c r="E42" i="11" s="1"/>
  <c r="F42" i="11" s="1"/>
  <c r="G42" i="11" s="1"/>
  <c r="H42" i="11" s="1"/>
  <c r="I42" i="11" s="1"/>
  <c r="J42" i="11" s="1"/>
  <c r="K42" i="11" s="1"/>
  <c r="L42" i="11" s="1"/>
  <c r="M42" i="11" s="1"/>
  <c r="N42" i="11" s="1"/>
  <c r="O42" i="11" s="1"/>
  <c r="P42" i="11" s="1"/>
  <c r="Q42" i="11" s="1"/>
  <c r="R42" i="11" s="1"/>
  <c r="S42" i="11" s="1"/>
  <c r="T42" i="11" s="1"/>
  <c r="U42" i="11" s="1"/>
  <c r="V42" i="11" s="1"/>
  <c r="W42" i="11" s="1"/>
  <c r="X42" i="11" s="1"/>
  <c r="Y42" i="11" s="1"/>
  <c r="Z42" i="11" s="1"/>
  <c r="AA42" i="11" s="1"/>
  <c r="O8" i="32" l="1"/>
  <c r="M22" i="30"/>
  <c r="K151" i="31"/>
  <c r="J186" i="31"/>
  <c r="O114" i="31"/>
  <c r="N127" i="31"/>
  <c r="O189" i="31"/>
  <c r="P185" i="31"/>
  <c r="P139" i="31"/>
  <c r="O154" i="31"/>
  <c r="Q46" i="22"/>
  <c r="R27" i="22"/>
  <c r="O68" i="25"/>
  <c r="N70" i="25"/>
  <c r="V27" i="21"/>
  <c r="U49" i="21"/>
  <c r="M47" i="25"/>
  <c r="N28" i="25"/>
  <c r="M115" i="25"/>
  <c r="N92" i="25"/>
  <c r="N60" i="21"/>
  <c r="M86" i="21"/>
  <c r="S13" i="20"/>
  <c r="S11" i="21"/>
  <c r="S59" i="21"/>
  <c r="R61" i="21"/>
  <c r="R63" i="21" s="1"/>
  <c r="O31" i="24"/>
  <c r="P10" i="24"/>
  <c r="M150" i="25"/>
  <c r="N146" i="25"/>
  <c r="N82" i="22"/>
  <c r="N96" i="22" s="1"/>
  <c r="O57" i="22"/>
  <c r="P10" i="23"/>
  <c r="O28" i="23"/>
  <c r="Q96" i="21"/>
  <c r="P111" i="21"/>
  <c r="U121" i="21"/>
  <c r="T123" i="21"/>
  <c r="T136" i="21" s="1"/>
  <c r="N58" i="25"/>
  <c r="M83" i="25"/>
  <c r="Q138" i="25"/>
  <c r="R126" i="25"/>
  <c r="T122" i="21"/>
  <c r="S135" i="21"/>
  <c r="T56" i="22"/>
  <c r="R146" i="21"/>
  <c r="Q161" i="21"/>
  <c r="R112" i="25"/>
  <c r="Q116" i="25"/>
  <c r="R60" i="22"/>
  <c r="M158" i="21"/>
  <c r="V71" i="21"/>
  <c r="U73" i="21"/>
  <c r="T57" i="25"/>
  <c r="S59" i="25"/>
  <c r="S61" i="25" s="1"/>
  <c r="A14" i="14"/>
  <c r="A13" i="14"/>
  <c r="A12" i="14"/>
  <c r="A11" i="14"/>
  <c r="A10" i="14"/>
  <c r="A9" i="14"/>
  <c r="C8" i="14"/>
  <c r="D8" i="14" s="1"/>
  <c r="E8" i="14" s="1"/>
  <c r="F8" i="14" s="1"/>
  <c r="G8" i="14" s="1"/>
  <c r="H8" i="14" s="1"/>
  <c r="I8" i="14" s="1"/>
  <c r="J8" i="14" s="1"/>
  <c r="K8" i="14" s="1"/>
  <c r="L8" i="14" s="1"/>
  <c r="M8" i="14" s="1"/>
  <c r="N8" i="14" s="1"/>
  <c r="O8" i="14" s="1"/>
  <c r="P8" i="14" s="1"/>
  <c r="Q8" i="14" s="1"/>
  <c r="R8" i="14" s="1"/>
  <c r="S8" i="14" s="1"/>
  <c r="T8" i="14" s="1"/>
  <c r="U8" i="14" s="1"/>
  <c r="V8" i="14" s="1"/>
  <c r="W8" i="14" s="1"/>
  <c r="X8" i="14" s="1"/>
  <c r="Y8" i="14" s="1"/>
  <c r="Z8" i="14" s="1"/>
  <c r="AA8" i="14" s="1"/>
  <c r="C7" i="14"/>
  <c r="D7" i="14" s="1"/>
  <c r="E7" i="14" s="1"/>
  <c r="F7" i="14" s="1"/>
  <c r="G7" i="14" s="1"/>
  <c r="H7" i="14" s="1"/>
  <c r="I7" i="14" s="1"/>
  <c r="J7" i="14" s="1"/>
  <c r="K7" i="14" s="1"/>
  <c r="L7" i="14" s="1"/>
  <c r="M7" i="14" s="1"/>
  <c r="N7" i="14" s="1"/>
  <c r="O7" i="14" s="1"/>
  <c r="P7" i="14" s="1"/>
  <c r="Q7" i="14" s="1"/>
  <c r="R7" i="14" s="1"/>
  <c r="S7" i="14" s="1"/>
  <c r="T7" i="14" s="1"/>
  <c r="U7" i="14" s="1"/>
  <c r="V7" i="14" s="1"/>
  <c r="W7" i="14" s="1"/>
  <c r="X7" i="14" s="1"/>
  <c r="Y7" i="14" s="1"/>
  <c r="Z7" i="14" s="1"/>
  <c r="AA7" i="14" s="1"/>
  <c r="AA34" i="1"/>
  <c r="Z34" i="1"/>
  <c r="Y34" i="1"/>
  <c r="X34" i="1"/>
  <c r="W34" i="1"/>
  <c r="V34" i="1"/>
  <c r="U34" i="1"/>
  <c r="T34" i="1"/>
  <c r="S34" i="1"/>
  <c r="R34" i="1"/>
  <c r="Q34" i="1"/>
  <c r="P34" i="1"/>
  <c r="O34" i="1"/>
  <c r="N34" i="1"/>
  <c r="M34" i="1"/>
  <c r="L34" i="1"/>
  <c r="K34" i="1"/>
  <c r="J34" i="1"/>
  <c r="I34" i="1"/>
  <c r="H34" i="1"/>
  <c r="G34" i="1"/>
  <c r="D34" i="1"/>
  <c r="C34" i="1"/>
  <c r="B34" i="1"/>
  <c r="B31" i="13"/>
  <c r="C10" i="13"/>
  <c r="D10" i="13" s="1"/>
  <c r="E10" i="13" s="1"/>
  <c r="F10" i="13" s="1"/>
  <c r="G10" i="13" s="1"/>
  <c r="H10" i="13" s="1"/>
  <c r="I10" i="13" s="1"/>
  <c r="J10" i="13" s="1"/>
  <c r="K10" i="13" s="1"/>
  <c r="L10" i="13" s="1"/>
  <c r="M10" i="13" s="1"/>
  <c r="N10" i="13" s="1"/>
  <c r="O10" i="13" s="1"/>
  <c r="P10" i="13" s="1"/>
  <c r="Q10" i="13" s="1"/>
  <c r="R10" i="13" s="1"/>
  <c r="S10" i="13" s="1"/>
  <c r="T10" i="13" s="1"/>
  <c r="U10" i="13" s="1"/>
  <c r="V10" i="13" s="1"/>
  <c r="W10" i="13" s="1"/>
  <c r="X10" i="13" s="1"/>
  <c r="Y10" i="13" s="1"/>
  <c r="Z10" i="13" s="1"/>
  <c r="AA10" i="13" s="1"/>
  <c r="AA31" i="13" s="1"/>
  <c r="C9" i="13"/>
  <c r="D9" i="13" s="1"/>
  <c r="E9" i="13" s="1"/>
  <c r="F9" i="13" s="1"/>
  <c r="G9" i="13" s="1"/>
  <c r="H9" i="13" s="1"/>
  <c r="I9" i="13" s="1"/>
  <c r="J9" i="13" s="1"/>
  <c r="K9" i="13" s="1"/>
  <c r="L9" i="13" s="1"/>
  <c r="M9" i="13" s="1"/>
  <c r="N9" i="13" s="1"/>
  <c r="O9" i="13" s="1"/>
  <c r="P9" i="13" s="1"/>
  <c r="Q9" i="13" s="1"/>
  <c r="R9" i="13" s="1"/>
  <c r="S9" i="13" s="1"/>
  <c r="T9" i="13" s="1"/>
  <c r="U9" i="13" s="1"/>
  <c r="V9" i="13" s="1"/>
  <c r="W9" i="13" s="1"/>
  <c r="X9" i="13" s="1"/>
  <c r="Y9" i="13" s="1"/>
  <c r="Z9" i="13" s="1"/>
  <c r="AA9" i="13" s="1"/>
  <c r="AA29" i="1"/>
  <c r="Z29" i="1"/>
  <c r="Y29" i="1"/>
  <c r="X29" i="1"/>
  <c r="W29" i="1"/>
  <c r="V29" i="1"/>
  <c r="U29" i="1"/>
  <c r="T29" i="1"/>
  <c r="S29" i="1"/>
  <c r="R29" i="1"/>
  <c r="Q29" i="1"/>
  <c r="P29" i="1"/>
  <c r="O29" i="1"/>
  <c r="N29" i="1"/>
  <c r="M29" i="1"/>
  <c r="L29" i="1"/>
  <c r="K29" i="1"/>
  <c r="J29" i="1"/>
  <c r="I29" i="1"/>
  <c r="H29" i="1"/>
  <c r="G29" i="1"/>
  <c r="F29" i="1"/>
  <c r="E29" i="1"/>
  <c r="D29" i="1"/>
  <c r="C29" i="1"/>
  <c r="B29" i="1"/>
  <c r="AA27" i="1"/>
  <c r="Z27" i="1"/>
  <c r="Y27" i="1"/>
  <c r="X27" i="1"/>
  <c r="W27" i="1"/>
  <c r="V27" i="1"/>
  <c r="U27" i="1"/>
  <c r="T27" i="1"/>
  <c r="S27" i="1"/>
  <c r="R27" i="1"/>
  <c r="Q27" i="1"/>
  <c r="P27" i="1"/>
  <c r="O27" i="1"/>
  <c r="N27" i="1"/>
  <c r="M27" i="1"/>
  <c r="L27" i="1"/>
  <c r="K27" i="1"/>
  <c r="J27" i="1"/>
  <c r="I27" i="1"/>
  <c r="H27" i="1"/>
  <c r="G27" i="1"/>
  <c r="F27" i="1"/>
  <c r="E27" i="1"/>
  <c r="D27" i="1"/>
  <c r="C27" i="1"/>
  <c r="B27" i="1"/>
  <c r="C10" i="12"/>
  <c r="D10" i="12" s="1"/>
  <c r="E10" i="12" s="1"/>
  <c r="F10" i="12" s="1"/>
  <c r="G10" i="12" s="1"/>
  <c r="H10" i="12" s="1"/>
  <c r="I10" i="12" s="1"/>
  <c r="J10" i="12" s="1"/>
  <c r="K10" i="12" s="1"/>
  <c r="L10" i="12" s="1"/>
  <c r="M10" i="12" s="1"/>
  <c r="N10" i="12" s="1"/>
  <c r="O10" i="12" s="1"/>
  <c r="P10" i="12" s="1"/>
  <c r="Q10" i="12" s="1"/>
  <c r="R10" i="12" s="1"/>
  <c r="S10" i="12" s="1"/>
  <c r="T10" i="12" s="1"/>
  <c r="U10" i="12" s="1"/>
  <c r="V10" i="12" s="1"/>
  <c r="W10" i="12" s="1"/>
  <c r="X10" i="12" s="1"/>
  <c r="Y10" i="12" s="1"/>
  <c r="Z10" i="12" s="1"/>
  <c r="AA10" i="12" s="1"/>
  <c r="C9" i="12"/>
  <c r="D9" i="12" s="1"/>
  <c r="E9" i="12" s="1"/>
  <c r="F9" i="12" s="1"/>
  <c r="G9" i="12" s="1"/>
  <c r="H9" i="12" s="1"/>
  <c r="I9" i="12" s="1"/>
  <c r="J9" i="12" s="1"/>
  <c r="K9" i="12" s="1"/>
  <c r="L9" i="12" s="1"/>
  <c r="M9" i="12" s="1"/>
  <c r="N9" i="12" s="1"/>
  <c r="O9" i="12" s="1"/>
  <c r="P9" i="12" s="1"/>
  <c r="Q9" i="12" s="1"/>
  <c r="R9" i="12" s="1"/>
  <c r="S9" i="12" s="1"/>
  <c r="T9" i="12" s="1"/>
  <c r="U9" i="12" s="1"/>
  <c r="V9" i="12" s="1"/>
  <c r="W9" i="12" s="1"/>
  <c r="X9" i="12" s="1"/>
  <c r="Y9" i="12" s="1"/>
  <c r="Z9" i="12" s="1"/>
  <c r="AA9" i="12" s="1"/>
  <c r="AA20" i="1"/>
  <c r="Z20" i="1"/>
  <c r="Y20" i="1"/>
  <c r="X20" i="1"/>
  <c r="W20" i="1"/>
  <c r="V20" i="1"/>
  <c r="U20" i="1"/>
  <c r="T20" i="1"/>
  <c r="S20" i="1"/>
  <c r="R20" i="1"/>
  <c r="Q20" i="1"/>
  <c r="P20" i="1"/>
  <c r="O20" i="1"/>
  <c r="N20" i="1"/>
  <c r="M20" i="1"/>
  <c r="L20" i="1"/>
  <c r="K20" i="1"/>
  <c r="J20" i="1"/>
  <c r="I20" i="1"/>
  <c r="H20" i="1"/>
  <c r="E20" i="1"/>
  <c r="D20" i="1"/>
  <c r="C20" i="1"/>
  <c r="B20" i="1"/>
  <c r="A17" i="11"/>
  <c r="C9" i="11"/>
  <c r="D9" i="11" s="1"/>
  <c r="E9" i="11" s="1"/>
  <c r="F9" i="11" s="1"/>
  <c r="G9" i="11" s="1"/>
  <c r="H9" i="11" s="1"/>
  <c r="I9" i="11" s="1"/>
  <c r="J9" i="11" s="1"/>
  <c r="K9" i="11" s="1"/>
  <c r="L9" i="11" s="1"/>
  <c r="M9" i="11" s="1"/>
  <c r="N9" i="11" s="1"/>
  <c r="O9" i="11" s="1"/>
  <c r="P9" i="11" s="1"/>
  <c r="Q9" i="11" s="1"/>
  <c r="R9" i="11" s="1"/>
  <c r="S9" i="11" s="1"/>
  <c r="T9" i="11" s="1"/>
  <c r="U9" i="11" s="1"/>
  <c r="V9" i="11" s="1"/>
  <c r="W9" i="11" s="1"/>
  <c r="X9" i="11" s="1"/>
  <c r="Y9" i="11" s="1"/>
  <c r="Z9" i="11" s="1"/>
  <c r="AA9" i="11" s="1"/>
  <c r="C8" i="11"/>
  <c r="D8" i="11" s="1"/>
  <c r="E8" i="11" s="1"/>
  <c r="F8" i="11" s="1"/>
  <c r="G8" i="11" s="1"/>
  <c r="H8" i="11" s="1"/>
  <c r="I8" i="11" s="1"/>
  <c r="J8" i="11" s="1"/>
  <c r="K8" i="11" s="1"/>
  <c r="L8" i="11" s="1"/>
  <c r="M8" i="11" s="1"/>
  <c r="N8" i="11" s="1"/>
  <c r="O8" i="11" s="1"/>
  <c r="P8" i="11" s="1"/>
  <c r="Q8" i="11" s="1"/>
  <c r="R8" i="11" s="1"/>
  <c r="S8" i="11" s="1"/>
  <c r="T8" i="11" s="1"/>
  <c r="U8" i="11" s="1"/>
  <c r="V8" i="11" s="1"/>
  <c r="W8" i="11" s="1"/>
  <c r="X8" i="11" s="1"/>
  <c r="Y8" i="11" s="1"/>
  <c r="Z8" i="11" s="1"/>
  <c r="AA8" i="11" s="1"/>
  <c r="A13" i="10"/>
  <c r="A12" i="10"/>
  <c r="A11" i="10"/>
  <c r="A10" i="10"/>
  <c r="A9" i="10"/>
  <c r="A8" i="10"/>
  <c r="C7" i="10"/>
  <c r="D7" i="10" s="1"/>
  <c r="E7" i="10" s="1"/>
  <c r="F7" i="10" s="1"/>
  <c r="G7" i="10" s="1"/>
  <c r="H7" i="10" s="1"/>
  <c r="I7" i="10" s="1"/>
  <c r="J7" i="10" s="1"/>
  <c r="K7" i="10" s="1"/>
  <c r="L7" i="10" s="1"/>
  <c r="M7" i="10" s="1"/>
  <c r="N7" i="10" s="1"/>
  <c r="O7" i="10" s="1"/>
  <c r="P7" i="10" s="1"/>
  <c r="Q7" i="10" s="1"/>
  <c r="R7" i="10" s="1"/>
  <c r="S7" i="10" s="1"/>
  <c r="T7" i="10" s="1"/>
  <c r="U7" i="10" s="1"/>
  <c r="V7" i="10" s="1"/>
  <c r="W7" i="10" s="1"/>
  <c r="X7" i="10" s="1"/>
  <c r="Y7" i="10" s="1"/>
  <c r="Z7" i="10" s="1"/>
  <c r="AA7" i="10" s="1"/>
  <c r="C6" i="10"/>
  <c r="D6" i="10" s="1"/>
  <c r="E6" i="10" s="1"/>
  <c r="F6" i="10" s="1"/>
  <c r="G6" i="10" s="1"/>
  <c r="H6" i="10" s="1"/>
  <c r="I6" i="10" s="1"/>
  <c r="J6" i="10" s="1"/>
  <c r="K6" i="10" s="1"/>
  <c r="L6" i="10" s="1"/>
  <c r="M6" i="10" s="1"/>
  <c r="N6" i="10" s="1"/>
  <c r="O6" i="10" s="1"/>
  <c r="P6" i="10" s="1"/>
  <c r="Q6" i="10" s="1"/>
  <c r="R6" i="10" s="1"/>
  <c r="S6" i="10" s="1"/>
  <c r="T6" i="10" s="1"/>
  <c r="U6" i="10" s="1"/>
  <c r="V6" i="10" s="1"/>
  <c r="W6" i="10" s="1"/>
  <c r="X6" i="10" s="1"/>
  <c r="Y6" i="10" s="1"/>
  <c r="Z6" i="10" s="1"/>
  <c r="AA6" i="10" s="1"/>
  <c r="N22" i="30" l="1"/>
  <c r="P8" i="32"/>
  <c r="L151" i="31"/>
  <c r="K186" i="31"/>
  <c r="Q185" i="31"/>
  <c r="P189" i="31"/>
  <c r="P154" i="31"/>
  <c r="Q139" i="31"/>
  <c r="P114" i="31"/>
  <c r="O127" i="31"/>
  <c r="O82" i="22"/>
  <c r="O96" i="22" s="1"/>
  <c r="P57" i="22"/>
  <c r="W71" i="21"/>
  <c r="V73" i="21"/>
  <c r="S146" i="21"/>
  <c r="R161" i="21"/>
  <c r="N83" i="25"/>
  <c r="O58" i="25"/>
  <c r="T11" i="21"/>
  <c r="T13" i="20"/>
  <c r="N115" i="25"/>
  <c r="O92" i="25"/>
  <c r="P68" i="25"/>
  <c r="O70" i="25"/>
  <c r="S60" i="22"/>
  <c r="T135" i="21"/>
  <c r="U122" i="21"/>
  <c r="V121" i="21"/>
  <c r="U123" i="21"/>
  <c r="U136" i="21" s="1"/>
  <c r="R96" i="21"/>
  <c r="Q111" i="21"/>
  <c r="T59" i="21"/>
  <c r="S61" i="21"/>
  <c r="S63" i="21" s="1"/>
  <c r="W27" i="21"/>
  <c r="V49" i="21"/>
  <c r="S27" i="22"/>
  <c r="R46" i="22"/>
  <c r="U57" i="25"/>
  <c r="T59" i="25"/>
  <c r="T61" i="25" s="1"/>
  <c r="N158" i="21"/>
  <c r="S112" i="25"/>
  <c r="R116" i="25"/>
  <c r="U56" i="22"/>
  <c r="S126" i="25"/>
  <c r="R138" i="25"/>
  <c r="P28" i="23"/>
  <c r="Q10" i="23"/>
  <c r="O146" i="25"/>
  <c r="N150" i="25"/>
  <c r="Q10" i="24"/>
  <c r="P31" i="24"/>
  <c r="N86" i="21"/>
  <c r="O60" i="21"/>
  <c r="N47" i="25"/>
  <c r="O28" i="25"/>
  <c r="F20" i="1"/>
  <c r="C31" i="13"/>
  <c r="G31" i="13"/>
  <c r="G20" i="1"/>
  <c r="F31" i="13"/>
  <c r="E31" i="13"/>
  <c r="I31" i="13"/>
  <c r="M31" i="13"/>
  <c r="Q31" i="13"/>
  <c r="U31" i="13"/>
  <c r="Y31" i="13"/>
  <c r="J31" i="13"/>
  <c r="N31" i="13"/>
  <c r="R31" i="13"/>
  <c r="V31" i="13"/>
  <c r="Z31" i="13"/>
  <c r="K31" i="13"/>
  <c r="O31" i="13"/>
  <c r="S31" i="13"/>
  <c r="W31" i="13"/>
  <c r="D31" i="13"/>
  <c r="H31" i="13"/>
  <c r="L31" i="13"/>
  <c r="P31" i="13"/>
  <c r="T31" i="13"/>
  <c r="X31" i="13"/>
  <c r="O22" i="30" l="1"/>
  <c r="Q8" i="32"/>
  <c r="M151" i="31"/>
  <c r="L186" i="31"/>
  <c r="Q114" i="31"/>
  <c r="P127" i="31"/>
  <c r="Q154" i="31"/>
  <c r="R139" i="31"/>
  <c r="R185" i="31"/>
  <c r="Q189" i="31"/>
  <c r="P28" i="25"/>
  <c r="O47" i="25"/>
  <c r="R10" i="24"/>
  <c r="Q31" i="24"/>
  <c r="U11" i="21"/>
  <c r="U13" i="20"/>
  <c r="P70" i="25"/>
  <c r="Q68" i="25"/>
  <c r="S46" i="22"/>
  <c r="T27" i="22"/>
  <c r="U59" i="21"/>
  <c r="T61" i="21"/>
  <c r="T63" i="21" s="1"/>
  <c r="W121" i="21"/>
  <c r="V123" i="21"/>
  <c r="V136" i="21" s="1"/>
  <c r="O115" i="25"/>
  <c r="P92" i="25"/>
  <c r="S161" i="21"/>
  <c r="T146" i="21"/>
  <c r="V56" i="22"/>
  <c r="P60" i="21"/>
  <c r="O86" i="21"/>
  <c r="P146" i="25"/>
  <c r="O150" i="25"/>
  <c r="T126" i="25"/>
  <c r="S138" i="25"/>
  <c r="T112" i="25"/>
  <c r="S116" i="25"/>
  <c r="V57" i="25"/>
  <c r="U59" i="25"/>
  <c r="U61" i="25" s="1"/>
  <c r="R111" i="21"/>
  <c r="S96" i="21"/>
  <c r="U135" i="21"/>
  <c r="V122" i="21"/>
  <c r="P58" i="25"/>
  <c r="O83" i="25"/>
  <c r="Q28" i="23"/>
  <c r="R10" i="23"/>
  <c r="T60" i="22"/>
  <c r="O158" i="21"/>
  <c r="W49" i="21"/>
  <c r="X27" i="21"/>
  <c r="X71" i="21"/>
  <c r="W73" i="21"/>
  <c r="Q57" i="22"/>
  <c r="P82" i="22"/>
  <c r="P96" i="22" s="1"/>
  <c r="P22" i="30" l="1"/>
  <c r="R8" i="32"/>
  <c r="N151" i="31"/>
  <c r="M186" i="31"/>
  <c r="Q127" i="31"/>
  <c r="R114" i="31"/>
  <c r="S139" i="31"/>
  <c r="R154" i="31"/>
  <c r="R189" i="31"/>
  <c r="S185" i="31"/>
  <c r="W122" i="21"/>
  <c r="V135" i="21"/>
  <c r="Q92" i="25"/>
  <c r="P115" i="25"/>
  <c r="R68" i="25"/>
  <c r="Q70" i="25"/>
  <c r="P158" i="21"/>
  <c r="W57" i="25"/>
  <c r="V59" i="25"/>
  <c r="V61" i="25" s="1"/>
  <c r="T138" i="25"/>
  <c r="U126" i="25"/>
  <c r="T161" i="21"/>
  <c r="U146" i="21"/>
  <c r="V59" i="21"/>
  <c r="U61" i="21"/>
  <c r="U63" i="21" s="1"/>
  <c r="Q28" i="25"/>
  <c r="P47" i="25"/>
  <c r="S111" i="21"/>
  <c r="T96" i="21"/>
  <c r="Q60" i="21"/>
  <c r="P86" i="21"/>
  <c r="U60" i="22"/>
  <c r="V13" i="20"/>
  <c r="V11" i="21"/>
  <c r="U27" i="22"/>
  <c r="T46" i="22"/>
  <c r="Y71" i="21"/>
  <c r="X73" i="21"/>
  <c r="X49" i="21"/>
  <c r="Y27" i="21"/>
  <c r="Q58" i="25"/>
  <c r="P83" i="25"/>
  <c r="S10" i="23"/>
  <c r="R28" i="23"/>
  <c r="R57" i="22"/>
  <c r="Q82" i="22"/>
  <c r="Q96" i="22" s="1"/>
  <c r="T116" i="25"/>
  <c r="U112" i="25"/>
  <c r="Q146" i="25"/>
  <c r="P150" i="25"/>
  <c r="W56" i="22"/>
  <c r="X121" i="21"/>
  <c r="W123" i="21"/>
  <c r="W136" i="21" s="1"/>
  <c r="S10" i="24"/>
  <c r="R31" i="24"/>
  <c r="Q22" i="30" l="1"/>
  <c r="S8" i="32"/>
  <c r="O151" i="31"/>
  <c r="N186" i="31"/>
  <c r="T139" i="31"/>
  <c r="S154" i="31"/>
  <c r="S114" i="31"/>
  <c r="R127" i="31"/>
  <c r="S189" i="31"/>
  <c r="T185" i="31"/>
  <c r="Y121" i="21"/>
  <c r="X123" i="21"/>
  <c r="X136" i="21" s="1"/>
  <c r="T10" i="23"/>
  <c r="S28" i="23"/>
  <c r="R58" i="25"/>
  <c r="Q83" i="25"/>
  <c r="Z71" i="21"/>
  <c r="Y73" i="21"/>
  <c r="R60" i="21"/>
  <c r="Q86" i="21"/>
  <c r="U96" i="21"/>
  <c r="T111" i="21"/>
  <c r="X57" i="25"/>
  <c r="W59" i="25"/>
  <c r="W61" i="25" s="1"/>
  <c r="X122" i="21"/>
  <c r="W135" i="21"/>
  <c r="W13" i="20"/>
  <c r="W11" i="21"/>
  <c r="S31" i="24"/>
  <c r="T10" i="24"/>
  <c r="Z27" i="21"/>
  <c r="Y49" i="21"/>
  <c r="V27" i="22"/>
  <c r="U46" i="22"/>
  <c r="U138" i="25"/>
  <c r="V126" i="25"/>
  <c r="S68" i="25"/>
  <c r="R70" i="25"/>
  <c r="V60" i="22"/>
  <c r="Q150" i="25"/>
  <c r="R146" i="25"/>
  <c r="X56" i="22"/>
  <c r="U116" i="25"/>
  <c r="V112" i="25"/>
  <c r="R82" i="22"/>
  <c r="R96" i="22" s="1"/>
  <c r="S57" i="22"/>
  <c r="W59" i="21"/>
  <c r="V61" i="21"/>
  <c r="V63" i="21" s="1"/>
  <c r="Q158" i="21"/>
  <c r="R92" i="25"/>
  <c r="Q115" i="25"/>
  <c r="R28" i="25"/>
  <c r="Q47" i="25"/>
  <c r="V146" i="21"/>
  <c r="U161" i="21"/>
  <c r="F81" i="7" l="1"/>
  <c r="P81" i="7" s="1" a="1"/>
  <c r="P81" i="7" s="1"/>
  <c r="G81" i="7"/>
  <c r="Q81" i="7" s="1" a="1"/>
  <c r="Q81" i="7" s="1"/>
  <c r="O81" i="7" a="1"/>
  <c r="O81" i="7" s="1"/>
  <c r="T8" i="32"/>
  <c r="R22" i="30"/>
  <c r="P151" i="31"/>
  <c r="O186" i="31"/>
  <c r="T154" i="31"/>
  <c r="U139" i="31"/>
  <c r="U185" i="31"/>
  <c r="T189" i="31"/>
  <c r="T114" i="31"/>
  <c r="S127" i="31"/>
  <c r="V116" i="25"/>
  <c r="W112" i="25"/>
  <c r="S146" i="25"/>
  <c r="R150" i="25"/>
  <c r="V138" i="25"/>
  <c r="W126" i="25"/>
  <c r="X135" i="21"/>
  <c r="Y122" i="21"/>
  <c r="V96" i="21"/>
  <c r="U111" i="21"/>
  <c r="AA71" i="21"/>
  <c r="AA73" i="21" s="1"/>
  <c r="Z73" i="21"/>
  <c r="U10" i="23"/>
  <c r="T28" i="23"/>
  <c r="X11" i="21"/>
  <c r="X13" i="20"/>
  <c r="R115" i="25"/>
  <c r="S92" i="25"/>
  <c r="W146" i="21"/>
  <c r="V161" i="21"/>
  <c r="R158" i="21"/>
  <c r="T68" i="25"/>
  <c r="S70" i="25"/>
  <c r="V46" i="22"/>
  <c r="W27" i="22"/>
  <c r="Z121" i="21"/>
  <c r="Y123" i="21"/>
  <c r="Y136" i="21" s="1"/>
  <c r="R47" i="25"/>
  <c r="S28" i="25"/>
  <c r="S82" i="22"/>
  <c r="S96" i="22" s="1"/>
  <c r="T57" i="22"/>
  <c r="W60" i="22"/>
  <c r="T31" i="24"/>
  <c r="U10" i="24"/>
  <c r="R86" i="21"/>
  <c r="S60" i="21"/>
  <c r="S58" i="25"/>
  <c r="R83" i="25"/>
  <c r="X59" i="21"/>
  <c r="W61" i="21"/>
  <c r="W63" i="21" s="1"/>
  <c r="Y56" i="22"/>
  <c r="AA27" i="21"/>
  <c r="AA49" i="21" s="1"/>
  <c r="Z49" i="21"/>
  <c r="Y57" i="25"/>
  <c r="X59" i="25"/>
  <c r="X61" i="25" s="1"/>
  <c r="B138" i="14"/>
  <c r="B25" i="11"/>
  <c r="A18" i="10"/>
  <c r="B33" i="31" l="1"/>
  <c r="B37" i="31" s="1"/>
  <c r="B40" i="31" s="1"/>
  <c r="B78" i="31"/>
  <c r="B82" i="31" s="1"/>
  <c r="B85" i="31" s="1"/>
  <c r="B160" i="31"/>
  <c r="B164" i="31" s="1"/>
  <c r="B167" i="31" s="1"/>
  <c r="B32" i="25"/>
  <c r="B36" i="25" s="1"/>
  <c r="B39" i="25" s="1"/>
  <c r="B32" i="21"/>
  <c r="B36" i="21" s="1"/>
  <c r="B39" i="21" s="1"/>
  <c r="B31" i="22"/>
  <c r="B35" i="22" s="1"/>
  <c r="B74" i="25"/>
  <c r="B78" i="25" s="1"/>
  <c r="B81" i="25" s="1"/>
  <c r="B73" i="22"/>
  <c r="B77" i="22" s="1"/>
  <c r="B77" i="21"/>
  <c r="B81" i="21" s="1"/>
  <c r="B84" i="21" s="1"/>
  <c r="B34" i="14"/>
  <c r="B38" i="14" s="1"/>
  <c r="B41" i="14" s="1"/>
  <c r="B70" i="11"/>
  <c r="B74" i="11" s="1"/>
  <c r="Y77" i="11" s="1"/>
  <c r="B31" i="11"/>
  <c r="B35" i="11" s="1"/>
  <c r="L38" i="11" s="1"/>
  <c r="B33" i="10"/>
  <c r="B76" i="14"/>
  <c r="B80" i="14" s="1"/>
  <c r="B83" i="14" s="1"/>
  <c r="C83" i="14" s="1"/>
  <c r="D83" i="14" s="1"/>
  <c r="E83" i="14" s="1"/>
  <c r="F83" i="14" s="1"/>
  <c r="G83" i="14" s="1"/>
  <c r="H83" i="14" s="1"/>
  <c r="I83" i="14" s="1"/>
  <c r="J83" i="14" s="1"/>
  <c r="K83" i="14" s="1"/>
  <c r="L83" i="14" s="1"/>
  <c r="M83" i="14" s="1"/>
  <c r="N83" i="14" s="1"/>
  <c r="O83" i="14" s="1"/>
  <c r="P83" i="14" s="1"/>
  <c r="Q83" i="14" s="1"/>
  <c r="R83" i="14" s="1"/>
  <c r="S83" i="14" s="1"/>
  <c r="T83" i="14" s="1"/>
  <c r="U83" i="14" s="1"/>
  <c r="V83" i="14" s="1"/>
  <c r="W83" i="14" s="1"/>
  <c r="X83" i="14" s="1"/>
  <c r="Y83" i="14" s="1"/>
  <c r="Z83" i="14" s="1"/>
  <c r="AA83" i="14" s="1"/>
  <c r="B77" i="10"/>
  <c r="B81" i="10" s="1"/>
  <c r="B84" i="10" s="1"/>
  <c r="S22" i="30"/>
  <c r="U8" i="32"/>
  <c r="Q151" i="31"/>
  <c r="V28" i="11"/>
  <c r="N28" i="11"/>
  <c r="H28" i="11"/>
  <c r="Z28" i="11"/>
  <c r="R28" i="11"/>
  <c r="J28" i="11"/>
  <c r="E28" i="11"/>
  <c r="B28" i="11"/>
  <c r="G28" i="11"/>
  <c r="X28" i="11"/>
  <c r="O28" i="11"/>
  <c r="I28" i="11"/>
  <c r="Y28" i="11"/>
  <c r="K28" i="11"/>
  <c r="L28" i="11"/>
  <c r="W28" i="11"/>
  <c r="M28" i="11"/>
  <c r="S28" i="11"/>
  <c r="P28" i="11"/>
  <c r="Q28" i="11"/>
  <c r="AA28" i="11"/>
  <c r="C28" i="11"/>
  <c r="T28" i="11"/>
  <c r="F28" i="11"/>
  <c r="D28" i="11"/>
  <c r="U28" i="11"/>
  <c r="P186" i="31"/>
  <c r="U154" i="31"/>
  <c r="V139" i="31"/>
  <c r="U114" i="31"/>
  <c r="T127" i="31"/>
  <c r="V185" i="31"/>
  <c r="U189" i="31"/>
  <c r="X60" i="22"/>
  <c r="S83" i="25"/>
  <c r="T58" i="25"/>
  <c r="Y11" i="21"/>
  <c r="Y13" i="20"/>
  <c r="T146" i="25"/>
  <c r="S150" i="25"/>
  <c r="Z56" i="22"/>
  <c r="T60" i="21"/>
  <c r="S86" i="21"/>
  <c r="U57" i="22"/>
  <c r="T82" i="22"/>
  <c r="T96" i="22" s="1"/>
  <c r="AA121" i="21"/>
  <c r="AA123" i="21" s="1"/>
  <c r="AA136" i="21" s="1"/>
  <c r="Z123" i="21"/>
  <c r="Z136" i="21" s="1"/>
  <c r="U68" i="25"/>
  <c r="T70" i="25"/>
  <c r="U28" i="23"/>
  <c r="V10" i="23"/>
  <c r="V111" i="21"/>
  <c r="W96" i="21"/>
  <c r="X126" i="25"/>
  <c r="W138" i="25"/>
  <c r="X112" i="25"/>
  <c r="W116" i="25"/>
  <c r="S47" i="25"/>
  <c r="T28" i="25"/>
  <c r="W46" i="22"/>
  <c r="X27" i="22"/>
  <c r="W161" i="21"/>
  <c r="X146" i="21"/>
  <c r="Y135" i="21"/>
  <c r="Z122" i="21"/>
  <c r="Z57" i="25"/>
  <c r="Y59" i="25"/>
  <c r="Y61" i="25" s="1"/>
  <c r="Y59" i="21"/>
  <c r="X61" i="21"/>
  <c r="X63" i="21" s="1"/>
  <c r="V10" i="24"/>
  <c r="U31" i="24"/>
  <c r="S158" i="21"/>
  <c r="S115" i="25"/>
  <c r="T92" i="25"/>
  <c r="B63" i="10"/>
  <c r="B62" i="14"/>
  <c r="B26" i="13"/>
  <c r="B64" i="11"/>
  <c r="B88" i="11"/>
  <c r="E98" i="7"/>
  <c r="B165" i="10" l="1"/>
  <c r="B155" i="10"/>
  <c r="B109" i="14"/>
  <c r="B115" i="10"/>
  <c r="X38" i="11"/>
  <c r="E77" i="11"/>
  <c r="B190" i="31"/>
  <c r="B13" i="31" s="1"/>
  <c r="O167" i="31"/>
  <c r="O190" i="31" s="1"/>
  <c r="O13" i="31" s="1"/>
  <c r="D167" i="31"/>
  <c r="D190" i="31" s="1"/>
  <c r="D13" i="31" s="1"/>
  <c r="D15" i="30" s="1"/>
  <c r="T167" i="31"/>
  <c r="M167" i="31"/>
  <c r="M190" i="31" s="1"/>
  <c r="M13" i="31" s="1"/>
  <c r="F167" i="31"/>
  <c r="F190" i="31" s="1"/>
  <c r="F13" i="31" s="1"/>
  <c r="N167" i="31"/>
  <c r="N190" i="31" s="1"/>
  <c r="N13" i="31" s="1"/>
  <c r="C167" i="31"/>
  <c r="C190" i="31" s="1"/>
  <c r="C13" i="31" s="1"/>
  <c r="H167" i="31"/>
  <c r="H190" i="31" s="1"/>
  <c r="H13" i="31" s="1"/>
  <c r="Q167" i="31"/>
  <c r="R167" i="31"/>
  <c r="W167" i="31"/>
  <c r="E167" i="31"/>
  <c r="E190" i="31" s="1"/>
  <c r="E13" i="31" s="1"/>
  <c r="J167" i="31"/>
  <c r="J190" i="31" s="1"/>
  <c r="J13" i="31" s="1"/>
  <c r="K167" i="31"/>
  <c r="K190" i="31" s="1"/>
  <c r="K13" i="31" s="1"/>
  <c r="AA167" i="31"/>
  <c r="P167" i="31"/>
  <c r="P190" i="31" s="1"/>
  <c r="P13" i="31" s="1"/>
  <c r="I167" i="31"/>
  <c r="I190" i="31" s="1"/>
  <c r="I13" i="31" s="1"/>
  <c r="Y167" i="31"/>
  <c r="Z167" i="31"/>
  <c r="S167" i="31"/>
  <c r="X167" i="31"/>
  <c r="V167" i="31"/>
  <c r="G167" i="31"/>
  <c r="G190" i="31" s="1"/>
  <c r="G13" i="31" s="1"/>
  <c r="L167" i="31"/>
  <c r="L190" i="31" s="1"/>
  <c r="L13" i="31" s="1"/>
  <c r="L15" i="30" s="1"/>
  <c r="U167" i="31"/>
  <c r="D85" i="31"/>
  <c r="D88" i="31" s="1"/>
  <c r="D9" i="31" s="1"/>
  <c r="D11" i="30" s="1"/>
  <c r="Z85" i="31"/>
  <c r="Z88" i="31" s="1"/>
  <c r="Z9" i="31" s="1"/>
  <c r="Z11" i="30" s="1"/>
  <c r="I85" i="31"/>
  <c r="I88" i="31" s="1"/>
  <c r="I9" i="31" s="1"/>
  <c r="I11" i="30" s="1"/>
  <c r="M85" i="31"/>
  <c r="M88" i="31" s="1"/>
  <c r="M9" i="31" s="1"/>
  <c r="M11" i="30" s="1"/>
  <c r="X85" i="31"/>
  <c r="X88" i="31" s="1"/>
  <c r="X9" i="31" s="1"/>
  <c r="X11" i="30" s="1"/>
  <c r="U85" i="31"/>
  <c r="U88" i="31" s="1"/>
  <c r="U9" i="31" s="1"/>
  <c r="U11" i="30" s="1"/>
  <c r="AA85" i="31"/>
  <c r="AA88" i="31" s="1"/>
  <c r="AA9" i="31" s="1"/>
  <c r="AA11" i="30" s="1"/>
  <c r="J85" i="31"/>
  <c r="J88" i="31" s="1"/>
  <c r="J9" i="31" s="1"/>
  <c r="J11" i="30" s="1"/>
  <c r="N85" i="31"/>
  <c r="N88" i="31" s="1"/>
  <c r="N9" i="31" s="1"/>
  <c r="N11" i="30" s="1"/>
  <c r="R85" i="31"/>
  <c r="R88" i="31" s="1"/>
  <c r="R9" i="31" s="1"/>
  <c r="R11" i="30" s="1"/>
  <c r="L85" i="31"/>
  <c r="L88" i="31" s="1"/>
  <c r="L9" i="31" s="1"/>
  <c r="L11" i="30" s="1"/>
  <c r="F85" i="31"/>
  <c r="F88" i="31" s="1"/>
  <c r="F9" i="31" s="1"/>
  <c r="F11" i="30" s="1"/>
  <c r="P85" i="31"/>
  <c r="P88" i="31" s="1"/>
  <c r="P9" i="31" s="1"/>
  <c r="P11" i="30" s="1"/>
  <c r="T85" i="31"/>
  <c r="T88" i="31" s="1"/>
  <c r="T9" i="31" s="1"/>
  <c r="T11" i="30" s="1"/>
  <c r="V85" i="31"/>
  <c r="V88" i="31" s="1"/>
  <c r="V9" i="31" s="1"/>
  <c r="V11" i="30" s="1"/>
  <c r="Y85" i="31"/>
  <c r="Y88" i="31" s="1"/>
  <c r="Y9" i="31" s="1"/>
  <c r="Y11" i="30" s="1"/>
  <c r="C85" i="31"/>
  <c r="C88" i="31" s="1"/>
  <c r="C9" i="31" s="1"/>
  <c r="C11" i="30" s="1"/>
  <c r="Q85" i="31"/>
  <c r="Q88" i="31" s="1"/>
  <c r="Q9" i="31" s="1"/>
  <c r="Q11" i="30" s="1"/>
  <c r="W85" i="31"/>
  <c r="W88" i="31" s="1"/>
  <c r="W9" i="31" s="1"/>
  <c r="W11" i="30" s="1"/>
  <c r="E85" i="31"/>
  <c r="E88" i="31" s="1"/>
  <c r="E9" i="31" s="1"/>
  <c r="E11" i="30" s="1"/>
  <c r="K85" i="31"/>
  <c r="K88" i="31" s="1"/>
  <c r="K9" i="31" s="1"/>
  <c r="K11" i="30" s="1"/>
  <c r="H85" i="31"/>
  <c r="H88" i="31" s="1"/>
  <c r="H9" i="31" s="1"/>
  <c r="H11" i="30" s="1"/>
  <c r="O85" i="31"/>
  <c r="O88" i="31" s="1"/>
  <c r="O9" i="31" s="1"/>
  <c r="O11" i="30" s="1"/>
  <c r="S85" i="31"/>
  <c r="S88" i="31" s="1"/>
  <c r="S9" i="31" s="1"/>
  <c r="S11" i="30" s="1"/>
  <c r="G85" i="31"/>
  <c r="G88" i="31" s="1"/>
  <c r="G9" i="31" s="1"/>
  <c r="G11" i="30" s="1"/>
  <c r="B88" i="31"/>
  <c r="B9" i="31" s="1"/>
  <c r="B11" i="30" s="1"/>
  <c r="AA40" i="31"/>
  <c r="AA51" i="31" s="1"/>
  <c r="AA8" i="31" s="1"/>
  <c r="AA10" i="30" s="1"/>
  <c r="Y40" i="31"/>
  <c r="Y51" i="31" s="1"/>
  <c r="Y8" i="31" s="1"/>
  <c r="Y10" i="30" s="1"/>
  <c r="T40" i="31"/>
  <c r="T51" i="31" s="1"/>
  <c r="T8" i="31" s="1"/>
  <c r="C40" i="31"/>
  <c r="C51" i="31" s="1"/>
  <c r="C8" i="31" s="1"/>
  <c r="C10" i="30" s="1"/>
  <c r="N40" i="31"/>
  <c r="N51" i="31" s="1"/>
  <c r="N8" i="31" s="1"/>
  <c r="N10" i="30" s="1"/>
  <c r="M40" i="31"/>
  <c r="M51" i="31" s="1"/>
  <c r="M8" i="31" s="1"/>
  <c r="M10" i="30" s="1"/>
  <c r="U40" i="31"/>
  <c r="U51" i="31" s="1"/>
  <c r="U8" i="31" s="1"/>
  <c r="U10" i="30" s="1"/>
  <c r="K40" i="31"/>
  <c r="K51" i="31" s="1"/>
  <c r="K8" i="31" s="1"/>
  <c r="K10" i="30" s="1"/>
  <c r="I40" i="31"/>
  <c r="I51" i="31" s="1"/>
  <c r="I8" i="31" s="1"/>
  <c r="I10" i="30" s="1"/>
  <c r="H40" i="31"/>
  <c r="H51" i="31" s="1"/>
  <c r="H8" i="31" s="1"/>
  <c r="H10" i="30" s="1"/>
  <c r="J40" i="31"/>
  <c r="J51" i="31" s="1"/>
  <c r="J8" i="31" s="1"/>
  <c r="J10" i="30" s="1"/>
  <c r="X40" i="31"/>
  <c r="X51" i="31" s="1"/>
  <c r="X8" i="31" s="1"/>
  <c r="X10" i="30" s="1"/>
  <c r="G40" i="31"/>
  <c r="G51" i="31" s="1"/>
  <c r="G8" i="31" s="1"/>
  <c r="G10" i="30" s="1"/>
  <c r="R40" i="31"/>
  <c r="R51" i="31" s="1"/>
  <c r="R8" i="31" s="1"/>
  <c r="R10" i="30" s="1"/>
  <c r="V40" i="31"/>
  <c r="V51" i="31" s="1"/>
  <c r="V8" i="31" s="1"/>
  <c r="V10" i="30" s="1"/>
  <c r="Z40" i="31"/>
  <c r="Z51" i="31" s="1"/>
  <c r="Z8" i="31" s="1"/>
  <c r="Z10" i="30" s="1"/>
  <c r="P40" i="31"/>
  <c r="P51" i="31" s="1"/>
  <c r="P8" i="31" s="1"/>
  <c r="P10" i="30" s="1"/>
  <c r="W40" i="31"/>
  <c r="W51" i="31" s="1"/>
  <c r="W8" i="31" s="1"/>
  <c r="W10" i="30" s="1"/>
  <c r="E40" i="31"/>
  <c r="E51" i="31" s="1"/>
  <c r="E8" i="31" s="1"/>
  <c r="E10" i="30" s="1"/>
  <c r="L40" i="31"/>
  <c r="L51" i="31" s="1"/>
  <c r="L8" i="31" s="1"/>
  <c r="O40" i="31"/>
  <c r="O51" i="31" s="1"/>
  <c r="O8" i="31" s="1"/>
  <c r="O10" i="30" s="1"/>
  <c r="B51" i="31"/>
  <c r="B8" i="31" s="1"/>
  <c r="B10" i="30" s="1"/>
  <c r="F40" i="31"/>
  <c r="F51" i="31" s="1"/>
  <c r="F8" i="31" s="1"/>
  <c r="F10" i="30" s="1"/>
  <c r="D40" i="31"/>
  <c r="D51" i="31" s="1"/>
  <c r="D8" i="31" s="1"/>
  <c r="Q40" i="31"/>
  <c r="Q51" i="31" s="1"/>
  <c r="Q8" i="31" s="1"/>
  <c r="Q10" i="30" s="1"/>
  <c r="S40" i="31"/>
  <c r="S51" i="31" s="1"/>
  <c r="S8" i="31" s="1"/>
  <c r="S10" i="30" s="1"/>
  <c r="W38" i="11"/>
  <c r="E38" i="11"/>
  <c r="E46" i="11" s="1"/>
  <c r="R38" i="11"/>
  <c r="U38" i="11"/>
  <c r="N38" i="11"/>
  <c r="P38" i="11"/>
  <c r="B37" i="10"/>
  <c r="B40" i="10" s="1"/>
  <c r="Z38" i="11"/>
  <c r="F38" i="11"/>
  <c r="F46" i="11" s="1"/>
  <c r="Q38" i="11"/>
  <c r="H38" i="11"/>
  <c r="I38" i="11"/>
  <c r="T38" i="11"/>
  <c r="J38" i="11"/>
  <c r="D38" i="11"/>
  <c r="D46" i="11" s="1"/>
  <c r="S38" i="11"/>
  <c r="M38" i="11"/>
  <c r="AA38" i="11"/>
  <c r="C38" i="11"/>
  <c r="C46" i="11" s="1"/>
  <c r="K38" i="11"/>
  <c r="Y38" i="11"/>
  <c r="V38" i="11"/>
  <c r="B38" i="11"/>
  <c r="B46" i="11" s="1"/>
  <c r="O38" i="11"/>
  <c r="G38" i="11"/>
  <c r="G46" i="11" s="1"/>
  <c r="B77" i="11"/>
  <c r="C77" i="11"/>
  <c r="D77" i="11"/>
  <c r="O77" i="11"/>
  <c r="H77" i="11"/>
  <c r="C81" i="25"/>
  <c r="B84" i="25"/>
  <c r="AA77" i="11"/>
  <c r="T77" i="11"/>
  <c r="S77" i="11"/>
  <c r="Z77" i="11"/>
  <c r="F77" i="11"/>
  <c r="I77" i="11"/>
  <c r="N77" i="11"/>
  <c r="P38" i="22"/>
  <c r="P47" i="22" s="1"/>
  <c r="E38" i="22"/>
  <c r="E47" i="22" s="1"/>
  <c r="J38" i="22"/>
  <c r="J47" i="22" s="1"/>
  <c r="L38" i="22"/>
  <c r="L47" i="22" s="1"/>
  <c r="X38" i="22"/>
  <c r="X47" i="22" s="1"/>
  <c r="D38" i="22"/>
  <c r="D47" i="22" s="1"/>
  <c r="C38" i="22"/>
  <c r="C47" i="22" s="1"/>
  <c r="G38" i="22"/>
  <c r="G47" i="22" s="1"/>
  <c r="Y38" i="22"/>
  <c r="Y47" i="22" s="1"/>
  <c r="AA38" i="22"/>
  <c r="AA47" i="22" s="1"/>
  <c r="R38" i="22"/>
  <c r="R47" i="22" s="1"/>
  <c r="K38" i="22"/>
  <c r="K47" i="22" s="1"/>
  <c r="F38" i="22"/>
  <c r="F47" i="22" s="1"/>
  <c r="O38" i="22"/>
  <c r="O47" i="22" s="1"/>
  <c r="T38" i="22"/>
  <c r="T47" i="22" s="1"/>
  <c r="M38" i="22"/>
  <c r="M47" i="22" s="1"/>
  <c r="H38" i="22"/>
  <c r="H47" i="22" s="1"/>
  <c r="Z38" i="22"/>
  <c r="Z47" i="22" s="1"/>
  <c r="B38" i="22"/>
  <c r="B47" i="22" s="1"/>
  <c r="W38" i="22"/>
  <c r="W47" i="22" s="1"/>
  <c r="S38" i="22"/>
  <c r="S47" i="22" s="1"/>
  <c r="U38" i="22"/>
  <c r="U47" i="22" s="1"/>
  <c r="V38" i="22"/>
  <c r="V47" i="22" s="1"/>
  <c r="N38" i="22"/>
  <c r="N47" i="22" s="1"/>
  <c r="I38" i="22"/>
  <c r="I47" i="22" s="1"/>
  <c r="Q38" i="22"/>
  <c r="Q47" i="22" s="1"/>
  <c r="P77" i="11"/>
  <c r="U77" i="11"/>
  <c r="G77" i="11"/>
  <c r="K77" i="11"/>
  <c r="W77" i="11"/>
  <c r="Q77" i="11"/>
  <c r="V77" i="11"/>
  <c r="I84" i="21"/>
  <c r="I87" i="21" s="1"/>
  <c r="W84" i="21"/>
  <c r="W87" i="21" s="1"/>
  <c r="S84" i="21"/>
  <c r="S87" i="21" s="1"/>
  <c r="E84" i="21"/>
  <c r="E87" i="21" s="1"/>
  <c r="D84" i="21"/>
  <c r="D87" i="21" s="1"/>
  <c r="G84" i="21"/>
  <c r="G87" i="21" s="1"/>
  <c r="F84" i="21"/>
  <c r="F87" i="21" s="1"/>
  <c r="AA84" i="21"/>
  <c r="Y84" i="21"/>
  <c r="U84" i="21"/>
  <c r="U87" i="21" s="1"/>
  <c r="Z84" i="21"/>
  <c r="C84" i="21"/>
  <c r="C87" i="21" s="1"/>
  <c r="M84" i="21"/>
  <c r="M87" i="21" s="1"/>
  <c r="T84" i="21"/>
  <c r="T87" i="21" s="1"/>
  <c r="K84" i="21"/>
  <c r="K87" i="21" s="1"/>
  <c r="V84" i="21"/>
  <c r="V87" i="21" s="1"/>
  <c r="R84" i="21"/>
  <c r="R87" i="21" s="1"/>
  <c r="J84" i="21"/>
  <c r="J87" i="21" s="1"/>
  <c r="N84" i="21"/>
  <c r="N87" i="21" s="1"/>
  <c r="Q84" i="21"/>
  <c r="Q87" i="21" s="1"/>
  <c r="L84" i="21"/>
  <c r="L87" i="21" s="1"/>
  <c r="H84" i="21"/>
  <c r="H87" i="21" s="1"/>
  <c r="O84" i="21"/>
  <c r="O87" i="21" s="1"/>
  <c r="X84" i="21"/>
  <c r="X87" i="21" s="1"/>
  <c r="P84" i="21"/>
  <c r="P87" i="21" s="1"/>
  <c r="B87" i="21"/>
  <c r="L39" i="21"/>
  <c r="L50" i="21" s="1"/>
  <c r="Q39" i="21"/>
  <c r="Q50" i="21" s="1"/>
  <c r="S39" i="21"/>
  <c r="S50" i="21" s="1"/>
  <c r="W39" i="21"/>
  <c r="W50" i="21" s="1"/>
  <c r="X39" i="21"/>
  <c r="X50" i="21" s="1"/>
  <c r="Y39" i="21"/>
  <c r="Y50" i="21" s="1"/>
  <c r="Z39" i="21"/>
  <c r="Z50" i="21" s="1"/>
  <c r="B50" i="21"/>
  <c r="T39" i="21"/>
  <c r="T50" i="21" s="1"/>
  <c r="V39" i="21"/>
  <c r="V50" i="21" s="1"/>
  <c r="M39" i="21"/>
  <c r="M50" i="21" s="1"/>
  <c r="N39" i="21"/>
  <c r="N50" i="21" s="1"/>
  <c r="O39" i="21"/>
  <c r="O50" i="21" s="1"/>
  <c r="I39" i="21"/>
  <c r="I50" i="21" s="1"/>
  <c r="U39" i="21"/>
  <c r="U50" i="21" s="1"/>
  <c r="H39" i="21"/>
  <c r="H50" i="21" s="1"/>
  <c r="D39" i="21"/>
  <c r="D50" i="21" s="1"/>
  <c r="AA39" i="21"/>
  <c r="AA50" i="21" s="1"/>
  <c r="R39" i="21"/>
  <c r="R50" i="21" s="1"/>
  <c r="C39" i="21"/>
  <c r="C50" i="21" s="1"/>
  <c r="J39" i="21"/>
  <c r="J50" i="21" s="1"/>
  <c r="K39" i="21"/>
  <c r="K50" i="21" s="1"/>
  <c r="E39" i="21"/>
  <c r="E50" i="21" s="1"/>
  <c r="F39" i="21"/>
  <c r="F50" i="21" s="1"/>
  <c r="P39" i="21"/>
  <c r="P50" i="21" s="1"/>
  <c r="G39" i="21"/>
  <c r="G50" i="21" s="1"/>
  <c r="R77" i="11"/>
  <c r="J77" i="11"/>
  <c r="X77" i="11"/>
  <c r="M77" i="11"/>
  <c r="L77" i="11"/>
  <c r="R80" i="22"/>
  <c r="R83" i="22" s="1"/>
  <c r="O80" i="22"/>
  <c r="O83" i="22" s="1"/>
  <c r="H80" i="22"/>
  <c r="H83" i="22" s="1"/>
  <c r="F80" i="22"/>
  <c r="F83" i="22" s="1"/>
  <c r="W80" i="22"/>
  <c r="W83" i="22" s="1"/>
  <c r="I80" i="22"/>
  <c r="I83" i="22" s="1"/>
  <c r="AA80" i="22"/>
  <c r="C80" i="22"/>
  <c r="C83" i="22" s="1"/>
  <c r="D80" i="22"/>
  <c r="D83" i="22" s="1"/>
  <c r="Q80" i="22"/>
  <c r="Q83" i="22" s="1"/>
  <c r="N80" i="22"/>
  <c r="N83" i="22" s="1"/>
  <c r="J80" i="22"/>
  <c r="J83" i="22" s="1"/>
  <c r="P80" i="22"/>
  <c r="P83" i="22" s="1"/>
  <c r="X80" i="22"/>
  <c r="X83" i="22" s="1"/>
  <c r="E80" i="22"/>
  <c r="E83" i="22" s="1"/>
  <c r="B80" i="22"/>
  <c r="B83" i="22" s="1"/>
  <c r="U80" i="22"/>
  <c r="U83" i="22" s="1"/>
  <c r="Y80" i="22"/>
  <c r="T80" i="22"/>
  <c r="T83" i="22" s="1"/>
  <c r="K80" i="22"/>
  <c r="K83" i="22" s="1"/>
  <c r="G80" i="22"/>
  <c r="G83" i="22" s="1"/>
  <c r="Z80" i="22"/>
  <c r="S80" i="22"/>
  <c r="S83" i="22" s="1"/>
  <c r="M80" i="22"/>
  <c r="M83" i="22" s="1"/>
  <c r="V80" i="22"/>
  <c r="V83" i="22" s="1"/>
  <c r="L80" i="22"/>
  <c r="L83" i="22" s="1"/>
  <c r="G39" i="25"/>
  <c r="G48" i="25" s="1"/>
  <c r="N39" i="25"/>
  <c r="N48" i="25" s="1"/>
  <c r="C39" i="25"/>
  <c r="C48" i="25" s="1"/>
  <c r="T39" i="25"/>
  <c r="T48" i="25" s="1"/>
  <c r="Y39" i="25"/>
  <c r="Y48" i="25" s="1"/>
  <c r="K39" i="25"/>
  <c r="K48" i="25" s="1"/>
  <c r="Q39" i="25"/>
  <c r="Q48" i="25" s="1"/>
  <c r="E39" i="25"/>
  <c r="E48" i="25" s="1"/>
  <c r="F39" i="25"/>
  <c r="F48" i="25" s="1"/>
  <c r="J39" i="25"/>
  <c r="J48" i="25" s="1"/>
  <c r="R39" i="25"/>
  <c r="R48" i="25" s="1"/>
  <c r="W39" i="25"/>
  <c r="W48" i="25" s="1"/>
  <c r="H39" i="25"/>
  <c r="H48" i="25" s="1"/>
  <c r="S39" i="25"/>
  <c r="S48" i="25" s="1"/>
  <c r="M39" i="25"/>
  <c r="M48" i="25" s="1"/>
  <c r="Z39" i="25"/>
  <c r="Z48" i="25" s="1"/>
  <c r="AA39" i="25"/>
  <c r="AA48" i="25" s="1"/>
  <c r="L39" i="25"/>
  <c r="L48" i="25" s="1"/>
  <c r="X39" i="25"/>
  <c r="X48" i="25" s="1"/>
  <c r="O39" i="25"/>
  <c r="O48" i="25" s="1"/>
  <c r="I39" i="25"/>
  <c r="I48" i="25" s="1"/>
  <c r="D39" i="25"/>
  <c r="D48" i="25" s="1"/>
  <c r="U39" i="25"/>
  <c r="U48" i="25" s="1"/>
  <c r="P39" i="25"/>
  <c r="P48" i="25" s="1"/>
  <c r="V39" i="25"/>
  <c r="V48" i="25" s="1"/>
  <c r="B48" i="25"/>
  <c r="T22" i="30"/>
  <c r="V8" i="32"/>
  <c r="AA67" i="11"/>
  <c r="V67" i="11"/>
  <c r="P67" i="11"/>
  <c r="K67" i="11"/>
  <c r="E67" i="11"/>
  <c r="W67" i="11"/>
  <c r="R67" i="11"/>
  <c r="L67" i="11"/>
  <c r="F67" i="11"/>
  <c r="H67" i="11"/>
  <c r="Q67" i="11"/>
  <c r="G67" i="11"/>
  <c r="O67" i="11"/>
  <c r="M67" i="11"/>
  <c r="N67" i="11"/>
  <c r="T67" i="11"/>
  <c r="U67" i="11"/>
  <c r="X67" i="11"/>
  <c r="Y67" i="11"/>
  <c r="I67" i="11"/>
  <c r="S67" i="11"/>
  <c r="C67" i="11"/>
  <c r="Z67" i="11"/>
  <c r="D67" i="11"/>
  <c r="B67" i="11"/>
  <c r="J67" i="11"/>
  <c r="AA29" i="13"/>
  <c r="K29" i="13"/>
  <c r="S29" i="13"/>
  <c r="V29" i="13"/>
  <c r="E29" i="13"/>
  <c r="Y29" i="13"/>
  <c r="I29" i="13"/>
  <c r="L29" i="13"/>
  <c r="W29" i="13"/>
  <c r="O29" i="13"/>
  <c r="Z29" i="13"/>
  <c r="M29" i="13"/>
  <c r="P29" i="13"/>
  <c r="F29" i="13"/>
  <c r="R29" i="13"/>
  <c r="G29" i="13"/>
  <c r="U29" i="13"/>
  <c r="D29" i="13"/>
  <c r="X29" i="13"/>
  <c r="H29" i="13"/>
  <c r="B29" i="13"/>
  <c r="B32" i="13" s="1"/>
  <c r="B13" i="13" s="1"/>
  <c r="N29" i="13"/>
  <c r="Q29" i="13"/>
  <c r="T29" i="13"/>
  <c r="C29" i="13"/>
  <c r="J29" i="13"/>
  <c r="T91" i="11"/>
  <c r="L91" i="11"/>
  <c r="C91" i="11"/>
  <c r="W91" i="11"/>
  <c r="O91" i="11"/>
  <c r="F91" i="11"/>
  <c r="R91" i="11"/>
  <c r="H91" i="11"/>
  <c r="M91" i="11"/>
  <c r="G91" i="11"/>
  <c r="S91" i="11"/>
  <c r="N91" i="11"/>
  <c r="Y91" i="11"/>
  <c r="I91" i="11"/>
  <c r="P91" i="11"/>
  <c r="AA91" i="11"/>
  <c r="V91" i="11"/>
  <c r="K91" i="11"/>
  <c r="Z91" i="11"/>
  <c r="J91" i="11"/>
  <c r="U91" i="11"/>
  <c r="D91" i="11"/>
  <c r="X91" i="11"/>
  <c r="B91" i="11"/>
  <c r="E91" i="11"/>
  <c r="Q91" i="11"/>
  <c r="R151" i="31"/>
  <c r="Q186" i="31"/>
  <c r="W139" i="31"/>
  <c r="V154" i="31"/>
  <c r="V189" i="31"/>
  <c r="W185" i="31"/>
  <c r="U127" i="31"/>
  <c r="V114" i="31"/>
  <c r="G98" i="7"/>
  <c r="F98" i="7"/>
  <c r="AA57" i="25"/>
  <c r="AA59" i="25" s="1"/>
  <c r="AA61" i="25" s="1"/>
  <c r="Z59" i="25"/>
  <c r="Z61" i="25" s="1"/>
  <c r="U28" i="25"/>
  <c r="T47" i="25"/>
  <c r="V28" i="23"/>
  <c r="W10" i="23"/>
  <c r="AA13" i="20"/>
  <c r="AA11" i="21"/>
  <c r="T83" i="25"/>
  <c r="U58" i="25"/>
  <c r="T158" i="21"/>
  <c r="U92" i="25"/>
  <c r="T115" i="25"/>
  <c r="W10" i="24"/>
  <c r="V31" i="24"/>
  <c r="Y126" i="25"/>
  <c r="X138" i="25"/>
  <c r="U60" i="21"/>
  <c r="T86" i="21"/>
  <c r="U146" i="25"/>
  <c r="T150" i="25"/>
  <c r="X161" i="21"/>
  <c r="Y146" i="21"/>
  <c r="Y27" i="22"/>
  <c r="X46" i="22"/>
  <c r="W111" i="21"/>
  <c r="X96" i="21"/>
  <c r="V68" i="25"/>
  <c r="U70" i="25"/>
  <c r="Y60" i="22"/>
  <c r="Z59" i="21"/>
  <c r="Y61" i="21"/>
  <c r="Y63" i="21" s="1"/>
  <c r="AA122" i="21"/>
  <c r="AA135" i="21" s="1"/>
  <c r="Z135" i="21"/>
  <c r="X116" i="25"/>
  <c r="Y112" i="25"/>
  <c r="Z11" i="21"/>
  <c r="Z13" i="20"/>
  <c r="V57" i="22"/>
  <c r="U82" i="22"/>
  <c r="U96" i="22" s="1"/>
  <c r="AA56" i="22"/>
  <c r="C154" i="14"/>
  <c r="D154" i="14" s="1"/>
  <c r="E154" i="14" s="1"/>
  <c r="F154" i="14" s="1"/>
  <c r="G154" i="14" s="1"/>
  <c r="H154" i="14" s="1"/>
  <c r="I154" i="14" s="1"/>
  <c r="J154" i="14" s="1"/>
  <c r="K154" i="14" s="1"/>
  <c r="L154" i="14" s="1"/>
  <c r="M154" i="14" s="1"/>
  <c r="N154" i="14" s="1"/>
  <c r="O154" i="14" s="1"/>
  <c r="P154" i="14" s="1"/>
  <c r="Q154" i="14" s="1"/>
  <c r="R154" i="14" s="1"/>
  <c r="S154" i="14" s="1"/>
  <c r="T154" i="14" s="1"/>
  <c r="U154" i="14" s="1"/>
  <c r="V154" i="14" s="1"/>
  <c r="W154" i="14" s="1"/>
  <c r="X154" i="14" s="1"/>
  <c r="Y154" i="14" s="1"/>
  <c r="Z154" i="14" s="1"/>
  <c r="AA154" i="14" s="1"/>
  <c r="C153" i="14"/>
  <c r="D153" i="14" s="1"/>
  <c r="E153" i="14" s="1"/>
  <c r="F153" i="14" s="1"/>
  <c r="G153" i="14" s="1"/>
  <c r="H153" i="14" s="1"/>
  <c r="I153" i="14" s="1"/>
  <c r="J153" i="14" s="1"/>
  <c r="K153" i="14" s="1"/>
  <c r="L153" i="14" s="1"/>
  <c r="M153" i="14" s="1"/>
  <c r="N153" i="14" s="1"/>
  <c r="O153" i="14" s="1"/>
  <c r="P153" i="14" s="1"/>
  <c r="Q153" i="14" s="1"/>
  <c r="R153" i="14" s="1"/>
  <c r="S153" i="14" s="1"/>
  <c r="T153" i="14" s="1"/>
  <c r="U153" i="14" s="1"/>
  <c r="V153" i="14" s="1"/>
  <c r="W153" i="14" s="1"/>
  <c r="X153" i="14" s="1"/>
  <c r="Y153" i="14" s="1"/>
  <c r="Z153" i="14" s="1"/>
  <c r="AA153" i="14" s="1"/>
  <c r="B143" i="14"/>
  <c r="B133" i="14"/>
  <c r="AA105" i="14"/>
  <c r="Z105" i="14"/>
  <c r="Y105" i="14"/>
  <c r="X105" i="14"/>
  <c r="W105" i="14"/>
  <c r="V105" i="14"/>
  <c r="U105" i="14"/>
  <c r="T105" i="14"/>
  <c r="S105" i="14"/>
  <c r="R105" i="14"/>
  <c r="Q105" i="14"/>
  <c r="P105" i="14"/>
  <c r="O105" i="14"/>
  <c r="N105" i="14"/>
  <c r="M105" i="14"/>
  <c r="L105" i="14"/>
  <c r="K105" i="14"/>
  <c r="J105" i="14"/>
  <c r="I105" i="14"/>
  <c r="H105" i="14"/>
  <c r="G105" i="14"/>
  <c r="F105" i="14"/>
  <c r="E105" i="14"/>
  <c r="D105" i="14"/>
  <c r="C105" i="14"/>
  <c r="B105" i="14"/>
  <c r="C103" i="14"/>
  <c r="D103" i="14" s="1"/>
  <c r="E103" i="14" s="1"/>
  <c r="F103" i="14" s="1"/>
  <c r="G103" i="14" s="1"/>
  <c r="H103" i="14" s="1"/>
  <c r="I103" i="14" s="1"/>
  <c r="J103" i="14" s="1"/>
  <c r="K103" i="14" s="1"/>
  <c r="L103" i="14" s="1"/>
  <c r="M103" i="14" s="1"/>
  <c r="N103" i="14" s="1"/>
  <c r="O103" i="14" s="1"/>
  <c r="P103" i="14" s="1"/>
  <c r="Q103" i="14" s="1"/>
  <c r="R103" i="14" s="1"/>
  <c r="S103" i="14" s="1"/>
  <c r="T103" i="14" s="1"/>
  <c r="U103" i="14" s="1"/>
  <c r="V103" i="14" s="1"/>
  <c r="W103" i="14" s="1"/>
  <c r="X103" i="14" s="1"/>
  <c r="Y103" i="14" s="1"/>
  <c r="Z103" i="14" s="1"/>
  <c r="AA103" i="14" s="1"/>
  <c r="C102" i="14"/>
  <c r="D102" i="14" s="1"/>
  <c r="E102" i="14" s="1"/>
  <c r="F102" i="14" s="1"/>
  <c r="G102" i="14" s="1"/>
  <c r="H102" i="14" s="1"/>
  <c r="I102" i="14" s="1"/>
  <c r="J102" i="14" s="1"/>
  <c r="K102" i="14" s="1"/>
  <c r="L102" i="14" s="1"/>
  <c r="M102" i="14" s="1"/>
  <c r="N102" i="14" s="1"/>
  <c r="O102" i="14" s="1"/>
  <c r="P102" i="14" s="1"/>
  <c r="Q102" i="14" s="1"/>
  <c r="R102" i="14" s="1"/>
  <c r="S102" i="14" s="1"/>
  <c r="T102" i="14" s="1"/>
  <c r="U102" i="14" s="1"/>
  <c r="V102" i="14" s="1"/>
  <c r="W102" i="14" s="1"/>
  <c r="X102" i="14" s="1"/>
  <c r="Y102" i="14" s="1"/>
  <c r="Z102" i="14" s="1"/>
  <c r="AA102" i="14" s="1"/>
  <c r="C167" i="14"/>
  <c r="D167" i="14" s="1"/>
  <c r="E167" i="14" s="1"/>
  <c r="F167" i="14" s="1"/>
  <c r="G167" i="14" s="1"/>
  <c r="H167" i="14" s="1"/>
  <c r="I167" i="14" s="1"/>
  <c r="J167" i="14" s="1"/>
  <c r="K167" i="14" s="1"/>
  <c r="L167" i="14" s="1"/>
  <c r="M167" i="14" s="1"/>
  <c r="N167" i="14" s="1"/>
  <c r="O167" i="14" s="1"/>
  <c r="P167" i="14" s="1"/>
  <c r="Q167" i="14" s="1"/>
  <c r="R167" i="14" s="1"/>
  <c r="S167" i="14" s="1"/>
  <c r="T167" i="14" s="1"/>
  <c r="U167" i="14" s="1"/>
  <c r="V167" i="14" s="1"/>
  <c r="W167" i="14" s="1"/>
  <c r="X167" i="14" s="1"/>
  <c r="Y167" i="14" s="1"/>
  <c r="Z167" i="14" s="1"/>
  <c r="AA167" i="14" s="1"/>
  <c r="B158" i="14"/>
  <c r="B170" i="14" s="1"/>
  <c r="B145" i="14"/>
  <c r="C142" i="14"/>
  <c r="D142" i="14" s="1"/>
  <c r="E142" i="14" s="1"/>
  <c r="F142" i="14" s="1"/>
  <c r="G142" i="14" s="1"/>
  <c r="H142" i="14" s="1"/>
  <c r="I142" i="14" s="1"/>
  <c r="J142" i="14" s="1"/>
  <c r="K142" i="14" s="1"/>
  <c r="L142" i="14" s="1"/>
  <c r="M142" i="14" s="1"/>
  <c r="N142" i="14" s="1"/>
  <c r="O142" i="14" s="1"/>
  <c r="P142" i="14" s="1"/>
  <c r="Q142" i="14" s="1"/>
  <c r="R142" i="14" s="1"/>
  <c r="S142" i="14" s="1"/>
  <c r="T142" i="14" s="1"/>
  <c r="U142" i="14" s="1"/>
  <c r="V142" i="14" s="1"/>
  <c r="W142" i="14" s="1"/>
  <c r="X142" i="14" s="1"/>
  <c r="Y142" i="14" s="1"/>
  <c r="Z142" i="14" s="1"/>
  <c r="AA142" i="14" s="1"/>
  <c r="C141" i="14"/>
  <c r="C132" i="14"/>
  <c r="C145" i="14" s="1"/>
  <c r="C131" i="14"/>
  <c r="D131" i="14" s="1"/>
  <c r="E131" i="14" s="1"/>
  <c r="F131" i="14" s="1"/>
  <c r="G131" i="14" s="1"/>
  <c r="H131" i="14" s="1"/>
  <c r="I131" i="14" s="1"/>
  <c r="J131" i="14" s="1"/>
  <c r="K131" i="14" s="1"/>
  <c r="L131" i="14" s="1"/>
  <c r="M131" i="14" s="1"/>
  <c r="N131" i="14" s="1"/>
  <c r="O131" i="14" s="1"/>
  <c r="P131" i="14" s="1"/>
  <c r="Q131" i="14" s="1"/>
  <c r="R131" i="14" s="1"/>
  <c r="S131" i="14" s="1"/>
  <c r="T131" i="14" s="1"/>
  <c r="U131" i="14" s="1"/>
  <c r="V131" i="14" s="1"/>
  <c r="W131" i="14" s="1"/>
  <c r="X131" i="14" s="1"/>
  <c r="Y131" i="14" s="1"/>
  <c r="Z131" i="14" s="1"/>
  <c r="AA131" i="14" s="1"/>
  <c r="B120" i="14"/>
  <c r="C116" i="14"/>
  <c r="D116" i="14" s="1"/>
  <c r="E116" i="14" s="1"/>
  <c r="F116" i="14" s="1"/>
  <c r="G116" i="14" s="1"/>
  <c r="H116" i="14" s="1"/>
  <c r="I116" i="14" s="1"/>
  <c r="J116" i="14" s="1"/>
  <c r="K116" i="14" s="1"/>
  <c r="L116" i="14" s="1"/>
  <c r="M116" i="14" s="1"/>
  <c r="N116" i="14" s="1"/>
  <c r="O116" i="14" s="1"/>
  <c r="P116" i="14" s="1"/>
  <c r="Q116" i="14" s="1"/>
  <c r="R116" i="14" s="1"/>
  <c r="S116" i="14" s="1"/>
  <c r="T116" i="14" s="1"/>
  <c r="U116" i="14" s="1"/>
  <c r="V116" i="14" s="1"/>
  <c r="W116" i="14" s="1"/>
  <c r="X116" i="14" s="1"/>
  <c r="Y116" i="14" s="1"/>
  <c r="Z116" i="14" s="1"/>
  <c r="AA116" i="14" s="1"/>
  <c r="C115" i="14"/>
  <c r="D115" i="14" s="1"/>
  <c r="E115" i="14" s="1"/>
  <c r="F115" i="14" s="1"/>
  <c r="G115" i="14" s="1"/>
  <c r="H115" i="14" s="1"/>
  <c r="I115" i="14" s="1"/>
  <c r="J115" i="14" s="1"/>
  <c r="K115" i="14" s="1"/>
  <c r="L115" i="14" s="1"/>
  <c r="M115" i="14" s="1"/>
  <c r="N115" i="14" s="1"/>
  <c r="O115" i="14" s="1"/>
  <c r="P115" i="14" s="1"/>
  <c r="Q115" i="14" s="1"/>
  <c r="R115" i="14" s="1"/>
  <c r="S115" i="14" s="1"/>
  <c r="T115" i="14" s="1"/>
  <c r="U115" i="14" s="1"/>
  <c r="V115" i="14" s="1"/>
  <c r="W115" i="14" s="1"/>
  <c r="X115" i="14" s="1"/>
  <c r="Y115" i="14" s="1"/>
  <c r="Z115" i="14" s="1"/>
  <c r="AA115" i="14" s="1"/>
  <c r="C95" i="14"/>
  <c r="C120" i="14" s="1"/>
  <c r="C94" i="14"/>
  <c r="D94" i="14" s="1"/>
  <c r="E94" i="14" s="1"/>
  <c r="F94" i="14" s="1"/>
  <c r="G94" i="14" s="1"/>
  <c r="H94" i="14" s="1"/>
  <c r="I94" i="14" s="1"/>
  <c r="J94" i="14" s="1"/>
  <c r="K94" i="14" s="1"/>
  <c r="L94" i="14" s="1"/>
  <c r="M94" i="14" s="1"/>
  <c r="N94" i="14" s="1"/>
  <c r="O94" i="14" s="1"/>
  <c r="P94" i="14" s="1"/>
  <c r="Q94" i="14" s="1"/>
  <c r="R94" i="14" s="1"/>
  <c r="S94" i="14" s="1"/>
  <c r="T94" i="14" s="1"/>
  <c r="U94" i="14" s="1"/>
  <c r="V94" i="14" s="1"/>
  <c r="W94" i="14" s="1"/>
  <c r="X94" i="14" s="1"/>
  <c r="Y94" i="14" s="1"/>
  <c r="Z94" i="14" s="1"/>
  <c r="AA94" i="14" s="1"/>
  <c r="B85" i="14"/>
  <c r="C82" i="14"/>
  <c r="D82" i="14" s="1"/>
  <c r="E82" i="14" s="1"/>
  <c r="F82" i="14" s="1"/>
  <c r="G82" i="14" s="1"/>
  <c r="H82" i="14" s="1"/>
  <c r="I82" i="14" s="1"/>
  <c r="J82" i="14" s="1"/>
  <c r="K82" i="14" s="1"/>
  <c r="L82" i="14" s="1"/>
  <c r="M82" i="14" s="1"/>
  <c r="N82" i="14" s="1"/>
  <c r="O82" i="14" s="1"/>
  <c r="P82" i="14" s="1"/>
  <c r="Q82" i="14" s="1"/>
  <c r="R82" i="14" s="1"/>
  <c r="S82" i="14" s="1"/>
  <c r="T82" i="14" s="1"/>
  <c r="U82" i="14" s="1"/>
  <c r="V82" i="14" s="1"/>
  <c r="W82" i="14" s="1"/>
  <c r="X82" i="14" s="1"/>
  <c r="Y82" i="14" s="1"/>
  <c r="Z82" i="14" s="1"/>
  <c r="AA82" i="14" s="1"/>
  <c r="C81" i="14"/>
  <c r="D81" i="14" s="1"/>
  <c r="E81" i="14" s="1"/>
  <c r="F81" i="14" s="1"/>
  <c r="G81" i="14" s="1"/>
  <c r="H81" i="14" s="1"/>
  <c r="I81" i="14" s="1"/>
  <c r="J81" i="14" s="1"/>
  <c r="K81" i="14" s="1"/>
  <c r="L81" i="14" s="1"/>
  <c r="M81" i="14" s="1"/>
  <c r="N81" i="14" s="1"/>
  <c r="O81" i="14" s="1"/>
  <c r="P81" i="14" s="1"/>
  <c r="Q81" i="14" s="1"/>
  <c r="R81" i="14" s="1"/>
  <c r="S81" i="14" s="1"/>
  <c r="T81" i="14" s="1"/>
  <c r="U81" i="14" s="1"/>
  <c r="V81" i="14" s="1"/>
  <c r="W81" i="14" s="1"/>
  <c r="X81" i="14" s="1"/>
  <c r="Y81" i="14" s="1"/>
  <c r="Z81" i="14" s="1"/>
  <c r="AA81" i="14" s="1"/>
  <c r="B72" i="14"/>
  <c r="C71" i="14"/>
  <c r="D71" i="14" s="1"/>
  <c r="E71" i="14" s="1"/>
  <c r="F71" i="14" s="1"/>
  <c r="G71" i="14" s="1"/>
  <c r="H71" i="14" s="1"/>
  <c r="I71" i="14" s="1"/>
  <c r="J71" i="14" s="1"/>
  <c r="K71" i="14" s="1"/>
  <c r="L71" i="14" s="1"/>
  <c r="M71" i="14" s="1"/>
  <c r="N71" i="14" s="1"/>
  <c r="O71" i="14" s="1"/>
  <c r="P71" i="14" s="1"/>
  <c r="Q71" i="14" s="1"/>
  <c r="R71" i="14" s="1"/>
  <c r="S71" i="14" s="1"/>
  <c r="T71" i="14" s="1"/>
  <c r="U71" i="14" s="1"/>
  <c r="V71" i="14" s="1"/>
  <c r="W71" i="14" s="1"/>
  <c r="X71" i="14" s="1"/>
  <c r="Y71" i="14" s="1"/>
  <c r="Z71" i="14" s="1"/>
  <c r="AA71" i="14" s="1"/>
  <c r="C70" i="14"/>
  <c r="D70" i="14" s="1"/>
  <c r="E70" i="14" s="1"/>
  <c r="F70" i="14" s="1"/>
  <c r="G70" i="14" s="1"/>
  <c r="H70" i="14" s="1"/>
  <c r="I70" i="14" s="1"/>
  <c r="J70" i="14" s="1"/>
  <c r="K70" i="14" s="1"/>
  <c r="L70" i="14" s="1"/>
  <c r="M70" i="14" s="1"/>
  <c r="N70" i="14" s="1"/>
  <c r="O70" i="14" s="1"/>
  <c r="P70" i="14" s="1"/>
  <c r="Q70" i="14" s="1"/>
  <c r="R70" i="14" s="1"/>
  <c r="S70" i="14" s="1"/>
  <c r="T70" i="14" s="1"/>
  <c r="U70" i="14" s="1"/>
  <c r="V70" i="14" s="1"/>
  <c r="W70" i="14" s="1"/>
  <c r="X70" i="14" s="1"/>
  <c r="Y70" i="14" s="1"/>
  <c r="Z70" i="14" s="1"/>
  <c r="AA70" i="14" s="1"/>
  <c r="C61" i="14"/>
  <c r="C85" i="14" s="1"/>
  <c r="C60" i="14"/>
  <c r="D60" i="14" s="1"/>
  <c r="E60" i="14" s="1"/>
  <c r="F60" i="14" s="1"/>
  <c r="G60" i="14" s="1"/>
  <c r="H60" i="14" s="1"/>
  <c r="I60" i="14" s="1"/>
  <c r="J60" i="14" s="1"/>
  <c r="K60" i="14" s="1"/>
  <c r="L60" i="14" s="1"/>
  <c r="M60" i="14" s="1"/>
  <c r="N60" i="14" s="1"/>
  <c r="O60" i="14" s="1"/>
  <c r="P60" i="14" s="1"/>
  <c r="Q60" i="14" s="1"/>
  <c r="R60" i="14" s="1"/>
  <c r="S60" i="14" s="1"/>
  <c r="T60" i="14" s="1"/>
  <c r="U60" i="14" s="1"/>
  <c r="V60" i="14" s="1"/>
  <c r="W60" i="14" s="1"/>
  <c r="X60" i="14" s="1"/>
  <c r="Y60" i="14" s="1"/>
  <c r="Z60" i="14" s="1"/>
  <c r="AA60" i="14" s="1"/>
  <c r="B50" i="14"/>
  <c r="C40" i="14"/>
  <c r="D40" i="14" s="1"/>
  <c r="E40" i="14" s="1"/>
  <c r="F40" i="14" s="1"/>
  <c r="G40" i="14" s="1"/>
  <c r="H40" i="14" s="1"/>
  <c r="I40" i="14" s="1"/>
  <c r="J40" i="14" s="1"/>
  <c r="K40" i="14" s="1"/>
  <c r="L40" i="14" s="1"/>
  <c r="M40" i="14" s="1"/>
  <c r="N40" i="14" s="1"/>
  <c r="O40" i="14" s="1"/>
  <c r="P40" i="14" s="1"/>
  <c r="Q40" i="14" s="1"/>
  <c r="R40" i="14" s="1"/>
  <c r="S40" i="14" s="1"/>
  <c r="T40" i="14" s="1"/>
  <c r="U40" i="14" s="1"/>
  <c r="V40" i="14" s="1"/>
  <c r="W40" i="14" s="1"/>
  <c r="X40" i="14" s="1"/>
  <c r="Y40" i="14" s="1"/>
  <c r="Z40" i="14" s="1"/>
  <c r="AA40" i="14" s="1"/>
  <c r="C39" i="14"/>
  <c r="B30" i="14"/>
  <c r="C29" i="14"/>
  <c r="C50" i="14" s="1"/>
  <c r="C28" i="14"/>
  <c r="D28" i="14" s="1"/>
  <c r="E28" i="14" s="1"/>
  <c r="F28" i="14" s="1"/>
  <c r="G28" i="14" s="1"/>
  <c r="H28" i="14" s="1"/>
  <c r="I28" i="14" s="1"/>
  <c r="J28" i="14" s="1"/>
  <c r="K28" i="14" s="1"/>
  <c r="L28" i="14" s="1"/>
  <c r="M28" i="14" s="1"/>
  <c r="N28" i="14" s="1"/>
  <c r="O28" i="14" s="1"/>
  <c r="P28" i="14" s="1"/>
  <c r="Q28" i="14" s="1"/>
  <c r="R28" i="14" s="1"/>
  <c r="S28" i="14" s="1"/>
  <c r="T28" i="14" s="1"/>
  <c r="U28" i="14" s="1"/>
  <c r="V28" i="14" s="1"/>
  <c r="W28" i="14" s="1"/>
  <c r="X28" i="14" s="1"/>
  <c r="Y28" i="14" s="1"/>
  <c r="Z28" i="14" s="1"/>
  <c r="AA28" i="14" s="1"/>
  <c r="A2" i="14"/>
  <c r="C28" i="13"/>
  <c r="D28" i="13" s="1"/>
  <c r="E28" i="13" s="1"/>
  <c r="F28" i="13" s="1"/>
  <c r="G28" i="13" s="1"/>
  <c r="H28" i="13" s="1"/>
  <c r="I28" i="13" s="1"/>
  <c r="J28" i="13" s="1"/>
  <c r="K28" i="13" s="1"/>
  <c r="L28" i="13" s="1"/>
  <c r="M28" i="13" s="1"/>
  <c r="N28" i="13" s="1"/>
  <c r="O28" i="13" s="1"/>
  <c r="P28" i="13" s="1"/>
  <c r="Q28" i="13" s="1"/>
  <c r="R28" i="13" s="1"/>
  <c r="S28" i="13" s="1"/>
  <c r="T28" i="13" s="1"/>
  <c r="U28" i="13" s="1"/>
  <c r="V28" i="13" s="1"/>
  <c r="W28" i="13" s="1"/>
  <c r="X28" i="13" s="1"/>
  <c r="Y28" i="13" s="1"/>
  <c r="Z28" i="13" s="1"/>
  <c r="AA28" i="13" s="1"/>
  <c r="C27" i="13"/>
  <c r="A2" i="13"/>
  <c r="B144" i="31" l="1"/>
  <c r="B134" i="31"/>
  <c r="B140" i="31" s="1"/>
  <c r="C140" i="31" s="1"/>
  <c r="D140" i="31" s="1"/>
  <c r="E140" i="31" s="1"/>
  <c r="F140" i="31" s="1"/>
  <c r="G140" i="31" s="1"/>
  <c r="H140" i="31" s="1"/>
  <c r="I140" i="31" s="1"/>
  <c r="J140" i="31" s="1"/>
  <c r="K140" i="31" s="1"/>
  <c r="L140" i="31" s="1"/>
  <c r="M140" i="31" s="1"/>
  <c r="N140" i="31" s="1"/>
  <c r="O140" i="31" s="1"/>
  <c r="P140" i="31" s="1"/>
  <c r="Q140" i="31" s="1"/>
  <c r="R140" i="31" s="1"/>
  <c r="S140" i="31" s="1"/>
  <c r="T140" i="31" s="1"/>
  <c r="U140" i="31" s="1"/>
  <c r="V140" i="31" s="1"/>
  <c r="W140" i="31" s="1"/>
  <c r="X140" i="31" s="1"/>
  <c r="Y140" i="31" s="1"/>
  <c r="Z140" i="31" s="1"/>
  <c r="AA140" i="31" s="1"/>
  <c r="B93" i="31"/>
  <c r="D101" i="31" s="1"/>
  <c r="B151" i="21"/>
  <c r="B157" i="21" s="1"/>
  <c r="B141" i="21"/>
  <c r="B101" i="21"/>
  <c r="B104" i="25"/>
  <c r="B112" i="25" s="1"/>
  <c r="B43" i="20" s="1"/>
  <c r="Q190" i="31"/>
  <c r="Q13" i="31" s="1"/>
  <c r="Q15" i="30" s="1"/>
  <c r="K15" i="30"/>
  <c r="J15" i="30"/>
  <c r="F15" i="30"/>
  <c r="C101" i="31"/>
  <c r="R101" i="31"/>
  <c r="Y101" i="31"/>
  <c r="D10" i="30"/>
  <c r="L10" i="30"/>
  <c r="G15" i="30"/>
  <c r="C15" i="30"/>
  <c r="T10" i="30"/>
  <c r="N15" i="30"/>
  <c r="I15" i="30"/>
  <c r="O15" i="30"/>
  <c r="P15" i="30"/>
  <c r="E15" i="30"/>
  <c r="H15" i="30"/>
  <c r="M15" i="30"/>
  <c r="B15" i="30"/>
  <c r="Q12" i="22"/>
  <c r="Q21" i="20" s="1"/>
  <c r="O12" i="22"/>
  <c r="O21" i="20" s="1"/>
  <c r="E12" i="22"/>
  <c r="Y83" i="22"/>
  <c r="Y12" i="22" s="1"/>
  <c r="V12" i="22"/>
  <c r="B12" i="22"/>
  <c r="B21" i="20" s="1"/>
  <c r="T12" i="22"/>
  <c r="R12" i="22"/>
  <c r="C12" i="22"/>
  <c r="C21" i="20" s="1"/>
  <c r="J12" i="22"/>
  <c r="J21" i="20" s="1"/>
  <c r="U12" i="22"/>
  <c r="D12" i="22"/>
  <c r="I12" i="22"/>
  <c r="S12" i="22"/>
  <c r="H12" i="22"/>
  <c r="F12" i="22"/>
  <c r="X12" i="22"/>
  <c r="P12" i="22"/>
  <c r="N12" i="22"/>
  <c r="W12" i="22"/>
  <c r="M12" i="22"/>
  <c r="K12" i="22"/>
  <c r="G12" i="22"/>
  <c r="L12" i="22"/>
  <c r="Y87" i="21"/>
  <c r="Y11" i="20" s="1"/>
  <c r="X9" i="21"/>
  <c r="U9" i="25"/>
  <c r="U40" i="20"/>
  <c r="X9" i="25"/>
  <c r="X40" i="20"/>
  <c r="M9" i="25"/>
  <c r="M40" i="20"/>
  <c r="R9" i="25"/>
  <c r="R40" i="20"/>
  <c r="Q9" i="25"/>
  <c r="Q40" i="20"/>
  <c r="C40" i="20"/>
  <c r="C9" i="25"/>
  <c r="F8" i="21"/>
  <c r="F10" i="20"/>
  <c r="C10" i="20"/>
  <c r="C8" i="21"/>
  <c r="H8" i="21"/>
  <c r="H10" i="20"/>
  <c r="N10" i="20"/>
  <c r="N8" i="21"/>
  <c r="B8" i="21"/>
  <c r="B10" i="20"/>
  <c r="W8" i="21"/>
  <c r="W10" i="20"/>
  <c r="B9" i="21"/>
  <c r="B11" i="20"/>
  <c r="H11" i="20"/>
  <c r="H9" i="21"/>
  <c r="J11" i="20"/>
  <c r="J9" i="21"/>
  <c r="T11" i="20"/>
  <c r="T9" i="21"/>
  <c r="U11" i="20"/>
  <c r="U9" i="21"/>
  <c r="G11" i="20"/>
  <c r="G9" i="21"/>
  <c r="W11" i="20"/>
  <c r="W9" i="21"/>
  <c r="B9" i="25"/>
  <c r="B40" i="20"/>
  <c r="D9" i="25"/>
  <c r="D40" i="20"/>
  <c r="L9" i="25"/>
  <c r="L40" i="20"/>
  <c r="S9" i="25"/>
  <c r="S40" i="20"/>
  <c r="J40" i="20"/>
  <c r="J9" i="25"/>
  <c r="K9" i="25"/>
  <c r="K40" i="20"/>
  <c r="N9" i="25"/>
  <c r="N40" i="20"/>
  <c r="E8" i="21"/>
  <c r="E10" i="20"/>
  <c r="R8" i="21"/>
  <c r="R10" i="20"/>
  <c r="U10" i="20"/>
  <c r="U8" i="21"/>
  <c r="M10" i="20"/>
  <c r="M8" i="21"/>
  <c r="Z10" i="20"/>
  <c r="Z8" i="21"/>
  <c r="S10" i="20"/>
  <c r="S8" i="21"/>
  <c r="P11" i="20"/>
  <c r="P9" i="21"/>
  <c r="L9" i="21"/>
  <c r="L11" i="20"/>
  <c r="R11" i="20"/>
  <c r="R9" i="21"/>
  <c r="M9" i="21"/>
  <c r="M11" i="20"/>
  <c r="D9" i="21"/>
  <c r="D11" i="20"/>
  <c r="I11" i="20"/>
  <c r="I9" i="21"/>
  <c r="B41" i="20"/>
  <c r="B10" i="25"/>
  <c r="X11" i="20"/>
  <c r="V40" i="20"/>
  <c r="V9" i="25"/>
  <c r="I9" i="25"/>
  <c r="I40" i="20"/>
  <c r="AA9" i="25"/>
  <c r="AA40" i="20"/>
  <c r="H40" i="20"/>
  <c r="H9" i="25"/>
  <c r="F9" i="25"/>
  <c r="F40" i="20"/>
  <c r="Y40" i="20"/>
  <c r="Y9" i="25"/>
  <c r="G9" i="25"/>
  <c r="G40" i="20"/>
  <c r="G8" i="21"/>
  <c r="G10" i="20"/>
  <c r="K8" i="21"/>
  <c r="K10" i="20"/>
  <c r="AA10" i="20"/>
  <c r="AA8" i="21"/>
  <c r="I8" i="21"/>
  <c r="I10" i="20"/>
  <c r="V10" i="20"/>
  <c r="V8" i="21"/>
  <c r="Y8" i="21"/>
  <c r="Y10" i="20"/>
  <c r="Q8" i="21"/>
  <c r="Q10" i="20"/>
  <c r="Q11" i="20"/>
  <c r="Q9" i="21"/>
  <c r="V9" i="21"/>
  <c r="V11" i="20"/>
  <c r="C9" i="21"/>
  <c r="C11" i="20"/>
  <c r="E9" i="21"/>
  <c r="E11" i="20"/>
  <c r="D81" i="25"/>
  <c r="C84" i="25"/>
  <c r="P40" i="20"/>
  <c r="P9" i="25"/>
  <c r="O9" i="25"/>
  <c r="O40" i="20"/>
  <c r="Z9" i="25"/>
  <c r="Z40" i="20"/>
  <c r="W40" i="20"/>
  <c r="W9" i="25"/>
  <c r="E40" i="20"/>
  <c r="E9" i="25"/>
  <c r="T40" i="20"/>
  <c r="T9" i="25"/>
  <c r="P8" i="21"/>
  <c r="P10" i="20"/>
  <c r="J8" i="21"/>
  <c r="J10" i="20"/>
  <c r="D8" i="21"/>
  <c r="D10" i="20"/>
  <c r="O8" i="21"/>
  <c r="O10" i="20"/>
  <c r="T10" i="20"/>
  <c r="T8" i="21"/>
  <c r="X8" i="21"/>
  <c r="X10" i="20"/>
  <c r="L8" i="21"/>
  <c r="L10" i="20"/>
  <c r="O9" i="21"/>
  <c r="O11" i="20"/>
  <c r="N9" i="21"/>
  <c r="N11" i="20"/>
  <c r="K9" i="21"/>
  <c r="K11" i="20"/>
  <c r="F9" i="21"/>
  <c r="F11" i="20"/>
  <c r="S11" i="20"/>
  <c r="S9" i="21"/>
  <c r="W8" i="32"/>
  <c r="U22" i="30"/>
  <c r="B36" i="1"/>
  <c r="B150" i="31"/>
  <c r="S151" i="31"/>
  <c r="E112" i="25"/>
  <c r="E43" i="20" s="1"/>
  <c r="D112" i="25"/>
  <c r="D43" i="20" s="1"/>
  <c r="R186" i="31"/>
  <c r="R190" i="31" s="1"/>
  <c r="R13" i="31" s="1"/>
  <c r="W189" i="31"/>
  <c r="X185" i="31"/>
  <c r="W114" i="31"/>
  <c r="V127" i="31"/>
  <c r="W154" i="31"/>
  <c r="X139" i="31"/>
  <c r="B147" i="21"/>
  <c r="C147" i="21" s="1"/>
  <c r="D147" i="21" s="1"/>
  <c r="E147" i="21" s="1"/>
  <c r="F147" i="21" s="1"/>
  <c r="G147" i="21" s="1"/>
  <c r="H147" i="21" s="1"/>
  <c r="I147" i="21" s="1"/>
  <c r="J147" i="21" s="1"/>
  <c r="K147" i="21" s="1"/>
  <c r="L147" i="21" s="1"/>
  <c r="M147" i="21" s="1"/>
  <c r="N147" i="21" s="1"/>
  <c r="O147" i="21" s="1"/>
  <c r="P147" i="21" s="1"/>
  <c r="Q147" i="21" s="1"/>
  <c r="R147" i="21" s="1"/>
  <c r="S147" i="21" s="1"/>
  <c r="T147" i="21" s="1"/>
  <c r="U147" i="21" s="1"/>
  <c r="V147" i="21" s="1"/>
  <c r="W147" i="21" s="1"/>
  <c r="X147" i="21" s="1"/>
  <c r="Y147" i="21" s="1"/>
  <c r="Z147" i="21" s="1"/>
  <c r="AA147" i="21" s="1"/>
  <c r="V82" i="22"/>
  <c r="V96" i="22" s="1"/>
  <c r="W57" i="22"/>
  <c r="AA59" i="21"/>
  <c r="AA61" i="21" s="1"/>
  <c r="AA63" i="21" s="1"/>
  <c r="AA87" i="21" s="1"/>
  <c r="Z61" i="21"/>
  <c r="Z63" i="21" s="1"/>
  <c r="Z87" i="21" s="1"/>
  <c r="Z146" i="21"/>
  <c r="Y161" i="21"/>
  <c r="V60" i="21"/>
  <c r="U86" i="21"/>
  <c r="X10" i="24"/>
  <c r="W31" i="24"/>
  <c r="U158" i="21"/>
  <c r="Z60" i="22"/>
  <c r="Z83" i="22" s="1"/>
  <c r="Z12" i="22" s="1"/>
  <c r="Y96" i="21"/>
  <c r="X111" i="21"/>
  <c r="V58" i="25"/>
  <c r="U83" i="25"/>
  <c r="X10" i="23"/>
  <c r="W28" i="23"/>
  <c r="V28" i="25"/>
  <c r="U47" i="25"/>
  <c r="W68" i="25"/>
  <c r="V70" i="25"/>
  <c r="AA60" i="22"/>
  <c r="AA83" i="22" s="1"/>
  <c r="AA12" i="22" s="1"/>
  <c r="U150" i="25"/>
  <c r="V146" i="25"/>
  <c r="Y138" i="25"/>
  <c r="Z126" i="25"/>
  <c r="U115" i="25"/>
  <c r="V92" i="25"/>
  <c r="Y116" i="25"/>
  <c r="Z112" i="25"/>
  <c r="Z27" i="22"/>
  <c r="Y46" i="22"/>
  <c r="F121" i="14"/>
  <c r="C62" i="14"/>
  <c r="L62" i="14"/>
  <c r="Q62" i="14"/>
  <c r="H62" i="14"/>
  <c r="O62" i="14"/>
  <c r="Y62" i="14"/>
  <c r="F62" i="14"/>
  <c r="D62" i="14"/>
  <c r="AA62" i="14"/>
  <c r="V62" i="14"/>
  <c r="J62" i="14"/>
  <c r="T62" i="14"/>
  <c r="S62" i="14"/>
  <c r="R62" i="14"/>
  <c r="K62" i="14"/>
  <c r="U62" i="14"/>
  <c r="P62" i="14"/>
  <c r="M62" i="14"/>
  <c r="W62" i="14"/>
  <c r="E62" i="14"/>
  <c r="Z62" i="14"/>
  <c r="G62" i="14"/>
  <c r="N62" i="14"/>
  <c r="X62" i="14"/>
  <c r="I62" i="14"/>
  <c r="D39" i="14"/>
  <c r="C41" i="14"/>
  <c r="H117" i="14"/>
  <c r="G121" i="14"/>
  <c r="C30" i="14"/>
  <c r="B51" i="14"/>
  <c r="D141" i="14"/>
  <c r="D143" i="14" s="1"/>
  <c r="C32" i="13"/>
  <c r="C13" i="13" s="1"/>
  <c r="D95" i="14"/>
  <c r="D120" i="14" s="1"/>
  <c r="D132" i="14"/>
  <c r="D145" i="14" s="1"/>
  <c r="D29" i="14"/>
  <c r="E29" i="14" s="1"/>
  <c r="F29" i="14" s="1"/>
  <c r="D61" i="14"/>
  <c r="D85" i="14" s="1"/>
  <c r="C72" i="14"/>
  <c r="AA72" i="14"/>
  <c r="D72" i="14"/>
  <c r="F72" i="14"/>
  <c r="H72" i="14"/>
  <c r="J72" i="14"/>
  <c r="L72" i="14"/>
  <c r="N72" i="14"/>
  <c r="P72" i="14"/>
  <c r="R72" i="14"/>
  <c r="T72" i="14"/>
  <c r="V72" i="14"/>
  <c r="X72" i="14"/>
  <c r="Z72" i="14"/>
  <c r="B86" i="14"/>
  <c r="E72" i="14"/>
  <c r="G72" i="14"/>
  <c r="I72" i="14"/>
  <c r="K72" i="14"/>
  <c r="M72" i="14"/>
  <c r="O72" i="14"/>
  <c r="Q72" i="14"/>
  <c r="S72" i="14"/>
  <c r="U72" i="14"/>
  <c r="W72" i="14"/>
  <c r="Y72" i="14"/>
  <c r="C143" i="14"/>
  <c r="AA133" i="14"/>
  <c r="C117" i="14"/>
  <c r="C44" i="1" s="1"/>
  <c r="E117" i="14"/>
  <c r="E44" i="1" s="1"/>
  <c r="D133" i="14"/>
  <c r="F133" i="14"/>
  <c r="H133" i="14"/>
  <c r="J133" i="14"/>
  <c r="L133" i="14"/>
  <c r="N133" i="14"/>
  <c r="P133" i="14"/>
  <c r="R133" i="14"/>
  <c r="T133" i="14"/>
  <c r="V133" i="14"/>
  <c r="X133" i="14"/>
  <c r="Z133" i="14"/>
  <c r="B117" i="14"/>
  <c r="B44" i="1" s="1"/>
  <c r="D117" i="14"/>
  <c r="D44" i="1" s="1"/>
  <c r="C133" i="14"/>
  <c r="E133" i="14"/>
  <c r="G133" i="14"/>
  <c r="I133" i="14"/>
  <c r="K133" i="14"/>
  <c r="M133" i="14"/>
  <c r="O133" i="14"/>
  <c r="Q133" i="14"/>
  <c r="S133" i="14"/>
  <c r="U133" i="14"/>
  <c r="W133" i="14"/>
  <c r="Y133" i="14"/>
  <c r="B146" i="14"/>
  <c r="C158" i="14"/>
  <c r="C170" i="14" s="1"/>
  <c r="D27" i="13"/>
  <c r="A2" i="12"/>
  <c r="C90" i="11"/>
  <c r="D90" i="11" s="1"/>
  <c r="E90" i="11" s="1"/>
  <c r="F90" i="11" s="1"/>
  <c r="G90" i="11" s="1"/>
  <c r="H90" i="11" s="1"/>
  <c r="I90" i="11" s="1"/>
  <c r="J90" i="11" s="1"/>
  <c r="K90" i="11" s="1"/>
  <c r="L90" i="11" s="1"/>
  <c r="M90" i="11" s="1"/>
  <c r="N90" i="11" s="1"/>
  <c r="O90" i="11" s="1"/>
  <c r="P90" i="11" s="1"/>
  <c r="Q90" i="11" s="1"/>
  <c r="R90" i="11" s="1"/>
  <c r="S90" i="11" s="1"/>
  <c r="T90" i="11" s="1"/>
  <c r="U90" i="11" s="1"/>
  <c r="V90" i="11" s="1"/>
  <c r="W90" i="11" s="1"/>
  <c r="X90" i="11" s="1"/>
  <c r="Y90" i="11" s="1"/>
  <c r="Z90" i="11" s="1"/>
  <c r="AA90" i="11" s="1"/>
  <c r="C89" i="11"/>
  <c r="B79" i="11"/>
  <c r="B93" i="11" s="1"/>
  <c r="C76" i="11"/>
  <c r="D76" i="11" s="1"/>
  <c r="E76" i="11" s="1"/>
  <c r="F76" i="11" s="1"/>
  <c r="G76" i="11" s="1"/>
  <c r="H76" i="11" s="1"/>
  <c r="I76" i="11" s="1"/>
  <c r="J76" i="11" s="1"/>
  <c r="K76" i="11" s="1"/>
  <c r="L76" i="11" s="1"/>
  <c r="M76" i="11" s="1"/>
  <c r="N76" i="11" s="1"/>
  <c r="O76" i="11" s="1"/>
  <c r="P76" i="11" s="1"/>
  <c r="Q76" i="11" s="1"/>
  <c r="R76" i="11" s="1"/>
  <c r="S76" i="11" s="1"/>
  <c r="T76" i="11" s="1"/>
  <c r="U76" i="11" s="1"/>
  <c r="V76" i="11" s="1"/>
  <c r="W76" i="11" s="1"/>
  <c r="X76" i="11" s="1"/>
  <c r="Y76" i="11" s="1"/>
  <c r="Z76" i="11" s="1"/>
  <c r="AA76" i="11" s="1"/>
  <c r="C75" i="11"/>
  <c r="C66" i="11"/>
  <c r="D66" i="11" s="1"/>
  <c r="E66" i="11" s="1"/>
  <c r="F66" i="11" s="1"/>
  <c r="G66" i="11" s="1"/>
  <c r="H66" i="11" s="1"/>
  <c r="I66" i="11" s="1"/>
  <c r="J66" i="11" s="1"/>
  <c r="K66" i="11" s="1"/>
  <c r="L66" i="11" s="1"/>
  <c r="M66" i="11" s="1"/>
  <c r="N66" i="11" s="1"/>
  <c r="O66" i="11" s="1"/>
  <c r="P66" i="11" s="1"/>
  <c r="Q66" i="11" s="1"/>
  <c r="R66" i="11" s="1"/>
  <c r="S66" i="11" s="1"/>
  <c r="T66" i="11" s="1"/>
  <c r="U66" i="11" s="1"/>
  <c r="V66" i="11" s="1"/>
  <c r="W66" i="11" s="1"/>
  <c r="X66" i="11" s="1"/>
  <c r="Y66" i="11" s="1"/>
  <c r="Z66" i="11" s="1"/>
  <c r="AA66" i="11" s="1"/>
  <c r="C65" i="11"/>
  <c r="C56" i="11"/>
  <c r="C55" i="11"/>
  <c r="D55" i="11" s="1"/>
  <c r="B45" i="11"/>
  <c r="C37" i="11"/>
  <c r="D37" i="11" s="1"/>
  <c r="E37" i="11" s="1"/>
  <c r="F37" i="11" s="1"/>
  <c r="G37" i="11" s="1"/>
  <c r="H37" i="11" s="1"/>
  <c r="I37" i="11" s="1"/>
  <c r="J37" i="11" s="1"/>
  <c r="K37" i="11" s="1"/>
  <c r="L37" i="11" s="1"/>
  <c r="M37" i="11" s="1"/>
  <c r="N37" i="11" s="1"/>
  <c r="O37" i="11" s="1"/>
  <c r="P37" i="11" s="1"/>
  <c r="Q37" i="11" s="1"/>
  <c r="R37" i="11" s="1"/>
  <c r="S37" i="11" s="1"/>
  <c r="T37" i="11" s="1"/>
  <c r="U37" i="11" s="1"/>
  <c r="V37" i="11" s="1"/>
  <c r="W37" i="11" s="1"/>
  <c r="X37" i="11" s="1"/>
  <c r="Y37" i="11" s="1"/>
  <c r="Z37" i="11" s="1"/>
  <c r="AA37" i="11" s="1"/>
  <c r="C36" i="11"/>
  <c r="C27" i="11"/>
  <c r="C45" i="11" s="1"/>
  <c r="C26" i="11"/>
  <c r="D26" i="11" s="1"/>
  <c r="E26" i="11" s="1"/>
  <c r="F26" i="11" s="1"/>
  <c r="G26" i="11" s="1"/>
  <c r="H26" i="11" s="1"/>
  <c r="A2" i="11"/>
  <c r="A2" i="10"/>
  <c r="C10" i="31" l="1"/>
  <c r="C12" i="30" s="1"/>
  <c r="C104" i="31"/>
  <c r="D104" i="31"/>
  <c r="D10" i="31" s="1"/>
  <c r="D12" i="30" s="1"/>
  <c r="Y10" i="31"/>
  <c r="Y12" i="30" s="1"/>
  <c r="Y104" i="31"/>
  <c r="R104" i="31"/>
  <c r="R10" i="31" s="1"/>
  <c r="R12" i="30" s="1"/>
  <c r="Q101" i="31"/>
  <c r="Z101" i="31"/>
  <c r="K101" i="31"/>
  <c r="I101" i="31"/>
  <c r="V101" i="31"/>
  <c r="N101" i="31"/>
  <c r="F101" i="31"/>
  <c r="U101" i="31"/>
  <c r="M101" i="31"/>
  <c r="H101" i="31"/>
  <c r="C112" i="25"/>
  <c r="C43" i="20" s="1"/>
  <c r="X101" i="31"/>
  <c r="T101" i="31"/>
  <c r="P101" i="31"/>
  <c r="L101" i="31"/>
  <c r="G101" i="31"/>
  <c r="B101" i="31"/>
  <c r="AA101" i="31"/>
  <c r="W101" i="31"/>
  <c r="S101" i="31"/>
  <c r="O101" i="31"/>
  <c r="J101" i="31"/>
  <c r="E101" i="31"/>
  <c r="R15" i="30"/>
  <c r="Y9" i="21"/>
  <c r="I21" i="20"/>
  <c r="X21" i="20"/>
  <c r="E21" i="20"/>
  <c r="T21" i="20"/>
  <c r="G21" i="20"/>
  <c r="N21" i="20"/>
  <c r="D84" i="25"/>
  <c r="E81" i="25"/>
  <c r="S21" i="20"/>
  <c r="K21" i="20"/>
  <c r="P21" i="20"/>
  <c r="M21" i="20"/>
  <c r="F21" i="20"/>
  <c r="U21" i="20"/>
  <c r="R21" i="20"/>
  <c r="L21" i="20"/>
  <c r="W21" i="20"/>
  <c r="C10" i="25"/>
  <c r="C41" i="20"/>
  <c r="H21" i="20"/>
  <c r="D21" i="20"/>
  <c r="V21" i="20"/>
  <c r="V22" i="30"/>
  <c r="X8" i="32"/>
  <c r="D116" i="25"/>
  <c r="D12" i="25"/>
  <c r="C116" i="25"/>
  <c r="C12" i="25"/>
  <c r="B116" i="25"/>
  <c r="B12" i="25"/>
  <c r="E116" i="25"/>
  <c r="E12" i="25"/>
  <c r="G43" i="1"/>
  <c r="F43" i="1"/>
  <c r="Y21" i="20"/>
  <c r="AA21" i="20"/>
  <c r="Z21" i="20"/>
  <c r="G11" i="14"/>
  <c r="F11" i="14"/>
  <c r="E132" i="14"/>
  <c r="C36" i="1"/>
  <c r="T151" i="31"/>
  <c r="C150" i="31"/>
  <c r="B152" i="31"/>
  <c r="B155" i="31" s="1"/>
  <c r="B12" i="31" s="1"/>
  <c r="S186" i="31"/>
  <c r="S190" i="31" s="1"/>
  <c r="S13" i="31" s="1"/>
  <c r="X114" i="31"/>
  <c r="W127" i="31"/>
  <c r="X154" i="31"/>
  <c r="Y139" i="31"/>
  <c r="X189" i="31"/>
  <c r="Y185" i="31"/>
  <c r="C157" i="21"/>
  <c r="B159" i="21"/>
  <c r="B162" i="21" s="1"/>
  <c r="C109" i="21"/>
  <c r="C112" i="21" s="1"/>
  <c r="T109" i="21"/>
  <c r="T112" i="21" s="1"/>
  <c r="J109" i="21"/>
  <c r="J112" i="21" s="1"/>
  <c r="Z109" i="21"/>
  <c r="Z112" i="21" s="1"/>
  <c r="O109" i="21"/>
  <c r="O112" i="21" s="1"/>
  <c r="E109" i="21"/>
  <c r="E112" i="21" s="1"/>
  <c r="W109" i="21"/>
  <c r="W112" i="21" s="1"/>
  <c r="P109" i="21"/>
  <c r="P112" i="21" s="1"/>
  <c r="B109" i="21"/>
  <c r="B112" i="21" s="1"/>
  <c r="M109" i="21"/>
  <c r="M112" i="21" s="1"/>
  <c r="N109" i="21"/>
  <c r="N112" i="21" s="1"/>
  <c r="H109" i="21"/>
  <c r="H112" i="21" s="1"/>
  <c r="S109" i="21"/>
  <c r="S112" i="21" s="1"/>
  <c r="U109" i="21"/>
  <c r="U112" i="21" s="1"/>
  <c r="Y109" i="21"/>
  <c r="Y112" i="21" s="1"/>
  <c r="K109" i="21"/>
  <c r="K112" i="21" s="1"/>
  <c r="Q109" i="21"/>
  <c r="Q112" i="21" s="1"/>
  <c r="I109" i="21"/>
  <c r="I112" i="21" s="1"/>
  <c r="F109" i="21"/>
  <c r="F112" i="21" s="1"/>
  <c r="G109" i="21"/>
  <c r="G112" i="21" s="1"/>
  <c r="L109" i="21"/>
  <c r="L112" i="21" s="1"/>
  <c r="X109" i="21"/>
  <c r="X112" i="21" s="1"/>
  <c r="R109" i="21"/>
  <c r="R112" i="21" s="1"/>
  <c r="AA109" i="21"/>
  <c r="AA112" i="21" s="1"/>
  <c r="D109" i="21"/>
  <c r="D112" i="21" s="1"/>
  <c r="V109" i="21"/>
  <c r="V112" i="21" s="1"/>
  <c r="V47" i="25"/>
  <c r="W28" i="25"/>
  <c r="W58" i="25"/>
  <c r="V83" i="25"/>
  <c r="V86" i="21"/>
  <c r="W60" i="21"/>
  <c r="Z9" i="21"/>
  <c r="Z11" i="20"/>
  <c r="AA11" i="20"/>
  <c r="AA9" i="21"/>
  <c r="V150" i="25"/>
  <c r="W146" i="25"/>
  <c r="AA27" i="22"/>
  <c r="AA46" i="22" s="1"/>
  <c r="Z46" i="22"/>
  <c r="AA112" i="25"/>
  <c r="AA116" i="25" s="1"/>
  <c r="Z116" i="25"/>
  <c r="V115" i="25"/>
  <c r="W92" i="25"/>
  <c r="X68" i="25"/>
  <c r="W70" i="25"/>
  <c r="Y10" i="23"/>
  <c r="X28" i="23"/>
  <c r="Z96" i="21"/>
  <c r="Y111" i="21"/>
  <c r="Y10" i="24"/>
  <c r="X31" i="24"/>
  <c r="W82" i="22"/>
  <c r="W96" i="22" s="1"/>
  <c r="X57" i="22"/>
  <c r="Z138" i="25"/>
  <c r="AA126" i="25"/>
  <c r="AA138" i="25" s="1"/>
  <c r="V158" i="21"/>
  <c r="AA146" i="21"/>
  <c r="AA161" i="21" s="1"/>
  <c r="Z161" i="21"/>
  <c r="B12" i="14"/>
  <c r="E61" i="14"/>
  <c r="E85" i="14" s="1"/>
  <c r="C51" i="14"/>
  <c r="C9" i="14" s="1"/>
  <c r="E39" i="14"/>
  <c r="D41" i="14"/>
  <c r="D30" i="14"/>
  <c r="E30" i="14" s="1"/>
  <c r="D121" i="14"/>
  <c r="E121" i="14"/>
  <c r="B121" i="14"/>
  <c r="C121" i="14"/>
  <c r="I117" i="14"/>
  <c r="H121" i="14"/>
  <c r="B42" i="1"/>
  <c r="B10" i="14"/>
  <c r="B41" i="1"/>
  <c r="B9" i="14"/>
  <c r="E141" i="14"/>
  <c r="I26" i="11"/>
  <c r="D36" i="11"/>
  <c r="D75" i="11"/>
  <c r="B45" i="1"/>
  <c r="E95" i="14"/>
  <c r="E120" i="14" s="1"/>
  <c r="D146" i="14"/>
  <c r="D12" i="14" s="1"/>
  <c r="Y86" i="14"/>
  <c r="U86" i="14"/>
  <c r="Q86" i="14"/>
  <c r="M86" i="14"/>
  <c r="I86" i="14"/>
  <c r="E86" i="14"/>
  <c r="Z86" i="14"/>
  <c r="V86" i="14"/>
  <c r="R86" i="14"/>
  <c r="C86" i="14"/>
  <c r="E50" i="14"/>
  <c r="D50" i="14"/>
  <c r="N86" i="14"/>
  <c r="J86" i="14"/>
  <c r="F86" i="14"/>
  <c r="AA86" i="14"/>
  <c r="G29" i="14"/>
  <c r="F50" i="14"/>
  <c r="D158" i="14"/>
  <c r="D170" i="14" s="1"/>
  <c r="E145" i="14"/>
  <c r="F132" i="14"/>
  <c r="C146" i="14"/>
  <c r="C12" i="14" s="1"/>
  <c r="W86" i="14"/>
  <c r="S86" i="14"/>
  <c r="O86" i="14"/>
  <c r="K86" i="14"/>
  <c r="G86" i="14"/>
  <c r="X86" i="14"/>
  <c r="T86" i="14"/>
  <c r="P86" i="14"/>
  <c r="L86" i="14"/>
  <c r="H86" i="14"/>
  <c r="D86" i="14"/>
  <c r="D32" i="13"/>
  <c r="D13" i="13" s="1"/>
  <c r="E27" i="13"/>
  <c r="D27" i="11"/>
  <c r="E27" i="11" s="1"/>
  <c r="E45" i="11" s="1"/>
  <c r="B94" i="11"/>
  <c r="B80" i="11"/>
  <c r="C94" i="11"/>
  <c r="D89" i="11"/>
  <c r="C79" i="11"/>
  <c r="C93" i="11" s="1"/>
  <c r="D56" i="11"/>
  <c r="E55" i="11"/>
  <c r="D65" i="11"/>
  <c r="B187" i="10"/>
  <c r="C186" i="10"/>
  <c r="D186" i="10" s="1"/>
  <c r="E186" i="10" s="1"/>
  <c r="F186" i="10" s="1"/>
  <c r="G186" i="10" s="1"/>
  <c r="H186" i="10" s="1"/>
  <c r="I186" i="10" s="1"/>
  <c r="J186" i="10" s="1"/>
  <c r="K186" i="10" s="1"/>
  <c r="L186" i="10" s="1"/>
  <c r="M186" i="10" s="1"/>
  <c r="N186" i="10" s="1"/>
  <c r="O186" i="10" s="1"/>
  <c r="P186" i="10" s="1"/>
  <c r="Q186" i="10" s="1"/>
  <c r="R186" i="10" s="1"/>
  <c r="S186" i="10" s="1"/>
  <c r="T186" i="10" s="1"/>
  <c r="U186" i="10" s="1"/>
  <c r="V186" i="10" s="1"/>
  <c r="W186" i="10" s="1"/>
  <c r="X186" i="10" s="1"/>
  <c r="Y186" i="10" s="1"/>
  <c r="Z186" i="10" s="1"/>
  <c r="AA186" i="10" s="1"/>
  <c r="C185" i="10"/>
  <c r="B175" i="10"/>
  <c r="B196" i="10" s="1"/>
  <c r="C170" i="10"/>
  <c r="D170" i="10" s="1"/>
  <c r="E170" i="10" s="1"/>
  <c r="F170" i="10" s="1"/>
  <c r="G170" i="10" s="1"/>
  <c r="H170" i="10" s="1"/>
  <c r="I170" i="10" s="1"/>
  <c r="J170" i="10" s="1"/>
  <c r="K170" i="10" s="1"/>
  <c r="L170" i="10" s="1"/>
  <c r="M170" i="10" s="1"/>
  <c r="N170" i="10" s="1"/>
  <c r="O170" i="10" s="1"/>
  <c r="P170" i="10" s="1"/>
  <c r="Q170" i="10" s="1"/>
  <c r="R170" i="10" s="1"/>
  <c r="S170" i="10" s="1"/>
  <c r="T170" i="10" s="1"/>
  <c r="U170" i="10" s="1"/>
  <c r="V170" i="10" s="1"/>
  <c r="W170" i="10" s="1"/>
  <c r="X170" i="10" s="1"/>
  <c r="Y170" i="10" s="1"/>
  <c r="Z170" i="10" s="1"/>
  <c r="AA170" i="10" s="1"/>
  <c r="C169" i="10"/>
  <c r="D169" i="10" s="1"/>
  <c r="E169" i="10" s="1"/>
  <c r="F169" i="10" s="1"/>
  <c r="G169" i="10" s="1"/>
  <c r="H169" i="10" s="1"/>
  <c r="I169" i="10" s="1"/>
  <c r="J169" i="10" s="1"/>
  <c r="K169" i="10" s="1"/>
  <c r="L169" i="10" s="1"/>
  <c r="M169" i="10" s="1"/>
  <c r="N169" i="10" s="1"/>
  <c r="O169" i="10" s="1"/>
  <c r="P169" i="10" s="1"/>
  <c r="Q169" i="10" s="1"/>
  <c r="R169" i="10" s="1"/>
  <c r="S169" i="10" s="1"/>
  <c r="T169" i="10" s="1"/>
  <c r="U169" i="10" s="1"/>
  <c r="V169" i="10" s="1"/>
  <c r="W169" i="10" s="1"/>
  <c r="X169" i="10" s="1"/>
  <c r="Y169" i="10" s="1"/>
  <c r="Z169" i="10" s="1"/>
  <c r="AA169" i="10" s="1"/>
  <c r="B172" i="10"/>
  <c r="B171" i="10"/>
  <c r="C171" i="10" s="1"/>
  <c r="D171" i="10" s="1"/>
  <c r="E171" i="10" s="1"/>
  <c r="F171" i="10" s="1"/>
  <c r="G171" i="10" s="1"/>
  <c r="H171" i="10" s="1"/>
  <c r="I171" i="10" s="1"/>
  <c r="J171" i="10" s="1"/>
  <c r="K171" i="10" s="1"/>
  <c r="L171" i="10" s="1"/>
  <c r="M171" i="10" s="1"/>
  <c r="N171" i="10" s="1"/>
  <c r="O171" i="10" s="1"/>
  <c r="P171" i="10" s="1"/>
  <c r="Q171" i="10" s="1"/>
  <c r="R171" i="10" s="1"/>
  <c r="S171" i="10" s="1"/>
  <c r="T171" i="10" s="1"/>
  <c r="U171" i="10" s="1"/>
  <c r="V171" i="10" s="1"/>
  <c r="W171" i="10" s="1"/>
  <c r="X171" i="10" s="1"/>
  <c r="Y171" i="10" s="1"/>
  <c r="Z171" i="10" s="1"/>
  <c r="AA171" i="10" s="1"/>
  <c r="C160" i="10"/>
  <c r="C175" i="10" s="1"/>
  <c r="C196" i="10" s="1"/>
  <c r="C159" i="10"/>
  <c r="D159" i="10" s="1"/>
  <c r="E159" i="10" s="1"/>
  <c r="F159" i="10" s="1"/>
  <c r="G159" i="10" s="1"/>
  <c r="H159" i="10" s="1"/>
  <c r="I159" i="10" s="1"/>
  <c r="J159" i="10" s="1"/>
  <c r="K159" i="10" s="1"/>
  <c r="L159" i="10" s="1"/>
  <c r="M159" i="10" s="1"/>
  <c r="N159" i="10" s="1"/>
  <c r="O159" i="10" s="1"/>
  <c r="P159" i="10" s="1"/>
  <c r="Q159" i="10" s="1"/>
  <c r="R159" i="10" s="1"/>
  <c r="S159" i="10" s="1"/>
  <c r="T159" i="10" s="1"/>
  <c r="U159" i="10" s="1"/>
  <c r="V159" i="10" s="1"/>
  <c r="W159" i="10" s="1"/>
  <c r="X159" i="10" s="1"/>
  <c r="Y159" i="10" s="1"/>
  <c r="Z159" i="10" s="1"/>
  <c r="AA159" i="10" s="1"/>
  <c r="B161" i="10"/>
  <c r="C161" i="10" s="1"/>
  <c r="D161" i="10" s="1"/>
  <c r="E161" i="10" s="1"/>
  <c r="F161" i="10" s="1"/>
  <c r="G161" i="10" s="1"/>
  <c r="H161" i="10" s="1"/>
  <c r="I161" i="10" s="1"/>
  <c r="J161" i="10" s="1"/>
  <c r="K161" i="10" s="1"/>
  <c r="L161" i="10" s="1"/>
  <c r="M161" i="10" s="1"/>
  <c r="N161" i="10" s="1"/>
  <c r="O161" i="10" s="1"/>
  <c r="P161" i="10" s="1"/>
  <c r="Q161" i="10" s="1"/>
  <c r="R161" i="10" s="1"/>
  <c r="S161" i="10" s="1"/>
  <c r="T161" i="10" s="1"/>
  <c r="U161" i="10" s="1"/>
  <c r="V161" i="10" s="1"/>
  <c r="W161" i="10" s="1"/>
  <c r="X161" i="10" s="1"/>
  <c r="Y161" i="10" s="1"/>
  <c r="Z161" i="10" s="1"/>
  <c r="AA161" i="10" s="1"/>
  <c r="B149" i="10"/>
  <c r="B147" i="10"/>
  <c r="C146" i="10"/>
  <c r="D146" i="10" s="1"/>
  <c r="E146" i="10" s="1"/>
  <c r="F146" i="10" s="1"/>
  <c r="G146" i="10" s="1"/>
  <c r="H146" i="10" s="1"/>
  <c r="I146" i="10" s="1"/>
  <c r="J146" i="10" s="1"/>
  <c r="K146" i="10" s="1"/>
  <c r="L146" i="10" s="1"/>
  <c r="M146" i="10" s="1"/>
  <c r="N146" i="10" s="1"/>
  <c r="O146" i="10" s="1"/>
  <c r="P146" i="10" s="1"/>
  <c r="Q146" i="10" s="1"/>
  <c r="R146" i="10" s="1"/>
  <c r="S146" i="10" s="1"/>
  <c r="T146" i="10" s="1"/>
  <c r="U146" i="10" s="1"/>
  <c r="V146" i="10" s="1"/>
  <c r="W146" i="10" s="1"/>
  <c r="X146" i="10" s="1"/>
  <c r="Y146" i="10" s="1"/>
  <c r="Z146" i="10" s="1"/>
  <c r="AA146" i="10" s="1"/>
  <c r="C145" i="10"/>
  <c r="B137" i="10"/>
  <c r="C136" i="10"/>
  <c r="C149" i="10" s="1"/>
  <c r="C135" i="10"/>
  <c r="D135" i="10" s="1"/>
  <c r="B111" i="10"/>
  <c r="B125" i="10"/>
  <c r="C48" i="10"/>
  <c r="D48" i="10" s="1"/>
  <c r="E48" i="10" s="1"/>
  <c r="F48" i="10" s="1"/>
  <c r="G48" i="10" s="1"/>
  <c r="H48" i="10" s="1"/>
  <c r="I48" i="10" s="1"/>
  <c r="J48" i="10" s="1"/>
  <c r="K48" i="10" s="1"/>
  <c r="L48" i="10" s="1"/>
  <c r="M48" i="10" s="1"/>
  <c r="N48" i="10" s="1"/>
  <c r="O48" i="10" s="1"/>
  <c r="P48" i="10" s="1"/>
  <c r="Q48" i="10" s="1"/>
  <c r="R48" i="10" s="1"/>
  <c r="S48" i="10" s="1"/>
  <c r="T48" i="10" s="1"/>
  <c r="U48" i="10" s="1"/>
  <c r="V48" i="10" s="1"/>
  <c r="W48" i="10" s="1"/>
  <c r="X48" i="10" s="1"/>
  <c r="Y48" i="10" s="1"/>
  <c r="Z48" i="10" s="1"/>
  <c r="AA48" i="10" s="1"/>
  <c r="C47" i="10"/>
  <c r="D47" i="10" s="1"/>
  <c r="E47" i="10" s="1"/>
  <c r="F47" i="10" s="1"/>
  <c r="G47" i="10" s="1"/>
  <c r="H47" i="10" s="1"/>
  <c r="I47" i="10" s="1"/>
  <c r="J47" i="10" s="1"/>
  <c r="K47" i="10" s="1"/>
  <c r="L47" i="10" s="1"/>
  <c r="M47" i="10" s="1"/>
  <c r="N47" i="10" s="1"/>
  <c r="O47" i="10" s="1"/>
  <c r="P47" i="10" s="1"/>
  <c r="Q47" i="10" s="1"/>
  <c r="R47" i="10" s="1"/>
  <c r="S47" i="10" s="1"/>
  <c r="T47" i="10" s="1"/>
  <c r="U47" i="10" s="1"/>
  <c r="V47" i="10" s="1"/>
  <c r="W47" i="10" s="1"/>
  <c r="X47" i="10" s="1"/>
  <c r="Y47" i="10" s="1"/>
  <c r="Z47" i="10" s="1"/>
  <c r="AA47" i="10" s="1"/>
  <c r="C122" i="10"/>
  <c r="D122" i="10" s="1"/>
  <c r="E122" i="10" s="1"/>
  <c r="F122" i="10" s="1"/>
  <c r="G122" i="10" s="1"/>
  <c r="H122" i="10" s="1"/>
  <c r="I122" i="10" s="1"/>
  <c r="J122" i="10" s="1"/>
  <c r="K122" i="10" s="1"/>
  <c r="L122" i="10" s="1"/>
  <c r="M122" i="10" s="1"/>
  <c r="N122" i="10" s="1"/>
  <c r="O122" i="10" s="1"/>
  <c r="P122" i="10" s="1"/>
  <c r="Q122" i="10" s="1"/>
  <c r="R122" i="10" s="1"/>
  <c r="S122" i="10" s="1"/>
  <c r="T122" i="10" s="1"/>
  <c r="U122" i="10" s="1"/>
  <c r="V122" i="10" s="1"/>
  <c r="W122" i="10" s="1"/>
  <c r="X122" i="10" s="1"/>
  <c r="Y122" i="10" s="1"/>
  <c r="Z122" i="10" s="1"/>
  <c r="AA122" i="10" s="1"/>
  <c r="C121" i="10"/>
  <c r="C107" i="10"/>
  <c r="D107" i="10" s="1"/>
  <c r="E107" i="10" s="1"/>
  <c r="F107" i="10" s="1"/>
  <c r="G107" i="10" s="1"/>
  <c r="H107" i="10" s="1"/>
  <c r="I107" i="10" s="1"/>
  <c r="J107" i="10" s="1"/>
  <c r="K107" i="10" s="1"/>
  <c r="L107" i="10" s="1"/>
  <c r="M107" i="10" s="1"/>
  <c r="N107" i="10" s="1"/>
  <c r="O107" i="10" s="1"/>
  <c r="P107" i="10" s="1"/>
  <c r="Q107" i="10" s="1"/>
  <c r="R107" i="10" s="1"/>
  <c r="S107" i="10" s="1"/>
  <c r="T107" i="10" s="1"/>
  <c r="U107" i="10" s="1"/>
  <c r="V107" i="10" s="1"/>
  <c r="W107" i="10" s="1"/>
  <c r="X107" i="10" s="1"/>
  <c r="Y107" i="10" s="1"/>
  <c r="Z107" i="10" s="1"/>
  <c r="AA107" i="10" s="1"/>
  <c r="C106" i="10"/>
  <c r="D106" i="10" s="1"/>
  <c r="E106" i="10" s="1"/>
  <c r="F106" i="10" s="1"/>
  <c r="G106" i="10" s="1"/>
  <c r="H106" i="10" s="1"/>
  <c r="I106" i="10" s="1"/>
  <c r="J106" i="10" s="1"/>
  <c r="K106" i="10" s="1"/>
  <c r="L106" i="10" s="1"/>
  <c r="M106" i="10" s="1"/>
  <c r="N106" i="10" s="1"/>
  <c r="O106" i="10" s="1"/>
  <c r="P106" i="10" s="1"/>
  <c r="Q106" i="10" s="1"/>
  <c r="R106" i="10" s="1"/>
  <c r="S106" i="10" s="1"/>
  <c r="T106" i="10" s="1"/>
  <c r="U106" i="10" s="1"/>
  <c r="V106" i="10" s="1"/>
  <c r="W106" i="10" s="1"/>
  <c r="X106" i="10" s="1"/>
  <c r="Y106" i="10" s="1"/>
  <c r="Z106" i="10" s="1"/>
  <c r="AA106" i="10" s="1"/>
  <c r="C95" i="10"/>
  <c r="C125" i="10" s="1"/>
  <c r="C94" i="10"/>
  <c r="D94" i="10" s="1"/>
  <c r="E94" i="10" s="1"/>
  <c r="F94" i="10" s="1"/>
  <c r="G94" i="10" s="1"/>
  <c r="H94" i="10" s="1"/>
  <c r="I94" i="10" s="1"/>
  <c r="J94" i="10" s="1"/>
  <c r="K94" i="10" s="1"/>
  <c r="L94" i="10" s="1"/>
  <c r="M94" i="10" s="1"/>
  <c r="N94" i="10" s="1"/>
  <c r="O94" i="10" s="1"/>
  <c r="P94" i="10" s="1"/>
  <c r="Q94" i="10" s="1"/>
  <c r="R94" i="10" s="1"/>
  <c r="S94" i="10" s="1"/>
  <c r="T94" i="10" s="1"/>
  <c r="U94" i="10" s="1"/>
  <c r="V94" i="10" s="1"/>
  <c r="W94" i="10" s="1"/>
  <c r="X94" i="10" s="1"/>
  <c r="Y94" i="10" s="1"/>
  <c r="Z94" i="10" s="1"/>
  <c r="AA94" i="10" s="1"/>
  <c r="C27" i="10"/>
  <c r="D27" i="10" s="1"/>
  <c r="E27" i="10" s="1"/>
  <c r="F27" i="10" s="1"/>
  <c r="G27" i="10" s="1"/>
  <c r="H27" i="10" s="1"/>
  <c r="I27" i="10" s="1"/>
  <c r="J27" i="10" s="1"/>
  <c r="K27" i="10" s="1"/>
  <c r="L27" i="10" s="1"/>
  <c r="M27" i="10" s="1"/>
  <c r="N27" i="10" s="1"/>
  <c r="O27" i="10" s="1"/>
  <c r="P27" i="10" s="1"/>
  <c r="Q27" i="10" s="1"/>
  <c r="R27" i="10" s="1"/>
  <c r="S27" i="10" s="1"/>
  <c r="T27" i="10" s="1"/>
  <c r="U27" i="10" s="1"/>
  <c r="V27" i="10" s="1"/>
  <c r="W27" i="10" s="1"/>
  <c r="X27" i="10" s="1"/>
  <c r="Y27" i="10" s="1"/>
  <c r="Z27" i="10" s="1"/>
  <c r="AA27" i="10" s="1"/>
  <c r="B86" i="10"/>
  <c r="C83" i="10"/>
  <c r="D83" i="10" s="1"/>
  <c r="E83" i="10" s="1"/>
  <c r="F83" i="10" s="1"/>
  <c r="G83" i="10" s="1"/>
  <c r="H83" i="10" s="1"/>
  <c r="I83" i="10" s="1"/>
  <c r="J83" i="10" s="1"/>
  <c r="K83" i="10" s="1"/>
  <c r="L83" i="10" s="1"/>
  <c r="M83" i="10" s="1"/>
  <c r="N83" i="10" s="1"/>
  <c r="O83" i="10" s="1"/>
  <c r="P83" i="10" s="1"/>
  <c r="Q83" i="10" s="1"/>
  <c r="R83" i="10" s="1"/>
  <c r="S83" i="10" s="1"/>
  <c r="T83" i="10" s="1"/>
  <c r="U83" i="10" s="1"/>
  <c r="V83" i="10" s="1"/>
  <c r="W83" i="10" s="1"/>
  <c r="X83" i="10" s="1"/>
  <c r="Y83" i="10" s="1"/>
  <c r="Z83" i="10" s="1"/>
  <c r="AA83" i="10" s="1"/>
  <c r="C82" i="10"/>
  <c r="B73" i="10"/>
  <c r="C72" i="10"/>
  <c r="D72" i="10" s="1"/>
  <c r="E72" i="10" s="1"/>
  <c r="F72" i="10" s="1"/>
  <c r="G72" i="10" s="1"/>
  <c r="H72" i="10" s="1"/>
  <c r="I72" i="10" s="1"/>
  <c r="J72" i="10" s="1"/>
  <c r="K72" i="10" s="1"/>
  <c r="L72" i="10" s="1"/>
  <c r="M72" i="10" s="1"/>
  <c r="N72" i="10" s="1"/>
  <c r="O72" i="10" s="1"/>
  <c r="P72" i="10" s="1"/>
  <c r="Q72" i="10" s="1"/>
  <c r="R72" i="10" s="1"/>
  <c r="S72" i="10" s="1"/>
  <c r="T72" i="10" s="1"/>
  <c r="U72" i="10" s="1"/>
  <c r="V72" i="10" s="1"/>
  <c r="W72" i="10" s="1"/>
  <c r="X72" i="10" s="1"/>
  <c r="Y72" i="10" s="1"/>
  <c r="Z72" i="10" s="1"/>
  <c r="AA72" i="10" s="1"/>
  <c r="C71" i="10"/>
  <c r="D71" i="10" s="1"/>
  <c r="C62" i="10"/>
  <c r="C61" i="10"/>
  <c r="B51" i="10"/>
  <c r="C39" i="10"/>
  <c r="D39" i="10" s="1"/>
  <c r="E39" i="10" s="1"/>
  <c r="F39" i="10" s="1"/>
  <c r="G39" i="10" s="1"/>
  <c r="H39" i="10" s="1"/>
  <c r="I39" i="10" s="1"/>
  <c r="J39" i="10" s="1"/>
  <c r="K39" i="10" s="1"/>
  <c r="L39" i="10" s="1"/>
  <c r="M39" i="10" s="1"/>
  <c r="N39" i="10" s="1"/>
  <c r="O39" i="10" s="1"/>
  <c r="P39" i="10" s="1"/>
  <c r="Q39" i="10" s="1"/>
  <c r="R39" i="10" s="1"/>
  <c r="S39" i="10" s="1"/>
  <c r="T39" i="10" s="1"/>
  <c r="U39" i="10" s="1"/>
  <c r="V39" i="10" s="1"/>
  <c r="W39" i="10" s="1"/>
  <c r="X39" i="10" s="1"/>
  <c r="Y39" i="10" s="1"/>
  <c r="Z39" i="10" s="1"/>
  <c r="AA39" i="10" s="1"/>
  <c r="C38" i="10"/>
  <c r="B29" i="10"/>
  <c r="B52" i="10" s="1"/>
  <c r="C28" i="10"/>
  <c r="D28" i="10" s="1"/>
  <c r="E28" i="10" s="1"/>
  <c r="F28" i="10" s="1"/>
  <c r="G28" i="10" s="1"/>
  <c r="H28" i="10" s="1"/>
  <c r="I28" i="10" s="1"/>
  <c r="J28" i="10" s="1"/>
  <c r="K28" i="10" s="1"/>
  <c r="L28" i="10" s="1"/>
  <c r="M28" i="10" s="1"/>
  <c r="N28" i="10" s="1"/>
  <c r="O28" i="10" s="1"/>
  <c r="P28" i="10" s="1"/>
  <c r="Q28" i="10" s="1"/>
  <c r="R28" i="10" s="1"/>
  <c r="S28" i="10" s="1"/>
  <c r="T28" i="10" s="1"/>
  <c r="U28" i="10" s="1"/>
  <c r="V28" i="10" s="1"/>
  <c r="W28" i="10" s="1"/>
  <c r="X28" i="10" s="1"/>
  <c r="Y28" i="10" s="1"/>
  <c r="Z28" i="10" s="1"/>
  <c r="AA28" i="10" s="1"/>
  <c r="AA51" i="10" s="1"/>
  <c r="X104" i="31" l="1"/>
  <c r="X10" i="31" s="1"/>
  <c r="X12" i="30" s="1"/>
  <c r="E104" i="31"/>
  <c r="E10" i="31" s="1"/>
  <c r="E12" i="30" s="1"/>
  <c r="W104" i="31"/>
  <c r="W10" i="31" s="1"/>
  <c r="W12" i="30" s="1"/>
  <c r="L104" i="31"/>
  <c r="L10" i="31" s="1"/>
  <c r="L12" i="30" s="1"/>
  <c r="F104" i="31"/>
  <c r="F10" i="31" s="1"/>
  <c r="F12" i="30" s="1"/>
  <c r="K104" i="31"/>
  <c r="K10" i="31" s="1"/>
  <c r="K12" i="30" s="1"/>
  <c r="S104" i="31"/>
  <c r="S10" i="31" s="1"/>
  <c r="S12" i="30" s="1"/>
  <c r="I104" i="31"/>
  <c r="I10" i="31" s="1"/>
  <c r="I12" i="30" s="1"/>
  <c r="J104" i="31"/>
  <c r="J10" i="31" s="1"/>
  <c r="J12" i="30" s="1"/>
  <c r="AA104" i="31"/>
  <c r="AA10" i="31" s="1"/>
  <c r="AA12" i="30" s="1"/>
  <c r="P104" i="31"/>
  <c r="P10" i="31" s="1"/>
  <c r="P12" i="30" s="1"/>
  <c r="H104" i="31"/>
  <c r="H10" i="31" s="1"/>
  <c r="H12" i="30" s="1"/>
  <c r="N104" i="31"/>
  <c r="N10" i="31" s="1"/>
  <c r="N12" i="30" s="1"/>
  <c r="Z104" i="31"/>
  <c r="Z10" i="31" s="1"/>
  <c r="Z12" i="30" s="1"/>
  <c r="G104" i="31"/>
  <c r="G10" i="31" s="1"/>
  <c r="G12" i="30" s="1"/>
  <c r="U104" i="31"/>
  <c r="U10" i="31" s="1"/>
  <c r="U12" i="30" s="1"/>
  <c r="O104" i="31"/>
  <c r="O10" i="31" s="1"/>
  <c r="O12" i="30" s="1"/>
  <c r="B104" i="31"/>
  <c r="B10" i="31" s="1"/>
  <c r="T104" i="31"/>
  <c r="T10" i="31" s="1"/>
  <c r="T12" i="30" s="1"/>
  <c r="M104" i="31"/>
  <c r="M10" i="31" s="1"/>
  <c r="M12" i="30" s="1"/>
  <c r="V104" i="31"/>
  <c r="V10" i="31" s="1"/>
  <c r="V12" i="30" s="1"/>
  <c r="Q104" i="31"/>
  <c r="Q10" i="31" s="1"/>
  <c r="Q12" i="30" s="1"/>
  <c r="F187" i="10"/>
  <c r="J187" i="10"/>
  <c r="N187" i="10"/>
  <c r="R187" i="10"/>
  <c r="V187" i="10"/>
  <c r="Z187" i="10"/>
  <c r="G187" i="10"/>
  <c r="K187" i="10"/>
  <c r="O187" i="10"/>
  <c r="S187" i="10"/>
  <c r="W187" i="10"/>
  <c r="AA187" i="10"/>
  <c r="D187" i="10"/>
  <c r="H187" i="10"/>
  <c r="L187" i="10"/>
  <c r="P187" i="10"/>
  <c r="T187" i="10"/>
  <c r="X187" i="10"/>
  <c r="C187" i="10"/>
  <c r="E187" i="10"/>
  <c r="I187" i="10"/>
  <c r="M187" i="10"/>
  <c r="Q187" i="10"/>
  <c r="U187" i="10"/>
  <c r="Y187" i="10"/>
  <c r="B14" i="30"/>
  <c r="S15" i="30"/>
  <c r="B42" i="20"/>
  <c r="D10" i="25"/>
  <c r="D41" i="20"/>
  <c r="E84" i="25"/>
  <c r="F81" i="25"/>
  <c r="W22" i="30"/>
  <c r="Y8" i="32"/>
  <c r="D42" i="20"/>
  <c r="C42" i="20"/>
  <c r="E42" i="20"/>
  <c r="H11" i="14"/>
  <c r="H43" i="1"/>
  <c r="C11" i="14"/>
  <c r="C43" i="1"/>
  <c r="E11" i="14"/>
  <c r="E43" i="1"/>
  <c r="D11" i="14"/>
  <c r="D43" i="1"/>
  <c r="B12" i="11"/>
  <c r="B22" i="1" s="1"/>
  <c r="B43" i="1"/>
  <c r="P10" i="14"/>
  <c r="C10" i="14"/>
  <c r="U10" i="14"/>
  <c r="D10" i="14"/>
  <c r="O10" i="14"/>
  <c r="N10" i="14"/>
  <c r="I10" i="14"/>
  <c r="Y10" i="14"/>
  <c r="H10" i="14"/>
  <c r="X10" i="14"/>
  <c r="S10" i="14"/>
  <c r="AA10" i="14"/>
  <c r="V10" i="14"/>
  <c r="M10" i="14"/>
  <c r="K10" i="14"/>
  <c r="J10" i="14"/>
  <c r="E10" i="14"/>
  <c r="T10" i="14"/>
  <c r="R10" i="14"/>
  <c r="L10" i="14"/>
  <c r="G10" i="14"/>
  <c r="W10" i="14"/>
  <c r="F10" i="14"/>
  <c r="Z10" i="14"/>
  <c r="Q10" i="14"/>
  <c r="F61" i="14"/>
  <c r="D36" i="1"/>
  <c r="D150" i="31"/>
  <c r="C152" i="31"/>
  <c r="C155" i="31" s="1"/>
  <c r="C12" i="31" s="1"/>
  <c r="U151" i="31"/>
  <c r="T186" i="31"/>
  <c r="T190" i="31" s="1"/>
  <c r="T13" i="31" s="1"/>
  <c r="T15" i="30" s="1"/>
  <c r="X127" i="31"/>
  <c r="Y114" i="31"/>
  <c r="Z139" i="31"/>
  <c r="Y154" i="31"/>
  <c r="Z185" i="31"/>
  <c r="Y189" i="31"/>
  <c r="X12" i="20"/>
  <c r="X10" i="21"/>
  <c r="I10" i="21"/>
  <c r="I12" i="20"/>
  <c r="U10" i="21"/>
  <c r="U12" i="20"/>
  <c r="T10" i="21"/>
  <c r="T12" i="20"/>
  <c r="D12" i="20"/>
  <c r="D10" i="21"/>
  <c r="L10" i="21"/>
  <c r="L12" i="20"/>
  <c r="Q12" i="20"/>
  <c r="Q10" i="21"/>
  <c r="S10" i="21"/>
  <c r="S12" i="20"/>
  <c r="B12" i="20"/>
  <c r="B10" i="21"/>
  <c r="O10" i="21"/>
  <c r="O12" i="20"/>
  <c r="C12" i="20"/>
  <c r="C10" i="21"/>
  <c r="V12" i="20"/>
  <c r="V10" i="21"/>
  <c r="M12" i="20"/>
  <c r="M10" i="21"/>
  <c r="AA10" i="21"/>
  <c r="AA12" i="20"/>
  <c r="G10" i="21"/>
  <c r="G12" i="20"/>
  <c r="K10" i="21"/>
  <c r="K12" i="20"/>
  <c r="H12" i="20"/>
  <c r="H10" i="21"/>
  <c r="P10" i="21"/>
  <c r="P12" i="20"/>
  <c r="Z12" i="20"/>
  <c r="Z10" i="21"/>
  <c r="B147" i="25"/>
  <c r="B151" i="25" s="1"/>
  <c r="B12" i="21"/>
  <c r="B14" i="20"/>
  <c r="E12" i="20"/>
  <c r="E10" i="21"/>
  <c r="R12" i="20"/>
  <c r="R10" i="21"/>
  <c r="F12" i="20"/>
  <c r="F10" i="21"/>
  <c r="Y10" i="21"/>
  <c r="Y12" i="20"/>
  <c r="N10" i="21"/>
  <c r="N12" i="20"/>
  <c r="W12" i="20"/>
  <c r="W10" i="21"/>
  <c r="J12" i="20"/>
  <c r="J10" i="21"/>
  <c r="D157" i="21"/>
  <c r="C159" i="21"/>
  <c r="C162" i="21" s="1"/>
  <c r="Y31" i="24"/>
  <c r="Z10" i="24"/>
  <c r="Y68" i="25"/>
  <c r="X70" i="25"/>
  <c r="X92" i="25"/>
  <c r="W115" i="25"/>
  <c r="Y28" i="23"/>
  <c r="Z10" i="23"/>
  <c r="X60" i="21"/>
  <c r="W86" i="21"/>
  <c r="Y57" i="22"/>
  <c r="X82" i="22"/>
  <c r="X96" i="22" s="1"/>
  <c r="W158" i="21"/>
  <c r="X146" i="25"/>
  <c r="W150" i="25"/>
  <c r="W83" i="25"/>
  <c r="X58" i="25"/>
  <c r="Z111" i="21"/>
  <c r="AA96" i="21"/>
  <c r="AA111" i="21" s="1"/>
  <c r="X28" i="25"/>
  <c r="W47" i="25"/>
  <c r="B11" i="14"/>
  <c r="D45" i="11"/>
  <c r="C41" i="1"/>
  <c r="C63" i="10"/>
  <c r="F39" i="14"/>
  <c r="E41" i="14"/>
  <c r="E51" i="14" s="1"/>
  <c r="D51" i="14"/>
  <c r="D9" i="14" s="1"/>
  <c r="J117" i="14"/>
  <c r="I121" i="14"/>
  <c r="D42" i="1"/>
  <c r="L42" i="1"/>
  <c r="T42" i="1"/>
  <c r="G42" i="1"/>
  <c r="O42" i="1"/>
  <c r="W42" i="1"/>
  <c r="F42" i="1"/>
  <c r="N42" i="1"/>
  <c r="R42" i="1"/>
  <c r="Z42" i="1"/>
  <c r="I42" i="1"/>
  <c r="Q42" i="1"/>
  <c r="Y42" i="1"/>
  <c r="H42" i="1"/>
  <c r="P42" i="1"/>
  <c r="X42" i="1"/>
  <c r="K42" i="1"/>
  <c r="S42" i="1"/>
  <c r="AA42" i="1"/>
  <c r="J42" i="1"/>
  <c r="C42" i="1"/>
  <c r="V42" i="1"/>
  <c r="E42" i="1"/>
  <c r="M42" i="1"/>
  <c r="U42" i="1"/>
  <c r="F141" i="14"/>
  <c r="E143" i="14"/>
  <c r="E146" i="14" s="1"/>
  <c r="J26" i="11"/>
  <c r="E75" i="11"/>
  <c r="D80" i="11"/>
  <c r="E36" i="11"/>
  <c r="C80" i="11"/>
  <c r="C12" i="11" s="1"/>
  <c r="B10" i="1"/>
  <c r="B8" i="10"/>
  <c r="D82" i="10"/>
  <c r="C84" i="10"/>
  <c r="F27" i="11"/>
  <c r="D38" i="10"/>
  <c r="C40" i="10"/>
  <c r="B197" i="10"/>
  <c r="B168" i="14"/>
  <c r="B171" i="14" s="1"/>
  <c r="C45" i="1"/>
  <c r="D45" i="1"/>
  <c r="F95" i="14"/>
  <c r="F120" i="14" s="1"/>
  <c r="F85" i="14"/>
  <c r="G61" i="14"/>
  <c r="G50" i="14"/>
  <c r="H29" i="14"/>
  <c r="F145" i="14"/>
  <c r="G132" i="14"/>
  <c r="E158" i="14"/>
  <c r="E170" i="14" s="1"/>
  <c r="F30" i="14"/>
  <c r="E32" i="13"/>
  <c r="E13" i="13" s="1"/>
  <c r="F27" i="13"/>
  <c r="D94" i="11"/>
  <c r="E89" i="11"/>
  <c r="D79" i="11"/>
  <c r="D93" i="11" s="1"/>
  <c r="E56" i="11"/>
  <c r="E65" i="11"/>
  <c r="F55" i="11"/>
  <c r="D185" i="10"/>
  <c r="C172" i="10"/>
  <c r="B173" i="10"/>
  <c r="B176" i="10" s="1"/>
  <c r="D160" i="10"/>
  <c r="C147" i="10"/>
  <c r="D137" i="10"/>
  <c r="D136" i="10"/>
  <c r="D149" i="10" s="1"/>
  <c r="C137" i="10"/>
  <c r="B150" i="10"/>
  <c r="E135" i="10"/>
  <c r="E137" i="10" s="1"/>
  <c r="D145" i="10"/>
  <c r="D147" i="10" s="1"/>
  <c r="B123" i="10"/>
  <c r="B126" i="10" s="1"/>
  <c r="C123" i="10"/>
  <c r="B87" i="10"/>
  <c r="D121" i="10"/>
  <c r="E121" i="10" s="1"/>
  <c r="E123" i="10" s="1"/>
  <c r="D95" i="10"/>
  <c r="C73" i="10"/>
  <c r="D73" i="10"/>
  <c r="C29" i="10"/>
  <c r="D29" i="10" s="1"/>
  <c r="E29" i="10" s="1"/>
  <c r="F29" i="10" s="1"/>
  <c r="G29" i="10" s="1"/>
  <c r="H29" i="10" s="1"/>
  <c r="I29" i="10" s="1"/>
  <c r="J29" i="10" s="1"/>
  <c r="K29" i="10" s="1"/>
  <c r="L29" i="10" s="1"/>
  <c r="M29" i="10" s="1"/>
  <c r="N29" i="10" s="1"/>
  <c r="O29" i="10" s="1"/>
  <c r="P29" i="10" s="1"/>
  <c r="Q29" i="10" s="1"/>
  <c r="R29" i="10" s="1"/>
  <c r="S29" i="10" s="1"/>
  <c r="T29" i="10" s="1"/>
  <c r="U29" i="10" s="1"/>
  <c r="V29" i="10" s="1"/>
  <c r="W29" i="10" s="1"/>
  <c r="X29" i="10" s="1"/>
  <c r="Y29" i="10" s="1"/>
  <c r="Z29" i="10" s="1"/>
  <c r="AA29" i="10" s="1"/>
  <c r="D61" i="10"/>
  <c r="D63" i="10" s="1"/>
  <c r="C86" i="10"/>
  <c r="D62" i="10"/>
  <c r="E71" i="10"/>
  <c r="E73" i="10" s="1"/>
  <c r="D51" i="10"/>
  <c r="F51" i="10"/>
  <c r="H51" i="10"/>
  <c r="J51" i="10"/>
  <c r="L51" i="10"/>
  <c r="N51" i="10"/>
  <c r="P51" i="10"/>
  <c r="R51" i="10"/>
  <c r="T51" i="10"/>
  <c r="V51" i="10"/>
  <c r="X51" i="10"/>
  <c r="Z51" i="10"/>
  <c r="C51" i="10"/>
  <c r="E51" i="10"/>
  <c r="G51" i="10"/>
  <c r="I51" i="10"/>
  <c r="K51" i="10"/>
  <c r="M51" i="10"/>
  <c r="O51" i="10"/>
  <c r="Q51" i="10"/>
  <c r="S51" i="10"/>
  <c r="U51" i="10"/>
  <c r="W51" i="10"/>
  <c r="Y51" i="10"/>
  <c r="B12" i="30" l="1"/>
  <c r="B16" i="30" s="1"/>
  <c r="B14" i="31"/>
  <c r="C14" i="30"/>
  <c r="C16" i="30" s="1"/>
  <c r="E217" i="7" s="1"/>
  <c r="E282" i="7" s="1"/>
  <c r="C14" i="31"/>
  <c r="B10" i="32"/>
  <c r="E41" i="20"/>
  <c r="E10" i="25"/>
  <c r="G81" i="25"/>
  <c r="F84" i="25"/>
  <c r="X22" i="30"/>
  <c r="Z8" i="32"/>
  <c r="I43" i="1"/>
  <c r="D12" i="11"/>
  <c r="I11" i="14"/>
  <c r="E12" i="14"/>
  <c r="E9" i="14"/>
  <c r="E36" i="1"/>
  <c r="E150" i="31"/>
  <c r="D152" i="31"/>
  <c r="D155" i="31" s="1"/>
  <c r="D12" i="31" s="1"/>
  <c r="V151" i="31"/>
  <c r="C22" i="1"/>
  <c r="U186" i="31"/>
  <c r="U190" i="31" s="1"/>
  <c r="U13" i="31" s="1"/>
  <c r="AA139" i="31"/>
  <c r="AA154" i="31" s="1"/>
  <c r="Z154" i="31"/>
  <c r="Y127" i="31"/>
  <c r="Z114" i="31"/>
  <c r="AA185" i="31"/>
  <c r="AA189" i="31" s="1"/>
  <c r="Z189" i="31"/>
  <c r="B15" i="20"/>
  <c r="C14" i="20"/>
  <c r="C15" i="20" s="1"/>
  <c r="E212" i="7" s="1"/>
  <c r="E277" i="7" s="1"/>
  <c r="C147" i="25"/>
  <c r="C151" i="25" s="1"/>
  <c r="C12" i="21"/>
  <c r="C13" i="21" s="1"/>
  <c r="E157" i="21"/>
  <c r="D159" i="21"/>
  <c r="D162" i="21" s="1"/>
  <c r="B14" i="25"/>
  <c r="B15" i="25" s="1"/>
  <c r="B45" i="20"/>
  <c r="B46" i="20" s="1"/>
  <c r="D216" i="7" s="1"/>
  <c r="D281" i="7" s="1"/>
  <c r="B13" i="21"/>
  <c r="AA10" i="23"/>
  <c r="AA28" i="23" s="1"/>
  <c r="Z28" i="23"/>
  <c r="Z68" i="25"/>
  <c r="Y70" i="25"/>
  <c r="Y146" i="25"/>
  <c r="X150" i="25"/>
  <c r="X158" i="21"/>
  <c r="Y60" i="21"/>
  <c r="X86" i="21"/>
  <c r="AA10" i="24"/>
  <c r="AA31" i="24" s="1"/>
  <c r="Z31" i="24"/>
  <c r="X83" i="25"/>
  <c r="Y58" i="25"/>
  <c r="Y28" i="25"/>
  <c r="X47" i="25"/>
  <c r="Z57" i="22"/>
  <c r="Y82" i="22"/>
  <c r="Y96" i="22" s="1"/>
  <c r="Y92" i="25"/>
  <c r="X115" i="25"/>
  <c r="B9" i="10"/>
  <c r="D41" i="1"/>
  <c r="B12" i="10"/>
  <c r="B155" i="14"/>
  <c r="B159" i="14" s="1"/>
  <c r="B11" i="1"/>
  <c r="G39" i="14"/>
  <c r="F41" i="14"/>
  <c r="F51" i="14" s="1"/>
  <c r="K117" i="14"/>
  <c r="J121" i="14"/>
  <c r="C52" i="10"/>
  <c r="E41" i="1"/>
  <c r="E45" i="1"/>
  <c r="B47" i="1"/>
  <c r="B14" i="14"/>
  <c r="G95" i="14"/>
  <c r="G120" i="14" s="1"/>
  <c r="G141" i="14"/>
  <c r="F143" i="14"/>
  <c r="F146" i="14" s="1"/>
  <c r="K26" i="11"/>
  <c r="F36" i="11"/>
  <c r="F75" i="11"/>
  <c r="E80" i="11"/>
  <c r="B13" i="1"/>
  <c r="B11" i="10"/>
  <c r="B15" i="1"/>
  <c r="B13" i="10"/>
  <c r="B12" i="1"/>
  <c r="B10" i="10"/>
  <c r="C87" i="10"/>
  <c r="E82" i="10"/>
  <c r="D84" i="10"/>
  <c r="G27" i="11"/>
  <c r="F45" i="11"/>
  <c r="E38" i="10"/>
  <c r="D40" i="10"/>
  <c r="D52" i="10" s="1"/>
  <c r="B14" i="1"/>
  <c r="C197" i="10"/>
  <c r="C168" i="14"/>
  <c r="C171" i="14" s="1"/>
  <c r="D197" i="10"/>
  <c r="D168" i="14"/>
  <c r="D171" i="14" s="1"/>
  <c r="G30" i="14"/>
  <c r="G145" i="14"/>
  <c r="H132" i="14"/>
  <c r="I29" i="14"/>
  <c r="H50" i="14"/>
  <c r="G85" i="14"/>
  <c r="H61" i="14"/>
  <c r="F158" i="14"/>
  <c r="F170" i="14" s="1"/>
  <c r="F32" i="13"/>
  <c r="F13" i="13" s="1"/>
  <c r="G27" i="13"/>
  <c r="E94" i="11"/>
  <c r="F89" i="11"/>
  <c r="G55" i="11"/>
  <c r="F65" i="11"/>
  <c r="E79" i="11"/>
  <c r="E93" i="11" s="1"/>
  <c r="F56" i="11"/>
  <c r="E185" i="10"/>
  <c r="D175" i="10"/>
  <c r="D196" i="10" s="1"/>
  <c r="E160" i="10"/>
  <c r="C173" i="10"/>
  <c r="C176" i="10" s="1"/>
  <c r="D172" i="10"/>
  <c r="C150" i="10"/>
  <c r="E136" i="10"/>
  <c r="E149" i="10" s="1"/>
  <c r="D150" i="10"/>
  <c r="E145" i="10"/>
  <c r="E147" i="10" s="1"/>
  <c r="F135" i="10"/>
  <c r="F137" i="10" s="1"/>
  <c r="D123" i="10"/>
  <c r="F121" i="10"/>
  <c r="F123" i="10" s="1"/>
  <c r="C111" i="10"/>
  <c r="C126" i="10" s="1"/>
  <c r="D125" i="10"/>
  <c r="E95" i="10"/>
  <c r="E61" i="10"/>
  <c r="E63" i="10" s="1"/>
  <c r="D86" i="10"/>
  <c r="E62" i="10"/>
  <c r="F71" i="10"/>
  <c r="F73" i="10" s="1"/>
  <c r="C10" i="32" l="1"/>
  <c r="C10" i="33"/>
  <c r="D14" i="30"/>
  <c r="D16" i="30" s="1"/>
  <c r="F217" i="7" s="1"/>
  <c r="F282" i="7" s="1"/>
  <c r="D14" i="31"/>
  <c r="U15" i="30"/>
  <c r="B11" i="22"/>
  <c r="D217" i="7"/>
  <c r="D282" i="7" s="1"/>
  <c r="B10" i="33"/>
  <c r="B12" i="33" s="1"/>
  <c r="D212" i="7"/>
  <c r="D277" i="7" s="1"/>
  <c r="G84" i="25"/>
  <c r="H81" i="25"/>
  <c r="F10" i="25"/>
  <c r="F41" i="20"/>
  <c r="Y22" i="30"/>
  <c r="AA8" i="32"/>
  <c r="D201" i="7"/>
  <c r="E197" i="7"/>
  <c r="E202" i="7"/>
  <c r="D197" i="7"/>
  <c r="D202" i="7"/>
  <c r="C11" i="22"/>
  <c r="C12" i="23"/>
  <c r="C12" i="24"/>
  <c r="C14" i="24" s="1"/>
  <c r="D22" i="1"/>
  <c r="B12" i="23"/>
  <c r="B12" i="24"/>
  <c r="E12" i="11"/>
  <c r="J43" i="1"/>
  <c r="F12" i="14"/>
  <c r="J11" i="14"/>
  <c r="C14" i="14"/>
  <c r="D14" i="14"/>
  <c r="F9" i="14"/>
  <c r="F36" i="1"/>
  <c r="F150" i="31"/>
  <c r="E152" i="31"/>
  <c r="E155" i="31" s="1"/>
  <c r="E12" i="31" s="1"/>
  <c r="W151" i="31"/>
  <c r="V186" i="31"/>
  <c r="V190" i="31" s="1"/>
  <c r="V13" i="31" s="1"/>
  <c r="AA114" i="31"/>
  <c r="AA127" i="31" s="1"/>
  <c r="Z127" i="31"/>
  <c r="C45" i="20"/>
  <c r="C46" i="20" s="1"/>
  <c r="E216" i="7" s="1"/>
  <c r="E281" i="7" s="1"/>
  <c r="C14" i="25"/>
  <c r="C15" i="25" s="1"/>
  <c r="D12" i="21"/>
  <c r="D13" i="21" s="1"/>
  <c r="D14" i="20"/>
  <c r="D15" i="20" s="1"/>
  <c r="F212" i="7" s="1"/>
  <c r="F277" i="7" s="1"/>
  <c r="D147" i="25"/>
  <c r="D151" i="25" s="1"/>
  <c r="E159" i="21"/>
  <c r="E162" i="21" s="1"/>
  <c r="F157" i="21"/>
  <c r="Y158" i="21"/>
  <c r="AA68" i="25"/>
  <c r="AA70" i="25" s="1"/>
  <c r="Z70" i="25"/>
  <c r="Z82" i="22"/>
  <c r="Z96" i="22" s="1"/>
  <c r="AA57" i="22"/>
  <c r="AA82" i="22" s="1"/>
  <c r="AA96" i="22" s="1"/>
  <c r="Y47" i="25"/>
  <c r="Z28" i="25"/>
  <c r="Z58" i="25"/>
  <c r="Y83" i="25"/>
  <c r="Y150" i="25"/>
  <c r="Z146" i="25"/>
  <c r="Z92" i="25"/>
  <c r="Y115" i="25"/>
  <c r="Z60" i="21"/>
  <c r="Y86" i="21"/>
  <c r="B13" i="14"/>
  <c r="B15" i="14" s="1"/>
  <c r="C12" i="10"/>
  <c r="C155" i="14"/>
  <c r="C159" i="14" s="1"/>
  <c r="C13" i="14" s="1"/>
  <c r="B14" i="10"/>
  <c r="H95" i="14"/>
  <c r="H120" i="14" s="1"/>
  <c r="H39" i="14"/>
  <c r="G41" i="14"/>
  <c r="G51" i="14" s="1"/>
  <c r="L117" i="14"/>
  <c r="K121" i="14"/>
  <c r="F45" i="1"/>
  <c r="F41" i="1"/>
  <c r="D47" i="1"/>
  <c r="C47" i="1"/>
  <c r="H141" i="14"/>
  <c r="G143" i="14"/>
  <c r="G146" i="14" s="1"/>
  <c r="L26" i="11"/>
  <c r="G75" i="11"/>
  <c r="F80" i="11"/>
  <c r="G36" i="11"/>
  <c r="C10" i="1"/>
  <c r="C8" i="10"/>
  <c r="D13" i="1"/>
  <c r="D11" i="10"/>
  <c r="C13" i="1"/>
  <c r="C11" i="10"/>
  <c r="D10" i="1"/>
  <c r="D8" i="10"/>
  <c r="C11" i="1"/>
  <c r="C9" i="10"/>
  <c r="D87" i="10"/>
  <c r="C12" i="1"/>
  <c r="C10" i="10"/>
  <c r="D15" i="1"/>
  <c r="D13" i="10"/>
  <c r="C15" i="1"/>
  <c r="C13" i="10"/>
  <c r="F82" i="10"/>
  <c r="E84" i="10"/>
  <c r="E87" i="10" s="1"/>
  <c r="G45" i="11"/>
  <c r="H27" i="11"/>
  <c r="F38" i="10"/>
  <c r="E40" i="10"/>
  <c r="E52" i="10" s="1"/>
  <c r="C14" i="1"/>
  <c r="B46" i="1"/>
  <c r="E197" i="10"/>
  <c r="E168" i="14"/>
  <c r="E171" i="14" s="1"/>
  <c r="G158" i="14"/>
  <c r="G170" i="14" s="1"/>
  <c r="H85" i="14"/>
  <c r="I61" i="14"/>
  <c r="H145" i="14"/>
  <c r="I132" i="14"/>
  <c r="I50" i="14"/>
  <c r="J29" i="14"/>
  <c r="H30" i="14"/>
  <c r="G32" i="13"/>
  <c r="G13" i="13" s="1"/>
  <c r="H27" i="13"/>
  <c r="F94" i="11"/>
  <c r="G89" i="11"/>
  <c r="F79" i="11"/>
  <c r="F93" i="11" s="1"/>
  <c r="G56" i="11"/>
  <c r="G65" i="11"/>
  <c r="H55" i="11"/>
  <c r="F185" i="10"/>
  <c r="E172" i="10"/>
  <c r="D173" i="10"/>
  <c r="D176" i="10" s="1"/>
  <c r="E175" i="10"/>
  <c r="E196" i="10" s="1"/>
  <c r="F160" i="10"/>
  <c r="F136" i="10"/>
  <c r="F149" i="10" s="1"/>
  <c r="G135" i="10"/>
  <c r="G137" i="10" s="1"/>
  <c r="E150" i="10"/>
  <c r="F145" i="10"/>
  <c r="F147" i="10" s="1"/>
  <c r="G121" i="10"/>
  <c r="G123" i="10" s="1"/>
  <c r="E125" i="10"/>
  <c r="F95" i="10"/>
  <c r="D111" i="10"/>
  <c r="D126" i="10" s="1"/>
  <c r="F61" i="10"/>
  <c r="F63" i="10" s="1"/>
  <c r="G71" i="10"/>
  <c r="G73" i="10" s="1"/>
  <c r="E86" i="10"/>
  <c r="F62" i="10"/>
  <c r="E14" i="30" l="1"/>
  <c r="E16" i="30" s="1"/>
  <c r="G217" i="7" s="1"/>
  <c r="G282" i="7" s="1"/>
  <c r="E14" i="31"/>
  <c r="V15" i="30"/>
  <c r="D10" i="32"/>
  <c r="D10" i="33"/>
  <c r="C13" i="22"/>
  <c r="I81" i="25"/>
  <c r="H84" i="25"/>
  <c r="G10" i="25"/>
  <c r="G41" i="20"/>
  <c r="Z22" i="30"/>
  <c r="B28" i="30"/>
  <c r="B30" i="30" s="1"/>
  <c r="E201" i="7"/>
  <c r="F197" i="7"/>
  <c r="F202" i="7"/>
  <c r="C21" i="30"/>
  <c r="C23" i="30" s="1"/>
  <c r="B21" i="30"/>
  <c r="B23" i="30" s="1"/>
  <c r="B20" i="20"/>
  <c r="B22" i="20" s="1"/>
  <c r="B12" i="32"/>
  <c r="C12" i="32"/>
  <c r="B13" i="22"/>
  <c r="E22" i="1"/>
  <c r="C20" i="20"/>
  <c r="C22" i="20" s="1"/>
  <c r="D11" i="22"/>
  <c r="D20" i="20" s="1"/>
  <c r="D22" i="20" s="1"/>
  <c r="D12" i="23"/>
  <c r="D12" i="24"/>
  <c r="D14" i="24" s="1"/>
  <c r="K43" i="1"/>
  <c r="E14" i="14"/>
  <c r="G12" i="14"/>
  <c r="G9" i="14"/>
  <c r="K11" i="14"/>
  <c r="F12" i="11"/>
  <c r="F22" i="1" s="1"/>
  <c r="B12" i="12"/>
  <c r="B12" i="13"/>
  <c r="I95" i="14"/>
  <c r="I120" i="14" s="1"/>
  <c r="B11" i="11"/>
  <c r="X151" i="31"/>
  <c r="G150" i="31"/>
  <c r="F152" i="31"/>
  <c r="F155" i="31" s="1"/>
  <c r="F12" i="31" s="1"/>
  <c r="C28" i="30"/>
  <c r="C30" i="30" s="1"/>
  <c r="C12" i="33"/>
  <c r="W186" i="31"/>
  <c r="W190" i="31" s="1"/>
  <c r="W13" i="31" s="1"/>
  <c r="D45" i="20"/>
  <c r="D46" i="20" s="1"/>
  <c r="F216" i="7" s="1"/>
  <c r="F281" i="7" s="1"/>
  <c r="D14" i="25"/>
  <c r="D15" i="25" s="1"/>
  <c r="B14" i="23"/>
  <c r="B27" i="20"/>
  <c r="B29" i="20" s="1"/>
  <c r="B34" i="20"/>
  <c r="B36" i="20" s="1"/>
  <c r="B14" i="24"/>
  <c r="C34" i="20"/>
  <c r="C36" i="20" s="1"/>
  <c r="E147" i="25"/>
  <c r="E151" i="25" s="1"/>
  <c r="E12" i="21"/>
  <c r="E13" i="21" s="1"/>
  <c r="E14" i="20"/>
  <c r="E15" i="20" s="1"/>
  <c r="G157" i="21"/>
  <c r="F159" i="21"/>
  <c r="F162" i="21" s="1"/>
  <c r="C14" i="23"/>
  <c r="C27" i="20"/>
  <c r="C29" i="20" s="1"/>
  <c r="Z115" i="25"/>
  <c r="AA92" i="25"/>
  <c r="AA115" i="25" s="1"/>
  <c r="AA146" i="25"/>
  <c r="AA150" i="25" s="1"/>
  <c r="Z150" i="25"/>
  <c r="Z158" i="21"/>
  <c r="Z86" i="21"/>
  <c r="AA60" i="21"/>
  <c r="AA86" i="21" s="1"/>
  <c r="AA58" i="25"/>
  <c r="AA83" i="25" s="1"/>
  <c r="Z83" i="25"/>
  <c r="Z47" i="25"/>
  <c r="AA28" i="25"/>
  <c r="AA47" i="25" s="1"/>
  <c r="G36" i="1"/>
  <c r="C15" i="14"/>
  <c r="D12" i="10"/>
  <c r="D155" i="14"/>
  <c r="D159" i="14" s="1"/>
  <c r="D13" i="14" s="1"/>
  <c r="I39" i="14"/>
  <c r="H41" i="14"/>
  <c r="H51" i="14" s="1"/>
  <c r="G136" i="10"/>
  <c r="G149" i="10" s="1"/>
  <c r="M117" i="14"/>
  <c r="L121" i="14"/>
  <c r="G41" i="1"/>
  <c r="E47" i="1"/>
  <c r="G45" i="1"/>
  <c r="I141" i="14"/>
  <c r="H143" i="14"/>
  <c r="H146" i="14" s="1"/>
  <c r="M26" i="11"/>
  <c r="H36" i="11"/>
  <c r="H46" i="11" s="1"/>
  <c r="H75" i="11"/>
  <c r="G80" i="11"/>
  <c r="E13" i="1"/>
  <c r="E11" i="10"/>
  <c r="E15" i="1"/>
  <c r="E13" i="10"/>
  <c r="C14" i="10"/>
  <c r="D12" i="1"/>
  <c r="D10" i="10"/>
  <c r="E10" i="1"/>
  <c r="E8" i="10"/>
  <c r="E11" i="1"/>
  <c r="E9" i="10"/>
  <c r="D11" i="1"/>
  <c r="D9" i="10"/>
  <c r="G82" i="10"/>
  <c r="F84" i="10"/>
  <c r="F87" i="10" s="1"/>
  <c r="I27" i="11"/>
  <c r="H45" i="11"/>
  <c r="G38" i="10"/>
  <c r="F40" i="10"/>
  <c r="F52" i="10" s="1"/>
  <c r="C46" i="1"/>
  <c r="D14" i="1"/>
  <c r="F197" i="10"/>
  <c r="F168" i="14"/>
  <c r="F171" i="14" s="1"/>
  <c r="I30" i="14"/>
  <c r="K29" i="14"/>
  <c r="J50" i="14"/>
  <c r="I145" i="14"/>
  <c r="J132" i="14"/>
  <c r="J95" i="14"/>
  <c r="I85" i="14"/>
  <c r="J61" i="14"/>
  <c r="H158" i="14"/>
  <c r="H170" i="14" s="1"/>
  <c r="H32" i="13"/>
  <c r="I27" i="13"/>
  <c r="G94" i="11"/>
  <c r="H89" i="11"/>
  <c r="I55" i="11"/>
  <c r="H65" i="11"/>
  <c r="G79" i="11"/>
  <c r="G93" i="11" s="1"/>
  <c r="H56" i="11"/>
  <c r="G185" i="10"/>
  <c r="F175" i="10"/>
  <c r="F196" i="10" s="1"/>
  <c r="G160" i="10"/>
  <c r="E173" i="10"/>
  <c r="E176" i="10" s="1"/>
  <c r="F172" i="10"/>
  <c r="H121" i="10"/>
  <c r="H123" i="10" s="1"/>
  <c r="F150" i="10"/>
  <c r="G145" i="10"/>
  <c r="G147" i="10" s="1"/>
  <c r="H135" i="10"/>
  <c r="H137" i="10" s="1"/>
  <c r="G61" i="10"/>
  <c r="G63" i="10" s="1"/>
  <c r="E111" i="10"/>
  <c r="E126" i="10" s="1"/>
  <c r="F125" i="10"/>
  <c r="G95" i="10"/>
  <c r="F86" i="10"/>
  <c r="G62" i="10"/>
  <c r="H71" i="10"/>
  <c r="H73" i="10" s="1"/>
  <c r="W15" i="30" l="1"/>
  <c r="F14" i="30"/>
  <c r="F16" i="30" s="1"/>
  <c r="H217" i="7" s="1"/>
  <c r="H282" i="7" s="1"/>
  <c r="F14" i="31"/>
  <c r="D204" i="7"/>
  <c r="G212" i="7"/>
  <c r="G277" i="7" s="1"/>
  <c r="E10" i="33"/>
  <c r="E10" i="32"/>
  <c r="H10" i="25"/>
  <c r="H41" i="20"/>
  <c r="I84" i="25"/>
  <c r="J81" i="25"/>
  <c r="AA22" i="30"/>
  <c r="D219" i="7"/>
  <c r="D284" i="7" s="1"/>
  <c r="F198" i="7"/>
  <c r="F213" i="7"/>
  <c r="F278" i="7" s="1"/>
  <c r="E199" i="7"/>
  <c r="E214" i="7"/>
  <c r="E279" i="7" s="1"/>
  <c r="E200" i="7"/>
  <c r="E215" i="7"/>
  <c r="E280" i="7" s="1"/>
  <c r="D200" i="7"/>
  <c r="D215" i="7"/>
  <c r="D280" i="7" s="1"/>
  <c r="D199" i="7"/>
  <c r="D214" i="7"/>
  <c r="D279" i="7" s="1"/>
  <c r="E198" i="7"/>
  <c r="E213" i="7"/>
  <c r="E278" i="7" s="1"/>
  <c r="E203" i="7"/>
  <c r="E218" i="7"/>
  <c r="E283" i="7" s="1"/>
  <c r="E204" i="7"/>
  <c r="E219" i="7"/>
  <c r="E284" i="7" s="1"/>
  <c r="D198" i="7"/>
  <c r="D213" i="7"/>
  <c r="D278" i="7" s="1"/>
  <c r="D203" i="7"/>
  <c r="D218" i="7"/>
  <c r="D283" i="7" s="1"/>
  <c r="F201" i="7"/>
  <c r="G202" i="7"/>
  <c r="G197" i="7"/>
  <c r="D21" i="30"/>
  <c r="D23" i="30" s="1"/>
  <c r="B21" i="1"/>
  <c r="D12" i="32"/>
  <c r="B13" i="11"/>
  <c r="D13" i="22"/>
  <c r="E11" i="22"/>
  <c r="E13" i="22" s="1"/>
  <c r="E12" i="24"/>
  <c r="E14" i="24" s="1"/>
  <c r="E12" i="23"/>
  <c r="L43" i="1"/>
  <c r="H9" i="14"/>
  <c r="H12" i="14"/>
  <c r="L11" i="14"/>
  <c r="F14" i="14"/>
  <c r="C11" i="11"/>
  <c r="C12" i="12"/>
  <c r="C14" i="12" s="1"/>
  <c r="C12" i="13"/>
  <c r="G12" i="11"/>
  <c r="G22" i="1" s="1"/>
  <c r="H13" i="13"/>
  <c r="D12" i="33"/>
  <c r="D28" i="30"/>
  <c r="D30" i="30" s="1"/>
  <c r="H150" i="31"/>
  <c r="G152" i="31"/>
  <c r="Y151" i="31"/>
  <c r="X186" i="31"/>
  <c r="X190" i="31" s="1"/>
  <c r="X13" i="31" s="1"/>
  <c r="E14" i="25"/>
  <c r="E15" i="25" s="1"/>
  <c r="E45" i="20"/>
  <c r="E46" i="20" s="1"/>
  <c r="G216" i="7" s="1"/>
  <c r="G281" i="7" s="1"/>
  <c r="F147" i="25"/>
  <c r="F151" i="25" s="1"/>
  <c r="F12" i="21"/>
  <c r="F13" i="21" s="1"/>
  <c r="F14" i="20"/>
  <c r="F15" i="20" s="1"/>
  <c r="H212" i="7" s="1"/>
  <c r="H277" i="7" s="1"/>
  <c r="D27" i="20"/>
  <c r="D29" i="20" s="1"/>
  <c r="D14" i="23"/>
  <c r="G159" i="21"/>
  <c r="H157" i="21"/>
  <c r="D34" i="20"/>
  <c r="D36" i="20" s="1"/>
  <c r="AA158" i="21"/>
  <c r="B14" i="13"/>
  <c r="D15" i="14"/>
  <c r="B28" i="1"/>
  <c r="B30" i="1" s="1"/>
  <c r="H136" i="10"/>
  <c r="B14" i="12"/>
  <c r="B35" i="1"/>
  <c r="E12" i="10"/>
  <c r="E155" i="14"/>
  <c r="E159" i="14" s="1"/>
  <c r="E13" i="14" s="1"/>
  <c r="D14" i="10"/>
  <c r="J39" i="14"/>
  <c r="I41" i="14"/>
  <c r="I51" i="14" s="1"/>
  <c r="N117" i="14"/>
  <c r="M121" i="14"/>
  <c r="H41" i="1"/>
  <c r="F47" i="1"/>
  <c r="H45" i="1"/>
  <c r="J141" i="14"/>
  <c r="I143" i="14"/>
  <c r="I146" i="14" s="1"/>
  <c r="N26" i="11"/>
  <c r="I75" i="11"/>
  <c r="H80" i="11"/>
  <c r="I36" i="11"/>
  <c r="I46" i="11" s="1"/>
  <c r="F11" i="1"/>
  <c r="F9" i="10"/>
  <c r="F10" i="1"/>
  <c r="F8" i="10"/>
  <c r="E12" i="1"/>
  <c r="E10" i="10"/>
  <c r="F13" i="1"/>
  <c r="F11" i="10"/>
  <c r="F15" i="1"/>
  <c r="F13" i="10"/>
  <c r="H82" i="10"/>
  <c r="G84" i="10"/>
  <c r="G87" i="10" s="1"/>
  <c r="J27" i="11"/>
  <c r="I45" i="11"/>
  <c r="H38" i="10"/>
  <c r="G40" i="10"/>
  <c r="G52" i="10" s="1"/>
  <c r="E14" i="1"/>
  <c r="D46" i="1"/>
  <c r="G197" i="10"/>
  <c r="G168" i="14"/>
  <c r="G171" i="14" s="1"/>
  <c r="I158" i="14"/>
  <c r="I170" i="14" s="1"/>
  <c r="J85" i="14"/>
  <c r="K61" i="14"/>
  <c r="J120" i="14"/>
  <c r="K95" i="14"/>
  <c r="J145" i="14"/>
  <c r="K132" i="14"/>
  <c r="K50" i="14"/>
  <c r="L29" i="14"/>
  <c r="J30" i="14"/>
  <c r="I32" i="13"/>
  <c r="J27" i="13"/>
  <c r="H94" i="11"/>
  <c r="I89" i="11"/>
  <c r="I56" i="11"/>
  <c r="H79" i="11"/>
  <c r="H93" i="11" s="1"/>
  <c r="I65" i="11"/>
  <c r="J55" i="11"/>
  <c r="H185" i="10"/>
  <c r="G172" i="10"/>
  <c r="F173" i="10"/>
  <c r="F176" i="10" s="1"/>
  <c r="G175" i="10"/>
  <c r="G196" i="10" s="1"/>
  <c r="H160" i="10"/>
  <c r="H61" i="10"/>
  <c r="H63" i="10" s="1"/>
  <c r="I121" i="10"/>
  <c r="I123" i="10" s="1"/>
  <c r="H149" i="10"/>
  <c r="I136" i="10"/>
  <c r="G150" i="10"/>
  <c r="H145" i="10"/>
  <c r="H147" i="10" s="1"/>
  <c r="I135" i="10"/>
  <c r="I137" i="10" s="1"/>
  <c r="G125" i="10"/>
  <c r="H95" i="10"/>
  <c r="F111" i="10"/>
  <c r="F126" i="10" s="1"/>
  <c r="I71" i="10"/>
  <c r="I73" i="10" s="1"/>
  <c r="G86" i="10"/>
  <c r="H62" i="10"/>
  <c r="X15" i="30" l="1"/>
  <c r="F10" i="32"/>
  <c r="F10" i="33"/>
  <c r="I41" i="20"/>
  <c r="I10" i="25"/>
  <c r="K81" i="25"/>
  <c r="J84" i="25"/>
  <c r="D194" i="7"/>
  <c r="D209" i="7"/>
  <c r="D274" i="7" s="1"/>
  <c r="F203" i="7"/>
  <c r="F218" i="7"/>
  <c r="F283" i="7" s="1"/>
  <c r="F200" i="7"/>
  <c r="F215" i="7"/>
  <c r="F280" i="7" s="1"/>
  <c r="F199" i="7"/>
  <c r="F214" i="7"/>
  <c r="F279" i="7" s="1"/>
  <c r="F204" i="7"/>
  <c r="F219" i="7"/>
  <c r="F284" i="7" s="1"/>
  <c r="G201" i="7"/>
  <c r="H197" i="7"/>
  <c r="H202" i="7"/>
  <c r="E21" i="30"/>
  <c r="E23" i="30" s="1"/>
  <c r="E20" i="20"/>
  <c r="E22" i="20" s="1"/>
  <c r="E12" i="32"/>
  <c r="H12" i="11"/>
  <c r="F11" i="22"/>
  <c r="F12" i="23"/>
  <c r="F12" i="24"/>
  <c r="I12" i="14"/>
  <c r="I9" i="14"/>
  <c r="G14" i="14"/>
  <c r="D12" i="12"/>
  <c r="D14" i="12" s="1"/>
  <c r="D12" i="13"/>
  <c r="I13" i="13"/>
  <c r="H36" i="1"/>
  <c r="I150" i="31"/>
  <c r="H152" i="31"/>
  <c r="G155" i="31"/>
  <c r="G12" i="31" s="1"/>
  <c r="E12" i="33"/>
  <c r="E28" i="30"/>
  <c r="E30" i="30" s="1"/>
  <c r="D11" i="11"/>
  <c r="D13" i="11" s="1"/>
  <c r="Z151" i="31"/>
  <c r="Y186" i="31"/>
  <c r="Y190" i="31" s="1"/>
  <c r="Y13" i="31" s="1"/>
  <c r="E34" i="20"/>
  <c r="E36" i="20" s="1"/>
  <c r="G162" i="21"/>
  <c r="G147" i="25"/>
  <c r="G151" i="25" s="1"/>
  <c r="F45" i="20"/>
  <c r="F46" i="20" s="1"/>
  <c r="F14" i="25"/>
  <c r="F15" i="25" s="1"/>
  <c r="I157" i="21"/>
  <c r="H159" i="21"/>
  <c r="E27" i="20"/>
  <c r="E29" i="20" s="1"/>
  <c r="E14" i="23"/>
  <c r="F155" i="14"/>
  <c r="E15" i="14"/>
  <c r="E14" i="10"/>
  <c r="K39" i="14"/>
  <c r="J41" i="14"/>
  <c r="J51" i="14" s="1"/>
  <c r="J121" i="10"/>
  <c r="J123" i="10" s="1"/>
  <c r="O117" i="14"/>
  <c r="N121" i="14"/>
  <c r="I41" i="1"/>
  <c r="G47" i="1"/>
  <c r="C13" i="11"/>
  <c r="C21" i="1"/>
  <c r="C14" i="13"/>
  <c r="C35" i="1"/>
  <c r="I45" i="1"/>
  <c r="C28" i="1"/>
  <c r="C30" i="1" s="1"/>
  <c r="K141" i="14"/>
  <c r="J143" i="14"/>
  <c r="J146" i="14" s="1"/>
  <c r="O26" i="11"/>
  <c r="J36" i="11"/>
  <c r="J46" i="11" s="1"/>
  <c r="J75" i="11"/>
  <c r="F12" i="1"/>
  <c r="F10" i="10"/>
  <c r="F14" i="1"/>
  <c r="F12" i="10"/>
  <c r="G15" i="1"/>
  <c r="G13" i="10"/>
  <c r="G13" i="1"/>
  <c r="G11" i="10"/>
  <c r="G10" i="1"/>
  <c r="G8" i="10"/>
  <c r="G11" i="1"/>
  <c r="G9" i="10"/>
  <c r="I82" i="10"/>
  <c r="H84" i="10"/>
  <c r="H87" i="10" s="1"/>
  <c r="K27" i="11"/>
  <c r="J45" i="11"/>
  <c r="I38" i="10"/>
  <c r="H40" i="10"/>
  <c r="H52" i="10" s="1"/>
  <c r="E46" i="1"/>
  <c r="H197" i="10"/>
  <c r="H168" i="14"/>
  <c r="H171" i="14" s="1"/>
  <c r="K30" i="14"/>
  <c r="M29" i="14"/>
  <c r="L50" i="14"/>
  <c r="K145" i="14"/>
  <c r="L132" i="14"/>
  <c r="K120" i="14"/>
  <c r="L95" i="14"/>
  <c r="K85" i="14"/>
  <c r="L61" i="14"/>
  <c r="J158" i="14"/>
  <c r="J170" i="14" s="1"/>
  <c r="J32" i="13"/>
  <c r="K27" i="13"/>
  <c r="I94" i="11"/>
  <c r="J89" i="11"/>
  <c r="I79" i="11"/>
  <c r="I93" i="11" s="1"/>
  <c r="J56" i="11"/>
  <c r="K55" i="11"/>
  <c r="I80" i="11"/>
  <c r="J65" i="11"/>
  <c r="I61" i="10"/>
  <c r="I63" i="10" s="1"/>
  <c r="I185" i="10"/>
  <c r="H175" i="10"/>
  <c r="H196" i="10" s="1"/>
  <c r="I160" i="10"/>
  <c r="G173" i="10"/>
  <c r="H172" i="10"/>
  <c r="J135" i="10"/>
  <c r="J137" i="10" s="1"/>
  <c r="H150" i="10"/>
  <c r="I145" i="10"/>
  <c r="I147" i="10" s="1"/>
  <c r="I149" i="10"/>
  <c r="J136" i="10"/>
  <c r="G111" i="10"/>
  <c r="G126" i="10" s="1"/>
  <c r="H125" i="10"/>
  <c r="I95" i="10"/>
  <c r="H86" i="10"/>
  <c r="I62" i="10"/>
  <c r="J71" i="10"/>
  <c r="J73" i="10" s="1"/>
  <c r="Y15" i="30" l="1"/>
  <c r="G14" i="30"/>
  <c r="G16" i="30" s="1"/>
  <c r="G14" i="31"/>
  <c r="H216" i="7"/>
  <c r="H281" i="7" s="1"/>
  <c r="K84" i="25"/>
  <c r="L81" i="25"/>
  <c r="J10" i="25"/>
  <c r="J41" i="20"/>
  <c r="G204" i="7"/>
  <c r="G219" i="7"/>
  <c r="G284" i="7" s="1"/>
  <c r="E194" i="7"/>
  <c r="E209" i="7"/>
  <c r="E274" i="7" s="1"/>
  <c r="G199" i="7"/>
  <c r="G214" i="7"/>
  <c r="G279" i="7" s="1"/>
  <c r="G198" i="7"/>
  <c r="G213" i="7"/>
  <c r="G278" i="7" s="1"/>
  <c r="G200" i="7"/>
  <c r="G215" i="7"/>
  <c r="G280" i="7" s="1"/>
  <c r="G203" i="7"/>
  <c r="G218" i="7"/>
  <c r="G283" i="7" s="1"/>
  <c r="H201" i="7"/>
  <c r="F21" i="30"/>
  <c r="F23" i="30" s="1"/>
  <c r="F12" i="32"/>
  <c r="F20" i="20"/>
  <c r="F22" i="20" s="1"/>
  <c r="F13" i="22"/>
  <c r="I12" i="11"/>
  <c r="F14" i="24"/>
  <c r="F34" i="20"/>
  <c r="F36" i="20" s="1"/>
  <c r="F27" i="20"/>
  <c r="F29" i="20" s="1"/>
  <c r="F14" i="23"/>
  <c r="I36" i="1"/>
  <c r="H14" i="14"/>
  <c r="J9" i="14"/>
  <c r="J12" i="14"/>
  <c r="F159" i="14"/>
  <c r="F13" i="14" s="1"/>
  <c r="F15" i="14" s="1"/>
  <c r="E12" i="13"/>
  <c r="E12" i="12"/>
  <c r="E14" i="12" s="1"/>
  <c r="J13" i="13"/>
  <c r="D35" i="1"/>
  <c r="AA151" i="31"/>
  <c r="D14" i="13"/>
  <c r="E11" i="11"/>
  <c r="J150" i="31"/>
  <c r="I152" i="31"/>
  <c r="H155" i="31"/>
  <c r="H12" i="31" s="1"/>
  <c r="F28" i="30"/>
  <c r="F30" i="30" s="1"/>
  <c r="F12" i="33"/>
  <c r="Z186" i="31"/>
  <c r="Z190" i="31" s="1"/>
  <c r="Z13" i="31" s="1"/>
  <c r="H147" i="25"/>
  <c r="H151" i="25" s="1"/>
  <c r="H162" i="21"/>
  <c r="I159" i="21"/>
  <c r="J157" i="21"/>
  <c r="G14" i="25"/>
  <c r="G15" i="25" s="1"/>
  <c r="G45" i="20"/>
  <c r="G46" i="20" s="1"/>
  <c r="I216" i="7" s="1"/>
  <c r="I281" i="7" s="1"/>
  <c r="G14" i="20"/>
  <c r="G15" i="20" s="1"/>
  <c r="G12" i="21"/>
  <c r="G13" i="21" s="1"/>
  <c r="D28" i="1"/>
  <c r="D30" i="1" s="1"/>
  <c r="D21" i="1"/>
  <c r="K121" i="10"/>
  <c r="K123" i="10" s="1"/>
  <c r="G176" i="10"/>
  <c r="G155" i="14"/>
  <c r="L39" i="14"/>
  <c r="K41" i="14"/>
  <c r="K51" i="14" s="1"/>
  <c r="P117" i="14"/>
  <c r="O121" i="14"/>
  <c r="J41" i="1"/>
  <c r="H47" i="1"/>
  <c r="H22" i="1"/>
  <c r="J45" i="1"/>
  <c r="L141" i="14"/>
  <c r="K143" i="14"/>
  <c r="K146" i="14" s="1"/>
  <c r="P26" i="11"/>
  <c r="K75" i="11"/>
  <c r="J80" i="11"/>
  <c r="K36" i="11"/>
  <c r="K46" i="11" s="1"/>
  <c r="F14" i="10"/>
  <c r="G12" i="1"/>
  <c r="G10" i="10"/>
  <c r="H15" i="1"/>
  <c r="H13" i="10"/>
  <c r="H13" i="1"/>
  <c r="H11" i="10"/>
  <c r="H10" i="1"/>
  <c r="H8" i="10"/>
  <c r="H11" i="1"/>
  <c r="H9" i="10"/>
  <c r="J82" i="10"/>
  <c r="I84" i="10"/>
  <c r="I87" i="10" s="1"/>
  <c r="L27" i="11"/>
  <c r="K45" i="11"/>
  <c r="J38" i="10"/>
  <c r="I40" i="10"/>
  <c r="I52" i="10" s="1"/>
  <c r="I197" i="10"/>
  <c r="I168" i="14"/>
  <c r="I171" i="14" s="1"/>
  <c r="K158" i="14"/>
  <c r="K170" i="14" s="1"/>
  <c r="L85" i="14"/>
  <c r="M61" i="14"/>
  <c r="L120" i="14"/>
  <c r="M95" i="14"/>
  <c r="L145" i="14"/>
  <c r="M132" i="14"/>
  <c r="M50" i="14"/>
  <c r="N29" i="14"/>
  <c r="L30" i="14"/>
  <c r="K32" i="13"/>
  <c r="L27" i="13"/>
  <c r="J94" i="11"/>
  <c r="K89" i="11"/>
  <c r="K65" i="11"/>
  <c r="L55" i="11"/>
  <c r="J79" i="11"/>
  <c r="J93" i="11" s="1"/>
  <c r="K56" i="11"/>
  <c r="J61" i="10"/>
  <c r="J63" i="10" s="1"/>
  <c r="J185" i="10"/>
  <c r="I172" i="10"/>
  <c r="H173" i="10"/>
  <c r="I175" i="10"/>
  <c r="I196" i="10" s="1"/>
  <c r="J160" i="10"/>
  <c r="J149" i="10"/>
  <c r="K136" i="10"/>
  <c r="I150" i="10"/>
  <c r="J145" i="10"/>
  <c r="J147" i="10" s="1"/>
  <c r="K135" i="10"/>
  <c r="K137" i="10" s="1"/>
  <c r="I125" i="10"/>
  <c r="J95" i="10"/>
  <c r="H111" i="10"/>
  <c r="H126" i="10" s="1"/>
  <c r="L121" i="10"/>
  <c r="L123" i="10" s="1"/>
  <c r="K71" i="10"/>
  <c r="K73" i="10" s="1"/>
  <c r="I86" i="10"/>
  <c r="J62" i="10"/>
  <c r="Z15" i="30" l="1"/>
  <c r="H14" i="30"/>
  <c r="H16" i="30" s="1"/>
  <c r="J217" i="7" s="1"/>
  <c r="J282" i="7" s="1"/>
  <c r="H14" i="31"/>
  <c r="I212" i="7"/>
  <c r="I277" i="7" s="1"/>
  <c r="G10" i="32"/>
  <c r="G12" i="32" s="1"/>
  <c r="G10" i="33"/>
  <c r="G12" i="33" s="1"/>
  <c r="I217" i="7"/>
  <c r="I282" i="7" s="1"/>
  <c r="M81" i="25"/>
  <c r="L84" i="25"/>
  <c r="K41" i="20"/>
  <c r="K10" i="25"/>
  <c r="H199" i="7"/>
  <c r="H214" i="7"/>
  <c r="H279" i="7" s="1"/>
  <c r="H198" i="7"/>
  <c r="H213" i="7"/>
  <c r="H278" i="7" s="1"/>
  <c r="F194" i="7"/>
  <c r="F209" i="7"/>
  <c r="F274" i="7" s="1"/>
  <c r="H200" i="7"/>
  <c r="H215" i="7"/>
  <c r="H280" i="7" s="1"/>
  <c r="H203" i="7"/>
  <c r="H218" i="7"/>
  <c r="H283" i="7" s="1"/>
  <c r="H204" i="7"/>
  <c r="H219" i="7"/>
  <c r="H284" i="7" s="1"/>
  <c r="I201" i="7"/>
  <c r="I197" i="7"/>
  <c r="I202" i="7"/>
  <c r="J36" i="1"/>
  <c r="G11" i="22"/>
  <c r="G12" i="24"/>
  <c r="G12" i="23"/>
  <c r="F46" i="1"/>
  <c r="J12" i="11"/>
  <c r="K12" i="14"/>
  <c r="K9" i="14"/>
  <c r="I14" i="14"/>
  <c r="G159" i="14"/>
  <c r="G13" i="14" s="1"/>
  <c r="G15" i="14" s="1"/>
  <c r="F11" i="11"/>
  <c r="F12" i="12"/>
  <c r="F14" i="12" s="1"/>
  <c r="F12" i="13"/>
  <c r="K13" i="13"/>
  <c r="E28" i="1"/>
  <c r="E30" i="1" s="1"/>
  <c r="K150" i="31"/>
  <c r="J152" i="31"/>
  <c r="I155" i="31"/>
  <c r="I12" i="31" s="1"/>
  <c r="AA186" i="31"/>
  <c r="AA190" i="31" s="1"/>
  <c r="AA13" i="31" s="1"/>
  <c r="K157" i="21"/>
  <c r="J159" i="21"/>
  <c r="I162" i="21"/>
  <c r="I147" i="25"/>
  <c r="I151" i="25" s="1"/>
  <c r="H14" i="20"/>
  <c r="H15" i="20" s="1"/>
  <c r="J212" i="7" s="1"/>
  <c r="J277" i="7" s="1"/>
  <c r="H12" i="21"/>
  <c r="H13" i="21" s="1"/>
  <c r="H45" i="20"/>
  <c r="H46" i="20" s="1"/>
  <c r="J216" i="7" s="1"/>
  <c r="J281" i="7" s="1"/>
  <c r="H14" i="25"/>
  <c r="H15" i="25" s="1"/>
  <c r="E35" i="1"/>
  <c r="E14" i="13"/>
  <c r="G12" i="10"/>
  <c r="G14" i="10" s="1"/>
  <c r="E13" i="11"/>
  <c r="E21" i="1"/>
  <c r="G14" i="1"/>
  <c r="H176" i="10"/>
  <c r="H155" i="14"/>
  <c r="M39" i="14"/>
  <c r="L41" i="14"/>
  <c r="L51" i="14" s="1"/>
  <c r="Q117" i="14"/>
  <c r="P121" i="14"/>
  <c r="K41" i="1"/>
  <c r="I47" i="1"/>
  <c r="K45" i="1"/>
  <c r="I22" i="1"/>
  <c r="M141" i="14"/>
  <c r="L143" i="14"/>
  <c r="L146" i="14" s="1"/>
  <c r="Q26" i="11"/>
  <c r="L36" i="11"/>
  <c r="L46" i="11" s="1"/>
  <c r="L75" i="11"/>
  <c r="I13" i="1"/>
  <c r="I11" i="10"/>
  <c r="I15" i="1"/>
  <c r="I13" i="10"/>
  <c r="K61" i="10"/>
  <c r="K63" i="10" s="1"/>
  <c r="H12" i="1"/>
  <c r="H10" i="10"/>
  <c r="I10" i="1"/>
  <c r="I8" i="10"/>
  <c r="I11" i="1"/>
  <c r="I9" i="10"/>
  <c r="K82" i="10"/>
  <c r="J84" i="10"/>
  <c r="J87" i="10" s="1"/>
  <c r="M27" i="11"/>
  <c r="L45" i="11"/>
  <c r="K38" i="10"/>
  <c r="J40" i="10"/>
  <c r="J52" i="10" s="1"/>
  <c r="J197" i="10"/>
  <c r="J168" i="14"/>
  <c r="J171" i="14" s="1"/>
  <c r="M30" i="14"/>
  <c r="O29" i="14"/>
  <c r="N50" i="14"/>
  <c r="M145" i="14"/>
  <c r="N132" i="14"/>
  <c r="M120" i="14"/>
  <c r="N95" i="14"/>
  <c r="M85" i="14"/>
  <c r="N61" i="14"/>
  <c r="L158" i="14"/>
  <c r="L170" i="14" s="1"/>
  <c r="L32" i="13"/>
  <c r="M27" i="13"/>
  <c r="K94" i="11"/>
  <c r="L89" i="11"/>
  <c r="K79" i="11"/>
  <c r="K93" i="11" s="1"/>
  <c r="L56" i="11"/>
  <c r="M55" i="11"/>
  <c r="K80" i="11"/>
  <c r="L65" i="11"/>
  <c r="K185" i="10"/>
  <c r="J175" i="10"/>
  <c r="J196" i="10" s="1"/>
  <c r="K160" i="10"/>
  <c r="I173" i="10"/>
  <c r="J172" i="10"/>
  <c r="L135" i="10"/>
  <c r="L137" i="10" s="1"/>
  <c r="J150" i="10"/>
  <c r="K145" i="10"/>
  <c r="K147" i="10" s="1"/>
  <c r="K149" i="10"/>
  <c r="L136" i="10"/>
  <c r="M121" i="10"/>
  <c r="M123" i="10" s="1"/>
  <c r="I111" i="10"/>
  <c r="I126" i="10" s="1"/>
  <c r="J125" i="10"/>
  <c r="K95" i="10"/>
  <c r="J86" i="10"/>
  <c r="K62" i="10"/>
  <c r="L71" i="10"/>
  <c r="L73" i="10" s="1"/>
  <c r="I14" i="30" l="1"/>
  <c r="I16" i="30" s="1"/>
  <c r="K217" i="7" s="1"/>
  <c r="K282" i="7" s="1"/>
  <c r="I14" i="31"/>
  <c r="AA15" i="30"/>
  <c r="H10" i="32"/>
  <c r="H10" i="33"/>
  <c r="L10" i="25"/>
  <c r="L41" i="20"/>
  <c r="M84" i="25"/>
  <c r="N81" i="25"/>
  <c r="G194" i="7"/>
  <c r="G209" i="7"/>
  <c r="G274" i="7" s="1"/>
  <c r="J201" i="7"/>
  <c r="K36" i="1"/>
  <c r="J202" i="7"/>
  <c r="J197" i="7"/>
  <c r="G21" i="30"/>
  <c r="G23" i="30" s="1"/>
  <c r="G46" i="1"/>
  <c r="G13" i="22"/>
  <c r="G28" i="30"/>
  <c r="G30" i="30" s="1"/>
  <c r="G20" i="20"/>
  <c r="G22" i="20" s="1"/>
  <c r="G27" i="20"/>
  <c r="G29" i="20" s="1"/>
  <c r="G14" i="23"/>
  <c r="G14" i="24"/>
  <c r="G34" i="20"/>
  <c r="G36" i="20" s="1"/>
  <c r="H11" i="22"/>
  <c r="H20" i="20" s="1"/>
  <c r="H22" i="20" s="1"/>
  <c r="H12" i="23"/>
  <c r="H12" i="24"/>
  <c r="K12" i="11"/>
  <c r="L9" i="14"/>
  <c r="L12" i="14"/>
  <c r="J14" i="14"/>
  <c r="H159" i="14"/>
  <c r="H13" i="14" s="1"/>
  <c r="H15" i="14" s="1"/>
  <c r="G11" i="11"/>
  <c r="G12" i="12"/>
  <c r="G14" i="12" s="1"/>
  <c r="G12" i="13"/>
  <c r="L13" i="13"/>
  <c r="L150" i="31"/>
  <c r="K152" i="31"/>
  <c r="J155" i="31"/>
  <c r="J12" i="31" s="1"/>
  <c r="I45" i="20"/>
  <c r="I46" i="20" s="1"/>
  <c r="K216" i="7" s="1"/>
  <c r="K281" i="7" s="1"/>
  <c r="I14" i="25"/>
  <c r="I15" i="25" s="1"/>
  <c r="I14" i="20"/>
  <c r="I15" i="20" s="1"/>
  <c r="I12" i="21"/>
  <c r="I13" i="21" s="1"/>
  <c r="J147" i="25"/>
  <c r="J151" i="25" s="1"/>
  <c r="J162" i="21"/>
  <c r="K159" i="21"/>
  <c r="L157" i="21"/>
  <c r="H12" i="10"/>
  <c r="H14" i="10" s="1"/>
  <c r="H14" i="1"/>
  <c r="I176" i="10"/>
  <c r="I14" i="1" s="1"/>
  <c r="I155" i="14"/>
  <c r="N39" i="14"/>
  <c r="M41" i="14"/>
  <c r="M51" i="14" s="1"/>
  <c r="R117" i="14"/>
  <c r="Q121" i="14"/>
  <c r="J22" i="1"/>
  <c r="F21" i="1"/>
  <c r="F13" i="11"/>
  <c r="L41" i="1"/>
  <c r="J47" i="1"/>
  <c r="L45" i="1"/>
  <c r="F14" i="13"/>
  <c r="F35" i="1"/>
  <c r="F28" i="1"/>
  <c r="F30" i="1" s="1"/>
  <c r="N141" i="14"/>
  <c r="M143" i="14"/>
  <c r="M146" i="14" s="1"/>
  <c r="R26" i="11"/>
  <c r="M75" i="11"/>
  <c r="M36" i="11"/>
  <c r="M46" i="11" s="1"/>
  <c r="I12" i="1"/>
  <c r="I10" i="10"/>
  <c r="J10" i="1"/>
  <c r="J8" i="10"/>
  <c r="J11" i="1"/>
  <c r="J9" i="10"/>
  <c r="L61" i="10"/>
  <c r="L63" i="10" s="1"/>
  <c r="J13" i="1"/>
  <c r="J11" i="10"/>
  <c r="J15" i="1"/>
  <c r="J13" i="10"/>
  <c r="L82" i="10"/>
  <c r="K84" i="10"/>
  <c r="K87" i="10" s="1"/>
  <c r="N27" i="11"/>
  <c r="M45" i="11"/>
  <c r="L38" i="10"/>
  <c r="K40" i="10"/>
  <c r="K52" i="10" s="1"/>
  <c r="K197" i="10"/>
  <c r="K168" i="14"/>
  <c r="K171" i="14" s="1"/>
  <c r="M158" i="14"/>
  <c r="M170" i="14" s="1"/>
  <c r="N85" i="14"/>
  <c r="O61" i="14"/>
  <c r="N120" i="14"/>
  <c r="O95" i="14"/>
  <c r="N145" i="14"/>
  <c r="O132" i="14"/>
  <c r="O50" i="14"/>
  <c r="P29" i="14"/>
  <c r="N30" i="14"/>
  <c r="M32" i="13"/>
  <c r="N27" i="13"/>
  <c r="L94" i="11"/>
  <c r="M89" i="11"/>
  <c r="L80" i="11"/>
  <c r="M65" i="11"/>
  <c r="N55" i="11"/>
  <c r="L79" i="11"/>
  <c r="L93" i="11" s="1"/>
  <c r="M56" i="11"/>
  <c r="L185" i="10"/>
  <c r="K172" i="10"/>
  <c r="J173" i="10"/>
  <c r="K175" i="10"/>
  <c r="K196" i="10" s="1"/>
  <c r="L160" i="10"/>
  <c r="L149" i="10"/>
  <c r="M136" i="10"/>
  <c r="K150" i="10"/>
  <c r="L145" i="10"/>
  <c r="L147" i="10" s="1"/>
  <c r="M135" i="10"/>
  <c r="M137" i="10" s="1"/>
  <c r="K125" i="10"/>
  <c r="L95" i="10"/>
  <c r="J111" i="10"/>
  <c r="J126" i="10" s="1"/>
  <c r="N121" i="10"/>
  <c r="N123" i="10" s="1"/>
  <c r="M71" i="10"/>
  <c r="M73" i="10" s="1"/>
  <c r="K86" i="10"/>
  <c r="L62" i="10"/>
  <c r="J14" i="30" l="1"/>
  <c r="J16" i="30" s="1"/>
  <c r="L217" i="7" s="1"/>
  <c r="L282" i="7" s="1"/>
  <c r="J14" i="31"/>
  <c r="K212" i="7"/>
  <c r="K277" i="7" s="1"/>
  <c r="I10" i="32"/>
  <c r="I10" i="33"/>
  <c r="M41" i="20"/>
  <c r="M10" i="25"/>
  <c r="N84" i="25"/>
  <c r="O81" i="25"/>
  <c r="I200" i="7"/>
  <c r="I215" i="7"/>
  <c r="I280" i="7" s="1"/>
  <c r="I204" i="7"/>
  <c r="I219" i="7"/>
  <c r="I284" i="7" s="1"/>
  <c r="H194" i="7"/>
  <c r="H209" i="7"/>
  <c r="H274" i="7" s="1"/>
  <c r="J198" i="7"/>
  <c r="J213" i="7"/>
  <c r="J278" i="7" s="1"/>
  <c r="I203" i="7"/>
  <c r="I218" i="7"/>
  <c r="I283" i="7" s="1"/>
  <c r="I199" i="7"/>
  <c r="I214" i="7"/>
  <c r="I279" i="7" s="1"/>
  <c r="I198" i="7"/>
  <c r="I213" i="7"/>
  <c r="I278" i="7" s="1"/>
  <c r="K201" i="7"/>
  <c r="K202" i="7"/>
  <c r="K197" i="7"/>
  <c r="H21" i="30"/>
  <c r="H23" i="30" s="1"/>
  <c r="H46" i="1"/>
  <c r="L36" i="1"/>
  <c r="H12" i="32"/>
  <c r="H28" i="30"/>
  <c r="H30" i="30" s="1"/>
  <c r="H12" i="33"/>
  <c r="L12" i="11"/>
  <c r="I11" i="22"/>
  <c r="I12" i="23"/>
  <c r="I12" i="24"/>
  <c r="H13" i="22"/>
  <c r="H14" i="24"/>
  <c r="H34" i="20"/>
  <c r="H36" i="20" s="1"/>
  <c r="H27" i="20"/>
  <c r="H29" i="20" s="1"/>
  <c r="H14" i="23"/>
  <c r="M9" i="14"/>
  <c r="K14" i="14"/>
  <c r="M12" i="14"/>
  <c r="I159" i="14"/>
  <c r="H11" i="11"/>
  <c r="H21" i="1" s="1"/>
  <c r="H12" i="12"/>
  <c r="H12" i="13"/>
  <c r="M13" i="13"/>
  <c r="M150" i="31"/>
  <c r="L152" i="31"/>
  <c r="K155" i="31"/>
  <c r="K12" i="31" s="1"/>
  <c r="M157" i="21"/>
  <c r="L159" i="21"/>
  <c r="K162" i="21"/>
  <c r="K147" i="25"/>
  <c r="K151" i="25" s="1"/>
  <c r="J45" i="20"/>
  <c r="J46" i="20" s="1"/>
  <c r="L216" i="7" s="1"/>
  <c r="L281" i="7" s="1"/>
  <c r="J14" i="25"/>
  <c r="J15" i="25" s="1"/>
  <c r="J14" i="20"/>
  <c r="J15" i="20" s="1"/>
  <c r="L212" i="7" s="1"/>
  <c r="L277" i="7" s="1"/>
  <c r="J12" i="21"/>
  <c r="J13" i="21" s="1"/>
  <c r="I12" i="10"/>
  <c r="I14" i="10" s="1"/>
  <c r="J176" i="10"/>
  <c r="J155" i="14"/>
  <c r="O39" i="14"/>
  <c r="N41" i="14"/>
  <c r="N51" i="14" s="1"/>
  <c r="S117" i="14"/>
  <c r="R121" i="14"/>
  <c r="K22" i="1"/>
  <c r="G28" i="1"/>
  <c r="G30" i="1" s="1"/>
  <c r="M41" i="1"/>
  <c r="K47" i="1"/>
  <c r="M45" i="1"/>
  <c r="G21" i="1"/>
  <c r="G13" i="11"/>
  <c r="G14" i="13"/>
  <c r="G35" i="1"/>
  <c r="O141" i="14"/>
  <c r="N143" i="14"/>
  <c r="N146" i="14" s="1"/>
  <c r="S26" i="11"/>
  <c r="N36" i="11"/>
  <c r="N46" i="11" s="1"/>
  <c r="N75" i="11"/>
  <c r="M80" i="11"/>
  <c r="M61" i="10"/>
  <c r="M63" i="10" s="1"/>
  <c r="K13" i="1"/>
  <c r="K11" i="10"/>
  <c r="K10" i="1"/>
  <c r="K8" i="10"/>
  <c r="K11" i="1"/>
  <c r="K9" i="10"/>
  <c r="J12" i="1"/>
  <c r="J10" i="10"/>
  <c r="K15" i="1"/>
  <c r="K13" i="10"/>
  <c r="M82" i="10"/>
  <c r="L84" i="10"/>
  <c r="L87" i="10" s="1"/>
  <c r="O27" i="11"/>
  <c r="N45" i="11"/>
  <c r="M38" i="10"/>
  <c r="L40" i="10"/>
  <c r="L52" i="10" s="1"/>
  <c r="L197" i="10"/>
  <c r="L168" i="14"/>
  <c r="L171" i="14" s="1"/>
  <c r="O30" i="14"/>
  <c r="Q29" i="14"/>
  <c r="P50" i="14"/>
  <c r="O145" i="14"/>
  <c r="P132" i="14"/>
  <c r="O120" i="14"/>
  <c r="P95" i="14"/>
  <c r="O85" i="14"/>
  <c r="P61" i="14"/>
  <c r="N158" i="14"/>
  <c r="N170" i="14" s="1"/>
  <c r="N32" i="13"/>
  <c r="O27" i="13"/>
  <c r="M94" i="11"/>
  <c r="N89" i="11"/>
  <c r="M79" i="11"/>
  <c r="M93" i="11" s="1"/>
  <c r="N56" i="11"/>
  <c r="O55" i="11"/>
  <c r="N65" i="11"/>
  <c r="M185" i="10"/>
  <c r="L175" i="10"/>
  <c r="L196" i="10" s="1"/>
  <c r="M160" i="10"/>
  <c r="K173" i="10"/>
  <c r="L172" i="10"/>
  <c r="N135" i="10"/>
  <c r="N137" i="10" s="1"/>
  <c r="L150" i="10"/>
  <c r="M145" i="10"/>
  <c r="M147" i="10" s="1"/>
  <c r="M149" i="10"/>
  <c r="N136" i="10"/>
  <c r="O121" i="10"/>
  <c r="O123" i="10" s="1"/>
  <c r="K111" i="10"/>
  <c r="K126" i="10" s="1"/>
  <c r="L125" i="10"/>
  <c r="M95" i="10"/>
  <c r="L86" i="10"/>
  <c r="M62" i="10"/>
  <c r="N71" i="10"/>
  <c r="N73" i="10" s="1"/>
  <c r="K14" i="30" l="1"/>
  <c r="K16" i="30" s="1"/>
  <c r="M217" i="7" s="1"/>
  <c r="M282" i="7" s="1"/>
  <c r="K14" i="31"/>
  <c r="J10" i="32"/>
  <c r="J10" i="33"/>
  <c r="I13" i="22"/>
  <c r="N10" i="25"/>
  <c r="N41" i="20"/>
  <c r="P81" i="25"/>
  <c r="O84" i="25"/>
  <c r="I20" i="20"/>
  <c r="I22" i="20" s="1"/>
  <c r="K213" i="7" s="1"/>
  <c r="K278" i="7" s="1"/>
  <c r="J203" i="7"/>
  <c r="J218" i="7"/>
  <c r="J283" i="7" s="1"/>
  <c r="J199" i="7"/>
  <c r="J214" i="7"/>
  <c r="J279" i="7" s="1"/>
  <c r="I194" i="7"/>
  <c r="I209" i="7"/>
  <c r="I274" i="7" s="1"/>
  <c r="J200" i="7"/>
  <c r="J215" i="7"/>
  <c r="J280" i="7" s="1"/>
  <c r="J204" i="7"/>
  <c r="J219" i="7"/>
  <c r="J284" i="7" s="1"/>
  <c r="L201" i="7"/>
  <c r="L197" i="7"/>
  <c r="L202" i="7"/>
  <c r="I21" i="30"/>
  <c r="I23" i="30" s="1"/>
  <c r="I12" i="32"/>
  <c r="I28" i="30"/>
  <c r="I30" i="30" s="1"/>
  <c r="I12" i="33"/>
  <c r="I27" i="20"/>
  <c r="I29" i="20" s="1"/>
  <c r="I14" i="23"/>
  <c r="J11" i="22"/>
  <c r="J13" i="22" s="1"/>
  <c r="J12" i="24"/>
  <c r="J12" i="23"/>
  <c r="I14" i="24"/>
  <c r="I34" i="20"/>
  <c r="I36" i="20" s="1"/>
  <c r="M12" i="11"/>
  <c r="I13" i="14"/>
  <c r="I15" i="14" s="1"/>
  <c r="L14" i="14"/>
  <c r="N12" i="14"/>
  <c r="N9" i="14"/>
  <c r="I46" i="1"/>
  <c r="J159" i="14"/>
  <c r="I11" i="11"/>
  <c r="I21" i="1" s="1"/>
  <c r="I12" i="13"/>
  <c r="I12" i="12"/>
  <c r="M36" i="1"/>
  <c r="H13" i="11"/>
  <c r="H35" i="1"/>
  <c r="H14" i="13"/>
  <c r="H14" i="12"/>
  <c r="H28" i="1"/>
  <c r="H30" i="1" s="1"/>
  <c r="N13" i="13"/>
  <c r="N150" i="31"/>
  <c r="M152" i="31"/>
  <c r="L155" i="31"/>
  <c r="L12" i="31" s="1"/>
  <c r="K45" i="20"/>
  <c r="K46" i="20" s="1"/>
  <c r="M216" i="7" s="1"/>
  <c r="M281" i="7" s="1"/>
  <c r="K14" i="25"/>
  <c r="K15" i="25" s="1"/>
  <c r="K14" i="20"/>
  <c r="K15" i="20" s="1"/>
  <c r="M212" i="7" s="1"/>
  <c r="M277" i="7" s="1"/>
  <c r="K12" i="21"/>
  <c r="K13" i="21" s="1"/>
  <c r="L147" i="25"/>
  <c r="L151" i="25" s="1"/>
  <c r="L162" i="21"/>
  <c r="N157" i="21"/>
  <c r="M159" i="21"/>
  <c r="J14" i="1"/>
  <c r="J12" i="10"/>
  <c r="J14" i="10" s="1"/>
  <c r="K176" i="10"/>
  <c r="K12" i="10" s="1"/>
  <c r="K155" i="14"/>
  <c r="P39" i="14"/>
  <c r="O41" i="14"/>
  <c r="O51" i="14" s="1"/>
  <c r="T117" i="14"/>
  <c r="S121" i="14"/>
  <c r="N61" i="10"/>
  <c r="N63" i="10" s="1"/>
  <c r="N45" i="1"/>
  <c r="N41" i="1"/>
  <c r="L47" i="1"/>
  <c r="L22" i="1"/>
  <c r="P141" i="14"/>
  <c r="O143" i="14"/>
  <c r="O146" i="14" s="1"/>
  <c r="T26" i="11"/>
  <c r="O75" i="11"/>
  <c r="N80" i="11"/>
  <c r="O36" i="11"/>
  <c r="O46" i="11" s="1"/>
  <c r="L13" i="1"/>
  <c r="L11" i="10"/>
  <c r="L15" i="1"/>
  <c r="L13" i="10"/>
  <c r="K12" i="1"/>
  <c r="K10" i="10"/>
  <c r="L10" i="1"/>
  <c r="L8" i="10"/>
  <c r="L11" i="1"/>
  <c r="L9" i="10"/>
  <c r="N82" i="10"/>
  <c r="M84" i="10"/>
  <c r="M87" i="10" s="1"/>
  <c r="P27" i="11"/>
  <c r="O45" i="11"/>
  <c r="N38" i="10"/>
  <c r="M40" i="10"/>
  <c r="M52" i="10" s="1"/>
  <c r="M197" i="10"/>
  <c r="M168" i="14"/>
  <c r="M171" i="14" s="1"/>
  <c r="O158" i="14"/>
  <c r="O170" i="14" s="1"/>
  <c r="P85" i="14"/>
  <c r="Q61" i="14"/>
  <c r="P120" i="14"/>
  <c r="Q95" i="14"/>
  <c r="P145" i="14"/>
  <c r="Q132" i="14"/>
  <c r="Q50" i="14"/>
  <c r="R29" i="14"/>
  <c r="P30" i="14"/>
  <c r="O32" i="13"/>
  <c r="P27" i="13"/>
  <c r="N94" i="11"/>
  <c r="O89" i="11"/>
  <c r="O65" i="11"/>
  <c r="P55" i="11"/>
  <c r="N79" i="11"/>
  <c r="N93" i="11" s="1"/>
  <c r="O56" i="11"/>
  <c r="N185" i="10"/>
  <c r="M172" i="10"/>
  <c r="L173" i="10"/>
  <c r="M175" i="10"/>
  <c r="M196" i="10" s="1"/>
  <c r="N160" i="10"/>
  <c r="N149" i="10"/>
  <c r="O136" i="10"/>
  <c r="M150" i="10"/>
  <c r="N145" i="10"/>
  <c r="N147" i="10" s="1"/>
  <c r="O135" i="10"/>
  <c r="O137" i="10" s="1"/>
  <c r="M125" i="10"/>
  <c r="N95" i="10"/>
  <c r="L111" i="10"/>
  <c r="L126" i="10" s="1"/>
  <c r="P121" i="10"/>
  <c r="P123" i="10" s="1"/>
  <c r="O71" i="10"/>
  <c r="O73" i="10" s="1"/>
  <c r="M86" i="10"/>
  <c r="N62" i="10"/>
  <c r="L14" i="30" l="1"/>
  <c r="L16" i="30" s="1"/>
  <c r="N217" i="7" s="1"/>
  <c r="N282" i="7" s="1"/>
  <c r="L14" i="31"/>
  <c r="K10" i="32"/>
  <c r="K10" i="33"/>
  <c r="Q81" i="25"/>
  <c r="P84" i="25"/>
  <c r="O10" i="25"/>
  <c r="O41" i="20"/>
  <c r="K198" i="7"/>
  <c r="J194" i="7"/>
  <c r="J209" i="7"/>
  <c r="J274" i="7" s="1"/>
  <c r="K203" i="7"/>
  <c r="K218" i="7"/>
  <c r="K283" i="7" s="1"/>
  <c r="K200" i="7"/>
  <c r="K215" i="7"/>
  <c r="K280" i="7" s="1"/>
  <c r="K199" i="7"/>
  <c r="K214" i="7"/>
  <c r="K279" i="7" s="1"/>
  <c r="K204" i="7"/>
  <c r="K219" i="7"/>
  <c r="K284" i="7" s="1"/>
  <c r="M201" i="7"/>
  <c r="M197" i="7"/>
  <c r="M202" i="7"/>
  <c r="J21" i="30"/>
  <c r="J23" i="30" s="1"/>
  <c r="J20" i="20"/>
  <c r="J22" i="20" s="1"/>
  <c r="N36" i="1"/>
  <c r="J28" i="30"/>
  <c r="J30" i="30" s="1"/>
  <c r="J12" i="33"/>
  <c r="J12" i="32"/>
  <c r="K11" i="22"/>
  <c r="K12" i="24"/>
  <c r="K12" i="23"/>
  <c r="J27" i="20"/>
  <c r="J29" i="20" s="1"/>
  <c r="J14" i="23"/>
  <c r="J14" i="24"/>
  <c r="J34" i="20"/>
  <c r="J36" i="20" s="1"/>
  <c r="N12" i="11"/>
  <c r="I13" i="11"/>
  <c r="M14" i="14"/>
  <c r="O12" i="14"/>
  <c r="O9" i="14"/>
  <c r="J46" i="1"/>
  <c r="J13" i="14"/>
  <c r="J15" i="14" s="1"/>
  <c r="K159" i="14"/>
  <c r="K13" i="14" s="1"/>
  <c r="K15" i="14" s="1"/>
  <c r="I35" i="1"/>
  <c r="I14" i="13"/>
  <c r="J11" i="11"/>
  <c r="J13" i="11" s="1"/>
  <c r="J12" i="12"/>
  <c r="J12" i="13"/>
  <c r="I14" i="12"/>
  <c r="I28" i="1"/>
  <c r="I30" i="1" s="1"/>
  <c r="O13" i="13"/>
  <c r="O150" i="31"/>
  <c r="N152" i="31"/>
  <c r="M155" i="31"/>
  <c r="M12" i="31" s="1"/>
  <c r="L45" i="20"/>
  <c r="L46" i="20" s="1"/>
  <c r="N216" i="7" s="1"/>
  <c r="N281" i="7" s="1"/>
  <c r="L14" i="25"/>
  <c r="L15" i="25" s="1"/>
  <c r="M162" i="21"/>
  <c r="M147" i="25"/>
  <c r="M151" i="25" s="1"/>
  <c r="L14" i="20"/>
  <c r="L15" i="20" s="1"/>
  <c r="N212" i="7" s="1"/>
  <c r="N277" i="7" s="1"/>
  <c r="L12" i="21"/>
  <c r="L13" i="21" s="1"/>
  <c r="O157" i="21"/>
  <c r="N159" i="21"/>
  <c r="K14" i="1"/>
  <c r="O61" i="10"/>
  <c r="O63" i="10" s="1"/>
  <c r="L176" i="10"/>
  <c r="L155" i="14"/>
  <c r="Q39" i="14"/>
  <c r="P41" i="14"/>
  <c r="P51" i="14" s="1"/>
  <c r="U117" i="14"/>
  <c r="T121" i="14"/>
  <c r="O41" i="1"/>
  <c r="M47" i="1"/>
  <c r="O45" i="1"/>
  <c r="M22" i="1"/>
  <c r="Q141" i="14"/>
  <c r="P143" i="14"/>
  <c r="P146" i="14" s="1"/>
  <c r="U26" i="11"/>
  <c r="P36" i="11"/>
  <c r="P46" i="11" s="1"/>
  <c r="P75" i="11"/>
  <c r="O80" i="11"/>
  <c r="K14" i="10"/>
  <c r="L12" i="1"/>
  <c r="L10" i="10"/>
  <c r="M15" i="1"/>
  <c r="M13" i="10"/>
  <c r="M13" i="1"/>
  <c r="M11" i="10"/>
  <c r="M10" i="1"/>
  <c r="M8" i="10"/>
  <c r="M11" i="1"/>
  <c r="M9" i="10"/>
  <c r="O82" i="10"/>
  <c r="N84" i="10"/>
  <c r="N87" i="10" s="1"/>
  <c r="Q27" i="11"/>
  <c r="P45" i="11"/>
  <c r="O38" i="10"/>
  <c r="N40" i="10"/>
  <c r="N52" i="10" s="1"/>
  <c r="N197" i="10"/>
  <c r="N168" i="14"/>
  <c r="N171" i="14" s="1"/>
  <c r="Q30" i="14"/>
  <c r="S29" i="14"/>
  <c r="R50" i="14"/>
  <c r="Q145" i="14"/>
  <c r="R132" i="14"/>
  <c r="Q120" i="14"/>
  <c r="R95" i="14"/>
  <c r="Q85" i="14"/>
  <c r="R61" i="14"/>
  <c r="P158" i="14"/>
  <c r="P170" i="14" s="1"/>
  <c r="P32" i="13"/>
  <c r="Q27" i="13"/>
  <c r="O94" i="11"/>
  <c r="P89" i="11"/>
  <c r="O79" i="11"/>
  <c r="O93" i="11" s="1"/>
  <c r="P56" i="11"/>
  <c r="Q55" i="11"/>
  <c r="P65" i="11"/>
  <c r="O185" i="10"/>
  <c r="N175" i="10"/>
  <c r="N196" i="10" s="1"/>
  <c r="O160" i="10"/>
  <c r="M173" i="10"/>
  <c r="N172" i="10"/>
  <c r="P135" i="10"/>
  <c r="P137" i="10" s="1"/>
  <c r="N150" i="10"/>
  <c r="O145" i="10"/>
  <c r="O147" i="10" s="1"/>
  <c r="O149" i="10"/>
  <c r="P136" i="10"/>
  <c r="Q121" i="10"/>
  <c r="Q123" i="10" s="1"/>
  <c r="M111" i="10"/>
  <c r="M126" i="10" s="1"/>
  <c r="N125" i="10"/>
  <c r="O95" i="10"/>
  <c r="N86" i="10"/>
  <c r="O62" i="10"/>
  <c r="P61" i="10"/>
  <c r="P63" i="10" s="1"/>
  <c r="P71" i="10"/>
  <c r="P73" i="10" s="1"/>
  <c r="M14" i="30" l="1"/>
  <c r="M16" i="30" s="1"/>
  <c r="M14" i="31"/>
  <c r="L10" i="32"/>
  <c r="L10" i="33"/>
  <c r="K13" i="22"/>
  <c r="P41" i="20"/>
  <c r="P10" i="25"/>
  <c r="R81" i="25"/>
  <c r="Q84" i="25"/>
  <c r="K20" i="20"/>
  <c r="K22" i="20" s="1"/>
  <c r="M198" i="7" s="1"/>
  <c r="L204" i="7"/>
  <c r="L219" i="7"/>
  <c r="L284" i="7" s="1"/>
  <c r="L198" i="7"/>
  <c r="L213" i="7"/>
  <c r="L278" i="7" s="1"/>
  <c r="K194" i="7"/>
  <c r="K209" i="7"/>
  <c r="K274" i="7" s="1"/>
  <c r="L199" i="7"/>
  <c r="L214" i="7"/>
  <c r="L279" i="7" s="1"/>
  <c r="L200" i="7"/>
  <c r="L215" i="7"/>
  <c r="L280" i="7" s="1"/>
  <c r="L203" i="7"/>
  <c r="L218" i="7"/>
  <c r="L283" i="7" s="1"/>
  <c r="N201" i="7"/>
  <c r="N202" i="7"/>
  <c r="N197" i="7"/>
  <c r="K21" i="30"/>
  <c r="K23" i="30" s="1"/>
  <c r="K12" i="32"/>
  <c r="K28" i="30"/>
  <c r="K30" i="30" s="1"/>
  <c r="K12" i="33"/>
  <c r="K27" i="20"/>
  <c r="K29" i="20" s="1"/>
  <c r="K14" i="23"/>
  <c r="L11" i="22"/>
  <c r="L12" i="23"/>
  <c r="L12" i="24"/>
  <c r="K14" i="24"/>
  <c r="K34" i="20"/>
  <c r="K36" i="20" s="1"/>
  <c r="O36" i="1"/>
  <c r="K46" i="1"/>
  <c r="O12" i="11"/>
  <c r="J21" i="1"/>
  <c r="P12" i="14"/>
  <c r="N14" i="14"/>
  <c r="P9" i="14"/>
  <c r="L159" i="14"/>
  <c r="L13" i="14" s="1"/>
  <c r="L15" i="14" s="1"/>
  <c r="K11" i="11"/>
  <c r="K12" i="12"/>
  <c r="K12" i="13"/>
  <c r="J14" i="12"/>
  <c r="J28" i="1"/>
  <c r="J30" i="1" s="1"/>
  <c r="J35" i="1"/>
  <c r="J14" i="13"/>
  <c r="P13" i="13"/>
  <c r="P150" i="31"/>
  <c r="O152" i="31"/>
  <c r="N155" i="31"/>
  <c r="N12" i="31" s="1"/>
  <c r="P157" i="21"/>
  <c r="O159" i="21"/>
  <c r="M45" i="20"/>
  <c r="M46" i="20" s="1"/>
  <c r="O216" i="7" s="1"/>
  <c r="O281" i="7" s="1"/>
  <c r="M14" i="25"/>
  <c r="M15" i="25" s="1"/>
  <c r="M14" i="20"/>
  <c r="M15" i="20" s="1"/>
  <c r="O212" i="7" s="1"/>
  <c r="O277" i="7" s="1"/>
  <c r="M12" i="21"/>
  <c r="M13" i="21" s="1"/>
  <c r="N162" i="21"/>
  <c r="N147" i="25"/>
  <c r="N151" i="25" s="1"/>
  <c r="L12" i="10"/>
  <c r="L14" i="10" s="1"/>
  <c r="L14" i="1"/>
  <c r="M176" i="10"/>
  <c r="M155" i="14"/>
  <c r="R39" i="14"/>
  <c r="Q41" i="14"/>
  <c r="Q51" i="14" s="1"/>
  <c r="V117" i="14"/>
  <c r="U121" i="14"/>
  <c r="P41" i="1"/>
  <c r="N47" i="1"/>
  <c r="P45" i="1"/>
  <c r="N22" i="1"/>
  <c r="R141" i="14"/>
  <c r="Q143" i="14"/>
  <c r="Q146" i="14" s="1"/>
  <c r="V26" i="11"/>
  <c r="Q75" i="11"/>
  <c r="P80" i="11"/>
  <c r="Q36" i="11"/>
  <c r="Q46" i="11" s="1"/>
  <c r="N13" i="1"/>
  <c r="N11" i="10"/>
  <c r="N15" i="1"/>
  <c r="N13" i="10"/>
  <c r="M12" i="1"/>
  <c r="M10" i="10"/>
  <c r="N10" i="1"/>
  <c r="N8" i="10"/>
  <c r="N11" i="1"/>
  <c r="N9" i="10"/>
  <c r="P82" i="10"/>
  <c r="O84" i="10"/>
  <c r="O87" i="10" s="1"/>
  <c r="R27" i="11"/>
  <c r="Q45" i="11"/>
  <c r="P38" i="10"/>
  <c r="O40" i="10"/>
  <c r="O52" i="10" s="1"/>
  <c r="O197" i="10"/>
  <c r="O168" i="14"/>
  <c r="O171" i="14" s="1"/>
  <c r="Q158" i="14"/>
  <c r="Q170" i="14" s="1"/>
  <c r="R85" i="14"/>
  <c r="S61" i="14"/>
  <c r="R120" i="14"/>
  <c r="S95" i="14"/>
  <c r="R145" i="14"/>
  <c r="S132" i="14"/>
  <c r="S50" i="14"/>
  <c r="T29" i="14"/>
  <c r="R30" i="14"/>
  <c r="Q32" i="13"/>
  <c r="R27" i="13"/>
  <c r="P94" i="11"/>
  <c r="Q89" i="11"/>
  <c r="Q65" i="11"/>
  <c r="R55" i="11"/>
  <c r="Q56" i="11"/>
  <c r="P79" i="11"/>
  <c r="P93" i="11" s="1"/>
  <c r="P185" i="10"/>
  <c r="O172" i="10"/>
  <c r="N173" i="10"/>
  <c r="O175" i="10"/>
  <c r="O196" i="10" s="1"/>
  <c r="P160" i="10"/>
  <c r="P149" i="10"/>
  <c r="Q136" i="10"/>
  <c r="O150" i="10"/>
  <c r="P145" i="10"/>
  <c r="P147" i="10" s="1"/>
  <c r="Q135" i="10"/>
  <c r="Q137" i="10" s="1"/>
  <c r="O125" i="10"/>
  <c r="P95" i="10"/>
  <c r="N111" i="10"/>
  <c r="N126" i="10" s="1"/>
  <c r="R121" i="10"/>
  <c r="R123" i="10" s="1"/>
  <c r="Q71" i="10"/>
  <c r="Q73" i="10" s="1"/>
  <c r="Q61" i="10"/>
  <c r="Q63" i="10" s="1"/>
  <c r="O86" i="10"/>
  <c r="P62" i="10"/>
  <c r="N14" i="30" l="1"/>
  <c r="N16" i="30" s="1"/>
  <c r="P217" i="7" s="1"/>
  <c r="P282" i="7" s="1"/>
  <c r="N14" i="31"/>
  <c r="M10" i="32"/>
  <c r="M10" i="33"/>
  <c r="S81" i="25"/>
  <c r="R84" i="25"/>
  <c r="Q41" i="20"/>
  <c r="Q10" i="25"/>
  <c r="M213" i="7"/>
  <c r="M278" i="7" s="1"/>
  <c r="M204" i="7"/>
  <c r="M219" i="7"/>
  <c r="M284" i="7" s="1"/>
  <c r="M203" i="7"/>
  <c r="M218" i="7"/>
  <c r="M283" i="7" s="1"/>
  <c r="L194" i="7"/>
  <c r="L209" i="7"/>
  <c r="L274" i="7" s="1"/>
  <c r="M199" i="7"/>
  <c r="M214" i="7"/>
  <c r="M279" i="7" s="1"/>
  <c r="M200" i="7"/>
  <c r="M215" i="7"/>
  <c r="M280" i="7" s="1"/>
  <c r="O202" i="7"/>
  <c r="O217" i="7"/>
  <c r="O282" i="7" s="1"/>
  <c r="O201" i="7"/>
  <c r="O197" i="7"/>
  <c r="L21" i="30"/>
  <c r="L23" i="30" s="1"/>
  <c r="L13" i="22"/>
  <c r="L20" i="20"/>
  <c r="L22" i="20" s="1"/>
  <c r="L12" i="32"/>
  <c r="L28" i="30"/>
  <c r="L30" i="30" s="1"/>
  <c r="L12" i="33"/>
  <c r="M11" i="22"/>
  <c r="M12" i="24"/>
  <c r="M12" i="23"/>
  <c r="L27" i="20"/>
  <c r="L29" i="20" s="1"/>
  <c r="L14" i="23"/>
  <c r="K13" i="11"/>
  <c r="L14" i="24"/>
  <c r="L34" i="20"/>
  <c r="L36" i="20" s="1"/>
  <c r="K21" i="1"/>
  <c r="P12" i="11"/>
  <c r="L46" i="1"/>
  <c r="O14" i="14"/>
  <c r="Q12" i="14"/>
  <c r="Q9" i="14"/>
  <c r="M159" i="14"/>
  <c r="L11" i="11"/>
  <c r="L12" i="12"/>
  <c r="L12" i="13"/>
  <c r="K35" i="1"/>
  <c r="K14" i="13"/>
  <c r="K14" i="12"/>
  <c r="K28" i="1"/>
  <c r="K30" i="1" s="1"/>
  <c r="Q13" i="13"/>
  <c r="P36" i="1"/>
  <c r="O155" i="31"/>
  <c r="O12" i="31" s="1"/>
  <c r="Q150" i="31"/>
  <c r="P152" i="31"/>
  <c r="N14" i="20"/>
  <c r="N15" i="20" s="1"/>
  <c r="P212" i="7" s="1"/>
  <c r="P277" i="7" s="1"/>
  <c r="N12" i="21"/>
  <c r="N13" i="21" s="1"/>
  <c r="O147" i="25"/>
  <c r="O151" i="25" s="1"/>
  <c r="O162" i="21"/>
  <c r="N45" i="20"/>
  <c r="N46" i="20" s="1"/>
  <c r="P216" i="7" s="1"/>
  <c r="P281" i="7" s="1"/>
  <c r="N14" i="25"/>
  <c r="N15" i="25" s="1"/>
  <c r="Q157" i="21"/>
  <c r="P159" i="21"/>
  <c r="M12" i="10"/>
  <c r="M14" i="10" s="1"/>
  <c r="M14" i="1"/>
  <c r="N176" i="10"/>
  <c r="N155" i="14"/>
  <c r="S39" i="14"/>
  <c r="R41" i="14"/>
  <c r="R51" i="14" s="1"/>
  <c r="W117" i="14"/>
  <c r="V121" i="14"/>
  <c r="Q41" i="1"/>
  <c r="O47" i="1"/>
  <c r="Q45" i="1"/>
  <c r="O22" i="1"/>
  <c r="S141" i="14"/>
  <c r="R143" i="14"/>
  <c r="R146" i="14" s="1"/>
  <c r="W26" i="11"/>
  <c r="R36" i="11"/>
  <c r="R46" i="11" s="1"/>
  <c r="R75" i="11"/>
  <c r="Q80" i="11"/>
  <c r="N12" i="1"/>
  <c r="N10" i="10"/>
  <c r="O15" i="1"/>
  <c r="O13" i="10"/>
  <c r="O13" i="1"/>
  <c r="O11" i="10"/>
  <c r="O10" i="1"/>
  <c r="O8" i="10"/>
  <c r="O11" i="1"/>
  <c r="O9" i="10"/>
  <c r="Q82" i="10"/>
  <c r="P84" i="10"/>
  <c r="P87" i="10" s="1"/>
  <c r="S27" i="11"/>
  <c r="R45" i="11"/>
  <c r="Q38" i="10"/>
  <c r="P40" i="10"/>
  <c r="P52" i="10" s="1"/>
  <c r="P197" i="10"/>
  <c r="P168" i="14"/>
  <c r="P171" i="14" s="1"/>
  <c r="S30" i="14"/>
  <c r="U29" i="14"/>
  <c r="T50" i="14"/>
  <c r="S145" i="14"/>
  <c r="T132" i="14"/>
  <c r="S120" i="14"/>
  <c r="T95" i="14"/>
  <c r="S85" i="14"/>
  <c r="T61" i="14"/>
  <c r="R158" i="14"/>
  <c r="R170" i="14" s="1"/>
  <c r="R32" i="13"/>
  <c r="S27" i="13"/>
  <c r="Q94" i="11"/>
  <c r="R89" i="11"/>
  <c r="Q79" i="11"/>
  <c r="Q93" i="11" s="1"/>
  <c r="R56" i="11"/>
  <c r="S55" i="11"/>
  <c r="R65" i="11"/>
  <c r="Q185" i="10"/>
  <c r="P175" i="10"/>
  <c r="P196" i="10" s="1"/>
  <c r="Q160" i="10"/>
  <c r="O173" i="10"/>
  <c r="P172" i="10"/>
  <c r="R135" i="10"/>
  <c r="R137" i="10" s="1"/>
  <c r="P150" i="10"/>
  <c r="Q145" i="10"/>
  <c r="Q147" i="10" s="1"/>
  <c r="Q149" i="10"/>
  <c r="R136" i="10"/>
  <c r="S121" i="10"/>
  <c r="S123" i="10" s="1"/>
  <c r="O111" i="10"/>
  <c r="O126" i="10" s="1"/>
  <c r="P125" i="10"/>
  <c r="Q95" i="10"/>
  <c r="P86" i="10"/>
  <c r="Q62" i="10"/>
  <c r="R61" i="10"/>
  <c r="R63" i="10" s="1"/>
  <c r="R71" i="10"/>
  <c r="R73" i="10" s="1"/>
  <c r="O14" i="30" l="1"/>
  <c r="O16" i="30" s="1"/>
  <c r="Q217" i="7" s="1"/>
  <c r="Q282" i="7" s="1"/>
  <c r="O14" i="31"/>
  <c r="N10" i="32"/>
  <c r="N10" i="33"/>
  <c r="R10" i="25"/>
  <c r="R41" i="20"/>
  <c r="T81" i="25"/>
  <c r="S84" i="25"/>
  <c r="L13" i="11"/>
  <c r="M20" i="20"/>
  <c r="M22" i="20" s="1"/>
  <c r="O198" i="7" s="1"/>
  <c r="N198" i="7"/>
  <c r="N213" i="7"/>
  <c r="N278" i="7" s="1"/>
  <c r="N203" i="7"/>
  <c r="N218" i="7"/>
  <c r="N283" i="7" s="1"/>
  <c r="M194" i="7"/>
  <c r="M209" i="7"/>
  <c r="M274" i="7" s="1"/>
  <c r="N200" i="7"/>
  <c r="N215" i="7"/>
  <c r="N280" i="7" s="1"/>
  <c r="N199" i="7"/>
  <c r="N214" i="7"/>
  <c r="N279" i="7" s="1"/>
  <c r="N204" i="7"/>
  <c r="N219" i="7"/>
  <c r="N284" i="7" s="1"/>
  <c r="P201" i="7"/>
  <c r="P197" i="7"/>
  <c r="P202" i="7"/>
  <c r="M21" i="30"/>
  <c r="M23" i="30" s="1"/>
  <c r="M13" i="22"/>
  <c r="Q12" i="11"/>
  <c r="M12" i="32"/>
  <c r="M28" i="30"/>
  <c r="M30" i="30" s="1"/>
  <c r="M12" i="33"/>
  <c r="M27" i="20"/>
  <c r="M29" i="20" s="1"/>
  <c r="M14" i="23"/>
  <c r="N11" i="22"/>
  <c r="N12" i="24"/>
  <c r="N12" i="23"/>
  <c r="M14" i="24"/>
  <c r="M34" i="20"/>
  <c r="M36" i="20" s="1"/>
  <c r="L21" i="1"/>
  <c r="M13" i="14"/>
  <c r="M15" i="14" s="1"/>
  <c r="M46" i="1"/>
  <c r="P14" i="14"/>
  <c r="R12" i="14"/>
  <c r="R9" i="14"/>
  <c r="N159" i="14"/>
  <c r="L14" i="12"/>
  <c r="L28" i="1"/>
  <c r="L30" i="1" s="1"/>
  <c r="L35" i="1"/>
  <c r="L14" i="13"/>
  <c r="M11" i="11"/>
  <c r="M21" i="1" s="1"/>
  <c r="M12" i="13"/>
  <c r="M12" i="12"/>
  <c r="R13" i="13"/>
  <c r="Q36" i="1"/>
  <c r="P155" i="31"/>
  <c r="P12" i="31" s="1"/>
  <c r="R150" i="31"/>
  <c r="Q152" i="31"/>
  <c r="P147" i="25"/>
  <c r="P151" i="25" s="1"/>
  <c r="P162" i="21"/>
  <c r="O14" i="20"/>
  <c r="O15" i="20" s="1"/>
  <c r="O12" i="21"/>
  <c r="O13" i="21" s="1"/>
  <c r="R157" i="21"/>
  <c r="Q159" i="21"/>
  <c r="O45" i="20"/>
  <c r="O46" i="20" s="1"/>
  <c r="Q216" i="7" s="1"/>
  <c r="Q281" i="7" s="1"/>
  <c r="O14" i="25"/>
  <c r="O15" i="25" s="1"/>
  <c r="N12" i="10"/>
  <c r="N14" i="10" s="1"/>
  <c r="N14" i="1"/>
  <c r="O176" i="10"/>
  <c r="O155" i="14"/>
  <c r="T39" i="14"/>
  <c r="S41" i="14"/>
  <c r="S51" i="14" s="1"/>
  <c r="X117" i="14"/>
  <c r="W121" i="14"/>
  <c r="R41" i="1"/>
  <c r="P47" i="1"/>
  <c r="R45" i="1"/>
  <c r="P22" i="1"/>
  <c r="T141" i="14"/>
  <c r="S143" i="14"/>
  <c r="S146" i="14" s="1"/>
  <c r="X26" i="11"/>
  <c r="S75" i="11"/>
  <c r="R80" i="11"/>
  <c r="S36" i="11"/>
  <c r="S46" i="11" s="1"/>
  <c r="P13" i="1"/>
  <c r="P11" i="10"/>
  <c r="P15" i="1"/>
  <c r="P13" i="10"/>
  <c r="O12" i="1"/>
  <c r="O10" i="10"/>
  <c r="P10" i="1"/>
  <c r="P8" i="10"/>
  <c r="P11" i="1"/>
  <c r="P9" i="10"/>
  <c r="R82" i="10"/>
  <c r="Q84" i="10"/>
  <c r="Q87" i="10" s="1"/>
  <c r="T27" i="11"/>
  <c r="S45" i="11"/>
  <c r="R38" i="10"/>
  <c r="Q40" i="10"/>
  <c r="Q52" i="10" s="1"/>
  <c r="Q197" i="10"/>
  <c r="Q168" i="14"/>
  <c r="Q171" i="14" s="1"/>
  <c r="S158" i="14"/>
  <c r="S170" i="14" s="1"/>
  <c r="T85" i="14"/>
  <c r="U61" i="14"/>
  <c r="T120" i="14"/>
  <c r="U95" i="14"/>
  <c r="T145" i="14"/>
  <c r="U132" i="14"/>
  <c r="U50" i="14"/>
  <c r="V29" i="14"/>
  <c r="T30" i="14"/>
  <c r="S32" i="13"/>
  <c r="T27" i="13"/>
  <c r="R94" i="11"/>
  <c r="S89" i="11"/>
  <c r="S65" i="11"/>
  <c r="T55" i="11"/>
  <c r="R79" i="11"/>
  <c r="R93" i="11" s="1"/>
  <c r="S56" i="11"/>
  <c r="R185" i="10"/>
  <c r="Q172" i="10"/>
  <c r="P173" i="10"/>
  <c r="Q175" i="10"/>
  <c r="Q196" i="10" s="1"/>
  <c r="R160" i="10"/>
  <c r="R149" i="10"/>
  <c r="S136" i="10"/>
  <c r="Q150" i="10"/>
  <c r="R145" i="10"/>
  <c r="R147" i="10" s="1"/>
  <c r="S135" i="10"/>
  <c r="S137" i="10" s="1"/>
  <c r="Q125" i="10"/>
  <c r="R95" i="10"/>
  <c r="P111" i="10"/>
  <c r="P126" i="10" s="1"/>
  <c r="T121" i="10"/>
  <c r="T123" i="10" s="1"/>
  <c r="S71" i="10"/>
  <c r="S73" i="10" s="1"/>
  <c r="S61" i="10"/>
  <c r="S63" i="10" s="1"/>
  <c r="Q86" i="10"/>
  <c r="R62" i="10"/>
  <c r="P14" i="30" l="1"/>
  <c r="P16" i="30" s="1"/>
  <c r="P14" i="31"/>
  <c r="O10" i="32"/>
  <c r="O10" i="33"/>
  <c r="N13" i="22"/>
  <c r="T84" i="25"/>
  <c r="U81" i="25"/>
  <c r="S41" i="20"/>
  <c r="S10" i="25"/>
  <c r="O213" i="7"/>
  <c r="O278" i="7" s="1"/>
  <c r="N194" i="7"/>
  <c r="N209" i="7"/>
  <c r="N274" i="7" s="1"/>
  <c r="O199" i="7"/>
  <c r="O214" i="7"/>
  <c r="O279" i="7" s="1"/>
  <c r="O200" i="7"/>
  <c r="O215" i="7"/>
  <c r="O280" i="7" s="1"/>
  <c r="Q197" i="7"/>
  <c r="Q212" i="7"/>
  <c r="Q277" i="7" s="1"/>
  <c r="O204" i="7"/>
  <c r="O219" i="7"/>
  <c r="O284" i="7" s="1"/>
  <c r="O203" i="7"/>
  <c r="O218" i="7"/>
  <c r="O283" i="7" s="1"/>
  <c r="Q201" i="7"/>
  <c r="Q202" i="7"/>
  <c r="N21" i="30"/>
  <c r="N23" i="30" s="1"/>
  <c r="N12" i="32"/>
  <c r="N28" i="30"/>
  <c r="N30" i="30" s="1"/>
  <c r="N12" i="33"/>
  <c r="N20" i="20"/>
  <c r="N22" i="20" s="1"/>
  <c r="N27" i="20"/>
  <c r="N29" i="20" s="1"/>
  <c r="N14" i="23"/>
  <c r="O11" i="22"/>
  <c r="O12" i="23"/>
  <c r="O12" i="24"/>
  <c r="N14" i="24"/>
  <c r="N34" i="20"/>
  <c r="N36" i="20" s="1"/>
  <c r="M13" i="11"/>
  <c r="R12" i="11"/>
  <c r="Q14" i="14"/>
  <c r="S9" i="14"/>
  <c r="N13" i="14"/>
  <c r="N15" i="14" s="1"/>
  <c r="N46" i="1"/>
  <c r="S12" i="14"/>
  <c r="O159" i="14"/>
  <c r="N11" i="11"/>
  <c r="N21" i="1" s="1"/>
  <c r="N12" i="12"/>
  <c r="N12" i="13"/>
  <c r="R36" i="1"/>
  <c r="M35" i="1"/>
  <c r="M14" i="13"/>
  <c r="M14" i="12"/>
  <c r="M28" i="1"/>
  <c r="M30" i="1" s="1"/>
  <c r="S13" i="13"/>
  <c r="Q155" i="31"/>
  <c r="Q12" i="31" s="1"/>
  <c r="S150" i="31"/>
  <c r="R152" i="31"/>
  <c r="R217" i="7"/>
  <c r="R282" i="7" s="1"/>
  <c r="Q147" i="25"/>
  <c r="Q151" i="25" s="1"/>
  <c r="Q162" i="21"/>
  <c r="S157" i="21"/>
  <c r="R159" i="21"/>
  <c r="P14" i="20"/>
  <c r="P15" i="20" s="1"/>
  <c r="R212" i="7" s="1"/>
  <c r="R277" i="7" s="1"/>
  <c r="P12" i="21"/>
  <c r="P13" i="21" s="1"/>
  <c r="P14" i="25"/>
  <c r="P15" i="25" s="1"/>
  <c r="P45" i="20"/>
  <c r="P46" i="20" s="1"/>
  <c r="R216" i="7" s="1"/>
  <c r="R281" i="7" s="1"/>
  <c r="O12" i="10"/>
  <c r="O14" i="10" s="1"/>
  <c r="O14" i="1"/>
  <c r="P176" i="10"/>
  <c r="P155" i="14"/>
  <c r="U39" i="14"/>
  <c r="T41" i="14"/>
  <c r="T51" i="14" s="1"/>
  <c r="Y117" i="14"/>
  <c r="X121" i="14"/>
  <c r="S41" i="1"/>
  <c r="Q47" i="1"/>
  <c r="S45" i="1"/>
  <c r="Q22" i="1"/>
  <c r="U141" i="14"/>
  <c r="T143" i="14"/>
  <c r="T146" i="14" s="1"/>
  <c r="Y26" i="11"/>
  <c r="T36" i="11"/>
  <c r="T46" i="11" s="1"/>
  <c r="T75" i="11"/>
  <c r="S80" i="11"/>
  <c r="P12" i="1"/>
  <c r="P10" i="10"/>
  <c r="Q15" i="1"/>
  <c r="Q13" i="10"/>
  <c r="Q13" i="1"/>
  <c r="Q11" i="10"/>
  <c r="Q10" i="1"/>
  <c r="Q8" i="10"/>
  <c r="Q11" i="1"/>
  <c r="Q9" i="10"/>
  <c r="S82" i="10"/>
  <c r="R84" i="10"/>
  <c r="R87" i="10" s="1"/>
  <c r="U27" i="11"/>
  <c r="T45" i="11"/>
  <c r="S38" i="10"/>
  <c r="R40" i="10"/>
  <c r="R52" i="10" s="1"/>
  <c r="R197" i="10"/>
  <c r="R168" i="14"/>
  <c r="R171" i="14" s="1"/>
  <c r="U30" i="14"/>
  <c r="W29" i="14"/>
  <c r="V50" i="14"/>
  <c r="U145" i="14"/>
  <c r="V132" i="14"/>
  <c r="U120" i="14"/>
  <c r="V95" i="14"/>
  <c r="U85" i="14"/>
  <c r="V61" i="14"/>
  <c r="T158" i="14"/>
  <c r="T170" i="14" s="1"/>
  <c r="T32" i="13"/>
  <c r="U27" i="13"/>
  <c r="S94" i="11"/>
  <c r="T89" i="11"/>
  <c r="S79" i="11"/>
  <c r="S93" i="11" s="1"/>
  <c r="T56" i="11"/>
  <c r="U55" i="11"/>
  <c r="T65" i="11"/>
  <c r="S185" i="10"/>
  <c r="R175" i="10"/>
  <c r="R196" i="10" s="1"/>
  <c r="S160" i="10"/>
  <c r="Q173" i="10"/>
  <c r="R172" i="10"/>
  <c r="T135" i="10"/>
  <c r="T137" i="10" s="1"/>
  <c r="R150" i="10"/>
  <c r="S145" i="10"/>
  <c r="S147" i="10" s="1"/>
  <c r="S149" i="10"/>
  <c r="T136" i="10"/>
  <c r="U121" i="10"/>
  <c r="U123" i="10" s="1"/>
  <c r="Q111" i="10"/>
  <c r="Q126" i="10" s="1"/>
  <c r="R125" i="10"/>
  <c r="S95" i="10"/>
  <c r="R86" i="10"/>
  <c r="S62" i="10"/>
  <c r="T61" i="10"/>
  <c r="T63" i="10" s="1"/>
  <c r="T71" i="10"/>
  <c r="T73" i="10" s="1"/>
  <c r="Q14" i="30" l="1"/>
  <c r="Q16" i="30" s="1"/>
  <c r="S217" i="7" s="1"/>
  <c r="S282" i="7" s="1"/>
  <c r="Q14" i="31"/>
  <c r="P10" i="32"/>
  <c r="P10" i="33"/>
  <c r="U84" i="25"/>
  <c r="V81" i="25"/>
  <c r="T41" i="20"/>
  <c r="T10" i="25"/>
  <c r="O194" i="7"/>
  <c r="O209" i="7"/>
  <c r="O274" i="7" s="1"/>
  <c r="P198" i="7"/>
  <c r="P213" i="7"/>
  <c r="P278" i="7" s="1"/>
  <c r="P199" i="7"/>
  <c r="P214" i="7"/>
  <c r="P279" i="7" s="1"/>
  <c r="P203" i="7"/>
  <c r="P218" i="7"/>
  <c r="P283" i="7" s="1"/>
  <c r="P200" i="7"/>
  <c r="P215" i="7"/>
  <c r="P280" i="7" s="1"/>
  <c r="P204" i="7"/>
  <c r="P219" i="7"/>
  <c r="P284" i="7" s="1"/>
  <c r="R201" i="7"/>
  <c r="R197" i="7"/>
  <c r="R202" i="7"/>
  <c r="O21" i="30"/>
  <c r="O23" i="30" s="1"/>
  <c r="O12" i="32"/>
  <c r="O28" i="30"/>
  <c r="O30" i="30" s="1"/>
  <c r="O12" i="33"/>
  <c r="S36" i="1"/>
  <c r="O13" i="22"/>
  <c r="N13" i="11"/>
  <c r="O20" i="20"/>
  <c r="O22" i="20" s="1"/>
  <c r="O14" i="24"/>
  <c r="O34" i="20"/>
  <c r="O36" i="20" s="1"/>
  <c r="P11" i="22"/>
  <c r="P12" i="23"/>
  <c r="P12" i="24"/>
  <c r="O27" i="20"/>
  <c r="O29" i="20" s="1"/>
  <c r="O14" i="23"/>
  <c r="S12" i="11"/>
  <c r="T9" i="14"/>
  <c r="T12" i="14"/>
  <c r="R14" i="14"/>
  <c r="O46" i="1"/>
  <c r="O13" i="14"/>
  <c r="O15" i="14" s="1"/>
  <c r="P159" i="14"/>
  <c r="P13" i="14" s="1"/>
  <c r="P15" i="14" s="1"/>
  <c r="N35" i="1"/>
  <c r="N14" i="13"/>
  <c r="N14" i="12"/>
  <c r="N28" i="1"/>
  <c r="N30" i="1" s="1"/>
  <c r="O11" i="11"/>
  <c r="O13" i="11" s="1"/>
  <c r="O12" i="12"/>
  <c r="O12" i="13"/>
  <c r="T13" i="13"/>
  <c r="T150" i="31"/>
  <c r="S152" i="31"/>
  <c r="R155" i="31"/>
  <c r="R12" i="31" s="1"/>
  <c r="S159" i="21"/>
  <c r="T157" i="21"/>
  <c r="Q14" i="20"/>
  <c r="Q15" i="20" s="1"/>
  <c r="S212" i="7" s="1"/>
  <c r="S277" i="7" s="1"/>
  <c r="Q12" i="21"/>
  <c r="Q13" i="21" s="1"/>
  <c r="R162" i="21"/>
  <c r="R147" i="25"/>
  <c r="R151" i="25" s="1"/>
  <c r="Q45" i="20"/>
  <c r="Q46" i="20" s="1"/>
  <c r="S216" i="7" s="1"/>
  <c r="S281" i="7" s="1"/>
  <c r="Q14" i="25"/>
  <c r="Q15" i="25" s="1"/>
  <c r="P12" i="10"/>
  <c r="P14" i="10" s="1"/>
  <c r="P14" i="1"/>
  <c r="Q176" i="10"/>
  <c r="Q155" i="14"/>
  <c r="V39" i="14"/>
  <c r="U41" i="14"/>
  <c r="U51" i="14" s="1"/>
  <c r="Z117" i="14"/>
  <c r="Y121" i="14"/>
  <c r="T41" i="1"/>
  <c r="R47" i="1"/>
  <c r="T45" i="1"/>
  <c r="R22" i="1"/>
  <c r="V141" i="14"/>
  <c r="U143" i="14"/>
  <c r="U146" i="14" s="1"/>
  <c r="Z26" i="11"/>
  <c r="U75" i="11"/>
  <c r="T80" i="11"/>
  <c r="U36" i="11"/>
  <c r="U46" i="11" s="1"/>
  <c r="R13" i="1"/>
  <c r="R11" i="10"/>
  <c r="R15" i="1"/>
  <c r="R13" i="10"/>
  <c r="Q12" i="1"/>
  <c r="Q10" i="10"/>
  <c r="R10" i="1"/>
  <c r="R8" i="10"/>
  <c r="R11" i="1"/>
  <c r="R9" i="10"/>
  <c r="T82" i="10"/>
  <c r="S84" i="10"/>
  <c r="S87" i="10" s="1"/>
  <c r="V27" i="11"/>
  <c r="U45" i="11"/>
  <c r="T38" i="10"/>
  <c r="S40" i="10"/>
  <c r="S52" i="10" s="1"/>
  <c r="S197" i="10"/>
  <c r="S168" i="14"/>
  <c r="S171" i="14" s="1"/>
  <c r="U158" i="14"/>
  <c r="U170" i="14" s="1"/>
  <c r="V85" i="14"/>
  <c r="W61" i="14"/>
  <c r="V120" i="14"/>
  <c r="W95" i="14"/>
  <c r="V145" i="14"/>
  <c r="W132" i="14"/>
  <c r="W50" i="14"/>
  <c r="X29" i="14"/>
  <c r="V30" i="14"/>
  <c r="U32" i="13"/>
  <c r="V27" i="13"/>
  <c r="T94" i="11"/>
  <c r="U89" i="11"/>
  <c r="U65" i="11"/>
  <c r="V55" i="11"/>
  <c r="T79" i="11"/>
  <c r="T93" i="11" s="1"/>
  <c r="U56" i="11"/>
  <c r="T185" i="10"/>
  <c r="S172" i="10"/>
  <c r="R173" i="10"/>
  <c r="S175" i="10"/>
  <c r="S196" i="10" s="1"/>
  <c r="T160" i="10"/>
  <c r="T149" i="10"/>
  <c r="U136" i="10"/>
  <c r="S150" i="10"/>
  <c r="T145" i="10"/>
  <c r="T147" i="10" s="1"/>
  <c r="U135" i="10"/>
  <c r="U137" i="10" s="1"/>
  <c r="S125" i="10"/>
  <c r="T95" i="10"/>
  <c r="R111" i="10"/>
  <c r="R126" i="10" s="1"/>
  <c r="V121" i="10"/>
  <c r="V123" i="10" s="1"/>
  <c r="U71" i="10"/>
  <c r="U73" i="10" s="1"/>
  <c r="U61" i="10"/>
  <c r="U63" i="10" s="1"/>
  <c r="S86" i="10"/>
  <c r="T62" i="10"/>
  <c r="R14" i="30" l="1"/>
  <c r="R16" i="30" s="1"/>
  <c r="T217" i="7" s="1"/>
  <c r="T282" i="7" s="1"/>
  <c r="R14" i="31"/>
  <c r="Q10" i="33"/>
  <c r="Q10" i="32"/>
  <c r="P13" i="22"/>
  <c r="W81" i="25"/>
  <c r="V84" i="25"/>
  <c r="U41" i="20"/>
  <c r="U10" i="25"/>
  <c r="Q199" i="7"/>
  <c r="Q214" i="7"/>
  <c r="Q279" i="7" s="1"/>
  <c r="Q198" i="7"/>
  <c r="Q213" i="7"/>
  <c r="Q278" i="7" s="1"/>
  <c r="Q203" i="7"/>
  <c r="Q218" i="7"/>
  <c r="Q283" i="7" s="1"/>
  <c r="P194" i="7"/>
  <c r="P209" i="7"/>
  <c r="P274" i="7" s="1"/>
  <c r="Q204" i="7"/>
  <c r="Q219" i="7"/>
  <c r="Q284" i="7" s="1"/>
  <c r="Q200" i="7"/>
  <c r="Q215" i="7"/>
  <c r="Q280" i="7" s="1"/>
  <c r="S201" i="7"/>
  <c r="S197" i="7"/>
  <c r="S202" i="7"/>
  <c r="P21" i="30"/>
  <c r="P23" i="30" s="1"/>
  <c r="P28" i="30"/>
  <c r="P30" i="30" s="1"/>
  <c r="P12" i="33"/>
  <c r="P12" i="32"/>
  <c r="T36" i="1"/>
  <c r="P20" i="20"/>
  <c r="P22" i="20" s="1"/>
  <c r="Q11" i="22"/>
  <c r="Q12" i="24"/>
  <c r="Q12" i="23"/>
  <c r="P14" i="24"/>
  <c r="P34" i="20"/>
  <c r="P36" i="20" s="1"/>
  <c r="P27" i="20"/>
  <c r="P29" i="20" s="1"/>
  <c r="P14" i="23"/>
  <c r="O21" i="1"/>
  <c r="T12" i="11"/>
  <c r="S14" i="14"/>
  <c r="U9" i="14"/>
  <c r="U12" i="14"/>
  <c r="P46" i="1"/>
  <c r="Q159" i="14"/>
  <c r="Q13" i="14" s="1"/>
  <c r="Q15" i="14" s="1"/>
  <c r="O35" i="1"/>
  <c r="O14" i="13"/>
  <c r="P11" i="11"/>
  <c r="P21" i="1" s="1"/>
  <c r="P12" i="12"/>
  <c r="P12" i="13"/>
  <c r="O14" i="12"/>
  <c r="O28" i="1"/>
  <c r="O30" i="1" s="1"/>
  <c r="U13" i="13"/>
  <c r="U150" i="31"/>
  <c r="T152" i="31"/>
  <c r="S155" i="31"/>
  <c r="S12" i="31" s="1"/>
  <c r="R45" i="20"/>
  <c r="R46" i="20" s="1"/>
  <c r="T216" i="7" s="1"/>
  <c r="T281" i="7" s="1"/>
  <c r="R14" i="25"/>
  <c r="R15" i="25" s="1"/>
  <c r="R14" i="20"/>
  <c r="R15" i="20" s="1"/>
  <c r="T212" i="7" s="1"/>
  <c r="T277" i="7" s="1"/>
  <c r="R12" i="21"/>
  <c r="R13" i="21" s="1"/>
  <c r="T159" i="21"/>
  <c r="U157" i="21"/>
  <c r="S147" i="25"/>
  <c r="S151" i="25" s="1"/>
  <c r="S162" i="21"/>
  <c r="Q12" i="10"/>
  <c r="Q14" i="10" s="1"/>
  <c r="Q14" i="1"/>
  <c r="R176" i="10"/>
  <c r="R155" i="14"/>
  <c r="W39" i="14"/>
  <c r="V41" i="14"/>
  <c r="V51" i="14" s="1"/>
  <c r="AA117" i="14"/>
  <c r="AA121" i="14" s="1"/>
  <c r="Z121" i="14"/>
  <c r="U41" i="1"/>
  <c r="S47" i="1"/>
  <c r="U45" i="1"/>
  <c r="S22" i="1"/>
  <c r="W141" i="14"/>
  <c r="V143" i="14"/>
  <c r="V146" i="14" s="1"/>
  <c r="AA26" i="11"/>
  <c r="V36" i="11"/>
  <c r="V46" i="11" s="1"/>
  <c r="V75" i="11"/>
  <c r="U80" i="11"/>
  <c r="R12" i="1"/>
  <c r="R10" i="10"/>
  <c r="S15" i="1"/>
  <c r="S13" i="10"/>
  <c r="S13" i="1"/>
  <c r="S11" i="10"/>
  <c r="S10" i="1"/>
  <c r="S8" i="10"/>
  <c r="S11" i="1"/>
  <c r="S9" i="10"/>
  <c r="U82" i="10"/>
  <c r="T84" i="10"/>
  <c r="T87" i="10" s="1"/>
  <c r="W27" i="11"/>
  <c r="V45" i="11"/>
  <c r="U38" i="10"/>
  <c r="T40" i="10"/>
  <c r="T52" i="10" s="1"/>
  <c r="T197" i="10"/>
  <c r="T168" i="14"/>
  <c r="T171" i="14" s="1"/>
  <c r="W30" i="14"/>
  <c r="Y29" i="14"/>
  <c r="X50" i="14"/>
  <c r="W145" i="14"/>
  <c r="X132" i="14"/>
  <c r="W120" i="14"/>
  <c r="X95" i="14"/>
  <c r="W85" i="14"/>
  <c r="X61" i="14"/>
  <c r="V158" i="14"/>
  <c r="V170" i="14" s="1"/>
  <c r="V32" i="13"/>
  <c r="W27" i="13"/>
  <c r="U94" i="11"/>
  <c r="V89" i="11"/>
  <c r="U79" i="11"/>
  <c r="U93" i="11" s="1"/>
  <c r="V56" i="11"/>
  <c r="W55" i="11"/>
  <c r="V65" i="11"/>
  <c r="U185" i="10"/>
  <c r="T175" i="10"/>
  <c r="T196" i="10" s="1"/>
  <c r="U160" i="10"/>
  <c r="S173" i="10"/>
  <c r="T172" i="10"/>
  <c r="V135" i="10"/>
  <c r="V137" i="10" s="1"/>
  <c r="T150" i="10"/>
  <c r="U145" i="10"/>
  <c r="U147" i="10" s="1"/>
  <c r="U149" i="10"/>
  <c r="V136" i="10"/>
  <c r="W121" i="10"/>
  <c r="W123" i="10" s="1"/>
  <c r="S111" i="10"/>
  <c r="S126" i="10" s="1"/>
  <c r="T125" i="10"/>
  <c r="U95" i="10"/>
  <c r="T86" i="10"/>
  <c r="U62" i="10"/>
  <c r="V61" i="10"/>
  <c r="V63" i="10" s="1"/>
  <c r="V71" i="10"/>
  <c r="V73" i="10" s="1"/>
  <c r="S14" i="30" l="1"/>
  <c r="S16" i="30" s="1"/>
  <c r="S14" i="31"/>
  <c r="R10" i="32"/>
  <c r="R10" i="33"/>
  <c r="Q13" i="22"/>
  <c r="V10" i="25"/>
  <c r="V41" i="20"/>
  <c r="W84" i="25"/>
  <c r="X81" i="25"/>
  <c r="R203" i="7"/>
  <c r="R218" i="7"/>
  <c r="R283" i="7" s="1"/>
  <c r="Q194" i="7"/>
  <c r="Q209" i="7"/>
  <c r="Q274" i="7" s="1"/>
  <c r="R198" i="7"/>
  <c r="R213" i="7"/>
  <c r="R278" i="7" s="1"/>
  <c r="R199" i="7"/>
  <c r="R214" i="7"/>
  <c r="R279" i="7" s="1"/>
  <c r="R200" i="7"/>
  <c r="R215" i="7"/>
  <c r="R280" i="7" s="1"/>
  <c r="R204" i="7"/>
  <c r="R219" i="7"/>
  <c r="R284" i="7" s="1"/>
  <c r="T201" i="7"/>
  <c r="T197" i="7"/>
  <c r="T202" i="7"/>
  <c r="Q21" i="30"/>
  <c r="Q23" i="30" s="1"/>
  <c r="P13" i="11"/>
  <c r="Q12" i="32"/>
  <c r="Q28" i="30"/>
  <c r="Q30" i="30" s="1"/>
  <c r="Q12" i="33"/>
  <c r="U36" i="1"/>
  <c r="R11" i="22"/>
  <c r="R12" i="23"/>
  <c r="R12" i="24"/>
  <c r="Q20" i="20"/>
  <c r="Q22" i="20" s="1"/>
  <c r="Q27" i="20"/>
  <c r="Q29" i="20" s="1"/>
  <c r="Q14" i="23"/>
  <c r="Q14" i="24"/>
  <c r="Q34" i="20"/>
  <c r="Q36" i="20" s="1"/>
  <c r="U12" i="11"/>
  <c r="V9" i="14"/>
  <c r="T14" i="14"/>
  <c r="V12" i="14"/>
  <c r="Q46" i="1"/>
  <c r="R159" i="14"/>
  <c r="R13" i="14" s="1"/>
  <c r="R15" i="14" s="1"/>
  <c r="P35" i="1"/>
  <c r="P14" i="13"/>
  <c r="P14" i="12"/>
  <c r="P28" i="1"/>
  <c r="P30" i="1" s="1"/>
  <c r="Q11" i="11"/>
  <c r="Q12" i="12"/>
  <c r="Q12" i="13"/>
  <c r="V13" i="13"/>
  <c r="U217" i="7"/>
  <c r="U282" i="7" s="1"/>
  <c r="T155" i="31"/>
  <c r="T12" i="31" s="1"/>
  <c r="V150" i="31"/>
  <c r="U152" i="31"/>
  <c r="S12" i="21"/>
  <c r="S13" i="21" s="1"/>
  <c r="S14" i="20"/>
  <c r="S15" i="20" s="1"/>
  <c r="U212" i="7" s="1"/>
  <c r="U277" i="7" s="1"/>
  <c r="S14" i="25"/>
  <c r="S15" i="25" s="1"/>
  <c r="S45" i="20"/>
  <c r="S46" i="20" s="1"/>
  <c r="U216" i="7" s="1"/>
  <c r="U281" i="7" s="1"/>
  <c r="V157" i="21"/>
  <c r="U159" i="21"/>
  <c r="T162" i="21"/>
  <c r="T147" i="25"/>
  <c r="T151" i="25" s="1"/>
  <c r="R12" i="10"/>
  <c r="R14" i="10" s="1"/>
  <c r="R14" i="1"/>
  <c r="S176" i="10"/>
  <c r="S155" i="14"/>
  <c r="X39" i="14"/>
  <c r="W41" i="14"/>
  <c r="W51" i="14" s="1"/>
  <c r="V41" i="1"/>
  <c r="T47" i="1"/>
  <c r="V45" i="1"/>
  <c r="T22" i="1"/>
  <c r="X141" i="14"/>
  <c r="W143" i="14"/>
  <c r="W146" i="14" s="1"/>
  <c r="W75" i="11"/>
  <c r="V80" i="11"/>
  <c r="W36" i="11"/>
  <c r="W46" i="11" s="1"/>
  <c r="T13" i="1"/>
  <c r="T11" i="10"/>
  <c r="T15" i="1"/>
  <c r="T13" i="10"/>
  <c r="S12" i="1"/>
  <c r="S10" i="10"/>
  <c r="T10" i="1"/>
  <c r="T8" i="10"/>
  <c r="T11" i="1"/>
  <c r="T9" i="10"/>
  <c r="V82" i="10"/>
  <c r="U84" i="10"/>
  <c r="U87" i="10" s="1"/>
  <c r="X27" i="11"/>
  <c r="W45" i="11"/>
  <c r="V38" i="10"/>
  <c r="U40" i="10"/>
  <c r="U52" i="10" s="1"/>
  <c r="U197" i="10"/>
  <c r="U168" i="14"/>
  <c r="U171" i="14" s="1"/>
  <c r="W158" i="14"/>
  <c r="W170" i="14" s="1"/>
  <c r="X85" i="14"/>
  <c r="Y61" i="14"/>
  <c r="X120" i="14"/>
  <c r="Y95" i="14"/>
  <c r="X145" i="14"/>
  <c r="Y132" i="14"/>
  <c r="Y50" i="14"/>
  <c r="Z29" i="14"/>
  <c r="X30" i="14"/>
  <c r="W32" i="13"/>
  <c r="X27" i="13"/>
  <c r="V94" i="11"/>
  <c r="W89" i="11"/>
  <c r="W65" i="11"/>
  <c r="X55" i="11"/>
  <c r="V79" i="11"/>
  <c r="V93" i="11" s="1"/>
  <c r="W56" i="11"/>
  <c r="V185" i="10"/>
  <c r="U172" i="10"/>
  <c r="T173" i="10"/>
  <c r="U175" i="10"/>
  <c r="U196" i="10" s="1"/>
  <c r="V160" i="10"/>
  <c r="V149" i="10"/>
  <c r="W136" i="10"/>
  <c r="U150" i="10"/>
  <c r="V145" i="10"/>
  <c r="V147" i="10" s="1"/>
  <c r="W135" i="10"/>
  <c r="W137" i="10" s="1"/>
  <c r="U125" i="10"/>
  <c r="V95" i="10"/>
  <c r="T111" i="10"/>
  <c r="T126" i="10" s="1"/>
  <c r="X121" i="10"/>
  <c r="X123" i="10" s="1"/>
  <c r="W71" i="10"/>
  <c r="W73" i="10" s="1"/>
  <c r="W61" i="10"/>
  <c r="W63" i="10" s="1"/>
  <c r="U86" i="10"/>
  <c r="V62" i="10"/>
  <c r="T14" i="30" l="1"/>
  <c r="T16" i="30" s="1"/>
  <c r="V217" i="7" s="1"/>
  <c r="V282" i="7" s="1"/>
  <c r="T14" i="31"/>
  <c r="S10" i="32"/>
  <c r="S10" i="33"/>
  <c r="Y81" i="25"/>
  <c r="X84" i="25"/>
  <c r="W41" i="20"/>
  <c r="W10" i="25"/>
  <c r="S200" i="7"/>
  <c r="S215" i="7"/>
  <c r="S280" i="7" s="1"/>
  <c r="S199" i="7"/>
  <c r="S214" i="7"/>
  <c r="S279" i="7" s="1"/>
  <c r="S198" i="7"/>
  <c r="S213" i="7"/>
  <c r="S278" i="7" s="1"/>
  <c r="S203" i="7"/>
  <c r="S218" i="7"/>
  <c r="S283" i="7" s="1"/>
  <c r="S204" i="7"/>
  <c r="S219" i="7"/>
  <c r="S284" i="7" s="1"/>
  <c r="R194" i="7"/>
  <c r="R209" i="7"/>
  <c r="R274" i="7" s="1"/>
  <c r="U201" i="7"/>
  <c r="U197" i="7"/>
  <c r="U202" i="7"/>
  <c r="R21" i="30"/>
  <c r="R23" i="30" s="1"/>
  <c r="R12" i="32"/>
  <c r="V36" i="1"/>
  <c r="R13" i="22"/>
  <c r="R28" i="30"/>
  <c r="R30" i="30" s="1"/>
  <c r="R12" i="33"/>
  <c r="R20" i="20"/>
  <c r="R22" i="20" s="1"/>
  <c r="R46" i="1"/>
  <c r="S11" i="22"/>
  <c r="S12" i="23"/>
  <c r="S12" i="24"/>
  <c r="R27" i="20"/>
  <c r="R29" i="20" s="1"/>
  <c r="R14" i="23"/>
  <c r="R14" i="24"/>
  <c r="R34" i="20"/>
  <c r="R36" i="20" s="1"/>
  <c r="Q13" i="11"/>
  <c r="V12" i="11"/>
  <c r="Q21" i="1"/>
  <c r="W12" i="14"/>
  <c r="W9" i="14"/>
  <c r="U14" i="14"/>
  <c r="S159" i="14"/>
  <c r="S13" i="14" s="1"/>
  <c r="S15" i="14" s="1"/>
  <c r="Q14" i="12"/>
  <c r="Q28" i="1"/>
  <c r="Q30" i="1" s="1"/>
  <c r="R11" i="11"/>
  <c r="R21" i="1" s="1"/>
  <c r="R12" i="12"/>
  <c r="R12" i="13"/>
  <c r="Q35" i="1"/>
  <c r="Q14" i="13"/>
  <c r="W13" i="13"/>
  <c r="W150" i="31"/>
  <c r="V152" i="31"/>
  <c r="U155" i="31"/>
  <c r="U12" i="31" s="1"/>
  <c r="W157" i="21"/>
  <c r="V159" i="21"/>
  <c r="T45" i="20"/>
  <c r="T46" i="20" s="1"/>
  <c r="V216" i="7" s="1"/>
  <c r="V281" i="7" s="1"/>
  <c r="T14" i="25"/>
  <c r="T15" i="25" s="1"/>
  <c r="T14" i="20"/>
  <c r="T15" i="20" s="1"/>
  <c r="V212" i="7" s="1"/>
  <c r="V277" i="7" s="1"/>
  <c r="T12" i="21"/>
  <c r="T13" i="21" s="1"/>
  <c r="U147" i="25"/>
  <c r="U151" i="25" s="1"/>
  <c r="U162" i="21"/>
  <c r="S14" i="1"/>
  <c r="S12" i="10"/>
  <c r="S14" i="10" s="1"/>
  <c r="T176" i="10"/>
  <c r="T155" i="14"/>
  <c r="Y39" i="14"/>
  <c r="X41" i="14"/>
  <c r="X51" i="14" s="1"/>
  <c r="W41" i="1"/>
  <c r="U47" i="1"/>
  <c r="W45" i="1"/>
  <c r="U22" i="1"/>
  <c r="Y141" i="14"/>
  <c r="X143" i="14"/>
  <c r="X146" i="14" s="1"/>
  <c r="X36" i="11"/>
  <c r="X46" i="11" s="1"/>
  <c r="X75" i="11"/>
  <c r="W80" i="11"/>
  <c r="T12" i="1"/>
  <c r="T10" i="10"/>
  <c r="U15" i="1"/>
  <c r="U13" i="10"/>
  <c r="U13" i="1"/>
  <c r="U11" i="10"/>
  <c r="U10" i="1"/>
  <c r="U8" i="10"/>
  <c r="U11" i="1"/>
  <c r="U9" i="10"/>
  <c r="W82" i="10"/>
  <c r="V84" i="10"/>
  <c r="V87" i="10" s="1"/>
  <c r="Y27" i="11"/>
  <c r="X45" i="11"/>
  <c r="W38" i="10"/>
  <c r="V40" i="10"/>
  <c r="V52" i="10" s="1"/>
  <c r="V197" i="10"/>
  <c r="V168" i="14"/>
  <c r="V171" i="14" s="1"/>
  <c r="AA29" i="14"/>
  <c r="AA50" i="14" s="1"/>
  <c r="Z50" i="14"/>
  <c r="Y85" i="14"/>
  <c r="Z61" i="14"/>
  <c r="Y30" i="14"/>
  <c r="Y145" i="14"/>
  <c r="Z132" i="14"/>
  <c r="Y120" i="14"/>
  <c r="Z95" i="14"/>
  <c r="X158" i="14"/>
  <c r="X170" i="14" s="1"/>
  <c r="X32" i="13"/>
  <c r="Y27" i="13"/>
  <c r="W94" i="11"/>
  <c r="X89" i="11"/>
  <c r="W79" i="11"/>
  <c r="W93" i="11" s="1"/>
  <c r="X56" i="11"/>
  <c r="Y55" i="11"/>
  <c r="X65" i="11"/>
  <c r="W185" i="10"/>
  <c r="V175" i="10"/>
  <c r="V196" i="10" s="1"/>
  <c r="W160" i="10"/>
  <c r="U173" i="10"/>
  <c r="V172" i="10"/>
  <c r="X135" i="10"/>
  <c r="X137" i="10" s="1"/>
  <c r="V150" i="10"/>
  <c r="W145" i="10"/>
  <c r="W147" i="10" s="1"/>
  <c r="W149" i="10"/>
  <c r="X136" i="10"/>
  <c r="Y121" i="10"/>
  <c r="Y123" i="10" s="1"/>
  <c r="U111" i="10"/>
  <c r="U126" i="10" s="1"/>
  <c r="V125" i="10"/>
  <c r="W95" i="10"/>
  <c r="V86" i="10"/>
  <c r="W62" i="10"/>
  <c r="X61" i="10"/>
  <c r="X63" i="10" s="1"/>
  <c r="X71" i="10"/>
  <c r="X73" i="10" s="1"/>
  <c r="U14" i="30" l="1"/>
  <c r="U16" i="30" s="1"/>
  <c r="W217" i="7" s="1"/>
  <c r="W282" i="7" s="1"/>
  <c r="U14" i="31"/>
  <c r="T10" i="32"/>
  <c r="T10" i="33"/>
  <c r="X10" i="25"/>
  <c r="X41" i="20"/>
  <c r="Z81" i="25"/>
  <c r="Y84" i="25"/>
  <c r="T203" i="7"/>
  <c r="T218" i="7"/>
  <c r="T283" i="7" s="1"/>
  <c r="T198" i="7"/>
  <c r="T213" i="7"/>
  <c r="T278" i="7" s="1"/>
  <c r="T199" i="7"/>
  <c r="T214" i="7"/>
  <c r="T279" i="7" s="1"/>
  <c r="S194" i="7"/>
  <c r="S209" i="7"/>
  <c r="S274" i="7" s="1"/>
  <c r="T200" i="7"/>
  <c r="T215" i="7"/>
  <c r="T280" i="7" s="1"/>
  <c r="T204" i="7"/>
  <c r="T219" i="7"/>
  <c r="T284" i="7" s="1"/>
  <c r="V201" i="7"/>
  <c r="V197" i="7"/>
  <c r="V202" i="7"/>
  <c r="S21" i="30"/>
  <c r="S23" i="30" s="1"/>
  <c r="W12" i="11"/>
  <c r="W36" i="1"/>
  <c r="S28" i="30"/>
  <c r="S30" i="30" s="1"/>
  <c r="S12" i="33"/>
  <c r="S12" i="32"/>
  <c r="S13" i="22"/>
  <c r="S20" i="20"/>
  <c r="S22" i="20" s="1"/>
  <c r="S27" i="20"/>
  <c r="S29" i="20" s="1"/>
  <c r="S14" i="23"/>
  <c r="S14" i="24"/>
  <c r="S34" i="20"/>
  <c r="S36" i="20" s="1"/>
  <c r="T11" i="22"/>
  <c r="T20" i="20" s="1"/>
  <c r="T22" i="20" s="1"/>
  <c r="T12" i="24"/>
  <c r="T12" i="23"/>
  <c r="S46" i="1"/>
  <c r="R13" i="11"/>
  <c r="V14" i="14"/>
  <c r="X9" i="14"/>
  <c r="X12" i="14"/>
  <c r="T159" i="14"/>
  <c r="T13" i="14" s="1"/>
  <c r="T15" i="14" s="1"/>
  <c r="S11" i="11"/>
  <c r="S21" i="1" s="1"/>
  <c r="S12" i="12"/>
  <c r="S12" i="13"/>
  <c r="R14" i="12"/>
  <c r="R28" i="1"/>
  <c r="R30" i="1" s="1"/>
  <c r="R35" i="1"/>
  <c r="R14" i="13"/>
  <c r="X13" i="13"/>
  <c r="V155" i="31"/>
  <c r="V12" i="31" s="1"/>
  <c r="X150" i="31"/>
  <c r="W152" i="31"/>
  <c r="U12" i="21"/>
  <c r="U13" i="21" s="1"/>
  <c r="U14" i="20"/>
  <c r="U15" i="20" s="1"/>
  <c r="W212" i="7" s="1"/>
  <c r="W277" i="7" s="1"/>
  <c r="U14" i="25"/>
  <c r="U15" i="25" s="1"/>
  <c r="U45" i="20"/>
  <c r="U46" i="20" s="1"/>
  <c r="W216" i="7" s="1"/>
  <c r="W281" i="7" s="1"/>
  <c r="V147" i="25"/>
  <c r="V151" i="25" s="1"/>
  <c r="V162" i="21"/>
  <c r="W159" i="21"/>
  <c r="X157" i="21"/>
  <c r="T12" i="10"/>
  <c r="T14" i="10" s="1"/>
  <c r="T14" i="1"/>
  <c r="U176" i="10"/>
  <c r="U155" i="14"/>
  <c r="Z39" i="14"/>
  <c r="Y41" i="14"/>
  <c r="Y51" i="14" s="1"/>
  <c r="X41" i="1"/>
  <c r="V47" i="1"/>
  <c r="X45" i="1"/>
  <c r="V22" i="1"/>
  <c r="Z141" i="14"/>
  <c r="Y143" i="14"/>
  <c r="Y146" i="14" s="1"/>
  <c r="Y75" i="11"/>
  <c r="X80" i="11"/>
  <c r="Y36" i="11"/>
  <c r="Y46" i="11" s="1"/>
  <c r="V13" i="1"/>
  <c r="V11" i="10"/>
  <c r="V15" i="1"/>
  <c r="V13" i="10"/>
  <c r="U12" i="1"/>
  <c r="U10" i="10"/>
  <c r="V10" i="1"/>
  <c r="V8" i="10"/>
  <c r="V11" i="1"/>
  <c r="V9" i="10"/>
  <c r="X82" i="10"/>
  <c r="W84" i="10"/>
  <c r="W87" i="10" s="1"/>
  <c r="Z27" i="11"/>
  <c r="Y45" i="11"/>
  <c r="X38" i="10"/>
  <c r="W40" i="10"/>
  <c r="W52" i="10" s="1"/>
  <c r="W197" i="10"/>
  <c r="W168" i="14"/>
  <c r="W171" i="14" s="1"/>
  <c r="Y158" i="14"/>
  <c r="Y170" i="14" s="1"/>
  <c r="Z120" i="14"/>
  <c r="AA95" i="14"/>
  <c r="AA120" i="14" s="1"/>
  <c r="Z145" i="14"/>
  <c r="AA132" i="14"/>
  <c r="AA145" i="14" s="1"/>
  <c r="Z85" i="14"/>
  <c r="AA61" i="14"/>
  <c r="AA85" i="14" s="1"/>
  <c r="Z30" i="14"/>
  <c r="Y32" i="13"/>
  <c r="Z27" i="13"/>
  <c r="X94" i="11"/>
  <c r="Y89" i="11"/>
  <c r="Y65" i="11"/>
  <c r="Z55" i="11"/>
  <c r="Y56" i="11"/>
  <c r="X79" i="11"/>
  <c r="X93" i="11" s="1"/>
  <c r="X185" i="10"/>
  <c r="W172" i="10"/>
  <c r="V173" i="10"/>
  <c r="W175" i="10"/>
  <c r="W196" i="10" s="1"/>
  <c r="X160" i="10"/>
  <c r="X149" i="10"/>
  <c r="Y136" i="10"/>
  <c r="W150" i="10"/>
  <c r="X145" i="10"/>
  <c r="X147" i="10" s="1"/>
  <c r="Y135" i="10"/>
  <c r="Y137" i="10" s="1"/>
  <c r="W125" i="10"/>
  <c r="X95" i="10"/>
  <c r="V111" i="10"/>
  <c r="V126" i="10" s="1"/>
  <c r="Z121" i="10"/>
  <c r="Z123" i="10" s="1"/>
  <c r="Y71" i="10"/>
  <c r="Y73" i="10" s="1"/>
  <c r="Y61" i="10"/>
  <c r="Y63" i="10" s="1"/>
  <c r="W86" i="10"/>
  <c r="X62" i="10"/>
  <c r="V14" i="30" l="1"/>
  <c r="V16" i="30" s="1"/>
  <c r="V14" i="31"/>
  <c r="U10" i="33"/>
  <c r="U10" i="32"/>
  <c r="AA81" i="25"/>
  <c r="AA84" i="25" s="1"/>
  <c r="Z84" i="25"/>
  <c r="Y10" i="25"/>
  <c r="Y41" i="20"/>
  <c r="U198" i="7"/>
  <c r="U213" i="7"/>
  <c r="U278" i="7" s="1"/>
  <c r="U204" i="7"/>
  <c r="U219" i="7"/>
  <c r="U284" i="7" s="1"/>
  <c r="U203" i="7"/>
  <c r="U218" i="7"/>
  <c r="U283" i="7" s="1"/>
  <c r="T194" i="7"/>
  <c r="T209" i="7"/>
  <c r="T274" i="7" s="1"/>
  <c r="V198" i="7"/>
  <c r="V213" i="7"/>
  <c r="V278" i="7" s="1"/>
  <c r="U200" i="7"/>
  <c r="U215" i="7"/>
  <c r="U280" i="7" s="1"/>
  <c r="U199" i="7"/>
  <c r="U214" i="7"/>
  <c r="U279" i="7" s="1"/>
  <c r="W201" i="7"/>
  <c r="W197" i="7"/>
  <c r="W202" i="7"/>
  <c r="T21" i="30"/>
  <c r="T23" i="30" s="1"/>
  <c r="T46" i="1"/>
  <c r="T12" i="32"/>
  <c r="T28" i="30"/>
  <c r="T30" i="30" s="1"/>
  <c r="T12" i="33"/>
  <c r="X12" i="11"/>
  <c r="U11" i="22"/>
  <c r="U12" i="24"/>
  <c r="U12" i="23"/>
  <c r="T13" i="22"/>
  <c r="T27" i="20"/>
  <c r="T29" i="20" s="1"/>
  <c r="T14" i="23"/>
  <c r="T14" i="24"/>
  <c r="T34" i="20"/>
  <c r="T36" i="20" s="1"/>
  <c r="Y12" i="14"/>
  <c r="W14" i="14"/>
  <c r="Y9" i="14"/>
  <c r="U159" i="14"/>
  <c r="U13" i="14" s="1"/>
  <c r="U15" i="14" s="1"/>
  <c r="S35" i="1"/>
  <c r="S14" i="13"/>
  <c r="S13" i="11"/>
  <c r="T11" i="11"/>
  <c r="T12" i="12"/>
  <c r="T12" i="13"/>
  <c r="S14" i="12"/>
  <c r="S28" i="1"/>
  <c r="S30" i="1" s="1"/>
  <c r="Y13" i="13"/>
  <c r="X36" i="1"/>
  <c r="W155" i="31"/>
  <c r="W12" i="31" s="1"/>
  <c r="Y150" i="31"/>
  <c r="X152" i="31"/>
  <c r="X217" i="7"/>
  <c r="X282" i="7" s="1"/>
  <c r="X159" i="21"/>
  <c r="Y157" i="21"/>
  <c r="V14" i="20"/>
  <c r="V15" i="20" s="1"/>
  <c r="X212" i="7" s="1"/>
  <c r="X277" i="7" s="1"/>
  <c r="V12" i="21"/>
  <c r="V13" i="21" s="1"/>
  <c r="W147" i="25"/>
  <c r="W151" i="25" s="1"/>
  <c r="W162" i="21"/>
  <c r="V14" i="25"/>
  <c r="V15" i="25" s="1"/>
  <c r="V45" i="20"/>
  <c r="V46" i="20" s="1"/>
  <c r="X216" i="7" s="1"/>
  <c r="X281" i="7" s="1"/>
  <c r="U14" i="1"/>
  <c r="U12" i="10"/>
  <c r="U14" i="10" s="1"/>
  <c r="V176" i="10"/>
  <c r="V14" i="1" s="1"/>
  <c r="V155" i="14"/>
  <c r="AA39" i="14"/>
  <c r="AA41" i="14" s="1"/>
  <c r="Z41" i="14"/>
  <c r="Z51" i="14" s="1"/>
  <c r="Y41" i="1"/>
  <c r="W47" i="1"/>
  <c r="Y45" i="1"/>
  <c r="W22" i="1"/>
  <c r="AA141" i="14"/>
  <c r="Z143" i="14"/>
  <c r="Z146" i="14" s="1"/>
  <c r="Z36" i="11"/>
  <c r="Z46" i="11" s="1"/>
  <c r="Z75" i="11"/>
  <c r="Y80" i="11"/>
  <c r="W13" i="1"/>
  <c r="W11" i="10"/>
  <c r="W15" i="1"/>
  <c r="W13" i="10"/>
  <c r="V12" i="1"/>
  <c r="V10" i="10"/>
  <c r="W10" i="1"/>
  <c r="W8" i="10"/>
  <c r="W11" i="1"/>
  <c r="W9" i="10"/>
  <c r="Y82" i="10"/>
  <c r="X84" i="10"/>
  <c r="X87" i="10" s="1"/>
  <c r="AA27" i="11"/>
  <c r="AA45" i="11" s="1"/>
  <c r="Z45" i="11"/>
  <c r="Y38" i="10"/>
  <c r="X40" i="10"/>
  <c r="X52" i="10" s="1"/>
  <c r="X197" i="10"/>
  <c r="X168" i="14"/>
  <c r="X171" i="14" s="1"/>
  <c r="AA30" i="14"/>
  <c r="Z158" i="14"/>
  <c r="Z170" i="14" s="1"/>
  <c r="AA158" i="14"/>
  <c r="AA170" i="14" s="1"/>
  <c r="Z32" i="13"/>
  <c r="AA27" i="13"/>
  <c r="Y94" i="11"/>
  <c r="Z89" i="11"/>
  <c r="Y79" i="11"/>
  <c r="Y93" i="11" s="1"/>
  <c r="Z56" i="11"/>
  <c r="AA55" i="11"/>
  <c r="Z65" i="11"/>
  <c r="Y185" i="10"/>
  <c r="X175" i="10"/>
  <c r="X196" i="10" s="1"/>
  <c r="Y160" i="10"/>
  <c r="W173" i="10"/>
  <c r="X172" i="10"/>
  <c r="Z135" i="10"/>
  <c r="Z137" i="10" s="1"/>
  <c r="X150" i="10"/>
  <c r="Y145" i="10"/>
  <c r="Y147" i="10" s="1"/>
  <c r="Y149" i="10"/>
  <c r="Z136" i="10"/>
  <c r="AA121" i="10"/>
  <c r="AA123" i="10" s="1"/>
  <c r="W111" i="10"/>
  <c r="W126" i="10" s="1"/>
  <c r="X125" i="10"/>
  <c r="Y95" i="10"/>
  <c r="X86" i="10"/>
  <c r="Y62" i="10"/>
  <c r="Z61" i="10"/>
  <c r="Z63" i="10" s="1"/>
  <c r="Z71" i="10"/>
  <c r="Z73" i="10" s="1"/>
  <c r="W14" i="30" l="1"/>
  <c r="W16" i="30" s="1"/>
  <c r="Y217" i="7" s="1"/>
  <c r="Y282" i="7" s="1"/>
  <c r="W14" i="31"/>
  <c r="V10" i="32"/>
  <c r="V10" i="33"/>
  <c r="Z41" i="20"/>
  <c r="Z10" i="25"/>
  <c r="AA10" i="25"/>
  <c r="AA41" i="20"/>
  <c r="V204" i="7"/>
  <c r="V219" i="7"/>
  <c r="V284" i="7" s="1"/>
  <c r="V200" i="7"/>
  <c r="V215" i="7"/>
  <c r="V280" i="7" s="1"/>
  <c r="V199" i="7"/>
  <c r="V214" i="7"/>
  <c r="V279" i="7" s="1"/>
  <c r="V203" i="7"/>
  <c r="V218" i="7"/>
  <c r="V283" i="7" s="1"/>
  <c r="U194" i="7"/>
  <c r="U209" i="7"/>
  <c r="U274" i="7" s="1"/>
  <c r="X201" i="7"/>
  <c r="X197" i="7"/>
  <c r="X202" i="7"/>
  <c r="U21" i="30"/>
  <c r="U23" i="30" s="1"/>
  <c r="U20" i="20"/>
  <c r="U22" i="20" s="1"/>
  <c r="U12" i="32"/>
  <c r="T13" i="11"/>
  <c r="T21" i="1"/>
  <c r="U28" i="30"/>
  <c r="U30" i="30" s="1"/>
  <c r="U12" i="33"/>
  <c r="U13" i="22"/>
  <c r="U27" i="20"/>
  <c r="U29" i="20" s="1"/>
  <c r="U14" i="23"/>
  <c r="U14" i="24"/>
  <c r="U34" i="20"/>
  <c r="U36" i="20" s="1"/>
  <c r="Y12" i="11"/>
  <c r="V11" i="22"/>
  <c r="V20" i="20" s="1"/>
  <c r="V22" i="20" s="1"/>
  <c r="V12" i="23"/>
  <c r="V12" i="24"/>
  <c r="Y36" i="1"/>
  <c r="Z12" i="14"/>
  <c r="U46" i="1"/>
  <c r="X14" i="14"/>
  <c r="Z9" i="14"/>
  <c r="V159" i="14"/>
  <c r="T14" i="12"/>
  <c r="T28" i="1"/>
  <c r="T30" i="1" s="1"/>
  <c r="U11" i="11"/>
  <c r="U21" i="1" s="1"/>
  <c r="U12" i="13"/>
  <c r="U12" i="12"/>
  <c r="T35" i="1"/>
  <c r="T14" i="13"/>
  <c r="Z13" i="13"/>
  <c r="X155" i="31"/>
  <c r="X12" i="31" s="1"/>
  <c r="Z150" i="31"/>
  <c r="Y152" i="31"/>
  <c r="X162" i="21"/>
  <c r="X147" i="25"/>
  <c r="X151" i="25" s="1"/>
  <c r="W12" i="21"/>
  <c r="W13" i="21" s="1"/>
  <c r="W14" i="20"/>
  <c r="W15" i="20" s="1"/>
  <c r="Y212" i="7" s="1"/>
  <c r="Y277" i="7" s="1"/>
  <c r="W14" i="25"/>
  <c r="W15" i="25" s="1"/>
  <c r="W45" i="20"/>
  <c r="W46" i="20" s="1"/>
  <c r="Y216" i="7" s="1"/>
  <c r="Y281" i="7" s="1"/>
  <c r="Z157" i="21"/>
  <c r="Y159" i="21"/>
  <c r="AA51" i="14"/>
  <c r="V12" i="10"/>
  <c r="V14" i="10" s="1"/>
  <c r="W176" i="10"/>
  <c r="W155" i="14"/>
  <c r="Z41" i="1"/>
  <c r="X47" i="1"/>
  <c r="Z45" i="1"/>
  <c r="X22" i="1"/>
  <c r="AA143" i="14"/>
  <c r="AA146" i="14" s="1"/>
  <c r="AA32" i="13"/>
  <c r="AA75" i="11"/>
  <c r="AA36" i="11"/>
  <c r="X13" i="1"/>
  <c r="X11" i="10"/>
  <c r="X15" i="1"/>
  <c r="X13" i="10"/>
  <c r="W12" i="1"/>
  <c r="W10" i="10"/>
  <c r="X10" i="1"/>
  <c r="X8" i="10"/>
  <c r="X11" i="1"/>
  <c r="X9" i="10"/>
  <c r="Z82" i="10"/>
  <c r="Y84" i="10"/>
  <c r="Y87" i="10" s="1"/>
  <c r="Z38" i="10"/>
  <c r="Y40" i="10"/>
  <c r="Y52" i="10" s="1"/>
  <c r="Y197" i="10"/>
  <c r="Y168" i="14"/>
  <c r="Y171" i="14" s="1"/>
  <c r="Z94" i="11"/>
  <c r="AA89" i="11"/>
  <c r="Z80" i="11"/>
  <c r="AA65" i="11"/>
  <c r="Z79" i="11"/>
  <c r="Z93" i="11" s="1"/>
  <c r="AA56" i="11"/>
  <c r="AA79" i="11" s="1"/>
  <c r="AA93" i="11" s="1"/>
  <c r="Z185" i="10"/>
  <c r="Y172" i="10"/>
  <c r="X173" i="10"/>
  <c r="Y175" i="10"/>
  <c r="Y196" i="10" s="1"/>
  <c r="Z160" i="10"/>
  <c r="Z149" i="10"/>
  <c r="AA136" i="10"/>
  <c r="AA149" i="10" s="1"/>
  <c r="Y150" i="10"/>
  <c r="Z145" i="10"/>
  <c r="Z147" i="10" s="1"/>
  <c r="AA135" i="10"/>
  <c r="AA137" i="10" s="1"/>
  <c r="Y125" i="10"/>
  <c r="Z95" i="10"/>
  <c r="X111" i="10"/>
  <c r="X126" i="10" s="1"/>
  <c r="AA71" i="10"/>
  <c r="AA73" i="10" s="1"/>
  <c r="AA61" i="10"/>
  <c r="AA63" i="10" s="1"/>
  <c r="Y86" i="10"/>
  <c r="Z62" i="10"/>
  <c r="X14" i="30" l="1"/>
  <c r="X16" i="30" s="1"/>
  <c r="Z217" i="7" s="1"/>
  <c r="Z282" i="7" s="1"/>
  <c r="X14" i="31"/>
  <c r="W10" i="32"/>
  <c r="W10" i="33"/>
  <c r="X198" i="7"/>
  <c r="X213" i="7"/>
  <c r="X278" i="7" s="1"/>
  <c r="W203" i="7"/>
  <c r="W218" i="7"/>
  <c r="W283" i="7" s="1"/>
  <c r="V194" i="7"/>
  <c r="V209" i="7"/>
  <c r="V274" i="7" s="1"/>
  <c r="W204" i="7"/>
  <c r="W219" i="7"/>
  <c r="W284" i="7" s="1"/>
  <c r="W200" i="7"/>
  <c r="W215" i="7"/>
  <c r="W280" i="7" s="1"/>
  <c r="W199" i="7"/>
  <c r="W214" i="7"/>
  <c r="W279" i="7" s="1"/>
  <c r="W198" i="7"/>
  <c r="W213" i="7"/>
  <c r="W278" i="7" s="1"/>
  <c r="Y201" i="7"/>
  <c r="Y197" i="7"/>
  <c r="Y202" i="7"/>
  <c r="V21" i="30"/>
  <c r="V23" i="30" s="1"/>
  <c r="V12" i="32"/>
  <c r="V28" i="30"/>
  <c r="V30" i="30" s="1"/>
  <c r="V12" i="33"/>
  <c r="V14" i="24"/>
  <c r="V34" i="20"/>
  <c r="V36" i="20" s="1"/>
  <c r="V13" i="22"/>
  <c r="V27" i="20"/>
  <c r="V29" i="20" s="1"/>
  <c r="V14" i="23"/>
  <c r="W11" i="22"/>
  <c r="W12" i="23"/>
  <c r="W12" i="24"/>
  <c r="Z12" i="11"/>
  <c r="Z36" i="1"/>
  <c r="U13" i="11"/>
  <c r="AA12" i="14"/>
  <c r="AA9" i="14"/>
  <c r="Y14" i="14"/>
  <c r="AA41" i="1"/>
  <c r="V13" i="14"/>
  <c r="V15" i="14" s="1"/>
  <c r="V46" i="1"/>
  <c r="W159" i="14"/>
  <c r="W13" i="14" s="1"/>
  <c r="W15" i="14" s="1"/>
  <c r="V11" i="11"/>
  <c r="V21" i="1" s="1"/>
  <c r="V12" i="12"/>
  <c r="V12" i="13"/>
  <c r="U14" i="12"/>
  <c r="U28" i="1"/>
  <c r="U30" i="1" s="1"/>
  <c r="U35" i="1"/>
  <c r="U14" i="13"/>
  <c r="AA13" i="13"/>
  <c r="AA150" i="31"/>
  <c r="AA152" i="31" s="1"/>
  <c r="Z152" i="31"/>
  <c r="Y155" i="31"/>
  <c r="Y12" i="31" s="1"/>
  <c r="Y162" i="21"/>
  <c r="Y147" i="25"/>
  <c r="Y151" i="25" s="1"/>
  <c r="AA157" i="21"/>
  <c r="AA159" i="21" s="1"/>
  <c r="Z159" i="21"/>
  <c r="X12" i="21"/>
  <c r="X13" i="21" s="1"/>
  <c r="X14" i="20"/>
  <c r="X15" i="20" s="1"/>
  <c r="Z212" i="7" s="1"/>
  <c r="Z277" i="7" s="1"/>
  <c r="X14" i="25"/>
  <c r="X15" i="25" s="1"/>
  <c r="X45" i="20"/>
  <c r="X46" i="20" s="1"/>
  <c r="Z216" i="7" s="1"/>
  <c r="Z281" i="7" s="1"/>
  <c r="W14" i="1"/>
  <c r="W12" i="10"/>
  <c r="W14" i="10" s="1"/>
  <c r="X176" i="10"/>
  <c r="X12" i="10" s="1"/>
  <c r="X155" i="14"/>
  <c r="Y47" i="1"/>
  <c r="Y22" i="1"/>
  <c r="AA45" i="1"/>
  <c r="AA46" i="11"/>
  <c r="X12" i="1"/>
  <c r="X10" i="10"/>
  <c r="Y15" i="1"/>
  <c r="Y13" i="10"/>
  <c r="Y13" i="1"/>
  <c r="Y11" i="10"/>
  <c r="Y10" i="1"/>
  <c r="Y8" i="10"/>
  <c r="Y11" i="1"/>
  <c r="Y9" i="10"/>
  <c r="AA82" i="10"/>
  <c r="AA84" i="10" s="1"/>
  <c r="Z84" i="10"/>
  <c r="Z87" i="10" s="1"/>
  <c r="AA38" i="10"/>
  <c r="AA40" i="10" s="1"/>
  <c r="AA52" i="10" s="1"/>
  <c r="Z40" i="10"/>
  <c r="Z52" i="10" s="1"/>
  <c r="Z197" i="10"/>
  <c r="Z168" i="14"/>
  <c r="Z171" i="14" s="1"/>
  <c r="AA80" i="11"/>
  <c r="AA94" i="11"/>
  <c r="AA185" i="10"/>
  <c r="Z175" i="10"/>
  <c r="Z196" i="10" s="1"/>
  <c r="AA160" i="10"/>
  <c r="AA175" i="10" s="1"/>
  <c r="AA196" i="10" s="1"/>
  <c r="Y173" i="10"/>
  <c r="Z172" i="10"/>
  <c r="Z150" i="10"/>
  <c r="AA145" i="10"/>
  <c r="Z125" i="10"/>
  <c r="AA95" i="10"/>
  <c r="AA125" i="10" s="1"/>
  <c r="Y111" i="10"/>
  <c r="Y126" i="10" s="1"/>
  <c r="Z86" i="10"/>
  <c r="AA62" i="10"/>
  <c r="AA86" i="10" s="1"/>
  <c r="Y14" i="30" l="1"/>
  <c r="Y16" i="30" s="1"/>
  <c r="Y14" i="31"/>
  <c r="X10" i="32"/>
  <c r="X10" i="33"/>
  <c r="X200" i="7"/>
  <c r="X215" i="7"/>
  <c r="X280" i="7" s="1"/>
  <c r="X204" i="7"/>
  <c r="X219" i="7"/>
  <c r="X284" i="7" s="1"/>
  <c r="W194" i="7"/>
  <c r="W209" i="7"/>
  <c r="W274" i="7" s="1"/>
  <c r="X199" i="7"/>
  <c r="X214" i="7"/>
  <c r="X279" i="7" s="1"/>
  <c r="X203" i="7"/>
  <c r="X218" i="7"/>
  <c r="X283" i="7" s="1"/>
  <c r="Z201" i="7"/>
  <c r="Z202" i="7"/>
  <c r="Z197" i="7"/>
  <c r="W21" i="30"/>
  <c r="W23" i="30" s="1"/>
  <c r="W13" i="22"/>
  <c r="W20" i="20"/>
  <c r="W22" i="20" s="1"/>
  <c r="W28" i="30"/>
  <c r="W30" i="30" s="1"/>
  <c r="W12" i="33"/>
  <c r="W12" i="32"/>
  <c r="W46" i="1"/>
  <c r="W14" i="24"/>
  <c r="W34" i="20"/>
  <c r="W36" i="20" s="1"/>
  <c r="X11" i="22"/>
  <c r="X13" i="22" s="1"/>
  <c r="X12" i="23"/>
  <c r="X12" i="24"/>
  <c r="W27" i="20"/>
  <c r="W29" i="20" s="1"/>
  <c r="W14" i="23"/>
  <c r="V13" i="11"/>
  <c r="Z14" i="14"/>
  <c r="X159" i="14"/>
  <c r="V14" i="12"/>
  <c r="V28" i="1"/>
  <c r="V30" i="1" s="1"/>
  <c r="V35" i="1"/>
  <c r="V14" i="13"/>
  <c r="AA12" i="11"/>
  <c r="W11" i="11"/>
  <c r="W21" i="1" s="1"/>
  <c r="W12" i="12"/>
  <c r="W12" i="13"/>
  <c r="AA36" i="1"/>
  <c r="AA155" i="31"/>
  <c r="AA12" i="31" s="1"/>
  <c r="AA217" i="7"/>
  <c r="AA282" i="7" s="1"/>
  <c r="Z155" i="31"/>
  <c r="Z12" i="31" s="1"/>
  <c r="Y45" i="20"/>
  <c r="Y46" i="20" s="1"/>
  <c r="AA216" i="7" s="1"/>
  <c r="AA281" i="7" s="1"/>
  <c r="Y14" i="25"/>
  <c r="Y15" i="25" s="1"/>
  <c r="Z147" i="25"/>
  <c r="Z151" i="25" s="1"/>
  <c r="Z162" i="21"/>
  <c r="AA147" i="25"/>
  <c r="AA151" i="25" s="1"/>
  <c r="AA162" i="21"/>
  <c r="Y12" i="21"/>
  <c r="Y13" i="21" s="1"/>
  <c r="Y14" i="20"/>
  <c r="Y15" i="20" s="1"/>
  <c r="AA212" i="7" s="1"/>
  <c r="AA277" i="7" s="1"/>
  <c r="X14" i="1"/>
  <c r="Y176" i="10"/>
  <c r="Y155" i="14"/>
  <c r="Z47" i="1"/>
  <c r="Z22" i="1"/>
  <c r="X14" i="10"/>
  <c r="Z15" i="1"/>
  <c r="Z13" i="10"/>
  <c r="AA10" i="1"/>
  <c r="AA8" i="10"/>
  <c r="AA87" i="10"/>
  <c r="Y12" i="1"/>
  <c r="Y10" i="10"/>
  <c r="Z13" i="1"/>
  <c r="Z11" i="10"/>
  <c r="Z10" i="1"/>
  <c r="Z8" i="10"/>
  <c r="Z11" i="1"/>
  <c r="Z9" i="10"/>
  <c r="AA197" i="10"/>
  <c r="AA168" i="14"/>
  <c r="AA171" i="14" s="1"/>
  <c r="AA172" i="10"/>
  <c r="AA173" i="10" s="1"/>
  <c r="Z173" i="10"/>
  <c r="AA147" i="10"/>
  <c r="AA150" i="10" s="1"/>
  <c r="Z111" i="10"/>
  <c r="Z126" i="10" s="1"/>
  <c r="AA111" i="10"/>
  <c r="AA126" i="10" s="1"/>
  <c r="AA14" i="30" l="1"/>
  <c r="AA16" i="30" s="1"/>
  <c r="AA14" i="31"/>
  <c r="Z14" i="30"/>
  <c r="Z16" i="30" s="1"/>
  <c r="AB217" i="7" s="1"/>
  <c r="AB282" i="7" s="1"/>
  <c r="Z14" i="31"/>
  <c r="Y10" i="32"/>
  <c r="Y10" i="33"/>
  <c r="Y204" i="7"/>
  <c r="Y219" i="7"/>
  <c r="Y284" i="7" s="1"/>
  <c r="Y203" i="7"/>
  <c r="Y218" i="7"/>
  <c r="Y283" i="7" s="1"/>
  <c r="Y199" i="7"/>
  <c r="Y214" i="7"/>
  <c r="Y279" i="7" s="1"/>
  <c r="Y200" i="7"/>
  <c r="Y215" i="7"/>
  <c r="Y280" i="7" s="1"/>
  <c r="X194" i="7"/>
  <c r="X209" i="7"/>
  <c r="X274" i="7" s="1"/>
  <c r="Y198" i="7"/>
  <c r="Y213" i="7"/>
  <c r="Y278" i="7" s="1"/>
  <c r="AA201" i="7"/>
  <c r="AA197" i="7"/>
  <c r="AA202" i="7"/>
  <c r="X21" i="30"/>
  <c r="X23" i="30" s="1"/>
  <c r="W13" i="11"/>
  <c r="X12" i="32"/>
  <c r="X28" i="30"/>
  <c r="X30" i="30" s="1"/>
  <c r="X12" i="33"/>
  <c r="X20" i="20"/>
  <c r="X22" i="20" s="1"/>
  <c r="X27" i="20"/>
  <c r="X29" i="20" s="1"/>
  <c r="X14" i="23"/>
  <c r="Y11" i="22"/>
  <c r="Y12" i="24"/>
  <c r="Y12" i="23"/>
  <c r="X14" i="24"/>
  <c r="X34" i="20"/>
  <c r="X36" i="20" s="1"/>
  <c r="X46" i="1"/>
  <c r="X13" i="14"/>
  <c r="X15" i="14" s="1"/>
  <c r="AA14" i="14"/>
  <c r="Y159" i="14"/>
  <c r="Y13" i="14" s="1"/>
  <c r="Y15" i="14" s="1"/>
  <c r="W14" i="12"/>
  <c r="W28" i="1"/>
  <c r="W30" i="1" s="1"/>
  <c r="W35" i="1"/>
  <c r="W14" i="13"/>
  <c r="X11" i="11"/>
  <c r="X13" i="11" s="1"/>
  <c r="X12" i="12"/>
  <c r="X12" i="13"/>
  <c r="AA12" i="21"/>
  <c r="AA13" i="21" s="1"/>
  <c r="AA14" i="20"/>
  <c r="AA15" i="20" s="1"/>
  <c r="AA45" i="20"/>
  <c r="AA46" i="20" s="1"/>
  <c r="AA14" i="25"/>
  <c r="AA15" i="25" s="1"/>
  <c r="Z14" i="25"/>
  <c r="Z15" i="25" s="1"/>
  <c r="Z45" i="20"/>
  <c r="Z46" i="20" s="1"/>
  <c r="AB216" i="7" s="1"/>
  <c r="AB281" i="7" s="1"/>
  <c r="Z14" i="20"/>
  <c r="Z15" i="20" s="1"/>
  <c r="AB212" i="7" s="1"/>
  <c r="AB277" i="7" s="1"/>
  <c r="Z12" i="21"/>
  <c r="Z13" i="21" s="1"/>
  <c r="Y12" i="10"/>
  <c r="Y14" i="1"/>
  <c r="AA176" i="10"/>
  <c r="AA14" i="1" s="1"/>
  <c r="AA155" i="14"/>
  <c r="Z176" i="10"/>
  <c r="Z12" i="10" s="1"/>
  <c r="Z155" i="14"/>
  <c r="AA47" i="1"/>
  <c r="AA22" i="1"/>
  <c r="Y14" i="10"/>
  <c r="Z12" i="1"/>
  <c r="Z10" i="10"/>
  <c r="AA11" i="1"/>
  <c r="AA9" i="10"/>
  <c r="AA12" i="1"/>
  <c r="AA10" i="10"/>
  <c r="AA13" i="1"/>
  <c r="AA11" i="10"/>
  <c r="AA15" i="1"/>
  <c r="AA13" i="10"/>
  <c r="D18" i="31" l="1"/>
  <c r="D19" i="25"/>
  <c r="D17" i="21"/>
  <c r="D17" i="30"/>
  <c r="AC216" i="7"/>
  <c r="AC281" i="7" s="1"/>
  <c r="E36" i="7" s="1"/>
  <c r="D47" i="20"/>
  <c r="D16" i="20"/>
  <c r="AA10" i="33"/>
  <c r="AA10" i="32"/>
  <c r="Z10" i="32"/>
  <c r="Z10" i="33"/>
  <c r="Y20" i="20"/>
  <c r="Y22" i="20" s="1"/>
  <c r="AA198" i="7" s="1"/>
  <c r="AC202" i="7"/>
  <c r="AC217" i="7"/>
  <c r="AC282" i="7" s="1"/>
  <c r="E37" i="7" s="1"/>
  <c r="Y194" i="7"/>
  <c r="Y209" i="7"/>
  <c r="Y274" i="7" s="1"/>
  <c r="Z198" i="7"/>
  <c r="Z213" i="7"/>
  <c r="Z278" i="7" s="1"/>
  <c r="Z204" i="7"/>
  <c r="Z219" i="7"/>
  <c r="Z284" i="7" s="1"/>
  <c r="Z203" i="7"/>
  <c r="Z218" i="7"/>
  <c r="Z283" i="7" s="1"/>
  <c r="AC197" i="7"/>
  <c r="AC212" i="7"/>
  <c r="AC277" i="7" s="1"/>
  <c r="E32" i="7" s="1"/>
  <c r="Z200" i="7"/>
  <c r="Z215" i="7"/>
  <c r="Z280" i="7" s="1"/>
  <c r="Z199" i="7"/>
  <c r="Z214" i="7"/>
  <c r="Z279" i="7" s="1"/>
  <c r="AC201" i="7"/>
  <c r="B47" i="20"/>
  <c r="AB201" i="7"/>
  <c r="AB197" i="7"/>
  <c r="AB202" i="7"/>
  <c r="Y21" i="30"/>
  <c r="Y23" i="30" s="1"/>
  <c r="Y13" i="22"/>
  <c r="Y28" i="30"/>
  <c r="Y30" i="30" s="1"/>
  <c r="Y12" i="33"/>
  <c r="Y12" i="32"/>
  <c r="Y27" i="20"/>
  <c r="Y29" i="20" s="1"/>
  <c r="Y14" i="23"/>
  <c r="Z11" i="22"/>
  <c r="Z13" i="22" s="1"/>
  <c r="Z12" i="24"/>
  <c r="Z12" i="23"/>
  <c r="Y14" i="24"/>
  <c r="Y34" i="20"/>
  <c r="Y36" i="20" s="1"/>
  <c r="AA11" i="22"/>
  <c r="AA12" i="24"/>
  <c r="AA12" i="23"/>
  <c r="Y46" i="1"/>
  <c r="X21" i="1"/>
  <c r="Z159" i="14"/>
  <c r="Z13" i="14" s="1"/>
  <c r="Z15" i="14" s="1"/>
  <c r="AA159" i="14"/>
  <c r="Y11" i="11"/>
  <c r="Y12" i="13"/>
  <c r="Y12" i="12"/>
  <c r="X35" i="1"/>
  <c r="X14" i="13"/>
  <c r="X14" i="12"/>
  <c r="X28" i="1"/>
  <c r="X30" i="1" s="1"/>
  <c r="B17" i="30"/>
  <c r="B16" i="20"/>
  <c r="Z14" i="1"/>
  <c r="AA12" i="10"/>
  <c r="AA14" i="10" s="1"/>
  <c r="Z14" i="10"/>
  <c r="D18" i="10" l="1"/>
  <c r="AA213" i="7"/>
  <c r="AA278" i="7" s="1"/>
  <c r="AA13" i="22"/>
  <c r="D17" i="22" s="1"/>
  <c r="Y13" i="11"/>
  <c r="Z194" i="7"/>
  <c r="Z209" i="7"/>
  <c r="Z274" i="7" s="1"/>
  <c r="AA200" i="7"/>
  <c r="AA215" i="7"/>
  <c r="AA280" i="7" s="1"/>
  <c r="AA204" i="7"/>
  <c r="AA219" i="7"/>
  <c r="AA284" i="7" s="1"/>
  <c r="AA199" i="7"/>
  <c r="AA214" i="7"/>
  <c r="AA279" i="7" s="1"/>
  <c r="AA203" i="7"/>
  <c r="AA218" i="7"/>
  <c r="AA283" i="7" s="1"/>
  <c r="Z21" i="30"/>
  <c r="Z23" i="30" s="1"/>
  <c r="AA21" i="30"/>
  <c r="AA23" i="30" s="1"/>
  <c r="Z12" i="32"/>
  <c r="Z46" i="1"/>
  <c r="Z48" i="1" s="1"/>
  <c r="Z20" i="20"/>
  <c r="Z22" i="20" s="1"/>
  <c r="Z28" i="30"/>
  <c r="Z30" i="30" s="1"/>
  <c r="Z12" i="33"/>
  <c r="AA28" i="30"/>
  <c r="AA30" i="30" s="1"/>
  <c r="AA12" i="33"/>
  <c r="AA20" i="20"/>
  <c r="AA22" i="20" s="1"/>
  <c r="AA12" i="32"/>
  <c r="D14" i="32" s="1"/>
  <c r="Z14" i="24"/>
  <c r="Z34" i="20"/>
  <c r="Z36" i="20" s="1"/>
  <c r="AA27" i="20"/>
  <c r="AA29" i="20" s="1"/>
  <c r="AA14" i="23"/>
  <c r="AA14" i="24"/>
  <c r="D18" i="24" s="1"/>
  <c r="AA34" i="20"/>
  <c r="AA36" i="20" s="1"/>
  <c r="Z27" i="20"/>
  <c r="Z29" i="20" s="1"/>
  <c r="Z14" i="23"/>
  <c r="Y21" i="1"/>
  <c r="AA13" i="14"/>
  <c r="AA15" i="14" s="1"/>
  <c r="D19" i="14" s="1"/>
  <c r="AA46" i="1"/>
  <c r="AA48" i="1" s="1"/>
  <c r="Y14" i="12"/>
  <c r="Y28" i="1"/>
  <c r="Y30" i="1" s="1"/>
  <c r="Z11" i="11"/>
  <c r="Z21" i="1" s="1"/>
  <c r="Z12" i="12"/>
  <c r="Z12" i="13"/>
  <c r="Y35" i="1"/>
  <c r="Y14" i="13"/>
  <c r="AA11" i="11"/>
  <c r="AA12" i="12"/>
  <c r="AA12" i="13"/>
  <c r="Y48" i="1"/>
  <c r="X48" i="1"/>
  <c r="W48" i="1"/>
  <c r="V48" i="1"/>
  <c r="U48" i="1"/>
  <c r="T48" i="1"/>
  <c r="S48" i="1"/>
  <c r="R48" i="1"/>
  <c r="Q48" i="1"/>
  <c r="P48" i="1"/>
  <c r="O48" i="1"/>
  <c r="N48" i="1"/>
  <c r="M48" i="1"/>
  <c r="L48" i="1"/>
  <c r="K48" i="1"/>
  <c r="J48" i="1"/>
  <c r="I48" i="1"/>
  <c r="H48" i="1"/>
  <c r="G48" i="1"/>
  <c r="F48" i="1"/>
  <c r="E48" i="1"/>
  <c r="D48" i="1"/>
  <c r="C48" i="1"/>
  <c r="B48" i="1"/>
  <c r="D14" i="33" l="1"/>
  <c r="D16" i="23"/>
  <c r="D37" i="20"/>
  <c r="D31" i="30"/>
  <c r="D30" i="20"/>
  <c r="AC218" i="7"/>
  <c r="AC283" i="7" s="1"/>
  <c r="D24" i="30"/>
  <c r="D49" i="1"/>
  <c r="D23" i="20"/>
  <c r="K196" i="7"/>
  <c r="K211" i="7"/>
  <c r="K276" i="7" s="1"/>
  <c r="D196" i="7"/>
  <c r="D211" i="7"/>
  <c r="D276" i="7" s="1"/>
  <c r="H196" i="7"/>
  <c r="H211" i="7"/>
  <c r="H276" i="7" s="1"/>
  <c r="L196" i="7"/>
  <c r="L211" i="7"/>
  <c r="L276" i="7" s="1"/>
  <c r="P196" i="7"/>
  <c r="P211" i="7"/>
  <c r="P276" i="7" s="1"/>
  <c r="T196" i="7"/>
  <c r="T211" i="7"/>
  <c r="T276" i="7" s="1"/>
  <c r="X196" i="7"/>
  <c r="X211" i="7"/>
  <c r="X276" i="7" s="1"/>
  <c r="AB196" i="7"/>
  <c r="AB211" i="7"/>
  <c r="AB276" i="7" s="1"/>
  <c r="AB203" i="7"/>
  <c r="AB218" i="7"/>
  <c r="AB283" i="7" s="1"/>
  <c r="G196" i="7"/>
  <c r="G211" i="7"/>
  <c r="G276" i="7" s="1"/>
  <c r="M196" i="7"/>
  <c r="M211" i="7"/>
  <c r="M276" i="7" s="1"/>
  <c r="U196" i="7"/>
  <c r="U211" i="7"/>
  <c r="U276" i="7" s="1"/>
  <c r="AA194" i="7"/>
  <c r="AA209" i="7"/>
  <c r="AA274" i="7" s="1"/>
  <c r="AC196" i="7"/>
  <c r="AC211" i="7"/>
  <c r="AC276" i="7" s="1"/>
  <c r="AB204" i="7"/>
  <c r="AB219" i="7"/>
  <c r="AB284" i="7" s="1"/>
  <c r="E196" i="7"/>
  <c r="E211" i="7"/>
  <c r="E276" i="7" s="1"/>
  <c r="I196" i="7"/>
  <c r="I211" i="7"/>
  <c r="I276" i="7" s="1"/>
  <c r="Q196" i="7"/>
  <c r="Q211" i="7"/>
  <c r="Q276" i="7" s="1"/>
  <c r="Y196" i="7"/>
  <c r="Y211" i="7"/>
  <c r="Y276" i="7" s="1"/>
  <c r="F196" i="7"/>
  <c r="F211" i="7"/>
  <c r="F276" i="7" s="1"/>
  <c r="J196" i="7"/>
  <c r="J211" i="7"/>
  <c r="J276" i="7" s="1"/>
  <c r="N196" i="7"/>
  <c r="N211" i="7"/>
  <c r="N276" i="7" s="1"/>
  <c r="R196" i="7"/>
  <c r="R211" i="7"/>
  <c r="R276" i="7" s="1"/>
  <c r="V196" i="7"/>
  <c r="V211" i="7"/>
  <c r="V276" i="7" s="1"/>
  <c r="Z196" i="7"/>
  <c r="Z211" i="7"/>
  <c r="Z276" i="7" s="1"/>
  <c r="AB199" i="7"/>
  <c r="AB214" i="7"/>
  <c r="AB279" i="7" s="1"/>
  <c r="AC199" i="7"/>
  <c r="AC214" i="7"/>
  <c r="AC279" i="7" s="1"/>
  <c r="AC198" i="7"/>
  <c r="AC213" i="7"/>
  <c r="AC278" i="7" s="1"/>
  <c r="O196" i="7"/>
  <c r="O211" i="7"/>
  <c r="O276" i="7" s="1"/>
  <c r="S196" i="7"/>
  <c r="S211" i="7"/>
  <c r="S276" i="7" s="1"/>
  <c r="W196" i="7"/>
  <c r="W211" i="7"/>
  <c r="W276" i="7" s="1"/>
  <c r="AA196" i="7"/>
  <c r="AA211" i="7"/>
  <c r="AA276" i="7" s="1"/>
  <c r="AC200" i="7"/>
  <c r="AC215" i="7"/>
  <c r="AC280" i="7" s="1"/>
  <c r="AB200" i="7"/>
  <c r="AB215" i="7"/>
  <c r="AB280" i="7" s="1"/>
  <c r="AC204" i="7"/>
  <c r="AC219" i="7"/>
  <c r="AC284" i="7" s="1"/>
  <c r="AB198" i="7"/>
  <c r="AB213" i="7"/>
  <c r="AB278" i="7" s="1"/>
  <c r="B24" i="30"/>
  <c r="AC203" i="7"/>
  <c r="B23" i="20"/>
  <c r="B31" i="30"/>
  <c r="AA13" i="11"/>
  <c r="B37" i="20"/>
  <c r="B30" i="20"/>
  <c r="Z13" i="11"/>
  <c r="AA14" i="12"/>
  <c r="AA28" i="1"/>
  <c r="AA30" i="1" s="1"/>
  <c r="Z14" i="12"/>
  <c r="Z28" i="1"/>
  <c r="Z30" i="1" s="1"/>
  <c r="Z35" i="1"/>
  <c r="Z14" i="13"/>
  <c r="AA21" i="1"/>
  <c r="AA35" i="1"/>
  <c r="AA14" i="13"/>
  <c r="B16" i="1"/>
  <c r="C16" i="1"/>
  <c r="E207" i="7" s="1"/>
  <c r="E38" i="7" l="1"/>
  <c r="D31" i="1"/>
  <c r="D207" i="7"/>
  <c r="D272" i="7" s="1"/>
  <c r="D17" i="11"/>
  <c r="D18" i="12"/>
  <c r="D18" i="13"/>
  <c r="E39" i="7"/>
  <c r="E35" i="7"/>
  <c r="E33" i="7"/>
  <c r="E34" i="7"/>
  <c r="E31" i="7"/>
  <c r="E256" i="7"/>
  <c r="E272" i="7"/>
  <c r="AB194" i="7"/>
  <c r="AB209" i="7"/>
  <c r="AB274" i="7" s="1"/>
  <c r="AC194" i="7"/>
  <c r="AC209" i="7"/>
  <c r="AC274" i="7" s="1"/>
  <c r="E192" i="7"/>
  <c r="E252" i="7" s="1"/>
  <c r="D192" i="7"/>
  <c r="D252" i="7" s="1"/>
  <c r="D16" i="1"/>
  <c r="F207" i="7" s="1"/>
  <c r="D256" i="7" l="1"/>
  <c r="D39" i="7"/>
  <c r="D37" i="7"/>
  <c r="D38" i="7"/>
  <c r="D34" i="7"/>
  <c r="D32" i="7"/>
  <c r="D35" i="7"/>
  <c r="D33" i="7"/>
  <c r="E29" i="7"/>
  <c r="D36" i="7"/>
  <c r="F256" i="7"/>
  <c r="F272" i="7"/>
  <c r="E260" i="7"/>
  <c r="D260" i="7"/>
  <c r="F192" i="7"/>
  <c r="F252" i="7" s="1"/>
  <c r="F260" i="7" s="1"/>
  <c r="E16" i="1"/>
  <c r="G207" i="7" s="1"/>
  <c r="A2" i="1"/>
  <c r="B4" i="1"/>
  <c r="B50" i="7" l="1"/>
  <c r="B49" i="7"/>
  <c r="B44" i="7"/>
  <c r="E44" i="7" s="1"/>
  <c r="B43" i="7"/>
  <c r="E43" i="7" s="1"/>
  <c r="G256" i="7"/>
  <c r="G272" i="7"/>
  <c r="G192" i="7"/>
  <c r="G252" i="7" s="1"/>
  <c r="G260" i="7" s="1"/>
  <c r="B49" i="1"/>
  <c r="F16" i="1"/>
  <c r="H207" i="7" s="1"/>
  <c r="AA37" i="1"/>
  <c r="Z37" i="1"/>
  <c r="Y37" i="1"/>
  <c r="X37" i="1"/>
  <c r="W37" i="1"/>
  <c r="V37" i="1"/>
  <c r="U37" i="1"/>
  <c r="T37" i="1"/>
  <c r="S37" i="1"/>
  <c r="R37" i="1"/>
  <c r="Q37" i="1"/>
  <c r="P37" i="1"/>
  <c r="O37" i="1"/>
  <c r="N37" i="1"/>
  <c r="M37" i="1"/>
  <c r="L37" i="1"/>
  <c r="K37" i="1"/>
  <c r="J37" i="1"/>
  <c r="I37" i="1"/>
  <c r="H37" i="1"/>
  <c r="G37" i="1"/>
  <c r="F37" i="1"/>
  <c r="E37" i="1"/>
  <c r="D37" i="1"/>
  <c r="C37" i="1"/>
  <c r="B37" i="1"/>
  <c r="AA23" i="1"/>
  <c r="Z23" i="1"/>
  <c r="Y23" i="1"/>
  <c r="X23" i="1"/>
  <c r="W23" i="1"/>
  <c r="V23" i="1"/>
  <c r="U23" i="1"/>
  <c r="T23" i="1"/>
  <c r="S23" i="1"/>
  <c r="R23" i="1"/>
  <c r="Q23" i="1"/>
  <c r="P23" i="1"/>
  <c r="O23" i="1"/>
  <c r="N23" i="1"/>
  <c r="M23" i="1"/>
  <c r="L23" i="1"/>
  <c r="K23" i="1"/>
  <c r="J23" i="1"/>
  <c r="I23" i="1"/>
  <c r="H23" i="1"/>
  <c r="G23" i="1"/>
  <c r="F23" i="1"/>
  <c r="E23" i="1"/>
  <c r="D23" i="1"/>
  <c r="C23" i="1"/>
  <c r="B23" i="1"/>
  <c r="D24" i="1" l="1"/>
  <c r="D38" i="1"/>
  <c r="E49" i="7"/>
  <c r="E50" i="7"/>
  <c r="H256" i="7"/>
  <c r="H272" i="7"/>
  <c r="P193" i="7"/>
  <c r="P208" i="7"/>
  <c r="F195" i="7"/>
  <c r="F210" i="7"/>
  <c r="F275" i="7" s="1"/>
  <c r="Q193" i="7"/>
  <c r="Q208" i="7"/>
  <c r="J193" i="7"/>
  <c r="J208" i="7"/>
  <c r="V193" i="7"/>
  <c r="V208" i="7"/>
  <c r="D195" i="7"/>
  <c r="D210" i="7"/>
  <c r="D275" i="7" s="1"/>
  <c r="P195" i="7"/>
  <c r="P210" i="7"/>
  <c r="P275" i="7" s="1"/>
  <c r="AB195" i="7"/>
  <c r="AB210" i="7"/>
  <c r="AB275" i="7" s="1"/>
  <c r="T193" i="7"/>
  <c r="T208" i="7"/>
  <c r="E193" i="7"/>
  <c r="E264" i="7" s="1"/>
  <c r="E208" i="7"/>
  <c r="M193" i="7"/>
  <c r="M208" i="7"/>
  <c r="U193" i="7"/>
  <c r="U208" i="7"/>
  <c r="AC193" i="7"/>
  <c r="AC208" i="7"/>
  <c r="K195" i="7"/>
  <c r="K210" i="7"/>
  <c r="K275" i="7" s="1"/>
  <c r="S195" i="7"/>
  <c r="S210" i="7"/>
  <c r="S275" i="7" s="1"/>
  <c r="W195" i="7"/>
  <c r="W210" i="7"/>
  <c r="W275" i="7" s="1"/>
  <c r="F193" i="7"/>
  <c r="F264" i="7" s="1"/>
  <c r="F208" i="7"/>
  <c r="N193" i="7"/>
  <c r="N208" i="7"/>
  <c r="R193" i="7"/>
  <c r="R208" i="7"/>
  <c r="Z193" i="7"/>
  <c r="Z208" i="7"/>
  <c r="H195" i="7"/>
  <c r="H210" i="7"/>
  <c r="H275" i="7" s="1"/>
  <c r="L195" i="7"/>
  <c r="L210" i="7"/>
  <c r="L275" i="7" s="1"/>
  <c r="T195" i="7"/>
  <c r="T210" i="7"/>
  <c r="T275" i="7" s="1"/>
  <c r="X195" i="7"/>
  <c r="X210" i="7"/>
  <c r="X275" i="7" s="1"/>
  <c r="G193" i="7"/>
  <c r="G264" i="7" s="1"/>
  <c r="G208" i="7"/>
  <c r="K193" i="7"/>
  <c r="K208" i="7"/>
  <c r="O193" i="7"/>
  <c r="O208" i="7"/>
  <c r="S193" i="7"/>
  <c r="S208" i="7"/>
  <c r="W193" i="7"/>
  <c r="W208" i="7"/>
  <c r="AA193" i="7"/>
  <c r="AA208" i="7"/>
  <c r="E195" i="7"/>
  <c r="E210" i="7"/>
  <c r="E275" i="7" s="1"/>
  <c r="I195" i="7"/>
  <c r="I210" i="7"/>
  <c r="I275" i="7" s="1"/>
  <c r="M195" i="7"/>
  <c r="M210" i="7"/>
  <c r="M275" i="7" s="1"/>
  <c r="Q195" i="7"/>
  <c r="Q210" i="7"/>
  <c r="Q275" i="7" s="1"/>
  <c r="U195" i="7"/>
  <c r="U210" i="7"/>
  <c r="U275" i="7" s="1"/>
  <c r="Y195" i="7"/>
  <c r="Y210" i="7"/>
  <c r="Y275" i="7" s="1"/>
  <c r="AC195" i="7"/>
  <c r="AC210" i="7"/>
  <c r="AC275" i="7" s="1"/>
  <c r="H193" i="7"/>
  <c r="H208" i="7"/>
  <c r="AB193" i="7"/>
  <c r="AB208" i="7"/>
  <c r="J195" i="7"/>
  <c r="J210" i="7"/>
  <c r="J275" i="7" s="1"/>
  <c r="N195" i="7"/>
  <c r="N210" i="7"/>
  <c r="N275" i="7" s="1"/>
  <c r="R195" i="7"/>
  <c r="R210" i="7"/>
  <c r="R275" i="7" s="1"/>
  <c r="V195" i="7"/>
  <c r="V210" i="7"/>
  <c r="V275" i="7" s="1"/>
  <c r="Z195" i="7"/>
  <c r="Z210" i="7"/>
  <c r="Z275" i="7" s="1"/>
  <c r="D193" i="7"/>
  <c r="D264" i="7" s="1"/>
  <c r="D208" i="7"/>
  <c r="L193" i="7"/>
  <c r="L208" i="7"/>
  <c r="X193" i="7"/>
  <c r="X208" i="7"/>
  <c r="I193" i="7"/>
  <c r="I208" i="7"/>
  <c r="Y193" i="7"/>
  <c r="Y208" i="7"/>
  <c r="G195" i="7"/>
  <c r="G210" i="7"/>
  <c r="G275" i="7" s="1"/>
  <c r="O195" i="7"/>
  <c r="O210" i="7"/>
  <c r="O275" i="7" s="1"/>
  <c r="AA195" i="7"/>
  <c r="AA210" i="7"/>
  <c r="AA275" i="7" s="1"/>
  <c r="H192" i="7"/>
  <c r="B38" i="1"/>
  <c r="B31" i="1"/>
  <c r="B24" i="1"/>
  <c r="G16" i="1"/>
  <c r="I207" i="7" s="1"/>
  <c r="C6" i="1"/>
  <c r="D6" i="1" s="1"/>
  <c r="E6" i="1" s="1"/>
  <c r="F6" i="1" s="1"/>
  <c r="G6" i="1" s="1"/>
  <c r="H6" i="1" s="1"/>
  <c r="I6" i="1" s="1"/>
  <c r="J6" i="1" s="1"/>
  <c r="K6" i="1" s="1"/>
  <c r="L6" i="1" s="1"/>
  <c r="M6" i="1" s="1"/>
  <c r="N6" i="1" s="1"/>
  <c r="O6" i="1" s="1"/>
  <c r="P6" i="1" s="1"/>
  <c r="Q6" i="1" s="1"/>
  <c r="R6" i="1" s="1"/>
  <c r="S6" i="1" s="1"/>
  <c r="T6" i="1" s="1"/>
  <c r="U6" i="1" s="1"/>
  <c r="V6" i="1" s="1"/>
  <c r="W6" i="1" s="1"/>
  <c r="X6" i="1" s="1"/>
  <c r="Y6" i="1" s="1"/>
  <c r="Z6" i="1" s="1"/>
  <c r="AA6" i="1" s="1"/>
  <c r="C5" i="1"/>
  <c r="D5" i="1" s="1"/>
  <c r="E5" i="1" s="1"/>
  <c r="F5" i="1" s="1"/>
  <c r="G5" i="1" s="1"/>
  <c r="H5" i="1" s="1"/>
  <c r="I5" i="1" s="1"/>
  <c r="J5" i="1" s="1"/>
  <c r="K5" i="1" s="1"/>
  <c r="L5" i="1" s="1"/>
  <c r="M5" i="1" s="1"/>
  <c r="N5" i="1" s="1"/>
  <c r="O5" i="1" s="1"/>
  <c r="P5" i="1" s="1"/>
  <c r="Q5" i="1" s="1"/>
  <c r="R5" i="1" s="1"/>
  <c r="S5" i="1" s="1"/>
  <c r="T5" i="1" s="1"/>
  <c r="U5" i="1" s="1"/>
  <c r="V5" i="1" s="1"/>
  <c r="W5" i="1" s="1"/>
  <c r="X5" i="1" s="1"/>
  <c r="Y5" i="1" s="1"/>
  <c r="Z5" i="1" s="1"/>
  <c r="AA5" i="1" s="1"/>
  <c r="E30" i="7" l="1"/>
  <c r="H264" i="7"/>
  <c r="H265" i="7" s="1"/>
  <c r="I257" i="7"/>
  <c r="I273" i="7"/>
  <c r="L273" i="7"/>
  <c r="H257" i="7"/>
  <c r="H273" i="7"/>
  <c r="AA273" i="7"/>
  <c r="S273" i="7"/>
  <c r="K273" i="7"/>
  <c r="Z273" i="7"/>
  <c r="N273" i="7"/>
  <c r="U273" i="7"/>
  <c r="E257" i="7"/>
  <c r="E273" i="7"/>
  <c r="J273" i="7"/>
  <c r="I256" i="7"/>
  <c r="I272" i="7"/>
  <c r="Y273" i="7"/>
  <c r="X273" i="7"/>
  <c r="D257" i="7"/>
  <c r="D273" i="7"/>
  <c r="AB273" i="7"/>
  <c r="W273" i="7"/>
  <c r="O273" i="7"/>
  <c r="G257" i="7"/>
  <c r="G273" i="7"/>
  <c r="R273" i="7"/>
  <c r="F257" i="7"/>
  <c r="F273" i="7"/>
  <c r="AC273" i="7"/>
  <c r="M273" i="7"/>
  <c r="T273" i="7"/>
  <c r="V273" i="7"/>
  <c r="Q273" i="7"/>
  <c r="P273" i="7"/>
  <c r="G265" i="7"/>
  <c r="G266" i="7" s="1"/>
  <c r="D265" i="7"/>
  <c r="D266" i="7" s="1"/>
  <c r="F265" i="7"/>
  <c r="F266" i="7" s="1"/>
  <c r="E265" i="7"/>
  <c r="E266" i="7" s="1"/>
  <c r="H252" i="7"/>
  <c r="I192" i="7"/>
  <c r="I264" i="7" s="1"/>
  <c r="H16" i="1"/>
  <c r="J207" i="7" s="1"/>
  <c r="J257" i="7" s="1"/>
  <c r="E28" i="7" l="1"/>
  <c r="I265" i="7"/>
  <c r="J256" i="7"/>
  <c r="J272" i="7"/>
  <c r="H260" i="7"/>
  <c r="H266" i="7" s="1"/>
  <c r="I252" i="7"/>
  <c r="J192" i="7"/>
  <c r="J264" i="7" s="1"/>
  <c r="I16" i="1"/>
  <c r="K207" i="7" l="1"/>
  <c r="K257" i="7" s="1"/>
  <c r="J265" i="7"/>
  <c r="I260" i="7"/>
  <c r="I266" i="7" s="1"/>
  <c r="J252" i="7"/>
  <c r="K192" i="7"/>
  <c r="K264" i="7" s="1"/>
  <c r="J16" i="1"/>
  <c r="L207" i="7" s="1"/>
  <c r="L257" i="7" s="1"/>
  <c r="K256" i="7" l="1"/>
  <c r="K272" i="7"/>
  <c r="K265" i="7"/>
  <c r="L256" i="7"/>
  <c r="L272" i="7"/>
  <c r="J260" i="7"/>
  <c r="J266" i="7" s="1"/>
  <c r="K252" i="7"/>
  <c r="L192" i="7"/>
  <c r="L264" i="7" s="1"/>
  <c r="K16" i="1"/>
  <c r="M207" i="7" s="1"/>
  <c r="M257" i="7" s="1"/>
  <c r="L265" i="7" l="1"/>
  <c r="M256" i="7"/>
  <c r="M272" i="7"/>
  <c r="K260" i="7"/>
  <c r="K266" i="7" s="1"/>
  <c r="L252" i="7"/>
  <c r="L260" i="7" s="1"/>
  <c r="M192" i="7"/>
  <c r="M264" i="7" s="1"/>
  <c r="M265" i="7" s="1"/>
  <c r="L16" i="1"/>
  <c r="N207" i="7" s="1"/>
  <c r="N257" i="7" s="1"/>
  <c r="L266" i="7" l="1"/>
  <c r="N256" i="7"/>
  <c r="N272" i="7"/>
  <c r="M252" i="7"/>
  <c r="M260" i="7" s="1"/>
  <c r="M266" i="7" s="1"/>
  <c r="N192" i="7"/>
  <c r="N264" i="7" s="1"/>
  <c r="M16" i="1"/>
  <c r="O207" i="7" s="1"/>
  <c r="O257" i="7" s="1"/>
  <c r="N265" i="7" l="1"/>
  <c r="O256" i="7"/>
  <c r="O272" i="7"/>
  <c r="N252" i="7"/>
  <c r="N260" i="7" s="1"/>
  <c r="O192" i="7"/>
  <c r="O264" i="7" s="1"/>
  <c r="O265" i="7" s="1"/>
  <c r="N16" i="1"/>
  <c r="P207" i="7" s="1"/>
  <c r="P257" i="7" s="1"/>
  <c r="N266" i="7" l="1"/>
  <c r="P256" i="7"/>
  <c r="P272" i="7"/>
  <c r="O252" i="7"/>
  <c r="O260" i="7" s="1"/>
  <c r="O266" i="7" s="1"/>
  <c r="P192" i="7"/>
  <c r="P264" i="7" s="1"/>
  <c r="P265" i="7" s="1"/>
  <c r="O16" i="1"/>
  <c r="Q207" i="7" s="1"/>
  <c r="Q257" i="7" s="1"/>
  <c r="Q256" i="7" l="1"/>
  <c r="Q272" i="7"/>
  <c r="P252" i="7"/>
  <c r="P260" i="7" s="1"/>
  <c r="P266" i="7" s="1"/>
  <c r="Q192" i="7"/>
  <c r="Q264" i="7" s="1"/>
  <c r="Q265" i="7" s="1"/>
  <c r="P16" i="1"/>
  <c r="R207" i="7" s="1"/>
  <c r="R257" i="7" s="1"/>
  <c r="R256" i="7" l="1"/>
  <c r="R272" i="7"/>
  <c r="Q252" i="7"/>
  <c r="Q260" i="7" s="1"/>
  <c r="Q266" i="7" s="1"/>
  <c r="R192" i="7"/>
  <c r="R264" i="7" s="1"/>
  <c r="R265" i="7" s="1"/>
  <c r="Q16" i="1"/>
  <c r="S207" i="7" s="1"/>
  <c r="S257" i="7" s="1"/>
  <c r="S256" i="7" l="1"/>
  <c r="S272" i="7"/>
  <c r="R252" i="7"/>
  <c r="R260" i="7" s="1"/>
  <c r="R266" i="7" s="1"/>
  <c r="S192" i="7"/>
  <c r="S264" i="7" s="1"/>
  <c r="S265" i="7" s="1"/>
  <c r="R16" i="1"/>
  <c r="T207" i="7" s="1"/>
  <c r="T257" i="7" s="1"/>
  <c r="T256" i="7" l="1"/>
  <c r="T272" i="7"/>
  <c r="S252" i="7"/>
  <c r="S260" i="7" s="1"/>
  <c r="S266" i="7" s="1"/>
  <c r="T192" i="7"/>
  <c r="T264" i="7" s="1"/>
  <c r="T265" i="7" s="1"/>
  <c r="S16" i="1"/>
  <c r="U207" i="7" s="1"/>
  <c r="U257" i="7" s="1"/>
  <c r="U256" i="7" l="1"/>
  <c r="U272" i="7"/>
  <c r="T252" i="7"/>
  <c r="T260" i="7" s="1"/>
  <c r="T266" i="7" s="1"/>
  <c r="U192" i="7"/>
  <c r="U264" i="7" s="1"/>
  <c r="U265" i="7" s="1"/>
  <c r="T16" i="1"/>
  <c r="V207" i="7" s="1"/>
  <c r="V257" i="7" s="1"/>
  <c r="V256" i="7" l="1"/>
  <c r="V272" i="7"/>
  <c r="U252" i="7"/>
  <c r="U260" i="7" s="1"/>
  <c r="U266" i="7" s="1"/>
  <c r="V192" i="7"/>
  <c r="V264" i="7" s="1"/>
  <c r="V265" i="7" s="1"/>
  <c r="U16" i="1"/>
  <c r="W207" i="7" s="1"/>
  <c r="W257" i="7" s="1"/>
  <c r="W256" i="7" l="1"/>
  <c r="W272" i="7"/>
  <c r="V252" i="7"/>
  <c r="V260" i="7" s="1"/>
  <c r="V266" i="7" s="1"/>
  <c r="W192" i="7"/>
  <c r="W264" i="7" s="1"/>
  <c r="W265" i="7" s="1"/>
  <c r="V16" i="1"/>
  <c r="X207" i="7" s="1"/>
  <c r="X257" i="7" s="1"/>
  <c r="X256" i="7" l="1"/>
  <c r="X272" i="7"/>
  <c r="W252" i="7"/>
  <c r="W260" i="7" s="1"/>
  <c r="W266" i="7" s="1"/>
  <c r="X192" i="7"/>
  <c r="X264" i="7" s="1"/>
  <c r="X265" i="7" s="1"/>
  <c r="W16" i="1"/>
  <c r="Y207" i="7" s="1"/>
  <c r="Y257" i="7" s="1"/>
  <c r="Y256" i="7" l="1"/>
  <c r="Y272" i="7"/>
  <c r="X252" i="7"/>
  <c r="X260" i="7" s="1"/>
  <c r="X266" i="7" s="1"/>
  <c r="Y192" i="7"/>
  <c r="Y264" i="7" s="1"/>
  <c r="Y265" i="7" s="1"/>
  <c r="X16" i="1"/>
  <c r="Z207" i="7" s="1"/>
  <c r="Z257" i="7" s="1"/>
  <c r="Z256" i="7" l="1"/>
  <c r="Z272" i="7"/>
  <c r="Y252" i="7"/>
  <c r="Y260" i="7" s="1"/>
  <c r="Y266" i="7" s="1"/>
  <c r="Z192" i="7"/>
  <c r="Z264" i="7" s="1"/>
  <c r="Z265" i="7" s="1"/>
  <c r="Y16" i="1"/>
  <c r="AA207" i="7" s="1"/>
  <c r="AA257" i="7" s="1"/>
  <c r="AA256" i="7" l="1"/>
  <c r="AA272" i="7"/>
  <c r="Z252" i="7"/>
  <c r="Z260" i="7" s="1"/>
  <c r="Z266" i="7" s="1"/>
  <c r="AA192" i="7"/>
  <c r="AA264" i="7" s="1"/>
  <c r="AA265" i="7" s="1"/>
  <c r="AA16" i="1"/>
  <c r="Z16" i="1"/>
  <c r="AB207" i="7" s="1"/>
  <c r="AB257" i="7" s="1"/>
  <c r="D17" i="1" l="1"/>
  <c r="AC207" i="7"/>
  <c r="AC257" i="7" s="1"/>
  <c r="B17" i="1"/>
  <c r="AB256" i="7"/>
  <c r="AB272" i="7"/>
  <c r="AA252" i="7"/>
  <c r="AA260" i="7" s="1"/>
  <c r="AA266" i="7" s="1"/>
  <c r="AB192" i="7"/>
  <c r="AB264" i="7" s="1"/>
  <c r="AB265" i="7" s="1"/>
  <c r="AC192" i="7"/>
  <c r="AC264" i="7" s="1"/>
  <c r="AC256" i="7" l="1"/>
  <c r="AC272" i="7"/>
  <c r="E27" i="7" s="1"/>
  <c r="E23" i="7" s="1"/>
  <c r="AC265" i="7"/>
  <c r="AB252" i="7"/>
  <c r="AB260" i="7" s="1"/>
  <c r="AB266" i="7" s="1"/>
  <c r="AC252" i="7"/>
  <c r="D27" i="7" l="1"/>
  <c r="D31" i="7"/>
  <c r="D29" i="7"/>
  <c r="D30" i="7"/>
  <c r="D28" i="7"/>
  <c r="E22" i="7"/>
  <c r="AC260" i="7"/>
  <c r="AC266" i="7" s="1"/>
  <c r="B48" i="7" l="1"/>
  <c r="B42" i="7"/>
  <c r="E42" i="7" s="1"/>
  <c r="E45" i="7" s="1"/>
  <c r="E24" i="7"/>
  <c r="E48" i="7" l="1"/>
  <c r="E5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4" authorId="0" shapeId="0" xr:uid="{835F1C44-B79F-4797-A04D-63AF9D97030A}">
      <text>
        <r>
          <rPr>
            <sz val="9"/>
            <color indexed="81"/>
            <rFont val="Tahoma"/>
            <family val="2"/>
          </rPr>
          <t xml:space="preserve">Includes 25% remedial costs
</t>
        </r>
      </text>
    </comment>
    <comment ref="E65" authorId="0" shapeId="0" xr:uid="{7B295F60-963F-47B8-91BA-A2782B83EEAC}">
      <text>
        <r>
          <rPr>
            <sz val="9"/>
            <color indexed="81"/>
            <rFont val="Tahoma"/>
            <family val="2"/>
          </rPr>
          <t>Capex for female facilities</t>
        </r>
      </text>
    </comment>
    <comment ref="I65" authorId="0" shapeId="0" xr:uid="{7EDA2409-BDC0-4A04-B5E9-8B34543D5A58}">
      <text>
        <r>
          <rPr>
            <sz val="9"/>
            <color indexed="81"/>
            <rFont val="Tahoma"/>
            <family val="2"/>
          </rPr>
          <t>Breakdown:
- $7,500k construction costs;
- $350k temporary location and disruption costs relating to construction
- $1,000k minimum upgrades to provide a safe site
- $100k asbestos costs</t>
        </r>
      </text>
    </comment>
    <comment ref="E70" authorId="0" shapeId="0" xr:uid="{E9AD5FC1-F5E9-4890-AD2A-D951AE8562B5}">
      <text>
        <r>
          <rPr>
            <sz val="9"/>
            <color indexed="81"/>
            <rFont val="Tahoma"/>
            <family val="2"/>
          </rPr>
          <t>Capex for female facilities</t>
        </r>
      </text>
    </comment>
    <comment ref="I70" authorId="0" shapeId="0" xr:uid="{1A53C996-A64A-4384-B2AE-0770F2B56088}">
      <text>
        <r>
          <rPr>
            <sz val="9"/>
            <color indexed="81"/>
            <rFont val="Tahoma"/>
            <family val="2"/>
          </rPr>
          <t xml:space="preserve">Asbestos costs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<sst xmlns="http://schemas.openxmlformats.org/spreadsheetml/2006/main" count="1856" uniqueCount="450">
  <si>
    <t>Economic evaluation of depot options</t>
  </si>
  <si>
    <t>Mornington</t>
  </si>
  <si>
    <t>real (pre-tax)</t>
  </si>
  <si>
    <t>t=</t>
  </si>
  <si>
    <t>Year=</t>
  </si>
  <si>
    <t xml:space="preserve">Depot:  </t>
  </si>
  <si>
    <t xml:space="preserve">Discount rate:  </t>
  </si>
  <si>
    <t xml:space="preserve">Insufficient depot capacity </t>
  </si>
  <si>
    <t xml:space="preserve">Inadequate storage capacity </t>
  </si>
  <si>
    <t>Structural issues and asbestos</t>
  </si>
  <si>
    <t xml:space="preserve">Safety risks </t>
  </si>
  <si>
    <t>Total costs of do nothing</t>
  </si>
  <si>
    <t xml:space="preserve">Capital expenditure </t>
  </si>
  <si>
    <t>Total cost of Option 1</t>
  </si>
  <si>
    <t>Total cost of Option 2</t>
  </si>
  <si>
    <t>Total cost of Option 3</t>
  </si>
  <si>
    <t>Yellow shaded cells are input cells</t>
  </si>
  <si>
    <t>Total cost of Option 4</t>
  </si>
  <si>
    <t>New connections</t>
  </si>
  <si>
    <t>Impact #1:  Cost to customers of delays in new connections</t>
  </si>
  <si>
    <t>Impact #2:  Cost to customers of delays in restoring supply after forced outage (additional USE @ VCR)</t>
  </si>
  <si>
    <t>Impact #3:  Cost to customers of delays in restoring supply after forced outage (additional USE @ VCR)</t>
  </si>
  <si>
    <t xml:space="preserve">Impact #1:  Cost of removing asbestos to minimise exposure to airborne particles ALARP </t>
  </si>
  <si>
    <t>Incidents per year</t>
  </si>
  <si>
    <t>Average staff cost ($/hour)</t>
  </si>
  <si>
    <t>Depot staff affected</t>
  </si>
  <si>
    <t>Depot staff costs (lost output)</t>
  </si>
  <si>
    <t>Impact #3:  Death / serious injury caused by structural failure</t>
  </si>
  <si>
    <t>Value of statistical life ($ 000)</t>
  </si>
  <si>
    <t>Disproportionality factor</t>
  </si>
  <si>
    <t>Duration of disruption (hours)</t>
  </si>
  <si>
    <t>Total depot staff cost per year ($000)</t>
  </si>
  <si>
    <t>Clean-up cost after minor failure ($000)</t>
  </si>
  <si>
    <t>Clean-up cost after major failure ($000)</t>
  </si>
  <si>
    <t>Annual major failure probability</t>
  </si>
  <si>
    <t>Suboptimal location</t>
  </si>
  <si>
    <t>Office staff (FTE)</t>
  </si>
  <si>
    <t>Average annual cost per FTE ($000)</t>
  </si>
  <si>
    <t>Annual productivity loss in 2021</t>
  </si>
  <si>
    <t>Rate of deterioration in productivity</t>
  </si>
  <si>
    <t>Total field personnel (FTE)</t>
  </si>
  <si>
    <t>Annual average cost per FTE</t>
  </si>
  <si>
    <t>Impact #1:  Reduced office productivity due to substandard facilities</t>
  </si>
  <si>
    <t>Impact #2:  Reduced field personnel productivity due to substandard facilities</t>
  </si>
  <si>
    <t xml:space="preserve">Forecast av. new connection growth </t>
  </si>
  <si>
    <t>Repair cost after incident ($000)</t>
  </si>
  <si>
    <t>Impact #1:   Death / serious injury due to loads falling (unstable surfaces)</t>
  </si>
  <si>
    <t>Wasted job cost due to unsafe vehicle ($000)</t>
  </si>
  <si>
    <t>Value of statistical life ($000)</t>
  </si>
  <si>
    <t>Impact #1:  Minimum upgrades cost to provide adequate safety at the site</t>
  </si>
  <si>
    <t>Impact #2:  Reduced field personnel productivity due to inadequate storage facilities</t>
  </si>
  <si>
    <t>Impact #1:  Additional cost of sourcing material off-site</t>
  </si>
  <si>
    <t>Impact #2:  Disruption to normal business activity due to septic tank spill</t>
  </si>
  <si>
    <t>% of connections delivered 1 day earlier</t>
  </si>
  <si>
    <t>Customer value per early connection</t>
  </si>
  <si>
    <t>Total cost of Option 0 ($000)</t>
  </si>
  <si>
    <t>Annual average cost per FTE ($000)</t>
  </si>
  <si>
    <t>Total cost of Impact #1 ($000)</t>
  </si>
  <si>
    <t>Total cost of Impact #2 ($000)</t>
  </si>
  <si>
    <t>Total cost of Impact #3 ($000)</t>
  </si>
  <si>
    <t xml:space="preserve">Impact #2:  Minimum upgrades to building and site to address known faults and structural issues </t>
  </si>
  <si>
    <t>Note that asbestos removal is consistent with meeting health and safety requirements, so it is non-discretionary.</t>
  </si>
  <si>
    <t>Escalation of minor failure cost with age</t>
  </si>
  <si>
    <t>Impact #2:  Reduced office productivity due to substandard facilities</t>
  </si>
  <si>
    <t>Impact #3:  Reduced field personnel productivity due to substandard facilities</t>
  </si>
  <si>
    <t>Fatality cost ($000)</t>
  </si>
  <si>
    <t>Wasted job cost ($000)</t>
  </si>
  <si>
    <t>Impact #1:  Reduced field personnel productivity due to suboptimal depot location</t>
  </si>
  <si>
    <t>Total cost of inadequate depot capacity</t>
  </si>
  <si>
    <t>Total cost of inadequate storage</t>
  </si>
  <si>
    <t>Total cost of not addressing structural issues</t>
  </si>
  <si>
    <t>Total cost of not addressing safety risks</t>
  </si>
  <si>
    <t>Total cost of suboptimal depot location</t>
  </si>
  <si>
    <t>PV cost of Option 1=</t>
  </si>
  <si>
    <t>PV cost of do nothing=</t>
  </si>
  <si>
    <t>PV cost of Option 2=</t>
  </si>
  <si>
    <t>PV cost of Option 3=</t>
  </si>
  <si>
    <t>Customer cost ($000)</t>
  </si>
  <si>
    <t>Clean-up cost ($000)</t>
  </si>
  <si>
    <t>PV cost of Option 4=</t>
  </si>
  <si>
    <t>All values shown are costs, expressed in $000 as at June 2021 unless otherwise stated.</t>
  </si>
  <si>
    <t>Connections</t>
  </si>
  <si>
    <t xml:space="preserve">Office staff </t>
  </si>
  <si>
    <t>Field staff</t>
  </si>
  <si>
    <t xml:space="preserve">Safety </t>
  </si>
  <si>
    <t>Service Target Performance Incentive Scheme - Rate Calculation</t>
  </si>
  <si>
    <t>United Energy</t>
  </si>
  <si>
    <t>Assumptions</t>
  </si>
  <si>
    <t>AER, Value of customer reliability, December 2019</t>
  </si>
  <si>
    <t>Energy (MWh) - Network</t>
  </si>
  <si>
    <t>Smoothed revenue ($'m Jun 2021)</t>
  </si>
  <si>
    <t xml:space="preserve">Ratio of unplanned SAIDI/SAIFI    </t>
  </si>
  <si>
    <t>CBD</t>
  </si>
  <si>
    <t>Urban</t>
  </si>
  <si>
    <t>Average 2021/22 - 2025/26</t>
  </si>
  <si>
    <t>Ave unplanned SAIFI target</t>
  </si>
  <si>
    <t>Ave unplanned SAIDI target</t>
  </si>
  <si>
    <t>Ave unplanned MAIFI target</t>
  </si>
  <si>
    <t>Proportion of VCR</t>
  </si>
  <si>
    <t>SAIFI ($)</t>
  </si>
  <si>
    <t>SAIDI ($)</t>
  </si>
  <si>
    <t>Telephone answering</t>
  </si>
  <si>
    <t>MWh per year</t>
  </si>
  <si>
    <t>Calculation of average interruption cost per urban customer</t>
  </si>
  <si>
    <t>Calculation of average interruption cost per non-urban customer</t>
  </si>
  <si>
    <t>Average energy per customer</t>
  </si>
  <si>
    <t>Total energy lost per customer</t>
  </si>
  <si>
    <t>Calculation of average interruption cost across the network</t>
  </si>
  <si>
    <t>per urban customer</t>
  </si>
  <si>
    <t xml:space="preserve">Interruption cost </t>
  </si>
  <si>
    <t>per non-urban customer</t>
  </si>
  <si>
    <t>per customer across the entire network</t>
  </si>
  <si>
    <t xml:space="preserve">Weighted average Interruption cost </t>
  </si>
  <si>
    <t>Average interruption cost per customer</t>
  </si>
  <si>
    <t>Total number of customers in 2021</t>
  </si>
  <si>
    <t xml:space="preserve">Avoidable outage time </t>
  </si>
  <si>
    <t>Total cost of avoidable outage time in 2021 ($000)</t>
  </si>
  <si>
    <t>Cash flow summary</t>
  </si>
  <si>
    <t>Details of calculations are set out below</t>
  </si>
  <si>
    <t>Residual do nothing costs after redevelopment</t>
  </si>
  <si>
    <t>Total foregone customer value in 2021 ($000)</t>
  </si>
  <si>
    <t>Cost of lost productivity in 2021 ($000)</t>
  </si>
  <si>
    <t>Capex to redevelop existing site and facilities</t>
  </si>
  <si>
    <t>Do nothing costs incurred before redevelopment</t>
  </si>
  <si>
    <t xml:space="preserve">Total cost of Option 0 (Do Nothing) </t>
  </si>
  <si>
    <t>Do nothing costs before redevelopment</t>
  </si>
  <si>
    <t>Residual do nothing costs after redevel't</t>
  </si>
  <si>
    <t>Capex to buy site and build facilities</t>
  </si>
  <si>
    <t>Do nothing costs before completion</t>
  </si>
  <si>
    <t>Residual do nothing costs post-completion</t>
  </si>
  <si>
    <t xml:space="preserve">Do nothing costs incurred before completion </t>
  </si>
  <si>
    <r>
      <rPr>
        <b/>
        <sz val="11"/>
        <color theme="1"/>
        <rFont val="Calibri"/>
        <family val="2"/>
        <scheme val="minor"/>
      </rPr>
      <t>Notes</t>
    </r>
    <r>
      <rPr>
        <sz val="11"/>
        <color theme="1"/>
        <rFont val="Calibri"/>
        <family val="2"/>
        <scheme val="minor"/>
      </rPr>
      <t>: The PV cost for each option recognises that the costs of 'doing nothing' will be incurred up to the period when the option would proceed.</t>
    </r>
  </si>
  <si>
    <t>If the option does not fully address the identified need, residual costs will arise in the subsequent years.  These costs are also included in the cash flows.</t>
  </si>
  <si>
    <t xml:space="preserve">Explanatory notes are provided throughout the workbook in green shaded boxes. </t>
  </si>
  <si>
    <r>
      <t xml:space="preserve">Note: </t>
    </r>
    <r>
      <rPr>
        <sz val="11"/>
        <color theme="1"/>
        <rFont val="Calibri"/>
        <family val="2"/>
        <scheme val="minor"/>
      </rPr>
      <t xml:space="preserve">The 'do nothing' option shows the costs that would arise if the identified needs are not addressed. </t>
    </r>
  </si>
  <si>
    <t>For further information on the identified needs, please refer to the business case.</t>
  </si>
  <si>
    <t>The value of the delay to customers reflects the ancillary network charge for an 'express move in' during business hours.</t>
  </si>
  <si>
    <r>
      <t xml:space="preserve">Notes: </t>
    </r>
    <r>
      <rPr>
        <sz val="11"/>
        <color theme="1"/>
        <rFont val="Calibri"/>
        <family val="2"/>
        <scheme val="minor"/>
      </rPr>
      <t>Inadequate depot capacity will affect productivity in a variety of different ways, including modest delays in connecting a proportion of new customers</t>
    </r>
    <r>
      <rPr>
        <b/>
        <sz val="11"/>
        <color theme="1"/>
        <rFont val="Calibri"/>
        <family val="2"/>
        <scheme val="minor"/>
      </rPr>
      <t>.</t>
    </r>
  </si>
  <si>
    <t xml:space="preserve">The average annual cost of unserved energy per customer has been calculated from the STPIS data, submitted to the AER as part of our regulatory proposal. </t>
  </si>
  <si>
    <t>It is assumed that the total cost of unserved energy per customer could be reduced if the depot operated with more appropriate levels of capacity.</t>
  </si>
  <si>
    <r>
      <rPr>
        <b/>
        <sz val="11"/>
        <color theme="1"/>
        <rFont val="Calibri"/>
        <family val="2"/>
        <scheme val="minor"/>
      </rPr>
      <t>Notes</t>
    </r>
    <r>
      <rPr>
        <sz val="11"/>
        <color theme="1"/>
        <rFont val="Calibri"/>
        <family val="2"/>
        <scheme val="minor"/>
      </rPr>
      <t xml:space="preserve">: Inadequate depot capacity is likely to lead to delays in restoring outages, in addition to delays in connecting new customers (as set out in (#1) above). </t>
    </r>
  </si>
  <si>
    <r>
      <rPr>
        <b/>
        <sz val="11"/>
        <color theme="1"/>
        <rFont val="Calibri"/>
        <family val="2"/>
        <scheme val="minor"/>
      </rPr>
      <t>Notes</t>
    </r>
    <r>
      <rPr>
        <sz val="11"/>
        <color theme="1"/>
        <rFont val="Calibri"/>
        <family val="2"/>
        <scheme val="minor"/>
      </rPr>
      <t>: Inadequate storage capacity will cause a loss of productivity as field staff source materials off-site.</t>
    </r>
  </si>
  <si>
    <t>The reduction in productivity is likely to increase modestly over time as customer numbers increase.</t>
  </si>
  <si>
    <r>
      <rPr>
        <b/>
        <sz val="11"/>
        <color theme="1"/>
        <rFont val="Calibri"/>
        <family val="2"/>
        <scheme val="minor"/>
      </rPr>
      <t>Notes</t>
    </r>
    <r>
      <rPr>
        <sz val="11"/>
        <color theme="1"/>
        <rFont val="Calibri"/>
        <family val="2"/>
        <scheme val="minor"/>
      </rPr>
      <t>: Inadequate storage capacity will cause a loss of productivity as field staff loading and unloading is less efficient than would otherwise be the case.</t>
    </r>
  </si>
  <si>
    <t>It is assumed that the total cost of unserved energy per customer could be reduced if the depot operated with more appropriate storage capacity.</t>
  </si>
  <si>
    <r>
      <rPr>
        <b/>
        <sz val="11"/>
        <color theme="1"/>
        <rFont val="Calibri"/>
        <family val="2"/>
        <scheme val="minor"/>
      </rPr>
      <t>Notes</t>
    </r>
    <r>
      <rPr>
        <sz val="11"/>
        <color theme="1"/>
        <rFont val="Calibri"/>
        <family val="2"/>
        <scheme val="minor"/>
      </rPr>
      <t xml:space="preserve">: Inadequate storage capacity is likely to lead to delays in restoring outages, particularly during storm events. </t>
    </r>
  </si>
  <si>
    <r>
      <rPr>
        <b/>
        <sz val="11"/>
        <color theme="1"/>
        <rFont val="Calibri"/>
        <family val="2"/>
        <scheme val="minor"/>
      </rPr>
      <t>Note:</t>
    </r>
    <r>
      <rPr>
        <sz val="11"/>
        <color theme="1"/>
        <rFont val="Calibri"/>
        <family val="2"/>
        <scheme val="minor"/>
      </rPr>
      <t xml:space="preserve"> Depending on the building condition, asbestos removal may be a health and safety requirement. A modest allowance has been included.</t>
    </r>
  </si>
  <si>
    <t>We have included an allowance for restoration costs following a major or minor structural failure.</t>
  </si>
  <si>
    <r>
      <rPr>
        <b/>
        <sz val="11"/>
        <color theme="1"/>
        <rFont val="Calibri"/>
        <family val="2"/>
        <scheme val="minor"/>
      </rPr>
      <t>Notes</t>
    </r>
    <r>
      <rPr>
        <sz val="11"/>
        <color theme="1"/>
        <rFont val="Calibri"/>
        <family val="2"/>
        <scheme val="minor"/>
      </rPr>
      <t>: The expected cost of death or serious injury as a result of structural failure is treated as a 1 in 100 year event.</t>
    </r>
  </si>
  <si>
    <t>Impact #3:  On-site vehicle servicing not possible</t>
  </si>
  <si>
    <r>
      <rPr>
        <b/>
        <sz val="11"/>
        <color theme="1"/>
        <rFont val="Calibri"/>
        <family val="2"/>
        <scheme val="minor"/>
      </rPr>
      <t>Note</t>
    </r>
    <r>
      <rPr>
        <sz val="11"/>
        <color theme="1"/>
        <rFont val="Calibri"/>
        <family val="2"/>
        <scheme val="minor"/>
      </rPr>
      <t>: A minor allowance has been made for the expected costs of being unable to conduct on-site servicing of vehicles due to site inadequacies.</t>
    </r>
  </si>
  <si>
    <r>
      <rPr>
        <b/>
        <sz val="11"/>
        <color theme="1"/>
        <rFont val="Calibri"/>
        <family val="2"/>
        <scheme val="minor"/>
      </rPr>
      <t>Notes</t>
    </r>
    <r>
      <rPr>
        <sz val="11"/>
        <color theme="1"/>
        <rFont val="Calibri"/>
        <family val="2"/>
        <scheme val="minor"/>
      </rPr>
      <t>: Outdated facilities will have an impact on productivity, particularly through lower morale and staff retention.</t>
    </r>
  </si>
  <si>
    <t>The expected cost of death or serious injury has been estimated as a 1 in 100 hundred year event.</t>
  </si>
  <si>
    <t>Impact #2:   Compromised safety performance of glove and barrier (G&amp;B) vehicles due to poor storage</t>
  </si>
  <si>
    <t xml:space="preserve">A small allowance is made for the cost of wasted jobs when safety on a job is deemed to be compromised </t>
  </si>
  <si>
    <t>As explained in the business case, this option does not fully address the identified need, and therefore some residual costs occur in the years following the commissioning of this option.</t>
  </si>
  <si>
    <r>
      <rPr>
        <b/>
        <sz val="11"/>
        <color theme="1"/>
        <rFont val="Calibri"/>
        <family val="2"/>
        <scheme val="minor"/>
      </rPr>
      <t>Notes</t>
    </r>
    <r>
      <rPr>
        <sz val="11"/>
        <color theme="1"/>
        <rFont val="Calibri"/>
        <family val="2"/>
        <scheme val="minor"/>
      </rPr>
      <t>: The cashflows for this option recognise that the costs of 'doing nothing' will be incurred up to the period when the option would proceed.</t>
    </r>
  </si>
  <si>
    <t>As explained in the business case, this option fully addresses the identified need, and therefore no residual costs occur in the years following the commissioning of this option.</t>
  </si>
  <si>
    <r>
      <t>Notes</t>
    </r>
    <r>
      <rPr>
        <sz val="11"/>
        <color rgb="FF000000"/>
        <rFont val="Calibri"/>
        <family val="2"/>
        <scheme val="minor"/>
      </rPr>
      <t>: The cashflows for this option recognise that the costs of 'doing nothing' will be incurred up to the period when the option would proceed.</t>
    </r>
  </si>
  <si>
    <r>
      <rPr>
        <b/>
        <sz val="11"/>
        <color theme="1"/>
        <rFont val="Calibri"/>
        <family val="2"/>
        <scheme val="minor"/>
      </rPr>
      <t>Note</t>
    </r>
    <r>
      <rPr>
        <sz val="11"/>
        <color theme="1"/>
        <rFont val="Calibri"/>
        <family val="2"/>
        <scheme val="minor"/>
      </rPr>
      <t>: By addressing the lack of female facilities, we expect the negative impact on productivity in the 'do nothing' option to be ameliorated to some extent.</t>
    </r>
  </si>
  <si>
    <r>
      <rPr>
        <b/>
        <sz val="11"/>
        <color theme="1"/>
        <rFont val="Calibri"/>
        <family val="2"/>
        <scheme val="minor"/>
      </rPr>
      <t>Notes</t>
    </r>
    <r>
      <rPr>
        <sz val="11"/>
        <color theme="1"/>
        <rFont val="Calibri"/>
        <family val="2"/>
        <scheme val="minor"/>
      </rPr>
      <t>: Improper storage of G&amp;B vehicles may present a risk to their safe operation.</t>
    </r>
  </si>
  <si>
    <t>(A) Cost of inadequate depot capacity</t>
  </si>
  <si>
    <t>(B) Cost of inadequate storage</t>
  </si>
  <si>
    <t xml:space="preserve">(C) Cost of not addressing structural issues </t>
  </si>
  <si>
    <t>(D) Costs of outdated facilities</t>
  </si>
  <si>
    <t>(A) Residual cost of inadequate depot capacity</t>
  </si>
  <si>
    <t>(B) Residual cost of inadequate storage</t>
  </si>
  <si>
    <t>(C) Residual costs of suboptimal depot location</t>
  </si>
  <si>
    <t>(A) Residual costs of suboptimal depot location</t>
  </si>
  <si>
    <t>Residual cost of safety risks ($ 000)</t>
  </si>
  <si>
    <t>Safety risks associated with unstable services are addressed by a proposed expenditure in 2025.</t>
  </si>
  <si>
    <t xml:space="preserve">Remedial works and safety risks </t>
  </si>
  <si>
    <t>Structural risks and remedial works</t>
  </si>
  <si>
    <t>Total cost of outdated facilities</t>
  </si>
  <si>
    <t>As explained in the business case, this option does not fully address the identified need and therefore significant elements of the 'do nothing' costs continue to apply.</t>
  </si>
  <si>
    <t>It is assumed that the total cost of unserved energy per customer could be reduced if the depot operated with more appropriate levels of capacity, which is not the case under this option.</t>
  </si>
  <si>
    <t>Source</t>
  </si>
  <si>
    <t>Calculated from total customer number x growth rate</t>
  </si>
  <si>
    <t>High level estimate, including on costs</t>
  </si>
  <si>
    <t>Best Practice Regulation Guidance Note Value of statistical life, Dec 2014, escalated</t>
  </si>
  <si>
    <t>As per UE modelling approach</t>
  </si>
  <si>
    <t>Source:</t>
  </si>
  <si>
    <t>Additional cost incurred in servicing vehicles offsite</t>
  </si>
  <si>
    <t>Estimate</t>
  </si>
  <si>
    <t>Summary of inputs and results</t>
  </si>
  <si>
    <t>Estimated potential gain</t>
  </si>
  <si>
    <t>UE's ancillary network charge for 'express move in' during business hours</t>
  </si>
  <si>
    <t>Calculated from US UsE sheet</t>
  </si>
  <si>
    <t>Calculated from above data</t>
  </si>
  <si>
    <t>Estimate of current risk</t>
  </si>
  <si>
    <t>Estimate of potential cost</t>
  </si>
  <si>
    <t>Estimate of increasing risk per annum</t>
  </si>
  <si>
    <r>
      <rPr>
        <b/>
        <sz val="11"/>
        <color theme="1"/>
        <rFont val="Calibri"/>
        <family val="2"/>
        <scheme val="minor"/>
      </rPr>
      <t>Notes</t>
    </r>
    <r>
      <rPr>
        <sz val="11"/>
        <color theme="1"/>
        <rFont val="Calibri"/>
        <family val="2"/>
        <scheme val="minor"/>
      </rPr>
      <t>: Unstable surfaces create a safety risk as a result of falling loads, resulting in damage to plant or equipment.</t>
    </r>
  </si>
  <si>
    <t>As per 'do nothing' option</t>
  </si>
  <si>
    <t>Estimate, as per new connection growth rate</t>
  </si>
  <si>
    <t xml:space="preserve">Total number of customers </t>
  </si>
  <si>
    <t>As per do nothing option</t>
  </si>
  <si>
    <t>Total cost ($000)</t>
  </si>
  <si>
    <t>We have  estimated the impact on productivity, having regard to increased travel time.  The negative productivity impact is likely to increase moderately over time.</t>
  </si>
  <si>
    <t>(E) Costs of not addressing safety risks</t>
  </si>
  <si>
    <t>(F) Costs of suboptimal depot location</t>
  </si>
  <si>
    <t>Impact #1:  Reduced productivity due to suboptimal depot location</t>
  </si>
  <si>
    <t>Base case</t>
  </si>
  <si>
    <t>Annual productivity loss - office staff</t>
  </si>
  <si>
    <t>Annual productivity loss - field staff</t>
  </si>
  <si>
    <t>Annual probability of incident due - G&amp;B vehicles</t>
  </si>
  <si>
    <t>Annual probability of incident - unsuitable surface</t>
  </si>
  <si>
    <t>Average FTE cost for all staff</t>
  </si>
  <si>
    <t>Keysborough</t>
  </si>
  <si>
    <t>Burwood</t>
  </si>
  <si>
    <t>Average office staff annual cost per FTE ($000)</t>
  </si>
  <si>
    <t>(A) Cost of inadequate depot capacity:</t>
  </si>
  <si>
    <t>Worst case</t>
  </si>
  <si>
    <t>Bad case</t>
  </si>
  <si>
    <t>Good case</t>
  </si>
  <si>
    <t>Best case</t>
  </si>
  <si>
    <t>Site</t>
  </si>
  <si>
    <t>Opt0</t>
  </si>
  <si>
    <t>Opt1</t>
  </si>
  <si>
    <t>Opt2</t>
  </si>
  <si>
    <t>Opt3</t>
  </si>
  <si>
    <t>Opt4</t>
  </si>
  <si>
    <t>Do nothing</t>
  </si>
  <si>
    <t>Redevelop existing site</t>
  </si>
  <si>
    <t>Purchase brownfield site</t>
  </si>
  <si>
    <t>Purchase greenfield site</t>
  </si>
  <si>
    <t>Minimum spend</t>
  </si>
  <si>
    <t>General notes</t>
  </si>
  <si>
    <t>Sensitivity manager [+/-]</t>
  </si>
  <si>
    <t>Measure</t>
  </si>
  <si>
    <t>[%]</t>
  </si>
  <si>
    <t>[$000s]</t>
  </si>
  <si>
    <t>[$]</t>
  </si>
  <si>
    <t>[Hours]</t>
  </si>
  <si>
    <t>[Number]</t>
  </si>
  <si>
    <t>[$/Hour]</t>
  </si>
  <si>
    <t>Average staff cost per hour</t>
  </si>
  <si>
    <t>Duration of disruption in hours</t>
  </si>
  <si>
    <t>Customer cost</t>
  </si>
  <si>
    <t>Clean-up cost</t>
  </si>
  <si>
    <t>Clean-up cost after major failure</t>
  </si>
  <si>
    <t>Clean-up cost after minor failure</t>
  </si>
  <si>
    <t>Repair cost after incident</t>
  </si>
  <si>
    <t>Wasted job cost due to unsafe vehicle</t>
  </si>
  <si>
    <t>Active sensitivity inputs</t>
  </si>
  <si>
    <t>Sensitivity selection</t>
  </si>
  <si>
    <t>Site specific base case input assumptions</t>
  </si>
  <si>
    <t>Site specific base case assumptions (do nothing option)</t>
  </si>
  <si>
    <t>Average interruption cost per customer (UE UsE)</t>
  </si>
  <si>
    <t>Total cost of Impact #1, expenditure in 2025</t>
  </si>
  <si>
    <t>[Years]</t>
  </si>
  <si>
    <t>Real pre tax discount rate</t>
  </si>
  <si>
    <t>Disruption costs during completion</t>
  </si>
  <si>
    <t>Probability of incident - poor storage G&amp;B vehicles</t>
  </si>
  <si>
    <t>Probability of incident - unstable surface</t>
  </si>
  <si>
    <t>Notes: Unstable surfaces create a safety risk as a result of falling loads, resulting in damage to plant or equipment.</t>
  </si>
  <si>
    <t>Impact #2:  Death / serious injury caused by structural failure</t>
  </si>
  <si>
    <t>Annual productivity loss due to inadequate storage</t>
  </si>
  <si>
    <t xml:space="preserve">Additional lease costs </t>
  </si>
  <si>
    <t>Cost of lost productivity</t>
  </si>
  <si>
    <t>Annual productivity loss due to sourcing materials offsite</t>
  </si>
  <si>
    <t>Additional cost of vehicle servicing offsite $'000</t>
  </si>
  <si>
    <t>Calculated from UE UsE sheet</t>
  </si>
  <si>
    <t>The disruption would be temporary, until the works are complete.</t>
  </si>
  <si>
    <t xml:space="preserve">Productivity loss </t>
  </si>
  <si>
    <r>
      <rPr>
        <b/>
        <sz val="11"/>
        <color theme="1"/>
        <rFont val="Calibri"/>
        <family val="2"/>
        <scheme val="minor"/>
      </rPr>
      <t>Notes</t>
    </r>
    <r>
      <rPr>
        <sz val="11"/>
        <color theme="1"/>
        <rFont val="Calibri"/>
        <family val="2"/>
        <scheme val="minor"/>
      </rPr>
      <t>: As explained in the business case, there would be a disruption to productivity by moving to temporary facilities.</t>
    </r>
  </si>
  <si>
    <t>Total personnel (FTE)</t>
  </si>
  <si>
    <t>(C) Loss of efficiency as a result of temporary facility</t>
  </si>
  <si>
    <t>Do nothing and other costs prior to redevelopment</t>
  </si>
  <si>
    <t>However, in contrast to Option 0, the disruption costs are substantially lower in this option as construction is staged using adjacent land.</t>
  </si>
  <si>
    <t>(A) Loss of efficiency as a result of temporary facility</t>
  </si>
  <si>
    <t>Loss of efficiency as a result of temporary facility</t>
  </si>
  <si>
    <t>(A) Disruption costs</t>
  </si>
  <si>
    <t>It should be noted that there is a low probability of finding a suitable site, but this has not been factored into the cost analysis.</t>
  </si>
  <si>
    <r>
      <rPr>
        <b/>
        <sz val="11"/>
        <color theme="1"/>
        <rFont val="Calibri"/>
        <family val="2"/>
        <scheme val="minor"/>
      </rPr>
      <t>Notes</t>
    </r>
    <r>
      <rPr>
        <sz val="11"/>
        <color theme="1"/>
        <rFont val="Calibri"/>
        <family val="2"/>
        <scheme val="minor"/>
      </rPr>
      <t>: The disruption costs are relatively limited in this option, as the development takes place at a remote location.</t>
    </r>
  </si>
  <si>
    <t>Disruption costs</t>
  </si>
  <si>
    <t>We have included an allowance for restoration costs following a major or minor structural failure.  Following the structural works, the expected costs are assumed to be zero.</t>
  </si>
  <si>
    <t>Notes: The expected cost of death or serious injury as a result of structural failure is treated as a 1 in 100 year event, prior to the proposed capital works</t>
  </si>
  <si>
    <t>As per do nothing</t>
  </si>
  <si>
    <t>Total cost of minimum spend</t>
  </si>
  <si>
    <t>Completion</t>
  </si>
  <si>
    <t>Expansion develop current depot</t>
  </si>
  <si>
    <t>Rate of deterioration in productivity per annum</t>
  </si>
  <si>
    <t>New connections per annum</t>
  </si>
  <si>
    <t>As explained in the business case, this option fully creates loss of efficiency as a result of relocating the depot.</t>
  </si>
  <si>
    <t>Scenario selection &amp; sensitivity manager</t>
  </si>
  <si>
    <t>Scenario options list</t>
  </si>
  <si>
    <t>Project completion</t>
  </si>
  <si>
    <t>Other site specific base case assumptions (other options)</t>
  </si>
  <si>
    <t>Additional cost incurred in servicing vehicles offsite - Option1</t>
  </si>
  <si>
    <r>
      <rPr>
        <b/>
        <sz val="11"/>
        <rFont val="Calibri"/>
        <family val="2"/>
        <scheme val="minor"/>
      </rPr>
      <t>Note</t>
    </r>
    <r>
      <rPr>
        <sz val="11"/>
        <rFont val="Calibri"/>
        <family val="2"/>
        <scheme val="minor"/>
      </rPr>
      <t>: The capital expenditure reflects the minimum amount to address structural risks and an estimate of the minimum capex required to address the lack of female facilities</t>
    </r>
  </si>
  <si>
    <t>(D) Costs of outdated facilities:</t>
  </si>
  <si>
    <t>Annual productivity loss in 2021 - Option4</t>
  </si>
  <si>
    <t xml:space="preserve">Capex Construction costs ($000) </t>
  </si>
  <si>
    <t>Capital expenditure</t>
  </si>
  <si>
    <t>(F) Costs of suboptimal depot location:</t>
  </si>
  <si>
    <t>Impact #1:  Reduced total personnel productivity due to suboptimal depot location</t>
  </si>
  <si>
    <r>
      <rPr>
        <b/>
        <sz val="11"/>
        <rFont val="Calibri"/>
        <family val="2"/>
        <scheme val="minor"/>
      </rPr>
      <t>Note</t>
    </r>
    <r>
      <rPr>
        <sz val="11"/>
        <rFont val="Calibri"/>
        <family val="2"/>
        <scheme val="minor"/>
      </rPr>
      <t>: The capital expenditure reflects the minimum amount to address structural risks and capex to address female facilities</t>
    </r>
  </si>
  <si>
    <t>Capex Construction costs ($000)</t>
  </si>
  <si>
    <t>Scenario selection, sensitivity analysis and results</t>
  </si>
  <si>
    <t>Site specific inputs by option</t>
  </si>
  <si>
    <t>Capex Schedule</t>
  </si>
  <si>
    <t>Risk vs cost by depot and option</t>
  </si>
  <si>
    <t>Total risk cost (excluding program capex)</t>
  </si>
  <si>
    <t>#</t>
  </si>
  <si>
    <t>Scenario number list</t>
  </si>
  <si>
    <t>Selection</t>
  </si>
  <si>
    <t>[Selection]</t>
  </si>
  <si>
    <t>Annualised cost</t>
  </si>
  <si>
    <t>Annualised cost reverse discount rate index</t>
  </si>
  <si>
    <t>Scenario annualised cost</t>
  </si>
  <si>
    <t>Do nothing risk vs scenario annualised cost</t>
  </si>
  <si>
    <t>Do nothing risk</t>
  </si>
  <si>
    <t>Total scenario capex</t>
  </si>
  <si>
    <t>Capital expenditure sensitivity</t>
  </si>
  <si>
    <t>Total cost (including program capex)</t>
  </si>
  <si>
    <t>Do nothing total cost vs scenario total cost</t>
  </si>
  <si>
    <t>Do nothing total cost</t>
  </si>
  <si>
    <t>Scenario total cost</t>
  </si>
  <si>
    <t>Cumulative reduction in risk cost</t>
  </si>
  <si>
    <t>Cumulative do nothing risk cost</t>
  </si>
  <si>
    <t>Cumulative do nothing risk cost vs cumulative scenario annualised cost</t>
  </si>
  <si>
    <t>Cumulative reduction in risk cost vs cumulative scenario annualised cost</t>
  </si>
  <si>
    <t>Cumulative scenario annualised cost</t>
  </si>
  <si>
    <t>Scenario risk</t>
  </si>
  <si>
    <t>Cumulative scenario risk</t>
  </si>
  <si>
    <t>Net present value analysis</t>
  </si>
  <si>
    <t>NPV of total cost by option</t>
  </si>
  <si>
    <t>Capex inputs by depot and option</t>
  </si>
  <si>
    <t>Capex by depot and option [$000s]</t>
  </si>
  <si>
    <t>NPV</t>
  </si>
  <si>
    <t>Number of years included for NPV analysis</t>
  </si>
  <si>
    <t>NPV cash flows</t>
  </si>
  <si>
    <t>Counter</t>
  </si>
  <si>
    <t>Rank</t>
  </si>
  <si>
    <t>Include?</t>
  </si>
  <si>
    <t>Do nothing NPV</t>
  </si>
  <si>
    <t>Difference</t>
  </si>
  <si>
    <t>Scenario NPV</t>
  </si>
  <si>
    <t>Worst scenario bundle</t>
  </si>
  <si>
    <t>Optimal scenario bundle</t>
  </si>
  <si>
    <t>Subtotal</t>
  </si>
  <si>
    <t>End</t>
  </si>
  <si>
    <t>Annual field staff average cost per FTE ($000)</t>
  </si>
  <si>
    <t>Do not replace Burwood depot</t>
  </si>
  <si>
    <t>Develop new depot on greenfield site</t>
  </si>
  <si>
    <t>Develop new depot on brownfield site</t>
  </si>
  <si>
    <t>(G) Costs of average travel time increasing from 17min to 28min:</t>
  </si>
  <si>
    <t>Annual productivity loss due to increased travel time</t>
  </si>
  <si>
    <t>Avoidable outage time - Option 0</t>
  </si>
  <si>
    <t>Annual productivity loss in 2021 - Option 0</t>
  </si>
  <si>
    <t>Estimated potential cost</t>
  </si>
  <si>
    <t xml:space="preserve">% of delayed connections </t>
  </si>
  <si>
    <r>
      <t xml:space="preserve">Note: </t>
    </r>
    <r>
      <rPr>
        <sz val="11"/>
        <color theme="1"/>
        <rFont val="Calibri"/>
        <family val="2"/>
        <scheme val="minor"/>
      </rPr>
      <t xml:space="preserve">The 'do not replace Burwood' option shows the costs that would arise if the identified needs are not addressed. </t>
    </r>
  </si>
  <si>
    <t>Impact #1:  Reduced office productivity due to shared facilities</t>
  </si>
  <si>
    <t>Impact #2:  Reduced field personnel productivity due to shared facilities</t>
  </si>
  <si>
    <t>Total cost of increased travel time</t>
  </si>
  <si>
    <t>Total cost of shared facilities, FY</t>
  </si>
  <si>
    <t>% of delayed connections  - Option 0</t>
  </si>
  <si>
    <t>Customer value per on time connection - Option 0</t>
  </si>
  <si>
    <t xml:space="preserve">This will lead to delays in restoring outages by 11 mins relative to the current average outage time of 72 mins, a 15.3% increase in outage duration. </t>
  </si>
  <si>
    <t>Forecast av. new connection growth</t>
  </si>
  <si>
    <t>connections. .</t>
  </si>
  <si>
    <t>10.8% as field crew currently spend an average of 75 mins travelling per day which would increase to 123 mins per day. This will result in a corresponding delay in</t>
  </si>
  <si>
    <r>
      <rPr>
        <b/>
        <sz val="11"/>
        <rFont val="Calibri"/>
        <family val="2"/>
        <scheme val="minor"/>
      </rPr>
      <t xml:space="preserve">Notes: </t>
    </r>
    <r>
      <rPr>
        <sz val="11"/>
        <rFont val="Calibri"/>
        <family val="2"/>
        <scheme val="minor"/>
      </rPr>
      <t xml:space="preserve">The average travel time per job will increase from 17min to 28 min with the closure of Burwood depot. This will lead to a loss of field staff productivity by </t>
    </r>
  </si>
  <si>
    <r>
      <rPr>
        <b/>
        <sz val="11"/>
        <rFont val="Calibri"/>
        <family val="2"/>
        <scheme val="minor"/>
      </rPr>
      <t>Notes</t>
    </r>
    <r>
      <rPr>
        <sz val="11"/>
        <rFont val="Calibri"/>
        <family val="2"/>
        <scheme val="minor"/>
      </rPr>
      <t xml:space="preserve">: The average travel time per job will increase from 17 min to 28 min with the closure of Burwood depot. </t>
    </r>
  </si>
  <si>
    <t xml:space="preserve">10.8% as field crew currently spend an average of 75 mins travelling per day which would increase to 123 mins per day. </t>
  </si>
  <si>
    <t>Impact #1:  Cost to customers of delays in restoring supply after forced outage (additional USE @ VCR)</t>
  </si>
  <si>
    <t>Impact #2:  Reduced field personnel productivity due to increased travel time</t>
  </si>
  <si>
    <t>Impact #3:  Cost to customers of delays in new connections</t>
  </si>
  <si>
    <t>Impact #:  Reduced reliability due to increased travel time1</t>
  </si>
  <si>
    <t>Impact #3:  Reduced connection times due to increased travel time</t>
  </si>
  <si>
    <t>December 2020 CPI will be used for Final Decision</t>
  </si>
  <si>
    <t>Average2021/22 - 2025/26, from Reset RIN 3.4.1</t>
  </si>
  <si>
    <t>Ave Minutes per year</t>
  </si>
  <si>
    <r>
      <t xml:space="preserve">MAIFI incentive rate </t>
    </r>
    <r>
      <rPr>
        <sz val="8"/>
        <color theme="1"/>
        <rFont val="Calibri"/>
        <family val="2"/>
      </rPr>
      <t>(% of SAIFI)</t>
    </r>
  </si>
  <si>
    <t>CPI</t>
  </si>
  <si>
    <t>AER VCR ($/MWh) - CBD</t>
  </si>
  <si>
    <t>AER VCR ($/MWh) - non CBD</t>
  </si>
  <si>
    <t>Short rural</t>
  </si>
  <si>
    <t>Long rural</t>
  </si>
  <si>
    <t>Ave Customers (#)</t>
  </si>
  <si>
    <t>2019 Annual RIN 6.2.4</t>
  </si>
  <si>
    <t>Energy (MWh)</t>
  </si>
  <si>
    <t>Calculation - Incentive rates based on AER Guideline VCR</t>
  </si>
  <si>
    <t>Incentive rate</t>
  </si>
  <si>
    <t>Network</t>
  </si>
  <si>
    <t>SAIDI</t>
  </si>
  <si>
    <t>SAIFI</t>
  </si>
  <si>
    <t>MAIFI</t>
  </si>
  <si>
    <t>Average 2021/22-2025/26, AER Draft Decision Sep 2020, PTRM</t>
  </si>
  <si>
    <t xml:space="preserve">Rate of deterioration in productivity </t>
  </si>
  <si>
    <t xml:space="preserve">Annual productivity loss in 2021 </t>
  </si>
  <si>
    <t>Allocation of office staff between depots</t>
  </si>
  <si>
    <t>Allocation of field staff between depots</t>
  </si>
  <si>
    <t>The average annual cost of unserved energy per customer has been calculated from the STPIS data, submitted to the AER as part of our regulatory proposal.</t>
  </si>
  <si>
    <t>Check</t>
  </si>
  <si>
    <t>Current state - customers served from depot</t>
  </si>
  <si>
    <t>Future state - customers served from depot</t>
  </si>
  <si>
    <t>Financial year beginning June</t>
  </si>
  <si>
    <t xml:space="preserve">Financial Year beginning June </t>
  </si>
  <si>
    <t>(F) Cost of increased travel time</t>
  </si>
  <si>
    <t>Vacate Burwood depot</t>
  </si>
  <si>
    <t>Cost of inadequate depot capacity</t>
  </si>
  <si>
    <t>Cost of inadequate storage</t>
  </si>
  <si>
    <t xml:space="preserve">Cost of not addressing structural issues </t>
  </si>
  <si>
    <t>Costs of not addressing safety risks</t>
  </si>
  <si>
    <t>Cost of increased travel time</t>
  </si>
  <si>
    <t>Future state - Office staff (FTE)</t>
  </si>
  <si>
    <t>Future state - Field staff (FTE)</t>
  </si>
  <si>
    <t xml:space="preserve">modest delays in connecting a proportion of new customers. The value of the delay to customers reflects the ancillary network charge for an 'express move in' </t>
  </si>
  <si>
    <r>
      <t xml:space="preserve">Notes: </t>
    </r>
    <r>
      <rPr>
        <sz val="11"/>
        <color theme="1"/>
        <rFont val="Calibri"/>
        <family val="2"/>
        <scheme val="minor"/>
      </rPr>
      <t xml:space="preserve">Inadequate depot capacity at Burwood in the first year and Keysborough the subsequent years will affect productivity in a variety of different ways, including </t>
    </r>
  </si>
  <si>
    <t>during business hours. The assumption for "% of connections delivered 1 day earlier and customer value per early connection" is assumed to be the same for Burwood and Keysborough</t>
  </si>
  <si>
    <r>
      <rPr>
        <b/>
        <sz val="11"/>
        <color theme="1"/>
        <rFont val="Calibri"/>
        <family val="2"/>
        <scheme val="minor"/>
      </rPr>
      <t>Notes</t>
    </r>
    <r>
      <rPr>
        <sz val="11"/>
        <color theme="1"/>
        <rFont val="Calibri"/>
        <family val="2"/>
        <scheme val="minor"/>
      </rPr>
      <t>: Inadequate depot capacity at Burwood in the first year and Keysborough in the subsequent years</t>
    </r>
    <r>
      <rPr>
        <b/>
        <sz val="11"/>
        <color theme="1"/>
        <rFont val="Calibri"/>
        <family val="2"/>
        <scheme val="minor"/>
      </rPr>
      <t xml:space="preserve"> </t>
    </r>
    <r>
      <rPr>
        <sz val="11"/>
        <color theme="1"/>
        <rFont val="Calibri"/>
        <family val="2"/>
        <scheme val="minor"/>
      </rPr>
      <t xml:space="preserve">is likely to lead to delays in restoring outages, in addition </t>
    </r>
  </si>
  <si>
    <t>to delays in connecting new customers (as set out in (#1) above). The average annual cost of unserved energy per customer has been calculated from the STPIS data,</t>
  </si>
  <si>
    <t>submitted to the AER as part of our regulatory proposal. It is assumed that the total cost of unserved energy per customer could be reduced  if the depot</t>
  </si>
  <si>
    <t xml:space="preserve"> operated with more appropriate levels of capacity. It is assumed the "forecast average new connection growth and avoidable outage time" is the same for Burwood and Keysborough.</t>
  </si>
  <si>
    <t>vehicles due to site inadequacies. It is assumed the additional cost of vehicle servicing offsite is the same for Burwood and Keysborough.</t>
  </si>
  <si>
    <r>
      <rPr>
        <b/>
        <sz val="11"/>
        <color theme="1"/>
        <rFont val="Calibri"/>
        <family val="2"/>
        <scheme val="minor"/>
      </rPr>
      <t>Note</t>
    </r>
    <r>
      <rPr>
        <sz val="11"/>
        <color theme="1"/>
        <rFont val="Calibri"/>
        <family val="2"/>
        <scheme val="minor"/>
      </rPr>
      <t xml:space="preserve">: A minor allowance has been made for the expected costs of being unable to conduct on-site servicing (at Burwood in the first year and Keysborough in the subsequent years) of </t>
    </r>
  </si>
  <si>
    <t>Impact #1:  Death / serious injury caused by structural failure</t>
  </si>
  <si>
    <t>The reduction in productivity is likely to increase modestly over time as customer numbers increase.. It is assumed the annual productivity loss due to sourcing materials offsite and</t>
  </si>
  <si>
    <t>the rate of deterioration in productivity is the same for Burwood and Keysborough.</t>
  </si>
  <si>
    <t>It is assumed the annual productivity loss due to sourcing materials offsite and the rate of deterioration in productivity is the same for Burwood and Keysborough.</t>
  </si>
  <si>
    <t xml:space="preserve">efficient than would otherwise be the case. The reduction in productivity is likely to increase modestly over time as customer numbers increase. </t>
  </si>
  <si>
    <r>
      <rPr>
        <b/>
        <sz val="11"/>
        <color theme="1"/>
        <rFont val="Calibri"/>
        <family val="2"/>
        <scheme val="minor"/>
      </rPr>
      <t>Notes</t>
    </r>
    <r>
      <rPr>
        <sz val="11"/>
        <color theme="1"/>
        <rFont val="Calibri"/>
        <family val="2"/>
        <scheme val="minor"/>
      </rPr>
      <t xml:space="preserve">: Inadequate storage capacity at Burwood in the first year and Keysborough in the subsequent years will cause a loss of productivity as field loading and unloading is less </t>
    </r>
  </si>
  <si>
    <t xml:space="preserve">Notes: Inadequate storage capacity at Burwood in the first year and Keysborough in the subsequent years will cause a loss of productivity as field staff source materials off-site. </t>
  </si>
  <si>
    <t>The average annual cost of unserved energy per customer has been calculated from the STPIS data, submitted to the AER as part of our regulatory proposal. It is assumed that the total</t>
  </si>
  <si>
    <t>cost of unserved energy per customer could be reduced if the depot operated with more appropriate storage capacity.</t>
  </si>
  <si>
    <t xml:space="preserve">Notes: Inadequate storage capacity at Burwood in the first year and Keysborough in the subsequent years is likely to lead to delays in restoring outages, particularly during storm events. </t>
  </si>
  <si>
    <t>It is assumed the productivity loss and rate of deterioration in productivity is the same for Burwood and Keysborough</t>
  </si>
  <si>
    <r>
      <rPr>
        <b/>
        <sz val="11"/>
        <color theme="1"/>
        <rFont val="Calibri"/>
        <family val="2"/>
        <scheme val="minor"/>
      </rPr>
      <t>Notes</t>
    </r>
    <r>
      <rPr>
        <sz val="11"/>
        <color theme="1"/>
        <rFont val="Calibri"/>
        <family val="2"/>
        <scheme val="minor"/>
      </rPr>
      <t>:  Outdated facilities at Burwood and Keysborough will have an impact on productivity, particularly through lower morale and staff retention.</t>
    </r>
  </si>
  <si>
    <r>
      <rPr>
        <b/>
        <sz val="11"/>
        <color theme="1"/>
        <rFont val="Calibri"/>
        <family val="2"/>
        <scheme val="minor"/>
      </rPr>
      <t>Notes</t>
    </r>
    <r>
      <rPr>
        <sz val="11"/>
        <color theme="1"/>
        <rFont val="Calibri"/>
        <family val="2"/>
        <scheme val="minor"/>
      </rPr>
      <t>: Outdated facilities at Burwood and Keysborough will have an impact on productivity, particularly through lower morale and staff retention.</t>
    </r>
  </si>
  <si>
    <t>damage to plant or equipment. The expected cost of death or serious injury has been estimated as a 1 in 100 hundred year event.</t>
  </si>
  <si>
    <r>
      <rPr>
        <b/>
        <sz val="11"/>
        <color theme="1"/>
        <rFont val="Calibri"/>
        <family val="2"/>
        <scheme val="minor"/>
      </rPr>
      <t>Notes</t>
    </r>
    <r>
      <rPr>
        <sz val="11"/>
        <color theme="1"/>
        <rFont val="Calibri"/>
        <family val="2"/>
        <scheme val="minor"/>
      </rPr>
      <t xml:space="preserve">: Unstable surfaces at Burwood in the first year and Keysborough in the subsequent years create a safety risk as a result of falling loads, resulting in </t>
    </r>
  </si>
  <si>
    <r>
      <rPr>
        <b/>
        <sz val="11"/>
        <color theme="1"/>
        <rFont val="Calibri"/>
        <family val="2"/>
        <scheme val="minor"/>
      </rPr>
      <t>Notes</t>
    </r>
    <r>
      <rPr>
        <sz val="11"/>
        <color theme="1"/>
        <rFont val="Calibri"/>
        <family val="2"/>
        <scheme val="minor"/>
      </rPr>
      <t xml:space="preserve">: Improper storage of G&amp;B vehicles at Burwood in the first year and </t>
    </r>
    <r>
      <rPr>
        <b/>
        <sz val="11"/>
        <color theme="1"/>
        <rFont val="Calibri"/>
        <family val="2"/>
        <scheme val="minor"/>
      </rPr>
      <t>Keysborough</t>
    </r>
    <r>
      <rPr>
        <sz val="11"/>
        <color theme="1"/>
        <rFont val="Calibri"/>
        <family val="2"/>
        <scheme val="minor"/>
      </rPr>
      <t xml:space="preserve"> in the subsequent years may present a risk to their safe operation.</t>
    </r>
  </si>
  <si>
    <t>The expected cost of death or serious injury has been estimated as a 1 in 100 hundred year event. A small allowance is made for the cost of wasted</t>
  </si>
  <si>
    <t>The probability and cost is assumed to be the same for Burwood and Keysborough.</t>
  </si>
  <si>
    <t xml:space="preserve"> jobs when safety on a job is deemed to be compromised. The probability and cost is assumed to be the same for Burwood and Keysborough.</t>
  </si>
  <si>
    <t>It is assumed the probability and costs are the same for Burwood and Keysborough</t>
  </si>
  <si>
    <t>Outdated facilities</t>
  </si>
  <si>
    <r>
      <rPr>
        <b/>
        <sz val="11"/>
        <color theme="1"/>
        <rFont val="Calibri"/>
        <family val="2"/>
        <scheme val="minor"/>
      </rPr>
      <t>Note:</t>
    </r>
    <r>
      <rPr>
        <sz val="11"/>
        <color theme="1"/>
        <rFont val="Calibri"/>
        <family val="2"/>
        <scheme val="minor"/>
      </rPr>
      <t xml:space="preserve"> Depending on the building condition, asbestos removal may be a health and safety requirement. An estimate capital allowance for removal has been included.</t>
    </r>
  </si>
  <si>
    <r>
      <rPr>
        <b/>
        <sz val="11"/>
        <color theme="1"/>
        <rFont val="Calibri"/>
        <family val="2"/>
        <scheme val="minor"/>
      </rPr>
      <t>Notes</t>
    </r>
    <r>
      <rPr>
        <sz val="11"/>
        <color theme="1"/>
        <rFont val="Calibri"/>
        <family val="2"/>
        <scheme val="minor"/>
      </rPr>
      <t>: The expected costs of a septic tank spill has been estimated in terms of lost productivity, customer impact and clean up cost.</t>
    </r>
  </si>
  <si>
    <r>
      <rPr>
        <b/>
        <sz val="11"/>
        <color theme="1"/>
        <rFont val="Calibri"/>
        <family val="2"/>
        <scheme val="minor"/>
      </rPr>
      <t>Notes</t>
    </r>
    <r>
      <rPr>
        <sz val="11"/>
        <color theme="1"/>
        <rFont val="Calibri"/>
        <family val="2"/>
        <scheme val="minor"/>
      </rPr>
      <t>: The current depot location is suboptimal, which will impact productivity.</t>
    </r>
  </si>
  <si>
    <t>The safety risks associated with poor storage of G&amp;B vehicles, however, remains beyond this data.</t>
  </si>
  <si>
    <t>This options fails to address the inadequate storage capacity issue.</t>
  </si>
  <si>
    <t>Note: Depending on the building condition, asbestos removal may be a health and safety requirement. An estimate capital allowance for removal has been included.</t>
  </si>
  <si>
    <t>Note: Depending on the building condition, asbestos removal may be a health and safety requirement. A modest allowance has been included.</t>
  </si>
  <si>
    <t>Costs of outdated facilities</t>
  </si>
  <si>
    <t>VIF dwelling forecast growth, UE RRP MOD 10.06 - Opex - Dec2020 – Public</t>
  </si>
  <si>
    <t>UE UsE sheet calculations, UE RRP MOD 10.11 - STPIS incentives - Dec 2020 - Public.xlsx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</si>
</sst>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43" formatCode="_-* #,##0.00_-;\-* #,##0.00_-;_-* &quot;-&quot;??_-;_-@_-"/>
    <numFmt numFmtId="164" formatCode="_-* #,##0_-;\-* #,##0_-;_-* &quot;-&quot;??_-;_-@_-"/>
    <numFmt numFmtId="165" formatCode="0.0%"/>
    <numFmt numFmtId="166" formatCode="[$$-C09]#,##0"/>
    <numFmt numFmtId="167" formatCode="[$$-C09]#,##0;[Red]\-[$$-C09]#,##0"/>
    <numFmt numFmtId="168" formatCode="&quot;$&quot;#,##0;[Red]\-&quot;$&quot;#,##0;\ &quot;-&quot;"/>
    <numFmt numFmtId="169" formatCode="#,##0_ ;[Red]\-#,##0\ "/>
    <numFmt numFmtId="170" formatCode="#,##0.0_ ;[Red]\-#,##0.0\ "/>
    <numFmt numFmtId="171" formatCode="_-* #,##0.000_-;\-* #,##0.000_-;_-* &quot;-&quot;??_-;_-@_-"/>
    <numFmt numFmtId="172" formatCode="_(* #,##0.000000_);_(* \(#,##0.000000\);_(* &quot;-&quot;??_);_(@_)"/>
    <numFmt numFmtId="173" formatCode="[$$-C09]#,##0.00"/>
    <numFmt numFmtId="174" formatCode="_(* #,##0_);_(* \(#,##0\);_(* &quot;-&quot;??_);_(@_)"/>
    <numFmt numFmtId="175" formatCode="0.0"/>
    <numFmt numFmtId="176" formatCode="&quot;$&quot;#,##0&quot;m&quot;;[Red]\-&quot;$&quot;#,##0&quot;m&quot;;\ &quot;-&quot;"/>
    <numFmt numFmtId="177" formatCode="0.000000%"/>
    <numFmt numFmtId="178" formatCode="#,##0.000"/>
    <numFmt numFmtId="179" formatCode="0.00;[Red]\-0.00;\ &quot;-&quot;"/>
    <numFmt numFmtId="180" formatCode="0.0000;[Red]\-0.0000;\ &quot;-&quot;"/>
    <numFmt numFmtId="181" formatCode="0.000;[Red]\-0.000;\ &quot;-&quot;"/>
  </numFmts>
  <fonts count="38" x14ac:knownFonts="1">
    <font>
      <sz val="11"/>
      <color theme="1"/>
      <name val="Calibri"/>
      <family val="2"/>
      <scheme val="minor"/>
    </font>
    <font>
      <sz val="10"/>
      <color theme="1"/>
      <name val="Verdana"/>
      <family val="2"/>
    </font>
    <font>
      <b/>
      <sz val="11"/>
      <color theme="0"/>
      <name val="Calibri"/>
      <family val="2"/>
      <scheme val="minor"/>
    </font>
    <font>
      <b/>
      <sz val="11"/>
      <color theme="1"/>
      <name val="Calibri"/>
      <family val="2"/>
      <scheme val="minor"/>
    </font>
    <font>
      <sz val="10.5"/>
      <color theme="1"/>
      <name val="Calibri"/>
      <family val="2"/>
      <scheme val="minor"/>
    </font>
    <font>
      <b/>
      <sz val="16"/>
      <color theme="1"/>
      <name val="Calibri"/>
      <family val="2"/>
      <scheme val="minor"/>
    </font>
    <font>
      <sz val="11"/>
      <name val="Calibri"/>
      <family val="2"/>
      <scheme val="minor"/>
    </font>
    <font>
      <sz val="11"/>
      <color theme="1"/>
      <name val="Calibri"/>
      <family val="2"/>
      <scheme val="minor"/>
    </font>
    <font>
      <b/>
      <sz val="14"/>
      <color theme="1"/>
      <name val="Calibri"/>
      <family val="2"/>
      <scheme val="minor"/>
    </font>
    <font>
      <sz val="11"/>
      <color theme="0"/>
      <name val="Calibri"/>
      <family val="2"/>
      <scheme val="minor"/>
    </font>
    <font>
      <b/>
      <sz val="11"/>
      <name val="Calibri"/>
      <family val="2"/>
      <scheme val="minor"/>
    </font>
    <font>
      <b/>
      <sz val="14"/>
      <name val="Calibri"/>
      <family val="2"/>
      <scheme val="minor"/>
    </font>
    <font>
      <b/>
      <sz val="14"/>
      <color theme="0"/>
      <name val="Calibri"/>
      <family val="2"/>
      <scheme val="minor"/>
    </font>
    <font>
      <sz val="10"/>
      <color theme="1"/>
      <name val="Calibri"/>
      <family val="2"/>
      <scheme val="minor"/>
    </font>
    <font>
      <sz val="14"/>
      <color theme="1"/>
      <name val="Calibri"/>
      <family val="2"/>
      <scheme val="minor"/>
    </font>
    <font>
      <b/>
      <sz val="10"/>
      <color theme="1"/>
      <name val="Calibri"/>
      <family val="2"/>
      <scheme val="minor"/>
    </font>
    <font>
      <sz val="11"/>
      <color rgb="FF000000"/>
      <name val="Calibri"/>
      <family val="2"/>
    </font>
    <font>
      <b/>
      <sz val="10"/>
      <color rgb="FF000000"/>
      <name val="Calibri"/>
      <family val="2"/>
      <scheme val="minor"/>
    </font>
    <font>
      <sz val="10"/>
      <color rgb="FF000000"/>
      <name val="Calibri"/>
      <family val="2"/>
      <scheme val="minor"/>
    </font>
    <font>
      <sz val="10"/>
      <color rgb="FF0066FF"/>
      <name val="Calibri"/>
      <family val="2"/>
      <scheme val="minor"/>
    </font>
    <font>
      <i/>
      <sz val="10"/>
      <color theme="1"/>
      <name val="Calibri"/>
      <family val="2"/>
      <scheme val="minor"/>
    </font>
    <font>
      <sz val="10"/>
      <name val="Calibri"/>
      <family val="2"/>
      <scheme val="minor"/>
    </font>
    <font>
      <b/>
      <sz val="11"/>
      <color rgb="FF000000"/>
      <name val="Calibri"/>
      <family val="2"/>
      <scheme val="minor"/>
    </font>
    <font>
      <sz val="11"/>
      <color rgb="FF000000"/>
      <name val="Calibri"/>
      <family val="2"/>
      <scheme val="minor"/>
    </font>
    <font>
      <i/>
      <u/>
      <sz val="11"/>
      <color theme="1"/>
      <name val="Calibri"/>
      <family val="2"/>
      <scheme val="minor"/>
    </font>
    <font>
      <u/>
      <sz val="11"/>
      <color theme="1"/>
      <name val="Calibri"/>
      <family val="2"/>
      <scheme val="minor"/>
    </font>
    <font>
      <sz val="8"/>
      <name val="Calibri"/>
      <family val="2"/>
      <scheme val="minor"/>
    </font>
    <font>
      <b/>
      <sz val="11"/>
      <color theme="0" tint="-0.249977111117893"/>
      <name val="Calibri"/>
      <family val="2"/>
      <scheme val="minor"/>
    </font>
    <font>
      <sz val="9"/>
      <color indexed="81"/>
      <name val="Tahoma"/>
      <family val="2"/>
    </font>
    <font>
      <b/>
      <sz val="12"/>
      <color theme="0"/>
      <name val="Calibri"/>
      <family val="2"/>
      <scheme val="minor"/>
    </font>
    <font>
      <sz val="11"/>
      <color theme="0" tint="-0.34998626667073579"/>
      <name val="Calibri"/>
      <family val="2"/>
      <scheme val="minor"/>
    </font>
    <font>
      <b/>
      <sz val="11"/>
      <color rgb="FF00B050"/>
      <name val="Calibri"/>
      <family val="2"/>
      <scheme val="minor"/>
    </font>
    <font>
      <sz val="11"/>
      <color rgb="FFFF0000"/>
      <name val="Calibri"/>
      <family val="2"/>
      <scheme val="minor"/>
    </font>
    <font>
      <i/>
      <sz val="10"/>
      <name val="Calibri"/>
      <family val="2"/>
      <scheme val="minor"/>
    </font>
    <font>
      <sz val="8"/>
      <color theme="1"/>
      <name val="Calibri"/>
      <family val="2"/>
    </font>
    <font>
      <sz val="10"/>
      <color theme="4" tint="-0.249977111117893"/>
      <name val="Calibri"/>
      <family val="2"/>
      <scheme val="minor"/>
    </font>
    <font>
      <b/>
      <sz val="10"/>
      <color theme="1" tint="0.499984740745262"/>
      <name val="Calibri"/>
      <family val="2"/>
      <scheme val="minor"/>
    </font>
    <font>
      <i/>
      <sz val="11"/>
      <color rgb="FFFF0000"/>
      <name val="Calibri"/>
      <family val="2"/>
      <scheme val="minor"/>
    </font>
  </fonts>
  <fills count="21">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66"/>
        <bgColor indexed="64"/>
      </patternFill>
    </fill>
    <fill>
      <patternFill patternType="solid">
        <fgColor theme="2" tint="-0.749992370372631"/>
        <bgColor indexed="64"/>
      </patternFill>
    </fill>
    <fill>
      <patternFill patternType="solid">
        <fgColor theme="3"/>
        <bgColor indexed="64"/>
      </patternFill>
    </fill>
    <fill>
      <patternFill patternType="solid">
        <fgColor theme="4" tint="0.79998168889431442"/>
        <bgColor indexed="64"/>
      </patternFill>
    </fill>
    <fill>
      <patternFill patternType="solid">
        <fgColor rgb="FFCCFFCC"/>
        <bgColor indexed="64"/>
      </patternFill>
    </fill>
    <fill>
      <patternFill patternType="solid">
        <fgColor theme="2" tint="-0.89999084444715716"/>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rgb="FFD9D9D9"/>
        <bgColor indexed="64"/>
      </patternFill>
    </fill>
    <fill>
      <patternFill patternType="solid">
        <fgColor theme="0" tint="-0.249977111117893"/>
        <bgColor indexed="64"/>
      </patternFill>
    </fill>
    <fill>
      <patternFill patternType="solid">
        <fgColor rgb="FFF2F2F2"/>
        <bgColor indexed="64"/>
      </patternFill>
    </fill>
    <fill>
      <patternFill patternType="solid">
        <fgColor rgb="FF3A3838"/>
        <bgColor indexed="64"/>
      </patternFill>
    </fill>
    <fill>
      <patternFill patternType="solid">
        <fgColor rgb="FF000000"/>
        <bgColor indexed="64"/>
      </patternFill>
    </fill>
  </fills>
  <borders count="40">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diagonal/>
    </border>
  </borders>
  <cellStyleXfs count="6">
    <xf numFmtId="0" fontId="0" fillId="0" borderId="0"/>
    <xf numFmtId="43" fontId="7" fillId="0" borderId="0" applyFont="0" applyFill="0" applyBorder="0" applyAlignment="0" applyProtection="0"/>
    <xf numFmtId="9" fontId="7" fillId="0" borderId="0" applyFont="0" applyFill="0" applyBorder="0" applyAlignment="0" applyProtection="0"/>
    <xf numFmtId="0" fontId="16" fillId="0" borderId="0"/>
    <xf numFmtId="0" fontId="1" fillId="0" borderId="0"/>
    <xf numFmtId="9" fontId="1" fillId="0" borderId="0" applyFont="0" applyFill="0" applyBorder="0" applyAlignment="0" applyProtection="0"/>
  </cellStyleXfs>
  <cellXfs count="380">
    <xf numFmtId="0" fontId="0" fillId="0" borderId="0" xfId="0"/>
    <xf numFmtId="0" fontId="3" fillId="0" borderId="0" xfId="0" applyFont="1"/>
    <xf numFmtId="0" fontId="5" fillId="0" borderId="0" xfId="0" applyFont="1"/>
    <xf numFmtId="0" fontId="0" fillId="0" borderId="0" xfId="0" applyAlignment="1">
      <alignment horizontal="right"/>
    </xf>
    <xf numFmtId="0" fontId="3" fillId="0" borderId="0" xfId="0" applyFont="1" applyAlignment="1">
      <alignment horizontal="right"/>
    </xf>
    <xf numFmtId="0" fontId="3" fillId="0" borderId="0" xfId="0" quotePrefix="1" applyFont="1" applyAlignment="1">
      <alignment horizontal="right"/>
    </xf>
    <xf numFmtId="0" fontId="0" fillId="0" borderId="0" xfId="0" applyFill="1"/>
    <xf numFmtId="0" fontId="2" fillId="3" borderId="1" xfId="0" applyFont="1" applyFill="1" applyBorder="1" applyAlignment="1">
      <alignment horizontal="right"/>
    </xf>
    <xf numFmtId="0" fontId="2" fillId="3" borderId="1" xfId="0" applyFont="1" applyFill="1" applyBorder="1"/>
    <xf numFmtId="0" fontId="0" fillId="0" borderId="1" xfId="0" applyBorder="1"/>
    <xf numFmtId="0" fontId="6" fillId="0" borderId="0" xfId="0" applyFont="1" applyAlignment="1">
      <alignment horizontal="left"/>
    </xf>
    <xf numFmtId="0" fontId="4" fillId="0" borderId="0" xfId="0" applyFont="1" applyBorder="1"/>
    <xf numFmtId="0" fontId="0" fillId="0" borderId="0" xfId="0" applyBorder="1"/>
    <xf numFmtId="0" fontId="0" fillId="0" borderId="0" xfId="0" applyFont="1"/>
    <xf numFmtId="0" fontId="3" fillId="0" borderId="0" xfId="0" applyFont="1" applyFill="1" applyBorder="1"/>
    <xf numFmtId="0" fontId="8" fillId="0" borderId="0" xfId="0" applyFont="1"/>
    <xf numFmtId="164" fontId="3" fillId="0" borderId="0" xfId="1" applyNumberFormat="1" applyFont="1"/>
    <xf numFmtId="0" fontId="2" fillId="3" borderId="0" xfId="0" applyFont="1" applyFill="1"/>
    <xf numFmtId="0" fontId="3" fillId="0" borderId="1" xfId="0" applyFont="1" applyFill="1" applyBorder="1" applyAlignment="1">
      <alignment horizontal="right"/>
    </xf>
    <xf numFmtId="0" fontId="3" fillId="0" borderId="1" xfId="0" applyFont="1" applyFill="1" applyBorder="1"/>
    <xf numFmtId="0" fontId="0" fillId="0" borderId="0" xfId="0" applyFont="1" applyFill="1"/>
    <xf numFmtId="164" fontId="3" fillId="0" borderId="0" xfId="0" applyNumberFormat="1" applyFont="1"/>
    <xf numFmtId="0" fontId="3" fillId="0" borderId="3" xfId="0" applyFont="1" applyBorder="1"/>
    <xf numFmtId="0" fontId="3" fillId="0" borderId="0" xfId="0" applyFont="1" applyBorder="1"/>
    <xf numFmtId="164" fontId="3" fillId="0" borderId="0" xfId="1" applyNumberFormat="1" applyFont="1" applyFill="1"/>
    <xf numFmtId="1" fontId="3" fillId="0" borderId="0" xfId="0" applyNumberFormat="1" applyFont="1"/>
    <xf numFmtId="2" fontId="3" fillId="0" borderId="0" xfId="0" applyNumberFormat="1" applyFont="1" applyBorder="1"/>
    <xf numFmtId="1" fontId="0" fillId="0" borderId="0" xfId="0" applyNumberFormat="1" applyFont="1"/>
    <xf numFmtId="0" fontId="9" fillId="0" borderId="0" xfId="0" applyFont="1" applyFill="1"/>
    <xf numFmtId="0" fontId="6" fillId="0" borderId="0" xfId="0" applyFont="1" applyFill="1"/>
    <xf numFmtId="0" fontId="3" fillId="0" borderId="0" xfId="0" applyFont="1" applyFill="1"/>
    <xf numFmtId="164" fontId="0" fillId="0" borderId="0" xfId="1" applyNumberFormat="1" applyFont="1"/>
    <xf numFmtId="164" fontId="0" fillId="0" borderId="0" xfId="1" applyNumberFormat="1" applyFont="1" applyFill="1"/>
    <xf numFmtId="0" fontId="0" fillId="0" borderId="0" xfId="0" applyNumberFormat="1" applyFont="1"/>
    <xf numFmtId="0" fontId="0" fillId="0" borderId="0" xfId="1" applyNumberFormat="1" applyFont="1"/>
    <xf numFmtId="1" fontId="3" fillId="0" borderId="0" xfId="0" applyNumberFormat="1" applyFont="1" applyFill="1"/>
    <xf numFmtId="0" fontId="3" fillId="0" borderId="0" xfId="0" applyFont="1" applyFill="1" applyBorder="1" applyAlignment="1">
      <alignment horizontal="right"/>
    </xf>
    <xf numFmtId="0" fontId="0" fillId="0" borderId="0" xfId="0" applyFill="1" applyAlignment="1">
      <alignment horizontal="right"/>
    </xf>
    <xf numFmtId="0" fontId="3" fillId="4" borderId="3" xfId="0" applyFont="1" applyFill="1" applyBorder="1"/>
    <xf numFmtId="164" fontId="3" fillId="4" borderId="3" xfId="0" applyNumberFormat="1" applyFont="1" applyFill="1" applyBorder="1"/>
    <xf numFmtId="0" fontId="3" fillId="0" borderId="10" xfId="0" applyFont="1" applyFill="1" applyBorder="1"/>
    <xf numFmtId="0" fontId="0" fillId="5" borderId="0" xfId="0" applyFill="1"/>
    <xf numFmtId="164" fontId="3" fillId="0" borderId="0" xfId="1" applyNumberFormat="1" applyFont="1" applyFill="1" applyBorder="1"/>
    <xf numFmtId="0" fontId="0" fillId="0" borderId="0" xfId="0" applyFill="1" applyBorder="1"/>
    <xf numFmtId="164" fontId="3" fillId="0" borderId="0" xfId="1" applyNumberFormat="1" applyFont="1" applyBorder="1"/>
    <xf numFmtId="0" fontId="2" fillId="6" borderId="0" xfId="0" applyFont="1" applyFill="1"/>
    <xf numFmtId="0" fontId="9" fillId="6" borderId="0" xfId="0" applyFont="1" applyFill="1"/>
    <xf numFmtId="164" fontId="2" fillId="6" borderId="0" xfId="0" applyNumberFormat="1" applyFont="1" applyFill="1"/>
    <xf numFmtId="164" fontId="0" fillId="5" borderId="0" xfId="1" applyNumberFormat="1" applyFont="1" applyFill="1"/>
    <xf numFmtId="0" fontId="0" fillId="0" borderId="1" xfId="0" applyFont="1" applyBorder="1"/>
    <xf numFmtId="0" fontId="3" fillId="0" borderId="0" xfId="0" applyFont="1" applyBorder="1" applyAlignment="1">
      <alignment horizontal="right"/>
    </xf>
    <xf numFmtId="167" fontId="3" fillId="0" borderId="0" xfId="0" applyNumberFormat="1" applyFont="1" applyBorder="1"/>
    <xf numFmtId="1" fontId="0" fillId="5" borderId="0" xfId="0" applyNumberFormat="1" applyFill="1"/>
    <xf numFmtId="0" fontId="6" fillId="7" borderId="0" xfId="0" applyFont="1" applyFill="1" applyAlignment="1">
      <alignment horizontal="left"/>
    </xf>
    <xf numFmtId="10" fontId="0" fillId="0" borderId="0" xfId="0" applyNumberFormat="1" applyFill="1"/>
    <xf numFmtId="0" fontId="0" fillId="0" borderId="0" xfId="0" quotePrefix="1" applyFont="1" applyBorder="1" applyAlignment="1">
      <alignment horizontal="left" vertical="center"/>
    </xf>
    <xf numFmtId="0" fontId="13" fillId="0" borderId="0" xfId="0" applyFont="1"/>
    <xf numFmtId="0" fontId="17" fillId="10" borderId="0" xfId="3" applyFont="1" applyFill="1" applyAlignment="1">
      <alignment horizontal="left" vertical="center"/>
    </xf>
    <xf numFmtId="0" fontId="18" fillId="10" borderId="0" xfId="3" applyFont="1" applyFill="1" applyAlignment="1">
      <alignment horizontal="left" vertical="center"/>
    </xf>
    <xf numFmtId="171" fontId="13" fillId="0" borderId="0" xfId="0" applyNumberFormat="1" applyFont="1"/>
    <xf numFmtId="0" fontId="13" fillId="0" borderId="0" xfId="0" applyFont="1" applyFill="1"/>
    <xf numFmtId="171" fontId="13" fillId="0" borderId="0" xfId="1" applyNumberFormat="1" applyFont="1" applyFill="1"/>
    <xf numFmtId="172" fontId="13" fillId="0" borderId="0" xfId="0" applyNumberFormat="1" applyFont="1" applyFill="1"/>
    <xf numFmtId="173" fontId="13" fillId="0" borderId="0" xfId="0" applyNumberFormat="1" applyFont="1" applyFill="1"/>
    <xf numFmtId="173" fontId="13" fillId="0" borderId="0" xfId="0" applyNumberFormat="1" applyFont="1"/>
    <xf numFmtId="166" fontId="0" fillId="0" borderId="0" xfId="0" applyNumberFormat="1" applyFill="1"/>
    <xf numFmtId="43" fontId="0" fillId="0" borderId="0" xfId="1" applyFont="1" applyFill="1"/>
    <xf numFmtId="164" fontId="0" fillId="0" borderId="0" xfId="0" applyNumberFormat="1" applyFill="1"/>
    <xf numFmtId="164" fontId="3" fillId="0" borderId="10" xfId="1" applyNumberFormat="1" applyFont="1" applyFill="1" applyBorder="1"/>
    <xf numFmtId="0" fontId="3" fillId="0" borderId="14" xfId="0" applyFont="1" applyBorder="1"/>
    <xf numFmtId="164" fontId="3" fillId="0" borderId="14" xfId="0" applyNumberFormat="1" applyFont="1" applyBorder="1"/>
    <xf numFmtId="0" fontId="3" fillId="11" borderId="1" xfId="0" applyFont="1" applyFill="1" applyBorder="1"/>
    <xf numFmtId="0" fontId="0" fillId="11" borderId="1" xfId="0" applyFill="1" applyBorder="1"/>
    <xf numFmtId="164" fontId="0" fillId="5" borderId="0" xfId="0" applyNumberFormat="1" applyFill="1"/>
    <xf numFmtId="164" fontId="0" fillId="5" borderId="1" xfId="0" applyNumberFormat="1" applyFill="1" applyBorder="1"/>
    <xf numFmtId="0" fontId="6" fillId="0" borderId="1" xfId="0" applyFont="1" applyBorder="1" applyAlignment="1">
      <alignment horizontal="left"/>
    </xf>
    <xf numFmtId="0" fontId="6" fillId="0" borderId="14" xfId="0" applyFont="1" applyBorder="1" applyAlignment="1">
      <alignment horizontal="left"/>
    </xf>
    <xf numFmtId="1" fontId="3" fillId="0" borderId="14" xfId="0" applyNumberFormat="1" applyFont="1" applyBorder="1"/>
    <xf numFmtId="0" fontId="6" fillId="0" borderId="0" xfId="0" applyFont="1" applyBorder="1" applyAlignment="1">
      <alignment horizontal="left"/>
    </xf>
    <xf numFmtId="164" fontId="0" fillId="5" borderId="0" xfId="1" applyNumberFormat="1" applyFont="1" applyFill="1" applyBorder="1"/>
    <xf numFmtId="0" fontId="10" fillId="0" borderId="14" xfId="0" applyFont="1" applyBorder="1" applyAlignment="1">
      <alignment horizontal="left"/>
    </xf>
    <xf numFmtId="164" fontId="6" fillId="0" borderId="0" xfId="1" applyNumberFormat="1" applyFont="1" applyFill="1"/>
    <xf numFmtId="0" fontId="0" fillId="11" borderId="15" xfId="0" applyFill="1" applyBorder="1"/>
    <xf numFmtId="0" fontId="0" fillId="11" borderId="10" xfId="0" applyFill="1" applyBorder="1"/>
    <xf numFmtId="0" fontId="0" fillId="11" borderId="16" xfId="0" applyFill="1" applyBorder="1"/>
    <xf numFmtId="0" fontId="0" fillId="11" borderId="12" xfId="0" applyFill="1" applyBorder="1"/>
    <xf numFmtId="0" fontId="0" fillId="11" borderId="19" xfId="0" applyFill="1" applyBorder="1"/>
    <xf numFmtId="0" fontId="0" fillId="11" borderId="17" xfId="0" applyFill="1" applyBorder="1"/>
    <xf numFmtId="0" fontId="0" fillId="11" borderId="0" xfId="0" applyFill="1" applyBorder="1"/>
    <xf numFmtId="0" fontId="0" fillId="11" borderId="18" xfId="0" applyFill="1" applyBorder="1"/>
    <xf numFmtId="0" fontId="0" fillId="11" borderId="9" xfId="0" applyFill="1" applyBorder="1"/>
    <xf numFmtId="0" fontId="0" fillId="11" borderId="8" xfId="0" applyFill="1" applyBorder="1"/>
    <xf numFmtId="0" fontId="0" fillId="11" borderId="20" xfId="0" applyFill="1" applyBorder="1"/>
    <xf numFmtId="0" fontId="3" fillId="11" borderId="15" xfId="0" applyFont="1" applyFill="1" applyBorder="1"/>
    <xf numFmtId="0" fontId="12" fillId="12" borderId="0" xfId="0" applyFont="1" applyFill="1"/>
    <xf numFmtId="0" fontId="9" fillId="12" borderId="0" xfId="0" applyFont="1" applyFill="1"/>
    <xf numFmtId="0" fontId="3" fillId="11" borderId="10" xfId="0" applyFont="1" applyFill="1" applyBorder="1"/>
    <xf numFmtId="0" fontId="3" fillId="11" borderId="16" xfId="0" applyFont="1" applyFill="1" applyBorder="1"/>
    <xf numFmtId="0" fontId="3" fillId="11" borderId="19" xfId="0" applyFont="1" applyFill="1" applyBorder="1"/>
    <xf numFmtId="0" fontId="22" fillId="11" borderId="15" xfId="0" applyFont="1" applyFill="1" applyBorder="1"/>
    <xf numFmtId="0" fontId="23" fillId="11" borderId="12" xfId="0" applyFont="1" applyFill="1" applyBorder="1"/>
    <xf numFmtId="0" fontId="9" fillId="0" borderId="0" xfId="0" applyFont="1"/>
    <xf numFmtId="0" fontId="6" fillId="11" borderId="9" xfId="0" applyFont="1" applyFill="1" applyBorder="1"/>
    <xf numFmtId="0" fontId="9" fillId="11" borderId="8" xfId="0" applyFont="1" applyFill="1" applyBorder="1"/>
    <xf numFmtId="164" fontId="0" fillId="0" borderId="14" xfId="1" applyNumberFormat="1" applyFont="1" applyBorder="1"/>
    <xf numFmtId="164" fontId="3" fillId="0" borderId="14" xfId="1" applyNumberFormat="1" applyFont="1" applyBorder="1"/>
    <xf numFmtId="10" fontId="3" fillId="0" borderId="0" xfId="0" applyNumberFormat="1" applyFont="1" applyFill="1" applyAlignment="1">
      <alignment horizontal="center"/>
    </xf>
    <xf numFmtId="0" fontId="6" fillId="11" borderId="12" xfId="0" applyFont="1" applyFill="1" applyBorder="1"/>
    <xf numFmtId="0" fontId="8" fillId="13" borderId="0" xfId="0" applyFont="1" applyFill="1"/>
    <xf numFmtId="0" fontId="11" fillId="13" borderId="0" xfId="0" applyFont="1" applyFill="1"/>
    <xf numFmtId="0" fontId="0" fillId="13" borderId="0" xfId="0" applyFill="1"/>
    <xf numFmtId="0" fontId="2" fillId="0" borderId="0" xfId="0" applyFont="1" applyFill="1"/>
    <xf numFmtId="1" fontId="0" fillId="0" borderId="3" xfId="0" applyNumberFormat="1" applyBorder="1"/>
    <xf numFmtId="0" fontId="2" fillId="11" borderId="16" xfId="0" applyFont="1" applyFill="1" applyBorder="1"/>
    <xf numFmtId="0" fontId="2" fillId="11" borderId="19" xfId="0" applyFont="1" applyFill="1" applyBorder="1"/>
    <xf numFmtId="164" fontId="2" fillId="0" borderId="0" xfId="0" applyNumberFormat="1" applyFont="1" applyFill="1"/>
    <xf numFmtId="0" fontId="22" fillId="0" borderId="0" xfId="0" applyFont="1"/>
    <xf numFmtId="9" fontId="0" fillId="0" borderId="0" xfId="0" applyNumberFormat="1"/>
    <xf numFmtId="164" fontId="0" fillId="0" borderId="0" xfId="0" applyNumberFormat="1"/>
    <xf numFmtId="0" fontId="0" fillId="11" borderId="0" xfId="0" applyFill="1"/>
    <xf numFmtId="0" fontId="0" fillId="0" borderId="24" xfId="0" applyFont="1" applyFill="1" applyBorder="1"/>
    <xf numFmtId="0" fontId="0" fillId="0" borderId="0" xfId="0" applyFont="1" applyBorder="1" applyAlignment="1">
      <alignment vertical="center"/>
    </xf>
    <xf numFmtId="0" fontId="3" fillId="0" borderId="0" xfId="0" quotePrefix="1" applyFont="1" applyBorder="1" applyAlignment="1">
      <alignment horizontal="left" vertical="center"/>
    </xf>
    <xf numFmtId="0" fontId="3" fillId="0" borderId="0" xfId="0" quotePrefix="1" applyFont="1" applyBorder="1" applyAlignment="1">
      <alignment horizontal="left" vertical="center"/>
    </xf>
    <xf numFmtId="0" fontId="0" fillId="0" borderId="0" xfId="0"/>
    <xf numFmtId="0" fontId="0" fillId="0" borderId="1" xfId="0" applyBorder="1"/>
    <xf numFmtId="0" fontId="0" fillId="0" borderId="1" xfId="0" applyFont="1" applyBorder="1" applyAlignment="1">
      <alignment vertical="center"/>
    </xf>
    <xf numFmtId="0" fontId="0" fillId="0" borderId="0" xfId="0" applyFont="1" applyBorder="1"/>
    <xf numFmtId="0" fontId="0" fillId="11" borderId="0" xfId="0" applyFont="1" applyFill="1" applyBorder="1"/>
    <xf numFmtId="0" fontId="2" fillId="8" borderId="0" xfId="0" applyFont="1" applyFill="1" applyBorder="1" applyAlignment="1">
      <alignment vertical="center"/>
    </xf>
    <xf numFmtId="0" fontId="2" fillId="8" borderId="0" xfId="0" applyFont="1" applyFill="1" applyBorder="1" applyAlignment="1">
      <alignment horizontal="center" vertical="center"/>
    </xf>
    <xf numFmtId="0" fontId="0" fillId="0" borderId="0" xfId="0" quotePrefix="1" applyFont="1" applyAlignment="1">
      <alignment horizontal="left" vertical="center"/>
    </xf>
    <xf numFmtId="0" fontId="0" fillId="0" borderId="0" xfId="0" applyFont="1" applyAlignment="1">
      <alignment vertical="center"/>
    </xf>
    <xf numFmtId="0" fontId="0" fillId="0" borderId="1" xfId="0" applyFont="1" applyBorder="1" applyAlignment="1">
      <alignment horizontal="center"/>
    </xf>
    <xf numFmtId="0" fontId="0" fillId="0" borderId="8" xfId="0" applyFont="1" applyBorder="1"/>
    <xf numFmtId="0" fontId="24" fillId="5" borderId="0" xfId="0" applyFont="1" applyFill="1"/>
    <xf numFmtId="0" fontId="0" fillId="5" borderId="0" xfId="0" applyFont="1" applyFill="1"/>
    <xf numFmtId="0" fontId="25" fillId="5" borderId="0" xfId="0" applyFont="1" applyFill="1"/>
    <xf numFmtId="0" fontId="2" fillId="8" borderId="0" xfId="0" applyFont="1" applyFill="1" applyBorder="1" applyAlignment="1">
      <alignment horizontal="left" vertical="center"/>
    </xf>
    <xf numFmtId="0" fontId="10" fillId="14" borderId="0" xfId="0" applyFont="1" applyFill="1" applyBorder="1" applyAlignment="1">
      <alignment horizontal="center" vertical="center"/>
    </xf>
    <xf numFmtId="0" fontId="3" fillId="0" borderId="0" xfId="0" applyFont="1" applyBorder="1" applyAlignment="1">
      <alignment horizontal="left" vertical="center"/>
    </xf>
    <xf numFmtId="0" fontId="0" fillId="2" borderId="27" xfId="0" applyFont="1" applyFill="1" applyBorder="1" applyAlignment="1">
      <alignment vertical="center"/>
    </xf>
    <xf numFmtId="0" fontId="9" fillId="15" borderId="0" xfId="0" applyFont="1" applyFill="1" applyAlignment="1">
      <alignment horizontal="left" vertical="center"/>
    </xf>
    <xf numFmtId="0" fontId="12" fillId="15" borderId="0" xfId="0" applyFont="1" applyFill="1" applyAlignment="1">
      <alignment horizontal="left" vertical="center"/>
    </xf>
    <xf numFmtId="0" fontId="6" fillId="2" borderId="0" xfId="0" applyFont="1" applyFill="1" applyAlignment="1">
      <alignment horizontal="left"/>
    </xf>
    <xf numFmtId="0" fontId="0" fillId="0" borderId="0" xfId="0" applyFont="1" applyFill="1" applyBorder="1"/>
    <xf numFmtId="0" fontId="0" fillId="0" borderId="0" xfId="0" applyFont="1" applyAlignment="1">
      <alignment horizontal="center"/>
    </xf>
    <xf numFmtId="9" fontId="0" fillId="2" borderId="27" xfId="0" applyNumberFormat="1" applyFont="1" applyFill="1" applyBorder="1" applyAlignment="1">
      <alignment horizontal="center"/>
    </xf>
    <xf numFmtId="1" fontId="0" fillId="0" borderId="0" xfId="0" applyNumberFormat="1" applyFont="1" applyAlignment="1">
      <alignment horizontal="center"/>
    </xf>
    <xf numFmtId="9" fontId="0" fillId="2" borderId="28" xfId="0" applyNumberFormat="1" applyFont="1" applyFill="1" applyBorder="1" applyAlignment="1">
      <alignment horizontal="center"/>
    </xf>
    <xf numFmtId="0" fontId="0" fillId="5" borderId="1" xfId="0" applyFont="1" applyFill="1" applyBorder="1"/>
    <xf numFmtId="0" fontId="0" fillId="5" borderId="0" xfId="0" applyFont="1" applyFill="1" applyAlignment="1">
      <alignment horizontal="center"/>
    </xf>
    <xf numFmtId="165" fontId="0" fillId="0" borderId="0" xfId="0" applyNumberFormat="1" applyFont="1" applyFill="1" applyAlignment="1">
      <alignment horizontal="center"/>
    </xf>
    <xf numFmtId="0" fontId="0" fillId="0" borderId="0" xfId="0" applyFont="1" applyFill="1" applyAlignment="1">
      <alignment horizontal="center"/>
    </xf>
    <xf numFmtId="0" fontId="0" fillId="0" borderId="1" xfId="0" applyFont="1" applyFill="1" applyBorder="1" applyAlignment="1">
      <alignment horizontal="center"/>
    </xf>
    <xf numFmtId="165" fontId="0" fillId="0" borderId="1" xfId="0" applyNumberFormat="1" applyFont="1" applyFill="1" applyBorder="1" applyAlignment="1">
      <alignment horizontal="center"/>
    </xf>
    <xf numFmtId="1" fontId="0" fillId="0" borderId="0" xfId="0" applyNumberFormat="1" applyFill="1"/>
    <xf numFmtId="9" fontId="0" fillId="0" borderId="0" xfId="0" applyNumberFormat="1" applyFill="1"/>
    <xf numFmtId="165" fontId="0" fillId="0" borderId="0" xfId="0" applyNumberFormat="1" applyFill="1"/>
    <xf numFmtId="10" fontId="0" fillId="0" borderId="0" xfId="1" applyNumberFormat="1" applyFont="1" applyFill="1"/>
    <xf numFmtId="165" fontId="6" fillId="0" borderId="0" xfId="0" applyNumberFormat="1" applyFont="1" applyFill="1"/>
    <xf numFmtId="9" fontId="0" fillId="0" borderId="0" xfId="2" applyFont="1" applyFill="1"/>
    <xf numFmtId="164" fontId="3" fillId="14" borderId="0" xfId="1" applyNumberFormat="1" applyFont="1" applyFill="1"/>
    <xf numFmtId="9" fontId="0" fillId="0" borderId="0" xfId="2" applyNumberFormat="1" applyFont="1" applyFill="1"/>
    <xf numFmtId="164" fontId="3" fillId="0" borderId="14" xfId="0" applyNumberFormat="1" applyFont="1" applyFill="1" applyBorder="1"/>
    <xf numFmtId="164" fontId="3" fillId="16" borderId="0" xfId="1" applyNumberFormat="1" applyFont="1" applyFill="1"/>
    <xf numFmtId="1" fontId="0" fillId="2" borderId="27" xfId="0" applyNumberFormat="1" applyFont="1" applyFill="1" applyBorder="1" applyAlignment="1">
      <alignment horizontal="center"/>
    </xf>
    <xf numFmtId="1" fontId="0" fillId="2" borderId="28" xfId="0" applyNumberFormat="1" applyFont="1" applyFill="1" applyBorder="1" applyAlignment="1">
      <alignment horizontal="center"/>
    </xf>
    <xf numFmtId="0" fontId="0" fillId="0" borderId="0" xfId="0"/>
    <xf numFmtId="0" fontId="0" fillId="0" borderId="1" xfId="0" applyBorder="1"/>
    <xf numFmtId="0" fontId="4" fillId="0" borderId="0" xfId="0" applyFont="1"/>
    <xf numFmtId="167" fontId="3" fillId="0" borderId="0" xfId="0" applyNumberFormat="1" applyFont="1"/>
    <xf numFmtId="10" fontId="3" fillId="0" borderId="0" xfId="0" applyNumberFormat="1" applyFont="1" applyAlignment="1">
      <alignment horizontal="center"/>
    </xf>
    <xf numFmtId="1" fontId="0" fillId="0" borderId="0" xfId="0" applyNumberFormat="1"/>
    <xf numFmtId="0" fontId="3" fillId="0" borderId="1" xfId="0" applyFont="1" applyBorder="1"/>
    <xf numFmtId="0" fontId="3" fillId="0" borderId="1" xfId="0" applyFont="1" applyBorder="1" applyAlignment="1">
      <alignment horizontal="right"/>
    </xf>
    <xf numFmtId="2" fontId="3" fillId="0" borderId="0" xfId="0" applyNumberFormat="1" applyFont="1"/>
    <xf numFmtId="0" fontId="6" fillId="0" borderId="0" xfId="0" applyFont="1"/>
    <xf numFmtId="10" fontId="0" fillId="0" borderId="0" xfId="0" applyNumberFormat="1"/>
    <xf numFmtId="166" fontId="0" fillId="0" borderId="0" xfId="0" applyNumberFormat="1"/>
    <xf numFmtId="0" fontId="3" fillId="0" borderId="10" xfId="0" applyFont="1" applyBorder="1"/>
    <xf numFmtId="0" fontId="0" fillId="0" borderId="0" xfId="0" applyAlignment="1">
      <alignment horizontal="left"/>
    </xf>
    <xf numFmtId="164" fontId="7" fillId="0" borderId="0" xfId="1" applyNumberFormat="1" applyFont="1" applyFill="1"/>
    <xf numFmtId="0" fontId="2" fillId="0" borderId="0" xfId="0" applyFont="1"/>
    <xf numFmtId="43" fontId="3" fillId="0" borderId="0" xfId="1" applyFont="1" applyFill="1"/>
    <xf numFmtId="0" fontId="0" fillId="0" borderId="0" xfId="1" applyNumberFormat="1" applyFont="1" applyFill="1" applyBorder="1" applyAlignment="1">
      <alignment horizontal="center" vertical="center"/>
    </xf>
    <xf numFmtId="0" fontId="0" fillId="0" borderId="1" xfId="0" applyFont="1" applyFill="1" applyBorder="1" applyAlignment="1">
      <alignment horizontal="center" vertical="center"/>
    </xf>
    <xf numFmtId="165" fontId="0" fillId="5" borderId="1" xfId="0" applyNumberFormat="1" applyFont="1" applyFill="1" applyBorder="1" applyAlignment="1">
      <alignment horizontal="center"/>
    </xf>
    <xf numFmtId="165" fontId="0" fillId="0" borderId="0" xfId="2" applyNumberFormat="1" applyFont="1" applyFill="1"/>
    <xf numFmtId="1" fontId="0" fillId="0" borderId="27" xfId="0" applyNumberFormat="1" applyFont="1" applyFill="1" applyBorder="1" applyAlignment="1">
      <alignment horizontal="center"/>
    </xf>
    <xf numFmtId="1" fontId="0" fillId="0" borderId="28" xfId="0" applyNumberFormat="1" applyFont="1" applyFill="1" applyBorder="1" applyAlignment="1">
      <alignment horizontal="center"/>
    </xf>
    <xf numFmtId="1" fontId="0" fillId="0" borderId="29" xfId="0" applyNumberFormat="1" applyFont="1" applyFill="1" applyBorder="1" applyAlignment="1">
      <alignment horizontal="center"/>
    </xf>
    <xf numFmtId="164" fontId="3" fillId="5" borderId="0" xfId="1" applyNumberFormat="1" applyFont="1" applyFill="1"/>
    <xf numFmtId="0" fontId="0" fillId="0" borderId="0" xfId="0"/>
    <xf numFmtId="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xf>
    <xf numFmtId="0" fontId="0" fillId="0" borderId="0" xfId="0"/>
    <xf numFmtId="3" fontId="0" fillId="0" borderId="0" xfId="0" applyNumberFormat="1" applyFill="1"/>
    <xf numFmtId="164" fontId="0" fillId="0" borderId="1" xfId="0" applyNumberFormat="1" applyFill="1" applyBorder="1"/>
    <xf numFmtId="164" fontId="3" fillId="0" borderId="0" xfId="0" applyNumberFormat="1" applyFont="1" applyFill="1"/>
    <xf numFmtId="0" fontId="6" fillId="11" borderId="5" xfId="0" applyFont="1" applyFill="1" applyBorder="1"/>
    <xf numFmtId="0" fontId="9" fillId="11" borderId="5" xfId="0" applyFont="1" applyFill="1" applyBorder="1"/>
    <xf numFmtId="0" fontId="0" fillId="11" borderId="5" xfId="0" applyFill="1" applyBorder="1"/>
    <xf numFmtId="164" fontId="3" fillId="0" borderId="8" xfId="1" applyNumberFormat="1" applyFont="1" applyFill="1" applyBorder="1"/>
    <xf numFmtId="164" fontId="3" fillId="5" borderId="8" xfId="1" applyNumberFormat="1" applyFont="1" applyFill="1" applyBorder="1"/>
    <xf numFmtId="1" fontId="0" fillId="0" borderId="0" xfId="0" applyNumberFormat="1" applyFont="1" applyFill="1" applyBorder="1" applyAlignment="1">
      <alignment horizontal="right"/>
    </xf>
    <xf numFmtId="174" fontId="3" fillId="4" borderId="3" xfId="0" applyNumberFormat="1" applyFont="1" applyFill="1" applyBorder="1"/>
    <xf numFmtId="165" fontId="0" fillId="5" borderId="0" xfId="0" applyNumberFormat="1" applyFont="1" applyFill="1" applyAlignment="1">
      <alignment horizontal="center"/>
    </xf>
    <xf numFmtId="1" fontId="3" fillId="0" borderId="0" xfId="0" applyNumberFormat="1" applyFont="1" applyAlignment="1">
      <alignment horizontal="right"/>
    </xf>
    <xf numFmtId="0" fontId="0" fillId="0" borderId="8" xfId="0" applyBorder="1"/>
    <xf numFmtId="0" fontId="29" fillId="3" borderId="0" xfId="0" applyFont="1" applyFill="1" applyAlignment="1">
      <alignment vertical="center"/>
    </xf>
    <xf numFmtId="0" fontId="0" fillId="0" borderId="0" xfId="0" applyFont="1" applyAlignment="1">
      <alignment horizontal="left"/>
    </xf>
    <xf numFmtId="0" fontId="0" fillId="0" borderId="1" xfId="0" applyFont="1" applyBorder="1" applyAlignment="1">
      <alignment horizontal="left"/>
    </xf>
    <xf numFmtId="1" fontId="0" fillId="2" borderId="27" xfId="0" applyNumberFormat="1" applyFont="1" applyFill="1" applyBorder="1" applyAlignment="1">
      <alignment horizontal="center" vertical="center"/>
    </xf>
    <xf numFmtId="1" fontId="0" fillId="2" borderId="27" xfId="1" quotePrefix="1" applyNumberFormat="1" applyFont="1" applyFill="1" applyBorder="1" applyAlignment="1">
      <alignment horizontal="center" vertical="center"/>
    </xf>
    <xf numFmtId="0" fontId="0" fillId="2" borderId="27" xfId="0" applyFont="1" applyFill="1" applyBorder="1" applyAlignment="1">
      <alignment horizontal="center" vertical="center"/>
    </xf>
    <xf numFmtId="0" fontId="0" fillId="2" borderId="27" xfId="1" applyNumberFormat="1" applyFont="1" applyFill="1" applyBorder="1" applyAlignment="1">
      <alignment horizontal="center" vertical="center"/>
    </xf>
    <xf numFmtId="165" fontId="0" fillId="2" borderId="27" xfId="0" applyNumberFormat="1" applyFont="1" applyFill="1" applyBorder="1" applyAlignment="1">
      <alignment horizontal="center"/>
    </xf>
    <xf numFmtId="0" fontId="0" fillId="2" borderId="27" xfId="0" applyFont="1" applyFill="1" applyBorder="1" applyAlignment="1">
      <alignment horizontal="center"/>
    </xf>
    <xf numFmtId="165" fontId="0" fillId="2" borderId="28" xfId="0" applyNumberFormat="1" applyFont="1" applyFill="1" applyBorder="1" applyAlignment="1">
      <alignment horizontal="center"/>
    </xf>
    <xf numFmtId="0" fontId="0" fillId="2" borderId="28" xfId="0" applyFont="1" applyFill="1" applyBorder="1" applyAlignment="1">
      <alignment horizontal="center"/>
    </xf>
    <xf numFmtId="175" fontId="0" fillId="2" borderId="28" xfId="0" applyNumberFormat="1" applyFont="1" applyFill="1" applyBorder="1" applyAlignment="1">
      <alignment horizontal="center"/>
    </xf>
    <xf numFmtId="0" fontId="0" fillId="2" borderId="28" xfId="0" applyFont="1" applyFill="1" applyBorder="1" applyAlignment="1">
      <alignment horizontal="center" vertical="center"/>
    </xf>
    <xf numFmtId="0" fontId="2" fillId="8" borderId="1" xfId="0" applyFont="1" applyFill="1" applyBorder="1" applyAlignment="1">
      <alignment vertical="center"/>
    </xf>
    <xf numFmtId="0" fontId="2" fillId="8" borderId="1" xfId="0" applyFont="1" applyFill="1" applyBorder="1" applyAlignment="1">
      <alignment horizontal="center" vertical="center"/>
    </xf>
    <xf numFmtId="0" fontId="2" fillId="8" borderId="1" xfId="0" applyFont="1" applyFill="1" applyBorder="1" applyAlignment="1">
      <alignment horizontal="left" vertical="center"/>
    </xf>
    <xf numFmtId="0" fontId="0" fillId="2" borderId="27" xfId="0" applyFont="1" applyFill="1" applyBorder="1"/>
    <xf numFmtId="0" fontId="0" fillId="14" borderId="0" xfId="0" applyFont="1" applyFill="1"/>
    <xf numFmtId="0" fontId="25" fillId="14" borderId="0" xfId="0" applyFont="1" applyFill="1"/>
    <xf numFmtId="1" fontId="0" fillId="0" borderId="1" xfId="0" applyNumberFormat="1" applyFont="1" applyFill="1" applyBorder="1" applyAlignment="1">
      <alignment horizontal="center"/>
    </xf>
    <xf numFmtId="0" fontId="0" fillId="2" borderId="29" xfId="0" applyFont="1" applyFill="1" applyBorder="1" applyAlignment="1">
      <alignment horizontal="center"/>
    </xf>
    <xf numFmtId="0" fontId="0" fillId="14" borderId="0" xfId="0" applyFont="1" applyFill="1" applyAlignment="1">
      <alignment horizontal="left"/>
    </xf>
    <xf numFmtId="0" fontId="0" fillId="0" borderId="24" xfId="0" applyFont="1" applyBorder="1"/>
    <xf numFmtId="0" fontId="0" fillId="0" borderId="11" xfId="0" applyFont="1" applyBorder="1"/>
    <xf numFmtId="0" fontId="3" fillId="0" borderId="2" xfId="0" applyFont="1" applyBorder="1"/>
    <xf numFmtId="0" fontId="0" fillId="2" borderId="31" xfId="0" applyFont="1" applyFill="1" applyBorder="1" applyAlignment="1">
      <alignment horizontal="center"/>
    </xf>
    <xf numFmtId="0" fontId="2" fillId="8" borderId="22" xfId="0" applyFont="1" applyFill="1" applyBorder="1" applyAlignment="1">
      <alignment vertical="center"/>
    </xf>
    <xf numFmtId="0" fontId="2" fillId="8" borderId="21" xfId="0" applyFont="1" applyFill="1" applyBorder="1" applyAlignment="1">
      <alignment vertical="center"/>
    </xf>
    <xf numFmtId="0" fontId="2" fillId="8" borderId="23" xfId="0" applyFont="1" applyFill="1" applyBorder="1" applyAlignment="1">
      <alignment vertical="center"/>
    </xf>
    <xf numFmtId="0" fontId="0" fillId="0" borderId="2" xfId="0" applyFont="1" applyFill="1" applyBorder="1"/>
    <xf numFmtId="0" fontId="0" fillId="0" borderId="3" xfId="0" applyFont="1" applyBorder="1"/>
    <xf numFmtId="0" fontId="0" fillId="0" borderId="1" xfId="0" quotePrefix="1" applyFont="1" applyBorder="1" applyAlignment="1">
      <alignment horizontal="left" vertical="center"/>
    </xf>
    <xf numFmtId="0" fontId="0" fillId="2" borderId="28" xfId="0" applyFont="1" applyFill="1" applyBorder="1" applyAlignment="1">
      <alignment vertical="center"/>
    </xf>
    <xf numFmtId="0" fontId="0" fillId="5" borderId="28" xfId="0" applyFont="1" applyFill="1" applyBorder="1"/>
    <xf numFmtId="0" fontId="0" fillId="14" borderId="30" xfId="0" applyFont="1" applyFill="1" applyBorder="1"/>
    <xf numFmtId="0" fontId="0" fillId="0" borderId="1" xfId="0" applyFont="1" applyBorder="1" applyAlignment="1">
      <alignment horizontal="center" vertical="center"/>
    </xf>
    <xf numFmtId="0" fontId="0" fillId="0" borderId="0" xfId="0" applyFont="1" applyBorder="1" applyAlignment="1">
      <alignment horizontal="center"/>
    </xf>
    <xf numFmtId="0" fontId="0" fillId="0" borderId="3" xfId="0" applyFont="1" applyBorder="1" applyAlignment="1">
      <alignment horizontal="center"/>
    </xf>
    <xf numFmtId="0" fontId="2" fillId="8" borderId="6" xfId="0" applyFont="1" applyFill="1" applyBorder="1" applyAlignment="1">
      <alignment vertical="center"/>
    </xf>
    <xf numFmtId="0" fontId="2" fillId="8" borderId="7" xfId="0" applyFont="1" applyFill="1" applyBorder="1" applyAlignment="1">
      <alignment horizontal="center" vertical="center"/>
    </xf>
    <xf numFmtId="0" fontId="2" fillId="8" borderId="13" xfId="0" applyFont="1" applyFill="1" applyBorder="1" applyAlignment="1">
      <alignment horizontal="center" vertical="center"/>
    </xf>
    <xf numFmtId="0" fontId="0" fillId="0" borderId="22" xfId="0" applyFont="1" applyBorder="1"/>
    <xf numFmtId="0" fontId="0" fillId="0" borderId="21" xfId="0" applyFont="1" applyBorder="1"/>
    <xf numFmtId="0" fontId="0" fillId="0" borderId="21" xfId="0" applyFont="1" applyBorder="1" applyAlignment="1">
      <alignment horizontal="center"/>
    </xf>
    <xf numFmtId="1" fontId="0" fillId="2" borderId="33" xfId="0" applyNumberFormat="1" applyFont="1" applyFill="1" applyBorder="1" applyAlignment="1">
      <alignment horizontal="center"/>
    </xf>
    <xf numFmtId="10" fontId="0" fillId="2" borderId="32" xfId="0" applyNumberFormat="1" applyFont="1" applyFill="1" applyBorder="1" applyAlignment="1">
      <alignment horizontal="center" vertical="center"/>
    </xf>
    <xf numFmtId="0" fontId="31" fillId="0" borderId="0" xfId="0" applyFont="1" applyBorder="1" applyAlignment="1">
      <alignment horizontal="center"/>
    </xf>
    <xf numFmtId="0" fontId="31" fillId="0" borderId="1" xfId="0" applyFont="1" applyBorder="1" applyAlignment="1">
      <alignment horizontal="center"/>
    </xf>
    <xf numFmtId="0" fontId="0" fillId="0" borderId="0" xfId="0"/>
    <xf numFmtId="0" fontId="0" fillId="0" borderId="0" xfId="0"/>
    <xf numFmtId="0" fontId="32" fillId="0" borderId="0" xfId="0" applyFont="1"/>
    <xf numFmtId="165" fontId="0" fillId="5" borderId="0" xfId="0" applyNumberFormat="1" applyFont="1" applyFill="1" applyBorder="1" applyAlignment="1">
      <alignment horizontal="center"/>
    </xf>
    <xf numFmtId="9" fontId="0" fillId="5" borderId="0" xfId="0" applyNumberFormat="1" applyFont="1" applyFill="1" applyBorder="1" applyAlignment="1">
      <alignment horizontal="center"/>
    </xf>
    <xf numFmtId="165" fontId="0" fillId="0" borderId="0" xfId="0" applyNumberFormat="1" applyFont="1" applyFill="1" applyBorder="1" applyAlignment="1">
      <alignment horizontal="center"/>
    </xf>
    <xf numFmtId="9" fontId="0" fillId="0" borderId="0" xfId="0" applyNumberFormat="1" applyFont="1" applyFill="1" applyBorder="1" applyAlignment="1">
      <alignment horizontal="center"/>
    </xf>
    <xf numFmtId="0" fontId="0" fillId="5" borderId="34" xfId="0" applyFont="1" applyFill="1" applyBorder="1" applyAlignment="1">
      <alignment horizontal="center"/>
    </xf>
    <xf numFmtId="0" fontId="0" fillId="5" borderId="1" xfId="0" applyFont="1" applyFill="1" applyBorder="1" applyAlignment="1">
      <alignment horizontal="center"/>
    </xf>
    <xf numFmtId="0" fontId="32" fillId="0" borderId="0" xfId="0" applyFont="1" applyFill="1"/>
    <xf numFmtId="0" fontId="32" fillId="0" borderId="0" xfId="0" applyFont="1" applyBorder="1"/>
    <xf numFmtId="0" fontId="0" fillId="0" borderId="0" xfId="0" applyFont="1" applyFill="1" applyBorder="1" applyAlignment="1">
      <alignment horizontal="center"/>
    </xf>
    <xf numFmtId="0" fontId="0" fillId="0" borderId="0" xfId="0"/>
    <xf numFmtId="0" fontId="0" fillId="5" borderId="0" xfId="0" applyFont="1" applyFill="1" applyBorder="1"/>
    <xf numFmtId="0" fontId="0" fillId="0" borderId="0" xfId="0"/>
    <xf numFmtId="10" fontId="6" fillId="2" borderId="27" xfId="0" applyNumberFormat="1" applyFont="1" applyFill="1" applyBorder="1" applyAlignment="1">
      <alignment horizontal="center" vertical="center"/>
    </xf>
    <xf numFmtId="164" fontId="0" fillId="0" borderId="0" xfId="0" applyNumberFormat="1" applyFont="1"/>
    <xf numFmtId="0" fontId="6" fillId="11" borderId="15" xfId="0" applyFont="1" applyFill="1" applyBorder="1"/>
    <xf numFmtId="0" fontId="6" fillId="11" borderId="17" xfId="0" applyFont="1" applyFill="1" applyBorder="1"/>
    <xf numFmtId="0" fontId="0" fillId="14" borderId="1" xfId="0" applyFont="1" applyFill="1" applyBorder="1"/>
    <xf numFmtId="0" fontId="30" fillId="14" borderId="35" xfId="0" applyFont="1" applyFill="1" applyBorder="1"/>
    <xf numFmtId="0" fontId="30" fillId="14" borderId="36" xfId="0" applyFont="1" applyFill="1" applyBorder="1"/>
    <xf numFmtId="0" fontId="12" fillId="9" borderId="0" xfId="4" applyFont="1" applyFill="1"/>
    <xf numFmtId="0" fontId="13" fillId="0" borderId="0" xfId="4" applyFont="1"/>
    <xf numFmtId="0" fontId="14" fillId="0" borderId="0" xfId="4" applyFont="1"/>
    <xf numFmtId="14" fontId="15" fillId="0" borderId="0" xfId="4" applyNumberFormat="1" applyFont="1"/>
    <xf numFmtId="0" fontId="17" fillId="0" borderId="0" xfId="3" applyFont="1" applyAlignment="1">
      <alignment horizontal="left" vertical="center"/>
    </xf>
    <xf numFmtId="0" fontId="18" fillId="0" borderId="0" xfId="3" applyFont="1" applyAlignment="1">
      <alignment horizontal="left" vertical="center"/>
    </xf>
    <xf numFmtId="169" fontId="19" fillId="2" borderId="0" xfId="4" applyNumberFormat="1" applyFont="1" applyFill="1" applyAlignment="1">
      <alignment horizontal="center" vertical="top"/>
    </xf>
    <xf numFmtId="168" fontId="33" fillId="0" borderId="0" xfId="4" applyNumberFormat="1" applyFont="1" applyAlignment="1">
      <alignment horizontal="left" vertical="top"/>
    </xf>
    <xf numFmtId="0" fontId="20" fillId="0" borderId="0" xfId="4" applyFont="1"/>
    <xf numFmtId="168" fontId="19" fillId="0" borderId="0" xfId="4" applyNumberFormat="1" applyFont="1" applyAlignment="1">
      <alignment horizontal="right" vertical="top"/>
    </xf>
    <xf numFmtId="9" fontId="19" fillId="2" borderId="0" xfId="5" applyFont="1" applyFill="1" applyBorder="1" applyAlignment="1">
      <alignment horizontal="center" vertical="top"/>
    </xf>
    <xf numFmtId="0" fontId="13" fillId="0" borderId="1" xfId="4" applyFont="1" applyBorder="1"/>
    <xf numFmtId="0" fontId="15" fillId="0" borderId="1" xfId="4" applyFont="1" applyBorder="1"/>
    <xf numFmtId="14" fontId="15" fillId="0" borderId="0" xfId="4" applyNumberFormat="1" applyFont="1" applyAlignment="1">
      <alignment vertical="top"/>
    </xf>
    <xf numFmtId="177" fontId="13" fillId="0" borderId="0" xfId="5" applyNumberFormat="1" applyFont="1" applyBorder="1"/>
    <xf numFmtId="168" fontId="19" fillId="2" borderId="0" xfId="4" applyNumberFormat="1" applyFont="1" applyFill="1" applyAlignment="1">
      <alignment horizontal="right" vertical="top"/>
    </xf>
    <xf numFmtId="168" fontId="35" fillId="0" borderId="0" xfId="4" applyNumberFormat="1" applyFont="1" applyAlignment="1">
      <alignment horizontal="right" vertical="top"/>
    </xf>
    <xf numFmtId="0" fontId="1" fillId="0" borderId="0" xfId="4"/>
    <xf numFmtId="0" fontId="15" fillId="0" borderId="1" xfId="4" applyFont="1" applyBorder="1" applyAlignment="1">
      <alignment horizontal="center"/>
    </xf>
    <xf numFmtId="0" fontId="15" fillId="0" borderId="0" xfId="4" applyFont="1"/>
    <xf numFmtId="169" fontId="13" fillId="0" borderId="0" xfId="4" applyNumberFormat="1" applyFont="1" applyAlignment="1">
      <alignment horizontal="center" vertical="top"/>
    </xf>
    <xf numFmtId="9" fontId="19" fillId="0" borderId="0" xfId="5" applyFont="1" applyFill="1" applyBorder="1" applyAlignment="1">
      <alignment horizontal="right" vertical="top"/>
    </xf>
    <xf numFmtId="0" fontId="15" fillId="0" borderId="1" xfId="4" applyFont="1" applyBorder="1" applyAlignment="1">
      <alignment horizontal="left"/>
    </xf>
    <xf numFmtId="170" fontId="19" fillId="2" borderId="0" xfId="4" applyNumberFormat="1" applyFont="1" applyFill="1" applyAlignment="1">
      <alignment horizontal="center" vertical="top"/>
    </xf>
    <xf numFmtId="3" fontId="13" fillId="0" borderId="0" xfId="4" applyNumberFormat="1" applyFont="1"/>
    <xf numFmtId="3" fontId="15" fillId="0" borderId="0" xfId="4" applyNumberFormat="1" applyFont="1" applyAlignment="1">
      <alignment horizontal="centerContinuous"/>
    </xf>
    <xf numFmtId="0" fontId="15" fillId="0" borderId="0" xfId="4" applyFont="1" applyAlignment="1">
      <alignment horizontal="centerContinuous"/>
    </xf>
    <xf numFmtId="0" fontId="1" fillId="0" borderId="0" xfId="4" applyAlignment="1">
      <alignment horizontal="centerContinuous"/>
    </xf>
    <xf numFmtId="0" fontId="36" fillId="0" borderId="1" xfId="4" applyFont="1" applyBorder="1" applyAlignment="1">
      <alignment horizontal="center"/>
    </xf>
    <xf numFmtId="4" fontId="13" fillId="17" borderId="0" xfId="4" applyNumberFormat="1" applyFont="1" applyFill="1" applyAlignment="1">
      <alignment horizontal="center"/>
    </xf>
    <xf numFmtId="4" fontId="19" fillId="0" borderId="0" xfId="4" applyNumberFormat="1" applyFont="1" applyAlignment="1">
      <alignment horizontal="center"/>
    </xf>
    <xf numFmtId="168" fontId="21" fillId="0" borderId="0" xfId="4" applyNumberFormat="1" applyFont="1" applyAlignment="1">
      <alignment horizontal="center" vertical="top"/>
    </xf>
    <xf numFmtId="0" fontId="13" fillId="0" borderId="0" xfId="4" applyFont="1" applyAlignment="1">
      <alignment horizontal="center"/>
    </xf>
    <xf numFmtId="179" fontId="21" fillId="0" borderId="0" xfId="4" applyNumberFormat="1" applyFont="1" applyAlignment="1">
      <alignment horizontal="center" vertical="top"/>
    </xf>
    <xf numFmtId="180" fontId="21" fillId="0" borderId="0" xfId="4" applyNumberFormat="1" applyFont="1" applyAlignment="1">
      <alignment horizontal="center" vertical="top"/>
    </xf>
    <xf numFmtId="165" fontId="13" fillId="0" borderId="0" xfId="4" applyNumberFormat="1" applyFont="1"/>
    <xf numFmtId="181" fontId="21" fillId="0" borderId="0" xfId="4" applyNumberFormat="1" applyFont="1" applyAlignment="1">
      <alignment horizontal="center" vertical="top"/>
    </xf>
    <xf numFmtId="165" fontId="13" fillId="0" borderId="0" xfId="5" applyNumberFormat="1" applyFont="1" applyAlignment="1">
      <alignment horizontal="center"/>
    </xf>
    <xf numFmtId="10" fontId="35" fillId="2" borderId="0" xfId="5" applyNumberFormat="1" applyFont="1" applyFill="1" applyBorder="1" applyAlignment="1">
      <alignment horizontal="right" vertical="top"/>
    </xf>
    <xf numFmtId="176" fontId="19" fillId="2" borderId="0" xfId="4" applyNumberFormat="1" applyFont="1" applyFill="1" applyAlignment="1">
      <alignment horizontal="center" vertical="top"/>
    </xf>
    <xf numFmtId="168" fontId="33" fillId="0" borderId="0" xfId="4" applyNumberFormat="1" applyFont="1" applyFill="1" applyAlignment="1">
      <alignment horizontal="left" vertical="top"/>
    </xf>
    <xf numFmtId="0" fontId="13" fillId="0" borderId="0" xfId="4" applyFont="1" applyFill="1"/>
    <xf numFmtId="10" fontId="19" fillId="2" borderId="0" xfId="5" applyNumberFormat="1" applyFont="1" applyFill="1"/>
    <xf numFmtId="178" fontId="21" fillId="2" borderId="0" xfId="4" applyNumberFormat="1" applyFont="1" applyFill="1" applyAlignment="1">
      <alignment horizontal="center"/>
    </xf>
    <xf numFmtId="180" fontId="21" fillId="0" borderId="0" xfId="4" applyNumberFormat="1" applyFont="1" applyFill="1" applyAlignment="1">
      <alignment horizontal="center" vertical="top"/>
    </xf>
    <xf numFmtId="9" fontId="13" fillId="0" borderId="0" xfId="2" applyFont="1" applyAlignment="1">
      <alignment horizontal="center"/>
    </xf>
    <xf numFmtId="0" fontId="0" fillId="0" borderId="0" xfId="0"/>
    <xf numFmtId="0" fontId="0" fillId="0" borderId="1" xfId="0" applyFont="1" applyFill="1" applyBorder="1"/>
    <xf numFmtId="164" fontId="0" fillId="18" borderId="0" xfId="1" applyNumberFormat="1" applyFont="1" applyFill="1"/>
    <xf numFmtId="164" fontId="0" fillId="0" borderId="0" xfId="1" applyNumberFormat="1" applyFont="1" applyFill="1" applyAlignment="1">
      <alignment horizontal="center"/>
    </xf>
    <xf numFmtId="164" fontId="0" fillId="0" borderId="1" xfId="1" applyNumberFormat="1" applyFont="1" applyFill="1" applyBorder="1" applyAlignment="1">
      <alignment horizontal="center"/>
    </xf>
    <xf numFmtId="171" fontId="0" fillId="0" borderId="0" xfId="1" applyNumberFormat="1" applyFont="1" applyFill="1" applyAlignment="1">
      <alignment horizontal="center"/>
    </xf>
    <xf numFmtId="0" fontId="2" fillId="19" borderId="0" xfId="0" applyFont="1" applyFill="1" applyBorder="1" applyAlignment="1">
      <alignment horizontal="right" vertical="center"/>
    </xf>
    <xf numFmtId="0" fontId="12" fillId="20" borderId="0" xfId="0" applyFont="1" applyFill="1" applyAlignment="1">
      <alignment horizontal="left" vertical="center"/>
    </xf>
    <xf numFmtId="0" fontId="30" fillId="18" borderId="0" xfId="0" applyFont="1" applyFill="1" applyBorder="1" applyAlignment="1">
      <alignment horizontal="left" vertical="center"/>
    </xf>
    <xf numFmtId="0" fontId="30" fillId="18" borderId="27" xfId="0" applyFont="1" applyFill="1" applyBorder="1"/>
    <xf numFmtId="0" fontId="27" fillId="18" borderId="1" xfId="0" applyFont="1" applyFill="1" applyBorder="1" applyAlignment="1">
      <alignment horizontal="left" vertical="center"/>
    </xf>
    <xf numFmtId="0" fontId="3" fillId="0" borderId="0" xfId="0" applyFont="1" applyFill="1" applyBorder="1" applyAlignment="1">
      <alignment horizontal="left" vertical="center"/>
    </xf>
    <xf numFmtId="6" fontId="0" fillId="0" borderId="25" xfId="0" applyNumberFormat="1" applyFont="1" applyFill="1" applyBorder="1" applyAlignment="1">
      <alignment horizontal="center"/>
    </xf>
    <xf numFmtId="6" fontId="0" fillId="0" borderId="26" xfId="0" applyNumberFormat="1" applyFont="1" applyFill="1" applyBorder="1" applyAlignment="1">
      <alignment horizontal="center"/>
    </xf>
    <xf numFmtId="6" fontId="0" fillId="0" borderId="4" xfId="0" applyNumberFormat="1" applyFont="1" applyFill="1" applyBorder="1" applyAlignment="1">
      <alignment horizontal="center"/>
    </xf>
    <xf numFmtId="0" fontId="30" fillId="18" borderId="0" xfId="0" applyFont="1" applyFill="1" applyBorder="1" applyAlignment="1">
      <alignment horizontal="center"/>
    </xf>
    <xf numFmtId="0" fontId="0" fillId="0" borderId="11" xfId="0" applyFont="1" applyFill="1" applyBorder="1"/>
    <xf numFmtId="0" fontId="30" fillId="18" borderId="1" xfId="0" applyFont="1" applyFill="1" applyBorder="1" applyAlignment="1">
      <alignment horizontal="center"/>
    </xf>
    <xf numFmtId="0" fontId="30" fillId="18" borderId="3" xfId="0" applyFont="1" applyFill="1" applyBorder="1" applyAlignment="1">
      <alignment horizontal="center"/>
    </xf>
    <xf numFmtId="6" fontId="3" fillId="0" borderId="4" xfId="0" applyNumberFormat="1" applyFont="1" applyFill="1" applyBorder="1" applyAlignment="1">
      <alignment horizontal="center"/>
    </xf>
    <xf numFmtId="0" fontId="2" fillId="19" borderId="1" xfId="0" applyFont="1" applyFill="1" applyBorder="1" applyAlignment="1">
      <alignment horizontal="center" vertical="center"/>
    </xf>
    <xf numFmtId="0" fontId="30" fillId="18" borderId="0" xfId="0" applyFont="1" applyFill="1" applyAlignment="1">
      <alignment horizontal="center"/>
    </xf>
    <xf numFmtId="1" fontId="0" fillId="16" borderId="29" xfId="0" applyNumberFormat="1" applyFont="1" applyFill="1" applyBorder="1" applyAlignment="1">
      <alignment horizontal="center"/>
    </xf>
    <xf numFmtId="1" fontId="0" fillId="0" borderId="0" xfId="0" applyNumberFormat="1" applyFont="1" applyFill="1" applyAlignment="1">
      <alignment horizontal="center"/>
    </xf>
    <xf numFmtId="10" fontId="0" fillId="0" borderId="0" xfId="0" applyNumberFormat="1" applyFont="1" applyFill="1" applyAlignment="1">
      <alignment horizontal="center"/>
    </xf>
    <xf numFmtId="9" fontId="0" fillId="18" borderId="27" xfId="0" applyNumberFormat="1" applyFont="1" applyFill="1" applyBorder="1" applyAlignment="1">
      <alignment horizontal="center"/>
    </xf>
    <xf numFmtId="9" fontId="0" fillId="18" borderId="28" xfId="0" applyNumberFormat="1" applyFont="1" applyFill="1" applyBorder="1" applyAlignment="1">
      <alignment horizontal="center"/>
    </xf>
    <xf numFmtId="0" fontId="6" fillId="18" borderId="28" xfId="0" applyFont="1" applyFill="1" applyBorder="1" applyAlignment="1">
      <alignment horizontal="center" vertical="center"/>
    </xf>
    <xf numFmtId="9" fontId="0" fillId="18" borderId="1" xfId="0" applyNumberFormat="1" applyFont="1" applyFill="1" applyBorder="1" applyAlignment="1">
      <alignment horizontal="center"/>
    </xf>
    <xf numFmtId="165" fontId="0" fillId="18" borderId="27" xfId="0" applyNumberFormat="1" applyFont="1" applyFill="1" applyBorder="1" applyAlignment="1">
      <alignment horizontal="center"/>
    </xf>
    <xf numFmtId="171" fontId="0" fillId="0" borderId="1" xfId="1" applyNumberFormat="1" applyFont="1" applyFill="1" applyBorder="1" applyAlignment="1">
      <alignment horizontal="center"/>
    </xf>
    <xf numFmtId="0" fontId="2" fillId="19" borderId="0" xfId="0" applyFont="1" applyFill="1" applyBorder="1" applyAlignment="1">
      <alignment vertical="center"/>
    </xf>
    <xf numFmtId="164" fontId="0" fillId="0" borderId="1" xfId="1" applyNumberFormat="1" applyFont="1" applyFill="1" applyBorder="1"/>
    <xf numFmtId="164" fontId="0" fillId="0" borderId="8" xfId="1" applyNumberFormat="1" applyFont="1" applyFill="1" applyBorder="1"/>
    <xf numFmtId="0" fontId="25" fillId="16" borderId="0" xfId="0" applyFont="1" applyFill="1"/>
    <xf numFmtId="164" fontId="0" fillId="18" borderId="0" xfId="0" applyNumberFormat="1" applyFill="1"/>
    <xf numFmtId="164" fontId="3" fillId="18" borderId="0" xfId="1" applyNumberFormat="1" applyFont="1" applyFill="1"/>
    <xf numFmtId="1" fontId="0" fillId="18" borderId="0" xfId="0" applyNumberFormat="1" applyFill="1"/>
    <xf numFmtId="0" fontId="37" fillId="0" borderId="0" xfId="0" applyFont="1" applyBorder="1" applyAlignment="1">
      <alignment horizontal="right"/>
    </xf>
    <xf numFmtId="164" fontId="37" fillId="0" borderId="0" xfId="0" applyNumberFormat="1" applyFont="1" applyBorder="1"/>
    <xf numFmtId="10" fontId="2" fillId="6" borderId="0" xfId="0" applyNumberFormat="1" applyFont="1" applyFill="1"/>
    <xf numFmtId="0" fontId="0" fillId="2" borderId="38" xfId="0" applyFont="1" applyFill="1" applyBorder="1" applyAlignment="1">
      <alignment horizontal="center" vertical="center"/>
    </xf>
    <xf numFmtId="165" fontId="0" fillId="18" borderId="37" xfId="0" applyNumberFormat="1" applyFont="1" applyFill="1" applyBorder="1" applyAlignment="1">
      <alignment horizontal="center"/>
    </xf>
    <xf numFmtId="164" fontId="3" fillId="0" borderId="0" xfId="0" applyNumberFormat="1" applyFont="1" applyFill="1" applyBorder="1"/>
    <xf numFmtId="10" fontId="6" fillId="2" borderId="29" xfId="0" applyNumberFormat="1" applyFont="1" applyFill="1" applyBorder="1" applyAlignment="1">
      <alignment horizontal="center" vertical="center"/>
    </xf>
    <xf numFmtId="1" fontId="6" fillId="18" borderId="27" xfId="0" applyNumberFormat="1" applyFont="1" applyFill="1" applyBorder="1" applyAlignment="1">
      <alignment horizontal="center" vertical="center"/>
    </xf>
    <xf numFmtId="0" fontId="0" fillId="0" borderId="0" xfId="0" quotePrefix="1" applyFont="1" applyFill="1" applyBorder="1" applyAlignment="1">
      <alignment horizontal="left" vertical="center"/>
    </xf>
    <xf numFmtId="0" fontId="0" fillId="0" borderId="1" xfId="0" applyFont="1" applyFill="1" applyBorder="1" applyAlignment="1">
      <alignment vertical="center"/>
    </xf>
    <xf numFmtId="0" fontId="3" fillId="0" borderId="0" xfId="0" quotePrefix="1" applyFont="1" applyFill="1" applyBorder="1" applyAlignment="1">
      <alignment horizontal="left" vertical="center"/>
    </xf>
    <xf numFmtId="0" fontId="0" fillId="0" borderId="0" xfId="0" applyFont="1" applyFill="1" applyBorder="1" applyAlignment="1">
      <alignment vertical="center"/>
    </xf>
    <xf numFmtId="0" fontId="0" fillId="5" borderId="39" xfId="0" applyFont="1" applyFill="1" applyBorder="1" applyAlignment="1">
      <alignment horizontal="center"/>
    </xf>
    <xf numFmtId="0" fontId="6" fillId="0" borderId="0" xfId="0" applyFont="1" applyFill="1" applyAlignment="1">
      <alignment horizontal="left"/>
    </xf>
    <xf numFmtId="0" fontId="0" fillId="11" borderId="15" xfId="0" applyFont="1" applyFill="1" applyBorder="1"/>
    <xf numFmtId="0" fontId="0" fillId="11" borderId="17" xfId="0" applyFont="1" applyFill="1" applyBorder="1"/>
  </cellXfs>
  <cellStyles count="6">
    <cellStyle name="Comma" xfId="1" builtinId="3"/>
    <cellStyle name="Normal" xfId="0" builtinId="0"/>
    <cellStyle name="Normal 2" xfId="4" xr:uid="{214252A6-859B-4C6C-B3BB-6CBD4466C8A5}"/>
    <cellStyle name="Normal 5" xfId="3" xr:uid="{8739B3D1-5F80-4C46-BAE1-698AB3D1D6CF}"/>
    <cellStyle name="Percent" xfId="2" builtinId="5"/>
    <cellStyle name="Percent 2" xfId="5" xr:uid="{49306903-2D18-4D27-9171-7B57F57D976B}"/>
  </cellStyles>
  <dxfs count="1">
    <dxf>
      <font>
        <color rgb="FFFF0000"/>
      </font>
    </dxf>
  </dxfs>
  <tableStyles count="0" defaultTableStyle="TableStyleMedium2" defaultPivotStyle="PivotStyleLight16"/>
  <colors>
    <mruColors>
      <color rgb="FFCCFFCC"/>
      <color rgb="FFCC99FF"/>
      <color rgb="FF9933FF"/>
      <color rgb="FFFFFFCC"/>
      <color rgb="FFFFFF99"/>
      <color rgb="FF0070C0"/>
      <color rgb="FFFFFF66"/>
      <color rgb="FFCCFFFF"/>
      <color rgb="FF99FF99"/>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57CC5-8A72-47FC-9880-1C8A3165B657}">
  <sheetPr>
    <tabColor rgb="FFFFFF00"/>
  </sheetPr>
  <dimension ref="B2:AH318"/>
  <sheetViews>
    <sheetView showGridLines="0" tabSelected="1" zoomScale="70" zoomScaleNormal="70" workbookViewId="0">
      <selection activeCell="A10" sqref="A10"/>
    </sheetView>
  </sheetViews>
  <sheetFormatPr defaultColWidth="8.77734375" defaultRowHeight="14.4" x14ac:dyDescent="0.3"/>
  <cols>
    <col min="1" max="1" width="1.44140625" style="13" customWidth="1"/>
    <col min="2" max="2" width="72.5546875" style="13" customWidth="1"/>
    <col min="3" max="3" width="8.77734375" style="13"/>
    <col min="4" max="4" width="15.21875" style="13" customWidth="1"/>
    <col min="5" max="7" width="13.44140625" style="13" customWidth="1"/>
    <col min="8" max="17" width="12.77734375" style="13" customWidth="1"/>
    <col min="18" max="29" width="12.5546875" style="13" customWidth="1"/>
    <col min="30" max="16384" width="8.77734375" style="13"/>
  </cols>
  <sheetData>
    <row r="2" spans="2:19" ht="28.95" customHeight="1" x14ac:dyDescent="0.3">
      <c r="B2" s="333" t="str">
        <f>"Economic evaluation of depot options. "&amp;B17</f>
        <v>Economic evaluation of depot options. Mornington Purchase greenfield site + Keysborough Expansion develop current depot + Burwood Develop new depot on brownfield site [Base case]</v>
      </c>
      <c r="C2" s="142"/>
      <c r="D2" s="142"/>
      <c r="E2" s="142"/>
      <c r="F2" s="142"/>
      <c r="G2" s="142"/>
      <c r="H2" s="142"/>
      <c r="I2" s="142"/>
      <c r="J2" s="142"/>
      <c r="K2" s="142"/>
      <c r="L2" s="142"/>
      <c r="M2" s="142"/>
      <c r="N2" s="142"/>
      <c r="O2" s="142"/>
      <c r="P2" s="142"/>
      <c r="Q2" s="142"/>
      <c r="R2" s="142"/>
      <c r="S2" s="142"/>
    </row>
    <row r="3" spans="2:19" x14ac:dyDescent="0.3">
      <c r="C3" s="20"/>
      <c r="D3" s="20"/>
    </row>
    <row r="4" spans="2:19" x14ac:dyDescent="0.3">
      <c r="B4" s="129" t="s">
        <v>227</v>
      </c>
    </row>
    <row r="5" spans="2:19" x14ac:dyDescent="0.3">
      <c r="B5" s="10" t="s">
        <v>80</v>
      </c>
      <c r="C5" s="20"/>
      <c r="D5" s="20"/>
    </row>
    <row r="6" spans="2:19" x14ac:dyDescent="0.3">
      <c r="B6" s="144" t="s">
        <v>16</v>
      </c>
    </row>
    <row r="7" spans="2:19" x14ac:dyDescent="0.3">
      <c r="B7" s="128" t="s">
        <v>133</v>
      </c>
    </row>
    <row r="9" spans="2:19" ht="22.95" customHeight="1" x14ac:dyDescent="0.3">
      <c r="B9" s="210" t="s">
        <v>299</v>
      </c>
      <c r="C9" s="210"/>
      <c r="D9" s="210"/>
      <c r="E9" s="210"/>
      <c r="F9" s="210"/>
      <c r="G9" s="210"/>
      <c r="H9" s="210"/>
      <c r="I9" s="210"/>
      <c r="J9" s="210"/>
      <c r="K9" s="210"/>
      <c r="L9" s="210"/>
      <c r="M9" s="210"/>
      <c r="N9" s="210"/>
      <c r="O9" s="210"/>
      <c r="P9" s="210"/>
      <c r="Q9" s="210"/>
      <c r="R9" s="210"/>
      <c r="S9" s="210"/>
    </row>
    <row r="11" spans="2:19" x14ac:dyDescent="0.3">
      <c r="B11" s="129" t="s">
        <v>285</v>
      </c>
      <c r="C11" s="129"/>
      <c r="D11" s="129"/>
      <c r="E11" s="129"/>
      <c r="F11" s="127"/>
      <c r="G11" s="129" t="s">
        <v>286</v>
      </c>
      <c r="H11" s="129"/>
      <c r="I11" s="129"/>
      <c r="J11" s="129"/>
      <c r="K11" s="129"/>
      <c r="N11" s="129" t="s">
        <v>305</v>
      </c>
      <c r="O11" s="129"/>
      <c r="P11" s="129"/>
      <c r="Q11" s="129"/>
      <c r="R11" s="129"/>
    </row>
    <row r="12" spans="2:19" x14ac:dyDescent="0.3">
      <c r="B12" s="228" t="s">
        <v>216</v>
      </c>
      <c r="C12" s="227" t="s">
        <v>304</v>
      </c>
      <c r="D12" s="227"/>
      <c r="E12" s="227" t="s">
        <v>306</v>
      </c>
      <c r="G12" s="231" t="s">
        <v>217</v>
      </c>
      <c r="H12" s="231" t="s">
        <v>218</v>
      </c>
      <c r="I12" s="231" t="s">
        <v>219</v>
      </c>
      <c r="J12" s="231" t="s">
        <v>220</v>
      </c>
      <c r="K12" s="231" t="s">
        <v>221</v>
      </c>
      <c r="N12" s="231" t="s">
        <v>217</v>
      </c>
      <c r="O12" s="231" t="s">
        <v>218</v>
      </c>
      <c r="P12" s="231" t="s">
        <v>219</v>
      </c>
      <c r="Q12" s="231" t="s">
        <v>220</v>
      </c>
      <c r="R12" s="231" t="s">
        <v>221</v>
      </c>
    </row>
    <row r="13" spans="2:19" x14ac:dyDescent="0.3">
      <c r="B13" s="55" t="s">
        <v>1</v>
      </c>
      <c r="C13" s="334" cm="1">
        <f t="array" ref="C13">INDEX($N13:$S13,,MATCH(E13,G13:L13,0))</f>
        <v>3</v>
      </c>
      <c r="D13" s="146" t="s">
        <v>307</v>
      </c>
      <c r="E13" s="141" t="s">
        <v>225</v>
      </c>
      <c r="F13" s="127"/>
      <c r="G13" s="226" t="s">
        <v>222</v>
      </c>
      <c r="H13" s="226" t="s">
        <v>223</v>
      </c>
      <c r="I13" s="226" t="s">
        <v>225</v>
      </c>
      <c r="J13" s="226" t="s">
        <v>224</v>
      </c>
      <c r="K13" s="226" t="s">
        <v>226</v>
      </c>
      <c r="N13" s="335">
        <f>C61</f>
        <v>1</v>
      </c>
      <c r="O13" s="335">
        <f>C62</f>
        <v>2</v>
      </c>
      <c r="P13" s="335">
        <f>C63</f>
        <v>3</v>
      </c>
      <c r="Q13" s="335">
        <f>C64</f>
        <v>4</v>
      </c>
      <c r="R13" s="335">
        <f>C65</f>
        <v>5</v>
      </c>
    </row>
    <row r="14" spans="2:19" x14ac:dyDescent="0.3">
      <c r="B14" s="55" t="s">
        <v>208</v>
      </c>
      <c r="C14" s="334" cm="1">
        <f t="array" ref="C14">INDEX($N14:$S14,,MATCH(E14,G14:L14,0))</f>
        <v>8</v>
      </c>
      <c r="D14" s="146" t="s">
        <v>307</v>
      </c>
      <c r="E14" s="141" t="s">
        <v>281</v>
      </c>
      <c r="F14" s="127"/>
      <c r="G14" s="226" t="s">
        <v>222</v>
      </c>
      <c r="H14" s="226" t="s">
        <v>223</v>
      </c>
      <c r="I14" s="226" t="s">
        <v>281</v>
      </c>
      <c r="J14" s="226" t="s">
        <v>224</v>
      </c>
      <c r="K14" s="226" t="s">
        <v>226</v>
      </c>
      <c r="N14" s="335">
        <f>C66</f>
        <v>6</v>
      </c>
      <c r="O14" s="335">
        <f>C67</f>
        <v>7</v>
      </c>
      <c r="P14" s="335">
        <f>C68</f>
        <v>8</v>
      </c>
      <c r="Q14" s="335">
        <f>C69</f>
        <v>9</v>
      </c>
      <c r="R14" s="335">
        <f>C70</f>
        <v>10</v>
      </c>
    </row>
    <row r="15" spans="2:19" x14ac:dyDescent="0.3">
      <c r="B15" s="55" t="s">
        <v>209</v>
      </c>
      <c r="C15" s="334" cm="1">
        <f t="array" ref="C15">INDEX($N15:$S15,,MATCH(E15,G15:L15,0))</f>
        <v>13</v>
      </c>
      <c r="D15" s="146" t="s">
        <v>307</v>
      </c>
      <c r="E15" s="141" t="s">
        <v>346</v>
      </c>
      <c r="F15" s="127"/>
      <c r="G15" s="226" t="s">
        <v>344</v>
      </c>
      <c r="H15" s="226" t="s">
        <v>345</v>
      </c>
      <c r="I15" s="226" t="s">
        <v>346</v>
      </c>
      <c r="J15" s="244"/>
      <c r="K15" s="244"/>
      <c r="N15" s="335">
        <f>C71</f>
        <v>11</v>
      </c>
      <c r="O15" s="335">
        <f>C72</f>
        <v>12</v>
      </c>
      <c r="P15" s="335">
        <f>C73</f>
        <v>13</v>
      </c>
      <c r="Q15" s="278"/>
      <c r="R15" s="279"/>
    </row>
    <row r="16" spans="2:19" x14ac:dyDescent="0.3">
      <c r="B16" s="241" t="s">
        <v>245</v>
      </c>
      <c r="C16" s="336">
        <f>MATCH(E16,G16:K16,0)</f>
        <v>1</v>
      </c>
      <c r="D16" s="245" t="s">
        <v>307</v>
      </c>
      <c r="E16" s="242" t="s">
        <v>202</v>
      </c>
      <c r="F16" s="127"/>
      <c r="G16" s="243" t="s">
        <v>202</v>
      </c>
      <c r="H16" s="243" t="s">
        <v>212</v>
      </c>
      <c r="I16" s="243" t="s">
        <v>213</v>
      </c>
      <c r="J16" s="243" t="s">
        <v>214</v>
      </c>
      <c r="K16" s="243" t="s">
        <v>215</v>
      </c>
      <c r="M16" s="145"/>
      <c r="N16" s="244"/>
      <c r="O16" s="244"/>
      <c r="P16" s="244"/>
      <c r="Q16" s="277"/>
      <c r="R16" s="277"/>
    </row>
    <row r="17" spans="2:6" x14ac:dyDescent="0.3">
      <c r="B17" s="337" t="str">
        <f>B13&amp;" "&amp;E13&amp;" + "&amp;B14&amp;" "&amp;E14&amp;" + "&amp;B15&amp;" "&amp;E15&amp;" ["&amp;E16&amp;"]"</f>
        <v>Mornington Purchase greenfield site + Keysborough Expansion develop current depot + Burwood Develop new depot on brownfield site [Base case]</v>
      </c>
      <c r="C17" s="140"/>
      <c r="D17" s="140"/>
      <c r="F17" s="127"/>
    </row>
    <row r="18" spans="2:6" ht="15" thickBot="1" x14ac:dyDescent="0.35"/>
    <row r="19" spans="2:6" ht="15" thickBot="1" x14ac:dyDescent="0.35">
      <c r="B19" s="236" t="s">
        <v>326</v>
      </c>
      <c r="C19" s="237"/>
      <c r="D19" s="237"/>
      <c r="E19" s="238"/>
    </row>
    <row r="20" spans="2:6" x14ac:dyDescent="0.3">
      <c r="B20" s="251" t="s">
        <v>331</v>
      </c>
      <c r="C20" s="252"/>
      <c r="D20" s="253" t="s">
        <v>250</v>
      </c>
      <c r="E20" s="254">
        <v>25</v>
      </c>
    </row>
    <row r="21" spans="2:6" x14ac:dyDescent="0.3">
      <c r="B21" s="232" t="s">
        <v>251</v>
      </c>
      <c r="C21" s="127"/>
      <c r="D21" s="246" t="s">
        <v>230</v>
      </c>
      <c r="E21" s="255">
        <v>2.75E-2</v>
      </c>
    </row>
    <row r="22" spans="2:6" x14ac:dyDescent="0.3">
      <c r="B22" s="232" t="s">
        <v>338</v>
      </c>
      <c r="C22" s="127"/>
      <c r="D22" s="246" t="s">
        <v>231</v>
      </c>
      <c r="E22" s="338">
        <f>SUMIF($C$61:$C$73,$C$13,$E$27:$E$40)+SUMIF($C$61:$C$73,$C$14,$E$27:$E$40)+SUMIF($C$61:$C$73,$C$15,$E$27:$E$40)</f>
        <v>79620.732401292655</v>
      </c>
    </row>
    <row r="23" spans="2:6" x14ac:dyDescent="0.3">
      <c r="B23" s="233" t="s">
        <v>336</v>
      </c>
      <c r="C23" s="49"/>
      <c r="D23" s="133" t="s">
        <v>231</v>
      </c>
      <c r="E23" s="339">
        <f>SUMIF($C$61:$C$73,$N$13,$E$27:$E$40)+SUMIF($C$61:$C$73,$N$14,$E$27:$E$40)+SUMIF($C$61:$C$73,$N$15,$E$27:$E$40)</f>
        <v>179505.89435275484</v>
      </c>
    </row>
    <row r="24" spans="2:6" ht="15" thickBot="1" x14ac:dyDescent="0.35">
      <c r="B24" s="239" t="s">
        <v>337</v>
      </c>
      <c r="C24" s="240"/>
      <c r="D24" s="247" t="s">
        <v>231</v>
      </c>
      <c r="E24" s="340">
        <f>E23-E22</f>
        <v>99885.161951462185</v>
      </c>
    </row>
    <row r="25" spans="2:6" ht="15" thickBot="1" x14ac:dyDescent="0.35"/>
    <row r="26" spans="2:6" x14ac:dyDescent="0.3">
      <c r="B26" s="248" t="s">
        <v>327</v>
      </c>
      <c r="C26" s="249" t="s">
        <v>335</v>
      </c>
      <c r="D26" s="249" t="s">
        <v>334</v>
      </c>
      <c r="E26" s="250" t="s">
        <v>330</v>
      </c>
    </row>
    <row r="27" spans="2:6" x14ac:dyDescent="0.3">
      <c r="B27" s="120" t="str">
        <f t="shared" ref="B27:B31" si="0">B61</f>
        <v>Mornington: Do nothing</v>
      </c>
      <c r="C27" s="230">
        <v>1</v>
      </c>
      <c r="D27" s="341">
        <f>IF(C27=1,RANK(E27,$E$27:$E$31,1),"")</f>
        <v>4</v>
      </c>
      <c r="E27" s="338">
        <f t="shared" ref="E27:E39" si="1">IF(C27=1,NPV($E$21,$D272:$AC272),"")</f>
        <v>31301.154330267116</v>
      </c>
    </row>
    <row r="28" spans="2:6" x14ac:dyDescent="0.3">
      <c r="B28" s="120" t="str">
        <f t="shared" si="0"/>
        <v>Mornington: Redevelop existing site</v>
      </c>
      <c r="C28" s="218">
        <v>1</v>
      </c>
      <c r="D28" s="341">
        <f>IF(C28=1,RANK(E28,$E$27:$E$31,1),"")</f>
        <v>3</v>
      </c>
      <c r="E28" s="338">
        <f t="shared" si="1"/>
        <v>28425.314562546901</v>
      </c>
    </row>
    <row r="29" spans="2:6" x14ac:dyDescent="0.3">
      <c r="B29" s="120" t="str">
        <f t="shared" si="0"/>
        <v>Mornington: Purchase greenfield site</v>
      </c>
      <c r="C29" s="218">
        <v>1</v>
      </c>
      <c r="D29" s="341">
        <f>IF(C29=1,RANK(E29,$E$27:$E$31,1),"")</f>
        <v>1</v>
      </c>
      <c r="E29" s="338">
        <f t="shared" si="1"/>
        <v>22135.507809250834</v>
      </c>
    </row>
    <row r="30" spans="2:6" x14ac:dyDescent="0.3">
      <c r="B30" s="120" t="str">
        <f t="shared" si="0"/>
        <v>Mornington: Purchase brownfield site</v>
      </c>
      <c r="C30" s="218">
        <v>1</v>
      </c>
      <c r="D30" s="341">
        <f>IF(C30=1,RANK(E30,$E$27:$E$31,1),"")</f>
        <v>2</v>
      </c>
      <c r="E30" s="338">
        <f t="shared" si="1"/>
        <v>23392.020634111908</v>
      </c>
    </row>
    <row r="31" spans="2:6" x14ac:dyDescent="0.3">
      <c r="B31" s="342" t="str">
        <f t="shared" si="0"/>
        <v>Mornington: Minimum spend</v>
      </c>
      <c r="C31" s="220">
        <v>1</v>
      </c>
      <c r="D31" s="343">
        <f>IF(C31=1,RANK(E31,$E$27:$E$31,1),"")</f>
        <v>5</v>
      </c>
      <c r="E31" s="339">
        <f t="shared" si="1"/>
        <v>33714.628580394514</v>
      </c>
      <c r="F31" s="267"/>
    </row>
    <row r="32" spans="2:6" x14ac:dyDescent="0.3">
      <c r="B32" s="120" t="str">
        <f t="shared" ref="B32:B39" si="2">B66</f>
        <v>Keysborough: Do nothing</v>
      </c>
      <c r="C32" s="230">
        <v>1</v>
      </c>
      <c r="D32" s="341">
        <f>IF(C32=1,RANK(E32,$E$32:$E$36,1),"")</f>
        <v>5</v>
      </c>
      <c r="E32" s="338">
        <f t="shared" si="1"/>
        <v>60497.002201113253</v>
      </c>
    </row>
    <row r="33" spans="2:5" x14ac:dyDescent="0.3">
      <c r="B33" s="120" t="str">
        <f t="shared" si="2"/>
        <v>Keysborough: Redevelop existing site</v>
      </c>
      <c r="C33" s="218">
        <v>1</v>
      </c>
      <c r="D33" s="341">
        <f>IF(C33=1,RANK(E33,$E$32:$E$36,1),"")</f>
        <v>3</v>
      </c>
      <c r="E33" s="338">
        <f t="shared" si="1"/>
        <v>43359.240473578371</v>
      </c>
    </row>
    <row r="34" spans="2:5" x14ac:dyDescent="0.3">
      <c r="B34" s="120" t="str">
        <f t="shared" si="2"/>
        <v>Keysborough: Expansion develop current depot</v>
      </c>
      <c r="C34" s="218">
        <v>1</v>
      </c>
      <c r="D34" s="341">
        <f>IF(C34=1,RANK(E34,$E$32:$E$36,1),"")</f>
        <v>1</v>
      </c>
      <c r="E34" s="338">
        <f t="shared" si="1"/>
        <v>22826.323980271791</v>
      </c>
    </row>
    <row r="35" spans="2:5" x14ac:dyDescent="0.3">
      <c r="B35" s="120" t="str">
        <f t="shared" si="2"/>
        <v>Keysborough: Purchase brownfield site</v>
      </c>
      <c r="C35" s="218">
        <v>1</v>
      </c>
      <c r="D35" s="341">
        <f>IF(C35=1,RANK(E35,$E$32:$E$36,1),"")</f>
        <v>2</v>
      </c>
      <c r="E35" s="338">
        <f t="shared" si="1"/>
        <v>41201.172614966345</v>
      </c>
    </row>
    <row r="36" spans="2:5" x14ac:dyDescent="0.3">
      <c r="B36" s="342" t="str">
        <f t="shared" si="2"/>
        <v>Keysborough: Minimum spend</v>
      </c>
      <c r="C36" s="220">
        <v>1</v>
      </c>
      <c r="D36" s="343">
        <f>IF(C36=1,RANK(E36,$E$32:$E$36,1),"")</f>
        <v>4</v>
      </c>
      <c r="E36" s="339">
        <f t="shared" si="1"/>
        <v>60272.5026022323</v>
      </c>
    </row>
    <row r="37" spans="2:5" x14ac:dyDescent="0.3">
      <c r="B37" s="120" t="str">
        <f t="shared" si="2"/>
        <v>Burwood: Do not replace Burwood depot</v>
      </c>
      <c r="C37" s="230">
        <v>1</v>
      </c>
      <c r="D37" s="341">
        <f>IF(C37=1,RANK(E37,$E$37:$E$39,1),"")</f>
        <v>3</v>
      </c>
      <c r="E37" s="338">
        <f t="shared" si="1"/>
        <v>87707.737821374467</v>
      </c>
    </row>
    <row r="38" spans="2:5" x14ac:dyDescent="0.3">
      <c r="B38" s="120" t="str">
        <f t="shared" si="2"/>
        <v>Burwood: Develop new depot on greenfield site</v>
      </c>
      <c r="C38" s="218">
        <v>1</v>
      </c>
      <c r="D38" s="341">
        <f t="shared" ref="D38:D39" si="3">IF(C38=1,RANK(E38,$E$37:$E$39,1),"")</f>
        <v>1</v>
      </c>
      <c r="E38" s="338">
        <f t="shared" si="1"/>
        <v>33103.655306692774</v>
      </c>
    </row>
    <row r="39" spans="2:5" ht="15" thickBot="1" x14ac:dyDescent="0.35">
      <c r="B39" s="239" t="str">
        <f t="shared" si="2"/>
        <v>Burwood: Develop new depot on brownfield site</v>
      </c>
      <c r="C39" s="235">
        <v>1</v>
      </c>
      <c r="D39" s="344">
        <f t="shared" si="3"/>
        <v>2</v>
      </c>
      <c r="E39" s="340">
        <f t="shared" si="1"/>
        <v>34658.900611770026</v>
      </c>
    </row>
    <row r="40" spans="2:5" ht="15" thickBot="1" x14ac:dyDescent="0.35"/>
    <row r="41" spans="2:5" x14ac:dyDescent="0.3">
      <c r="B41" s="248" t="s">
        <v>339</v>
      </c>
      <c r="C41" s="249"/>
      <c r="D41" s="249"/>
      <c r="E41" s="250" t="s">
        <v>330</v>
      </c>
    </row>
    <row r="42" spans="2:5" x14ac:dyDescent="0.3">
      <c r="B42" s="120" t="str">
        <f>INDEX($B$27:$B$31,MATCH(MAX($D$27:$D$31),$D$27:$D$31,0))</f>
        <v>Mornington: Minimum spend</v>
      </c>
      <c r="C42" s="127"/>
      <c r="D42" s="246" t="s">
        <v>231</v>
      </c>
      <c r="E42" s="338">
        <f>VLOOKUP(B42,$B$27:$E$40,4,0)</f>
        <v>33714.628580394514</v>
      </c>
    </row>
    <row r="43" spans="2:5" x14ac:dyDescent="0.3">
      <c r="B43" s="120" t="str">
        <f>INDEX($B$32:$B$36,MATCH(MAX($D$32:$D$36),$D$32:$D$36,0))</f>
        <v>Keysborough: Do nothing</v>
      </c>
      <c r="C43" s="127"/>
      <c r="D43" s="246" t="s">
        <v>231</v>
      </c>
      <c r="E43" s="338">
        <f>VLOOKUP(B43,$B$27:$E$40,4,0)</f>
        <v>60497.002201113253</v>
      </c>
    </row>
    <row r="44" spans="2:5" x14ac:dyDescent="0.3">
      <c r="B44" s="342" t="str">
        <f>INDEX($B$37:$B$40,MATCH(MAX($D$37:$D$40),$D$37:$D$40,0))</f>
        <v>Burwood: Do not replace Burwood depot</v>
      </c>
      <c r="C44" s="49"/>
      <c r="D44" s="133" t="s">
        <v>231</v>
      </c>
      <c r="E44" s="339">
        <f>VLOOKUP(B44,$B$27:$E$40,4,0)</f>
        <v>87707.737821374467</v>
      </c>
    </row>
    <row r="45" spans="2:5" ht="15" thickBot="1" x14ac:dyDescent="0.35">
      <c r="B45" s="234" t="s">
        <v>341</v>
      </c>
      <c r="C45" s="22"/>
      <c r="D45" s="247" t="s">
        <v>231</v>
      </c>
      <c r="E45" s="345">
        <f>SUM(E42:E44)</f>
        <v>181919.36860288223</v>
      </c>
    </row>
    <row r="46" spans="2:5" ht="15" thickBot="1" x14ac:dyDescent="0.35"/>
    <row r="47" spans="2:5" x14ac:dyDescent="0.3">
      <c r="B47" s="248" t="s">
        <v>340</v>
      </c>
      <c r="C47" s="249"/>
      <c r="D47" s="249"/>
      <c r="E47" s="250" t="s">
        <v>330</v>
      </c>
    </row>
    <row r="48" spans="2:5" x14ac:dyDescent="0.3">
      <c r="B48" s="120" t="str">
        <f>INDEX($B$27:$B$31,MATCH(MIN($D$27:$D$31),$D$27:$D$31,0))</f>
        <v>Mornington: Purchase greenfield site</v>
      </c>
      <c r="C48" s="256"/>
      <c r="D48" s="246" t="s">
        <v>231</v>
      </c>
      <c r="E48" s="338">
        <f>VLOOKUP(B48,$B$27:$E$40,4,0)</f>
        <v>22135.507809250834</v>
      </c>
    </row>
    <row r="49" spans="2:19" x14ac:dyDescent="0.3">
      <c r="B49" s="120" t="str">
        <f>INDEX($B$32:$B$36,MATCH(MIN($D$32:$D$36),$D$32:$D$36,0))</f>
        <v>Keysborough: Expansion develop current depot</v>
      </c>
      <c r="C49" s="256"/>
      <c r="D49" s="246" t="s">
        <v>231</v>
      </c>
      <c r="E49" s="338">
        <f>VLOOKUP(B49,$B$27:$E$40,4,0)</f>
        <v>22826.323980271791</v>
      </c>
    </row>
    <row r="50" spans="2:19" x14ac:dyDescent="0.3">
      <c r="B50" s="342" t="str">
        <f>INDEX($B$37:$B$40,MATCH(MIN($D$37:$D$40),$D$37:$D$40,0))</f>
        <v>Burwood: Develop new depot on greenfield site</v>
      </c>
      <c r="C50" s="257"/>
      <c r="D50" s="133" t="s">
        <v>231</v>
      </c>
      <c r="E50" s="339">
        <f>VLOOKUP(B50,$B$27:$E$40,4,0)</f>
        <v>33103.655306692774</v>
      </c>
    </row>
    <row r="51" spans="2:19" ht="15" thickBot="1" x14ac:dyDescent="0.35">
      <c r="B51" s="234" t="s">
        <v>341</v>
      </c>
      <c r="C51" s="22"/>
      <c r="D51" s="247" t="s">
        <v>231</v>
      </c>
      <c r="E51" s="345">
        <f>SUM(E48:E50)</f>
        <v>78065.487096215395</v>
      </c>
    </row>
    <row r="58" spans="2:19" ht="22.95" customHeight="1" x14ac:dyDescent="0.3">
      <c r="B58" s="210" t="s">
        <v>328</v>
      </c>
      <c r="C58" s="210"/>
      <c r="D58" s="210"/>
      <c r="E58" s="210"/>
      <c r="F58" s="210"/>
      <c r="G58" s="210"/>
      <c r="H58" s="210"/>
      <c r="I58" s="210"/>
      <c r="J58" s="210"/>
      <c r="K58" s="210"/>
      <c r="L58" s="210"/>
      <c r="M58" s="210"/>
      <c r="N58" s="210"/>
      <c r="O58" s="210"/>
      <c r="P58" s="210"/>
      <c r="Q58" s="210"/>
      <c r="R58" s="210"/>
      <c r="S58" s="210"/>
    </row>
    <row r="60" spans="2:19" x14ac:dyDescent="0.3">
      <c r="B60" s="223" t="s">
        <v>329</v>
      </c>
      <c r="C60" s="224" t="s">
        <v>304</v>
      </c>
      <c r="D60" s="225" t="s">
        <v>301</v>
      </c>
      <c r="E60" s="346">
        <v>2021</v>
      </c>
      <c r="F60" s="346">
        <f>E60+1</f>
        <v>2022</v>
      </c>
      <c r="G60" s="346">
        <f t="shared" ref="G60:O60" si="4">F60+1</f>
        <v>2023</v>
      </c>
      <c r="H60" s="346">
        <f t="shared" si="4"/>
        <v>2024</v>
      </c>
      <c r="I60" s="346">
        <f t="shared" si="4"/>
        <v>2025</v>
      </c>
      <c r="J60" s="346">
        <f t="shared" si="4"/>
        <v>2026</v>
      </c>
      <c r="K60" s="346">
        <f t="shared" si="4"/>
        <v>2027</v>
      </c>
      <c r="L60" s="346">
        <f t="shared" si="4"/>
        <v>2028</v>
      </c>
      <c r="M60" s="346">
        <f t="shared" si="4"/>
        <v>2029</v>
      </c>
      <c r="N60" s="346">
        <f t="shared" si="4"/>
        <v>2030</v>
      </c>
      <c r="O60" s="346">
        <f t="shared" si="4"/>
        <v>2031</v>
      </c>
      <c r="P60" s="224" t="s">
        <v>280</v>
      </c>
    </row>
    <row r="61" spans="2:19" x14ac:dyDescent="0.3">
      <c r="B61" s="20" t="str">
        <f>$B$13&amp;": "&amp;G13</f>
        <v>Mornington: Do nothing</v>
      </c>
      <c r="C61" s="347">
        <v>1</v>
      </c>
      <c r="D61" s="211" t="s">
        <v>231</v>
      </c>
      <c r="E61" s="348">
        <v>0</v>
      </c>
      <c r="F61" s="348">
        <v>0</v>
      </c>
      <c r="G61" s="348">
        <v>0</v>
      </c>
      <c r="H61" s="348">
        <v>0</v>
      </c>
      <c r="I61" s="348">
        <v>0</v>
      </c>
      <c r="J61" s="348">
        <v>0</v>
      </c>
      <c r="K61" s="348">
        <v>0</v>
      </c>
      <c r="L61" s="348">
        <v>0</v>
      </c>
      <c r="M61" s="348">
        <v>0</v>
      </c>
      <c r="N61" s="348">
        <v>0</v>
      </c>
      <c r="O61" s="348">
        <v>0</v>
      </c>
      <c r="P61" s="191" cm="1">
        <f t="array" ref="P61">MAX(IF(E61:O61&lt;&gt;0,$E$60:$O$60,2021))</f>
        <v>2021</v>
      </c>
    </row>
    <row r="62" spans="2:19" x14ac:dyDescent="0.3">
      <c r="B62" s="20" t="str">
        <f>$B$13&amp;": "&amp;H13</f>
        <v>Mornington: Redevelop existing site</v>
      </c>
      <c r="C62" s="347">
        <v>2</v>
      </c>
      <c r="D62" s="211" t="s">
        <v>231</v>
      </c>
      <c r="E62" s="166">
        <v>0</v>
      </c>
      <c r="F62" s="166">
        <v>0</v>
      </c>
      <c r="G62" s="166">
        <v>0</v>
      </c>
      <c r="H62" s="166">
        <v>0</v>
      </c>
      <c r="I62" s="166">
        <v>4880</v>
      </c>
      <c r="J62" s="166">
        <v>7320</v>
      </c>
      <c r="K62" s="166">
        <v>0</v>
      </c>
      <c r="L62" s="166">
        <v>0</v>
      </c>
      <c r="M62" s="166">
        <v>0</v>
      </c>
      <c r="N62" s="166">
        <v>0</v>
      </c>
      <c r="O62" s="166">
        <v>0</v>
      </c>
      <c r="P62" s="189" cm="1">
        <f t="array" ref="P62">MAX(IF(E62:O62&lt;&gt;0,$E$60:$O$60,2021))</f>
        <v>2026</v>
      </c>
    </row>
    <row r="63" spans="2:19" x14ac:dyDescent="0.3">
      <c r="B63" s="20" t="str">
        <f>$B$13&amp;": "&amp;I13</f>
        <v>Mornington: Purchase greenfield site</v>
      </c>
      <c r="C63" s="347">
        <v>3</v>
      </c>
      <c r="D63" s="211" t="s">
        <v>231</v>
      </c>
      <c r="E63" s="166">
        <v>0</v>
      </c>
      <c r="F63" s="166">
        <v>0</v>
      </c>
      <c r="G63" s="166">
        <v>0</v>
      </c>
      <c r="H63" s="166">
        <v>0</v>
      </c>
      <c r="I63" s="166">
        <v>6400</v>
      </c>
      <c r="J63" s="166">
        <v>9100</v>
      </c>
      <c r="K63" s="166">
        <v>0</v>
      </c>
      <c r="L63" s="166">
        <v>0</v>
      </c>
      <c r="M63" s="166">
        <v>0</v>
      </c>
      <c r="N63" s="166">
        <v>0</v>
      </c>
      <c r="O63" s="166">
        <v>0</v>
      </c>
      <c r="P63" s="189" cm="1">
        <f t="array" ref="P63">MAX(IF(E63:O63&lt;&gt;0,$E$60:$O$60,2021))</f>
        <v>2026</v>
      </c>
    </row>
    <row r="64" spans="2:19" x14ac:dyDescent="0.3">
      <c r="B64" s="20" t="str">
        <f>$B$13&amp;": "&amp;J13</f>
        <v>Mornington: Purchase brownfield site</v>
      </c>
      <c r="C64" s="347">
        <v>4</v>
      </c>
      <c r="D64" s="211" t="s">
        <v>231</v>
      </c>
      <c r="E64" s="166">
        <v>0</v>
      </c>
      <c r="F64" s="166">
        <v>0</v>
      </c>
      <c r="G64" s="166">
        <v>0</v>
      </c>
      <c r="H64" s="166">
        <v>0</v>
      </c>
      <c r="I64" s="166">
        <f>12800*1.25</f>
        <v>16000</v>
      </c>
      <c r="J64" s="166">
        <v>0</v>
      </c>
      <c r="K64" s="166">
        <v>0</v>
      </c>
      <c r="L64" s="166">
        <v>0</v>
      </c>
      <c r="M64" s="166">
        <v>0</v>
      </c>
      <c r="N64" s="166">
        <v>0</v>
      </c>
      <c r="O64" s="166">
        <v>0</v>
      </c>
      <c r="P64" s="189" cm="1">
        <f t="array" ref="P64">MAX(IF(E64:O64&lt;&gt;0,$E$60:$O$60,2021))</f>
        <v>2025</v>
      </c>
    </row>
    <row r="65" spans="2:19" x14ac:dyDescent="0.3">
      <c r="B65" s="327" t="str">
        <f>$B$13&amp;": "&amp;K13</f>
        <v>Mornington: Minimum spend</v>
      </c>
      <c r="C65" s="343">
        <v>5</v>
      </c>
      <c r="D65" s="212" t="s">
        <v>231</v>
      </c>
      <c r="E65" s="167">
        <v>2500</v>
      </c>
      <c r="F65" s="167">
        <v>0</v>
      </c>
      <c r="G65" s="167">
        <v>0</v>
      </c>
      <c r="H65" s="167">
        <v>0</v>
      </c>
      <c r="I65" s="167">
        <f>7500+350+1000+100</f>
        <v>8950</v>
      </c>
      <c r="J65" s="167">
        <v>0</v>
      </c>
      <c r="K65" s="167">
        <v>0</v>
      </c>
      <c r="L65" s="167">
        <v>0</v>
      </c>
      <c r="M65" s="167">
        <v>0</v>
      </c>
      <c r="N65" s="167">
        <v>0</v>
      </c>
      <c r="O65" s="167">
        <v>0</v>
      </c>
      <c r="P65" s="190" cm="1">
        <f t="array" ref="P65">MAX(IF(E65:O65&lt;&gt;0,$E$60:$O$60,2021))</f>
        <v>2025</v>
      </c>
    </row>
    <row r="66" spans="2:19" x14ac:dyDescent="0.3">
      <c r="B66" s="20" t="str">
        <f>$B$14&amp;": "&amp;G14</f>
        <v>Keysborough: Do nothing</v>
      </c>
      <c r="C66" s="341">
        <v>6</v>
      </c>
      <c r="D66" s="211" t="s">
        <v>231</v>
      </c>
      <c r="E66" s="348">
        <v>0</v>
      </c>
      <c r="F66" s="348">
        <v>0</v>
      </c>
      <c r="G66" s="348">
        <v>0</v>
      </c>
      <c r="H66" s="348">
        <v>0</v>
      </c>
      <c r="I66" s="348">
        <v>0</v>
      </c>
      <c r="J66" s="348">
        <v>0</v>
      </c>
      <c r="K66" s="348">
        <v>0</v>
      </c>
      <c r="L66" s="348">
        <v>0</v>
      </c>
      <c r="M66" s="348">
        <v>0</v>
      </c>
      <c r="N66" s="348">
        <v>0</v>
      </c>
      <c r="O66" s="348">
        <v>0</v>
      </c>
      <c r="P66" s="191" cm="1">
        <f t="array" ref="P66">MAX(IF(E66:O66&lt;&gt;0,$E$60:$O$60,2021))</f>
        <v>2021</v>
      </c>
    </row>
    <row r="67" spans="2:19" x14ac:dyDescent="0.3">
      <c r="B67" s="20" t="str">
        <f>$B$14&amp;": "&amp;H14</f>
        <v>Keysborough: Redevelop existing site</v>
      </c>
      <c r="C67" s="341">
        <v>7</v>
      </c>
      <c r="D67" s="211" t="s">
        <v>231</v>
      </c>
      <c r="E67" s="166">
        <v>17900</v>
      </c>
      <c r="F67" s="166">
        <v>0</v>
      </c>
      <c r="G67" s="166">
        <v>0</v>
      </c>
      <c r="H67" s="166">
        <v>0</v>
      </c>
      <c r="I67" s="166">
        <v>0</v>
      </c>
      <c r="J67" s="166">
        <v>0</v>
      </c>
      <c r="K67" s="166">
        <v>0</v>
      </c>
      <c r="L67" s="166">
        <v>0</v>
      </c>
      <c r="M67" s="166">
        <v>0</v>
      </c>
      <c r="N67" s="166">
        <v>0</v>
      </c>
      <c r="O67" s="166">
        <v>0</v>
      </c>
      <c r="P67" s="189" cm="1">
        <f t="array" ref="P67">MAX(IF(E67:O67&lt;&gt;0,$E$60:$O$60,2021))</f>
        <v>2021</v>
      </c>
    </row>
    <row r="68" spans="2:19" x14ac:dyDescent="0.3">
      <c r="B68" s="20" t="str">
        <f>$B$14&amp;": "&amp;I14</f>
        <v>Keysborough: Expansion develop current depot</v>
      </c>
      <c r="C68" s="341">
        <v>8</v>
      </c>
      <c r="D68" s="211" t="s">
        <v>231</v>
      </c>
      <c r="E68" s="166">
        <v>19765.5290122193</v>
      </c>
      <c r="F68" s="166">
        <v>0</v>
      </c>
      <c r="G68" s="166">
        <v>0</v>
      </c>
      <c r="H68" s="166">
        <v>0</v>
      </c>
      <c r="I68" s="166">
        <v>0</v>
      </c>
      <c r="J68" s="166">
        <v>0</v>
      </c>
      <c r="K68" s="166">
        <v>0</v>
      </c>
      <c r="L68" s="166">
        <v>0</v>
      </c>
      <c r="M68" s="166">
        <v>0</v>
      </c>
      <c r="N68" s="166">
        <v>0</v>
      </c>
      <c r="O68" s="166">
        <v>0</v>
      </c>
      <c r="P68" s="189" cm="1">
        <f t="array" ref="P68">MAX(IF(E68:O68&lt;&gt;0,$E$60:$O$60,2021))</f>
        <v>2021</v>
      </c>
    </row>
    <row r="69" spans="2:19" x14ac:dyDescent="0.3">
      <c r="B69" s="20" t="str">
        <f>$B$14&amp;": "&amp;J14</f>
        <v>Keysborough: Purchase brownfield site</v>
      </c>
      <c r="C69" s="341">
        <v>9</v>
      </c>
      <c r="D69" s="211" t="s">
        <v>231</v>
      </c>
      <c r="E69" s="166">
        <v>17500</v>
      </c>
      <c r="F69" s="166">
        <v>18000</v>
      </c>
      <c r="G69" s="166">
        <v>0</v>
      </c>
      <c r="H69" s="166">
        <v>0</v>
      </c>
      <c r="I69" s="166">
        <v>0</v>
      </c>
      <c r="J69" s="166">
        <v>0</v>
      </c>
      <c r="K69" s="166">
        <v>0</v>
      </c>
      <c r="L69" s="166">
        <v>0</v>
      </c>
      <c r="M69" s="166">
        <v>0</v>
      </c>
      <c r="N69" s="166">
        <v>0</v>
      </c>
      <c r="O69" s="166">
        <v>0</v>
      </c>
      <c r="P69" s="189" cm="1">
        <f t="array" ref="P69">MAX(IF(E69:O69&lt;&gt;0,$E$60:$O$60,2021))</f>
        <v>2022</v>
      </c>
    </row>
    <row r="70" spans="2:19" x14ac:dyDescent="0.3">
      <c r="B70" s="327" t="str">
        <f>$B$14&amp;": "&amp;K14</f>
        <v>Keysborough: Minimum spend</v>
      </c>
      <c r="C70" s="343">
        <v>10</v>
      </c>
      <c r="D70" s="212" t="s">
        <v>231</v>
      </c>
      <c r="E70" s="167">
        <v>11400</v>
      </c>
      <c r="F70" s="167">
        <v>0</v>
      </c>
      <c r="G70" s="167">
        <v>0</v>
      </c>
      <c r="H70" s="167">
        <v>0</v>
      </c>
      <c r="I70" s="167">
        <v>140</v>
      </c>
      <c r="J70" s="167">
        <v>0</v>
      </c>
      <c r="K70" s="167">
        <v>0</v>
      </c>
      <c r="L70" s="167">
        <v>0</v>
      </c>
      <c r="M70" s="167">
        <v>0</v>
      </c>
      <c r="N70" s="167">
        <v>0</v>
      </c>
      <c r="O70" s="167">
        <v>0</v>
      </c>
      <c r="P70" s="190" cm="1">
        <f t="array" ref="P70">MAX(IF(E70:O70&lt;&gt;0,$E$60:$O$60,2021))</f>
        <v>2025</v>
      </c>
    </row>
    <row r="71" spans="2:19" x14ac:dyDescent="0.3">
      <c r="B71" s="20" t="str">
        <f>$B$15&amp;": "&amp;G15</f>
        <v>Burwood: Do not replace Burwood depot</v>
      </c>
      <c r="C71" s="341">
        <v>11</v>
      </c>
      <c r="D71" s="211" t="s">
        <v>231</v>
      </c>
      <c r="E71" s="348">
        <v>0</v>
      </c>
      <c r="F71" s="348">
        <v>0</v>
      </c>
      <c r="G71" s="348">
        <v>0</v>
      </c>
      <c r="H71" s="348">
        <v>0</v>
      </c>
      <c r="I71" s="348">
        <v>0</v>
      </c>
      <c r="J71" s="348">
        <v>0</v>
      </c>
      <c r="K71" s="348">
        <v>0</v>
      </c>
      <c r="L71" s="348">
        <v>0</v>
      </c>
      <c r="M71" s="348">
        <v>0</v>
      </c>
      <c r="N71" s="348">
        <v>0</v>
      </c>
      <c r="O71" s="348">
        <v>0</v>
      </c>
      <c r="P71" s="191" cm="1">
        <f t="array" ref="P71">MAX(IF(E71:O71&lt;&gt;0,$E$60:$O$60,2021))</f>
        <v>2021</v>
      </c>
    </row>
    <row r="72" spans="2:19" x14ac:dyDescent="0.3">
      <c r="B72" s="20" t="str">
        <f>$B$15&amp;": "&amp;H15</f>
        <v>Burwood: Develop new depot on greenfield site</v>
      </c>
      <c r="C72" s="341">
        <v>12</v>
      </c>
      <c r="D72" s="211" t="s">
        <v>231</v>
      </c>
      <c r="E72" s="166">
        <v>14700</v>
      </c>
      <c r="F72" s="166">
        <v>15400</v>
      </c>
      <c r="G72" s="166">
        <v>0</v>
      </c>
      <c r="H72" s="166">
        <v>0</v>
      </c>
      <c r="I72" s="166">
        <v>0</v>
      </c>
      <c r="J72" s="166">
        <v>0</v>
      </c>
      <c r="K72" s="166">
        <v>0</v>
      </c>
      <c r="L72" s="166">
        <v>0</v>
      </c>
      <c r="M72" s="166">
        <v>0</v>
      </c>
      <c r="N72" s="166">
        <v>0</v>
      </c>
      <c r="O72" s="166">
        <v>0</v>
      </c>
      <c r="P72" s="189" cm="1">
        <f t="array" ref="P72">MAX(IF(E72:O72&lt;&gt;0,$E$60:$O$60,2021))</f>
        <v>2022</v>
      </c>
    </row>
    <row r="73" spans="2:19" x14ac:dyDescent="0.3">
      <c r="B73" s="327" t="str">
        <f>$B$15&amp;": "&amp;I15</f>
        <v>Burwood: Develop new depot on brownfield site</v>
      </c>
      <c r="C73" s="343">
        <v>13</v>
      </c>
      <c r="D73" s="212" t="s">
        <v>231</v>
      </c>
      <c r="E73" s="167">
        <v>18051.6694505263</v>
      </c>
      <c r="F73" s="167">
        <v>13598.119590702699</v>
      </c>
      <c r="G73" s="167">
        <v>0</v>
      </c>
      <c r="H73" s="167">
        <v>0</v>
      </c>
      <c r="I73" s="167">
        <v>0</v>
      </c>
      <c r="J73" s="167">
        <v>0</v>
      </c>
      <c r="K73" s="167">
        <v>0</v>
      </c>
      <c r="L73" s="167">
        <v>0</v>
      </c>
      <c r="M73" s="167">
        <v>0</v>
      </c>
      <c r="N73" s="167">
        <v>0</v>
      </c>
      <c r="O73" s="167">
        <v>0</v>
      </c>
      <c r="P73" s="190" cm="1">
        <f t="array" ref="P73">MAX(IF(E73:O73&lt;&gt;0,$E$60:$O$60,2021))</f>
        <v>2022</v>
      </c>
    </row>
    <row r="75" spans="2:19" x14ac:dyDescent="0.3">
      <c r="B75" s="49" t="s">
        <v>313</v>
      </c>
      <c r="C75" s="49"/>
      <c r="D75" s="212" t="s">
        <v>231</v>
      </c>
      <c r="E75" s="229">
        <f t="shared" ref="E75:O75" si="5">SUMIF($C$61:$C$73,$C13,E$61:E$73)+SUMIF($C$61:$C$73,$C14,E$61:E$73)+SUMIF($C$61:$C$73,$C15,E$61:E$73)</f>
        <v>37817.198462745597</v>
      </c>
      <c r="F75" s="229">
        <f t="shared" si="5"/>
        <v>13598.119590702699</v>
      </c>
      <c r="G75" s="229">
        <f t="shared" si="5"/>
        <v>0</v>
      </c>
      <c r="H75" s="229">
        <f t="shared" si="5"/>
        <v>0</v>
      </c>
      <c r="I75" s="229">
        <f t="shared" si="5"/>
        <v>6400</v>
      </c>
      <c r="J75" s="229">
        <f t="shared" si="5"/>
        <v>9100</v>
      </c>
      <c r="K75" s="229">
        <f t="shared" si="5"/>
        <v>0</v>
      </c>
      <c r="L75" s="229">
        <f t="shared" si="5"/>
        <v>0</v>
      </c>
      <c r="M75" s="229">
        <f t="shared" si="5"/>
        <v>0</v>
      </c>
      <c r="N75" s="229">
        <f t="shared" si="5"/>
        <v>0</v>
      </c>
      <c r="O75" s="229">
        <f t="shared" si="5"/>
        <v>0</v>
      </c>
    </row>
    <row r="77" spans="2:19" ht="22.95" customHeight="1" x14ac:dyDescent="0.3">
      <c r="B77" s="210" t="s">
        <v>300</v>
      </c>
      <c r="C77" s="210"/>
      <c r="D77" s="210"/>
      <c r="E77" s="210"/>
      <c r="F77" s="210"/>
      <c r="G77" s="210"/>
      <c r="H77" s="210"/>
      <c r="I77" s="210"/>
      <c r="J77" s="210"/>
      <c r="K77" s="210"/>
      <c r="L77" s="210"/>
      <c r="M77" s="210"/>
      <c r="N77" s="210"/>
      <c r="O77" s="210"/>
      <c r="P77" s="210"/>
      <c r="Q77" s="210"/>
      <c r="R77" s="210"/>
      <c r="S77" s="210"/>
    </row>
    <row r="79" spans="2:19" x14ac:dyDescent="0.3">
      <c r="B79" s="129" t="s">
        <v>246</v>
      </c>
      <c r="C79" s="129"/>
      <c r="D79" s="129" t="s">
        <v>229</v>
      </c>
      <c r="E79" s="130" t="s">
        <v>1</v>
      </c>
      <c r="F79" s="130" t="s">
        <v>208</v>
      </c>
      <c r="G79" s="130" t="s">
        <v>209</v>
      </c>
      <c r="I79" s="138"/>
      <c r="J79" s="130"/>
      <c r="K79" s="130" t="s">
        <v>228</v>
      </c>
      <c r="L79" s="130"/>
      <c r="M79" s="130"/>
      <c r="O79" s="138"/>
      <c r="P79" s="130" t="s">
        <v>244</v>
      </c>
      <c r="Q79" s="130"/>
      <c r="S79" s="130" t="s">
        <v>176</v>
      </c>
    </row>
    <row r="80" spans="2:19" x14ac:dyDescent="0.3">
      <c r="B80" s="122" t="s">
        <v>81</v>
      </c>
      <c r="C80" s="122"/>
      <c r="D80" s="122"/>
      <c r="E80" s="122"/>
      <c r="I80" s="139" t="s">
        <v>202</v>
      </c>
      <c r="J80" s="139" t="s">
        <v>212</v>
      </c>
      <c r="K80" s="139" t="s">
        <v>213</v>
      </c>
      <c r="L80" s="139" t="s">
        <v>214</v>
      </c>
      <c r="M80" s="139" t="s">
        <v>215</v>
      </c>
      <c r="O80" s="139" t="s">
        <v>1</v>
      </c>
      <c r="P80" s="139" t="s">
        <v>208</v>
      </c>
      <c r="Q80" s="139" t="s">
        <v>209</v>
      </c>
      <c r="S80" s="122"/>
    </row>
    <row r="81" spans="2:19" x14ac:dyDescent="0.3">
      <c r="B81" s="121" t="s">
        <v>248</v>
      </c>
      <c r="C81" s="121"/>
      <c r="D81" s="121" t="s">
        <v>232</v>
      </c>
      <c r="E81" s="213">
        <f>UsE!E66</f>
        <v>47.828616539314339</v>
      </c>
      <c r="F81" s="194">
        <f>$E81</f>
        <v>47.828616539314339</v>
      </c>
      <c r="G81" s="194">
        <f>$E81</f>
        <v>47.828616539314339</v>
      </c>
      <c r="H81" s="268"/>
      <c r="I81" s="271"/>
      <c r="J81" s="271"/>
      <c r="K81" s="271"/>
      <c r="L81" s="271"/>
      <c r="M81" s="271"/>
      <c r="N81" s="127"/>
      <c r="O81" s="195" cm="1">
        <f t="array" ref="O81">E81*(1+INDEX($I81:$M81,,$C$16))</f>
        <v>47.828616539314339</v>
      </c>
      <c r="P81" s="195" cm="1">
        <f t="array" ref="P81">F81*(1+INDEX($I81:$M81,,$C$16))</f>
        <v>47.828616539314339</v>
      </c>
      <c r="Q81" s="195" cm="1">
        <f t="array" ref="Q81">G81*(1+INDEX($I81:$M81,,$C$16))</f>
        <v>47.828616539314339</v>
      </c>
      <c r="S81" s="13" t="s">
        <v>449</v>
      </c>
    </row>
    <row r="82" spans="2:19" x14ac:dyDescent="0.3">
      <c r="B82" s="372" t="s">
        <v>397</v>
      </c>
      <c r="C82" s="55"/>
      <c r="D82" s="55" t="s">
        <v>234</v>
      </c>
      <c r="E82" s="214">
        <v>182420</v>
      </c>
      <c r="F82" s="214">
        <v>287911</v>
      </c>
      <c r="G82" s="214">
        <v>222093</v>
      </c>
      <c r="H82" s="268"/>
      <c r="I82" s="271"/>
      <c r="J82" s="271"/>
      <c r="K82" s="271"/>
      <c r="L82" s="271"/>
      <c r="M82" s="271"/>
      <c r="O82" s="349"/>
      <c r="P82" s="349"/>
      <c r="Q82" s="349"/>
      <c r="S82" s="131"/>
    </row>
    <row r="83" spans="2:19" x14ac:dyDescent="0.3">
      <c r="B83" s="372" t="s">
        <v>398</v>
      </c>
      <c r="C83" s="55"/>
      <c r="D83" s="127" t="s">
        <v>230</v>
      </c>
      <c r="E83" s="261"/>
      <c r="F83" s="355">
        <f>-G82*G83/F82</f>
        <v>0.10028130220797399</v>
      </c>
      <c r="G83" s="217">
        <v>-0.13</v>
      </c>
      <c r="H83" s="127"/>
      <c r="I83" s="271"/>
      <c r="J83" s="271"/>
      <c r="K83" s="271"/>
      <c r="L83" s="271"/>
      <c r="M83" s="271"/>
      <c r="N83" s="127"/>
      <c r="O83" s="152"/>
      <c r="P83" s="152"/>
      <c r="Q83" s="152"/>
      <c r="S83" s="131"/>
    </row>
    <row r="84" spans="2:19" x14ac:dyDescent="0.3">
      <c r="B84" s="372" t="s">
        <v>398</v>
      </c>
      <c r="C84" s="55"/>
      <c r="D84" s="55" t="s">
        <v>234</v>
      </c>
      <c r="E84" s="371">
        <f>E82*(1+E83)</f>
        <v>182420</v>
      </c>
      <c r="F84" s="371">
        <f>F82*(1+F83)</f>
        <v>316783.09000000003</v>
      </c>
      <c r="G84" s="371">
        <f>G82*(1+G83)</f>
        <v>193220.91</v>
      </c>
      <c r="H84" s="127"/>
      <c r="I84" s="271"/>
      <c r="J84" s="271"/>
      <c r="K84" s="271"/>
      <c r="L84" s="271"/>
      <c r="M84" s="271"/>
      <c r="N84" s="127"/>
      <c r="O84" s="152"/>
      <c r="P84" s="152"/>
      <c r="Q84" s="152"/>
      <c r="S84" s="131"/>
    </row>
    <row r="85" spans="2:19" x14ac:dyDescent="0.3">
      <c r="B85" s="55" t="s">
        <v>361</v>
      </c>
      <c r="C85" s="121"/>
      <c r="D85" s="121" t="s">
        <v>230</v>
      </c>
      <c r="E85" s="273">
        <v>1.12E-2</v>
      </c>
      <c r="F85" s="273">
        <v>1.12E-2</v>
      </c>
      <c r="G85" s="370">
        <v>1.12E-2</v>
      </c>
      <c r="H85" s="127"/>
      <c r="I85" s="351">
        <v>0</v>
      </c>
      <c r="J85" s="147">
        <v>0.5</v>
      </c>
      <c r="K85" s="147">
        <v>0.25</v>
      </c>
      <c r="L85" s="147">
        <v>-0.25</v>
      </c>
      <c r="M85" s="147">
        <v>-0.5</v>
      </c>
      <c r="O85" s="350" cm="1">
        <f t="array" ref="O85">E85*(1+INDEX($I85:$M85,,$C$16))</f>
        <v>1.12E-2</v>
      </c>
      <c r="P85" s="350" cm="1">
        <f t="array" ref="P85">F85*(1+INDEX($I85:$M85,,$C$16))</f>
        <v>1.12E-2</v>
      </c>
      <c r="Q85" s="350" cm="1">
        <f t="array" ref="Q85">G85*(1+INDEX($I85:$M85,,$C$16))</f>
        <v>1.12E-2</v>
      </c>
      <c r="S85" s="132" t="s">
        <v>448</v>
      </c>
    </row>
    <row r="86" spans="2:19" x14ac:dyDescent="0.3">
      <c r="B86" s="126" t="s">
        <v>18</v>
      </c>
      <c r="C86" s="126"/>
      <c r="D86" s="126" t="s">
        <v>234</v>
      </c>
      <c r="E86" s="353">
        <f>ROUND(E84*E85,0)</f>
        <v>2043</v>
      </c>
      <c r="F86" s="353">
        <f>ROUND(F84*F85,0)</f>
        <v>3548</v>
      </c>
      <c r="G86" s="353">
        <f>ROUND(G84*G85,0)</f>
        <v>2164</v>
      </c>
      <c r="I86" s="352">
        <v>0</v>
      </c>
      <c r="J86" s="149">
        <v>0.5</v>
      </c>
      <c r="K86" s="149">
        <v>0.25</v>
      </c>
      <c r="L86" s="149">
        <v>-0.25</v>
      </c>
      <c r="M86" s="149">
        <v>-0.5</v>
      </c>
      <c r="O86" s="229" cm="1">
        <f t="array" ref="O86">E86*(1+INDEX($I86:$M86,,$C$16))</f>
        <v>2043</v>
      </c>
      <c r="P86" s="229" cm="1">
        <f t="array" ref="P86">F86*(1+INDEX($I86:$M86,,$C$16))</f>
        <v>3548</v>
      </c>
      <c r="Q86" s="229" cm="1">
        <f t="array" ref="Q86">G86*(1+INDEX($I86:$M86,,$C$16))</f>
        <v>2164</v>
      </c>
      <c r="S86" s="132" t="s">
        <v>177</v>
      </c>
    </row>
    <row r="87" spans="2:19" x14ac:dyDescent="0.3">
      <c r="B87" s="122" t="s">
        <v>82</v>
      </c>
      <c r="C87" s="122"/>
      <c r="D87" s="122"/>
      <c r="E87" s="122"/>
      <c r="F87" s="123"/>
      <c r="G87" s="123"/>
      <c r="S87" s="122"/>
    </row>
    <row r="88" spans="2:19" x14ac:dyDescent="0.3">
      <c r="B88" s="121" t="s">
        <v>36</v>
      </c>
      <c r="C88" s="121"/>
      <c r="D88" s="121" t="s">
        <v>234</v>
      </c>
      <c r="E88" s="215">
        <v>24</v>
      </c>
      <c r="F88" s="215">
        <v>54</v>
      </c>
      <c r="G88" s="215">
        <v>52</v>
      </c>
      <c r="H88" s="268"/>
      <c r="I88" s="271"/>
      <c r="J88" s="271"/>
      <c r="K88" s="271"/>
      <c r="L88" s="271"/>
      <c r="M88" s="271"/>
      <c r="O88" s="349"/>
      <c r="P88" s="349"/>
      <c r="Q88" s="349"/>
      <c r="S88" s="132"/>
    </row>
    <row r="89" spans="2:19" x14ac:dyDescent="0.3">
      <c r="B89" s="145" t="s">
        <v>393</v>
      </c>
      <c r="C89" s="127"/>
      <c r="D89" s="127" t="s">
        <v>230</v>
      </c>
      <c r="E89" s="355"/>
      <c r="F89" s="355">
        <f>-G88*G89/F88</f>
        <v>0.12518518518518518</v>
      </c>
      <c r="G89" s="355">
        <f>$G$83</f>
        <v>-0.13</v>
      </c>
      <c r="H89" s="127"/>
      <c r="I89" s="271"/>
      <c r="J89" s="271"/>
      <c r="K89" s="271"/>
      <c r="L89" s="271"/>
      <c r="M89" s="271"/>
      <c r="N89" s="127"/>
      <c r="O89" s="152"/>
      <c r="P89" s="152"/>
      <c r="Q89" s="152"/>
    </row>
    <row r="90" spans="2:19" x14ac:dyDescent="0.3">
      <c r="B90" s="145" t="s">
        <v>408</v>
      </c>
      <c r="C90" s="127"/>
      <c r="D90" s="121" t="s">
        <v>234</v>
      </c>
      <c r="E90" s="371">
        <f t="shared" ref="E90:F90" si="6">E88*(1+E89)</f>
        <v>24</v>
      </c>
      <c r="F90" s="371">
        <f t="shared" si="6"/>
        <v>60.759999999999991</v>
      </c>
      <c r="G90" s="371">
        <f>G88*(1+G89)</f>
        <v>45.24</v>
      </c>
      <c r="H90" s="127"/>
      <c r="I90" s="271"/>
      <c r="J90" s="271"/>
      <c r="K90" s="271"/>
      <c r="L90" s="271"/>
      <c r="M90" s="271"/>
      <c r="N90" s="127"/>
      <c r="O90" s="152"/>
      <c r="P90" s="152"/>
      <c r="Q90" s="152"/>
    </row>
    <row r="91" spans="2:19" x14ac:dyDescent="0.3">
      <c r="B91" s="373" t="s">
        <v>210</v>
      </c>
      <c r="C91" s="126"/>
      <c r="D91" s="126" t="s">
        <v>231</v>
      </c>
      <c r="E91" s="222">
        <v>135</v>
      </c>
      <c r="F91" s="222">
        <v>135</v>
      </c>
      <c r="G91" s="222">
        <v>135</v>
      </c>
      <c r="H91" s="268"/>
      <c r="I91" s="150"/>
      <c r="J91" s="150"/>
      <c r="K91" s="150"/>
      <c r="L91" s="150"/>
      <c r="M91" s="150"/>
      <c r="O91" s="229"/>
      <c r="P91" s="229"/>
      <c r="Q91" s="229"/>
      <c r="S91" s="132" t="s">
        <v>178</v>
      </c>
    </row>
    <row r="92" spans="2:19" x14ac:dyDescent="0.3">
      <c r="B92" s="374" t="s">
        <v>83</v>
      </c>
      <c r="C92" s="122"/>
      <c r="D92" s="122"/>
      <c r="E92" s="122"/>
      <c r="F92" s="123"/>
      <c r="G92" s="123"/>
      <c r="S92" s="122"/>
    </row>
    <row r="93" spans="2:19" x14ac:dyDescent="0.3">
      <c r="B93" s="375" t="s">
        <v>40</v>
      </c>
      <c r="C93" s="121"/>
      <c r="D93" s="121" t="s">
        <v>234</v>
      </c>
      <c r="E93" s="215">
        <v>38</v>
      </c>
      <c r="F93" s="215">
        <v>127</v>
      </c>
      <c r="G93" s="215">
        <v>90</v>
      </c>
      <c r="H93" s="268"/>
      <c r="I93" s="271"/>
      <c r="J93" s="271"/>
      <c r="K93" s="271"/>
      <c r="L93" s="271"/>
      <c r="M93" s="271"/>
      <c r="O93" s="349"/>
      <c r="P93" s="349"/>
      <c r="Q93" s="349"/>
      <c r="S93" s="132"/>
    </row>
    <row r="94" spans="2:19" s="127" customFormat="1" x14ac:dyDescent="0.3">
      <c r="B94" s="145" t="s">
        <v>394</v>
      </c>
      <c r="D94" s="127" t="s">
        <v>230</v>
      </c>
      <c r="E94" s="261"/>
      <c r="F94" s="368">
        <f>-G93*G94/F93</f>
        <v>9.212598425196851E-2</v>
      </c>
      <c r="G94" s="368">
        <f>$G$83</f>
        <v>-0.13</v>
      </c>
      <c r="I94" s="271"/>
      <c r="J94" s="271"/>
      <c r="K94" s="271"/>
      <c r="L94" s="271"/>
      <c r="M94" s="271"/>
      <c r="O94" s="263"/>
      <c r="P94" s="263"/>
      <c r="Q94" s="263"/>
    </row>
    <row r="95" spans="2:19" s="127" customFormat="1" x14ac:dyDescent="0.3">
      <c r="B95" s="145" t="s">
        <v>409</v>
      </c>
      <c r="E95" s="371">
        <f t="shared" ref="E95" si="7">E93*(1+E94)</f>
        <v>38</v>
      </c>
      <c r="F95" s="371">
        <f t="shared" ref="F95" si="8">F93*(1+F94)</f>
        <v>138.70000000000002</v>
      </c>
      <c r="G95" s="371">
        <f>G93*(1+G94)</f>
        <v>78.3</v>
      </c>
      <c r="I95" s="271"/>
      <c r="J95" s="271"/>
      <c r="K95" s="271"/>
      <c r="L95" s="271"/>
      <c r="M95" s="271"/>
      <c r="O95" s="263"/>
      <c r="P95" s="263"/>
      <c r="Q95" s="263"/>
    </row>
    <row r="96" spans="2:19" x14ac:dyDescent="0.3">
      <c r="B96" s="126" t="s">
        <v>343</v>
      </c>
      <c r="C96" s="126"/>
      <c r="D96" s="126" t="s">
        <v>231</v>
      </c>
      <c r="E96" s="367">
        <v>135</v>
      </c>
      <c r="F96" s="367">
        <v>135</v>
      </c>
      <c r="G96" s="367">
        <v>135</v>
      </c>
      <c r="H96" s="268"/>
      <c r="I96" s="150"/>
      <c r="J96" s="150"/>
      <c r="K96" s="150"/>
      <c r="L96" s="150"/>
      <c r="M96" s="150"/>
      <c r="O96" s="229"/>
      <c r="P96" s="229"/>
      <c r="Q96" s="229"/>
      <c r="S96" s="132" t="s">
        <v>178</v>
      </c>
    </row>
    <row r="97" spans="2:20" x14ac:dyDescent="0.3">
      <c r="B97" s="122" t="s">
        <v>84</v>
      </c>
      <c r="C97" s="122"/>
      <c r="D97" s="122"/>
      <c r="E97" s="122"/>
      <c r="F97" s="123"/>
      <c r="G97" s="122"/>
      <c r="S97" s="122"/>
    </row>
    <row r="98" spans="2:20" x14ac:dyDescent="0.3">
      <c r="B98" s="121" t="s">
        <v>48</v>
      </c>
      <c r="C98" s="121"/>
      <c r="D98" s="121" t="s">
        <v>231</v>
      </c>
      <c r="E98" s="216">
        <f>4200000*1.085/1000</f>
        <v>4557</v>
      </c>
      <c r="F98" s="185">
        <f>$E98</f>
        <v>4557</v>
      </c>
      <c r="G98" s="185">
        <f t="shared" ref="G98:G99" si="9">$E98</f>
        <v>4557</v>
      </c>
      <c r="H98" s="268"/>
      <c r="I98" s="271"/>
      <c r="J98" s="271"/>
      <c r="K98" s="271"/>
      <c r="L98" s="271"/>
      <c r="M98" s="271"/>
      <c r="O98" s="349"/>
      <c r="P98" s="349"/>
      <c r="Q98" s="349"/>
      <c r="S98" s="132" t="s">
        <v>179</v>
      </c>
    </row>
    <row r="99" spans="2:20" x14ac:dyDescent="0.3">
      <c r="B99" s="126" t="s">
        <v>29</v>
      </c>
      <c r="C99" s="126"/>
      <c r="D99" s="126" t="s">
        <v>234</v>
      </c>
      <c r="E99" s="222">
        <v>3</v>
      </c>
      <c r="F99" s="186">
        <f t="shared" ref="F99" si="10">$E99</f>
        <v>3</v>
      </c>
      <c r="G99" s="186">
        <f t="shared" si="9"/>
        <v>3</v>
      </c>
      <c r="I99" s="352">
        <v>0</v>
      </c>
      <c r="J99" s="149">
        <v>0.5</v>
      </c>
      <c r="K99" s="149">
        <v>0.25</v>
      </c>
      <c r="L99" s="149">
        <v>-0.25</v>
      </c>
      <c r="M99" s="149">
        <v>-0.5</v>
      </c>
      <c r="O99" s="229" cm="1">
        <f t="array" ref="O99">E99*(1+INDEX($I99:$M99,,$C$16))</f>
        <v>3</v>
      </c>
      <c r="P99" s="229" cm="1">
        <f t="array" ref="P99">F99*(1+INDEX($I99:$M99,,$C$16))</f>
        <v>3</v>
      </c>
      <c r="Q99" s="229" cm="1">
        <f t="array" ref="Q99">G99*(1+INDEX($I99:$M99,,$C$16))</f>
        <v>3</v>
      </c>
      <c r="S99" s="132" t="s">
        <v>180</v>
      </c>
    </row>
    <row r="101" spans="2:20" x14ac:dyDescent="0.3">
      <c r="B101" s="49" t="s">
        <v>207</v>
      </c>
      <c r="C101" s="49"/>
      <c r="D101" s="49" t="s">
        <v>231</v>
      </c>
      <c r="E101" s="154">
        <f>((E88*E91)+(E93*E96))/(E88+E93)</f>
        <v>135</v>
      </c>
      <c r="F101" s="154">
        <f>((F88*F91)+(F93*F96))/(F88+F93)</f>
        <v>135</v>
      </c>
      <c r="G101" s="154">
        <f>((G88*G91)+(G93*G96))/(G88+G93)</f>
        <v>135</v>
      </c>
      <c r="I101" s="150"/>
      <c r="J101" s="150"/>
      <c r="K101" s="150"/>
      <c r="L101" s="150"/>
      <c r="M101" s="150"/>
      <c r="O101" s="229"/>
      <c r="P101" s="229"/>
      <c r="Q101" s="229"/>
    </row>
    <row r="103" spans="2:20" x14ac:dyDescent="0.3">
      <c r="B103" s="49" t="s">
        <v>314</v>
      </c>
      <c r="C103" s="49"/>
      <c r="D103" s="49" t="s">
        <v>231</v>
      </c>
      <c r="E103" s="354">
        <v>1</v>
      </c>
      <c r="F103" s="354">
        <v>1</v>
      </c>
      <c r="G103" s="354">
        <v>1</v>
      </c>
      <c r="H103" s="260"/>
      <c r="I103" s="149">
        <v>0</v>
      </c>
      <c r="J103" s="149">
        <v>0.2</v>
      </c>
      <c r="K103" s="149">
        <v>0.1</v>
      </c>
      <c r="L103" s="149">
        <v>-0.1</v>
      </c>
      <c r="M103" s="149">
        <v>-0.2</v>
      </c>
      <c r="O103" s="155" cm="1">
        <f t="array" ref="O103">E103*(1+INDEX($I103:$M103,,$C$16))</f>
        <v>1</v>
      </c>
      <c r="P103" s="155" cm="1">
        <f t="array" ref="P103">F103*(1+INDEX($I103:$M103,,$C$16))</f>
        <v>1</v>
      </c>
      <c r="Q103" s="155" cm="1">
        <f t="array" ref="Q103">G103*(1+INDEX($I103:$M103,,$C$16))</f>
        <v>1</v>
      </c>
    </row>
    <row r="105" spans="2:20" x14ac:dyDescent="0.3">
      <c r="B105" s="129" t="s">
        <v>247</v>
      </c>
      <c r="C105" s="129"/>
      <c r="D105" s="129"/>
      <c r="E105" s="130" t="s">
        <v>1</v>
      </c>
      <c r="F105" s="130" t="s">
        <v>208</v>
      </c>
      <c r="G105" s="130" t="s">
        <v>209</v>
      </c>
      <c r="I105" s="138"/>
      <c r="J105" s="130"/>
      <c r="K105" s="130" t="s">
        <v>228</v>
      </c>
      <c r="L105" s="130"/>
      <c r="M105" s="130"/>
      <c r="O105" s="138"/>
      <c r="P105" s="130" t="s">
        <v>244</v>
      </c>
      <c r="Q105" s="130"/>
      <c r="T105" s="27"/>
    </row>
    <row r="106" spans="2:20" x14ac:dyDescent="0.3">
      <c r="B106" s="1" t="s">
        <v>211</v>
      </c>
      <c r="I106" s="139" t="s">
        <v>202</v>
      </c>
      <c r="J106" s="139" t="s">
        <v>212</v>
      </c>
      <c r="K106" s="139" t="s">
        <v>213</v>
      </c>
      <c r="L106" s="139" t="s">
        <v>214</v>
      </c>
      <c r="M106" s="139" t="s">
        <v>215</v>
      </c>
      <c r="O106" s="139" t="s">
        <v>1</v>
      </c>
      <c r="P106" s="139" t="s">
        <v>208</v>
      </c>
      <c r="Q106" s="139" t="s">
        <v>209</v>
      </c>
      <c r="T106" s="27"/>
    </row>
    <row r="107" spans="2:20" x14ac:dyDescent="0.3">
      <c r="B107" s="135" t="s">
        <v>19</v>
      </c>
      <c r="C107" s="136"/>
      <c r="D107" s="136"/>
      <c r="E107" s="151"/>
      <c r="F107" s="151"/>
      <c r="G107" s="151"/>
      <c r="I107" s="136"/>
      <c r="J107" s="136"/>
      <c r="K107" s="136"/>
      <c r="L107" s="136"/>
      <c r="M107" s="136"/>
      <c r="O107" s="136"/>
      <c r="P107" s="136"/>
      <c r="Q107" s="136"/>
    </row>
    <row r="108" spans="2:20" x14ac:dyDescent="0.3">
      <c r="B108" s="20" t="s">
        <v>53</v>
      </c>
      <c r="D108" s="13" t="s">
        <v>230</v>
      </c>
      <c r="E108" s="217">
        <v>0.05</v>
      </c>
      <c r="F108" s="217">
        <v>0.05</v>
      </c>
      <c r="G108" s="217">
        <v>0.05</v>
      </c>
      <c r="H108" s="260"/>
      <c r="I108" s="351">
        <v>0</v>
      </c>
      <c r="J108" s="147">
        <v>1</v>
      </c>
      <c r="K108" s="147">
        <v>0.25</v>
      </c>
      <c r="L108" s="147">
        <v>-0.25</v>
      </c>
      <c r="M108" s="147">
        <v>-0.5</v>
      </c>
      <c r="O108" s="152" cm="1">
        <f t="array" ref="O108">E108*(1+INDEX($I108:$M108,,$C$16))</f>
        <v>0.05</v>
      </c>
      <c r="P108" s="152" cm="1">
        <f t="array" ref="P108">F108*(1+INDEX($I108:$M108,,$C$16))</f>
        <v>0.05</v>
      </c>
      <c r="Q108" s="152" cm="1">
        <f t="array" ref="Q108">G108*(1+INDEX($I108:$M108,,$C$16))</f>
        <v>0.05</v>
      </c>
    </row>
    <row r="109" spans="2:20" x14ac:dyDescent="0.3">
      <c r="B109" s="13" t="s">
        <v>54</v>
      </c>
      <c r="D109" s="13" t="s">
        <v>232</v>
      </c>
      <c r="E109" s="218">
        <v>80</v>
      </c>
      <c r="F109" s="218">
        <v>80</v>
      </c>
      <c r="G109" s="218">
        <v>80</v>
      </c>
      <c r="H109" s="260"/>
      <c r="I109" s="351">
        <v>0</v>
      </c>
      <c r="J109" s="147">
        <v>0.5</v>
      </c>
      <c r="K109" s="147">
        <v>0.25</v>
      </c>
      <c r="L109" s="147">
        <v>-0.25</v>
      </c>
      <c r="M109" s="147">
        <v>-0.5</v>
      </c>
      <c r="O109" s="153" cm="1">
        <f t="array" ref="O109">E109*(1+INDEX($I109:$M109,,$C$16))</f>
        <v>80</v>
      </c>
      <c r="P109" s="153" cm="1">
        <f t="array" ref="P109">F109*(1+INDEX($I109:$M109,,$C$16))</f>
        <v>80</v>
      </c>
      <c r="Q109" s="153" cm="1">
        <f t="array" ref="Q109">G109*(1+INDEX($I109:$M109,,$C$16))</f>
        <v>80</v>
      </c>
    </row>
    <row r="110" spans="2:20" x14ac:dyDescent="0.3">
      <c r="B110" s="137" t="s">
        <v>20</v>
      </c>
      <c r="C110" s="136"/>
      <c r="D110" s="136"/>
      <c r="E110" s="151"/>
      <c r="F110" s="151"/>
      <c r="G110" s="151"/>
      <c r="I110" s="136"/>
      <c r="J110" s="136"/>
      <c r="K110" s="136"/>
      <c r="L110" s="136"/>
      <c r="M110" s="136"/>
      <c r="O110" s="151"/>
      <c r="P110" s="151"/>
      <c r="Q110" s="151"/>
    </row>
    <row r="111" spans="2:20" x14ac:dyDescent="0.3">
      <c r="B111" s="13" t="s">
        <v>115</v>
      </c>
      <c r="D111" s="13" t="s">
        <v>230</v>
      </c>
      <c r="E111" s="217">
        <v>0.02</v>
      </c>
      <c r="F111" s="217">
        <v>0.02</v>
      </c>
      <c r="G111" s="217">
        <v>0.02</v>
      </c>
      <c r="H111" s="260"/>
      <c r="I111" s="351">
        <v>0</v>
      </c>
      <c r="J111" s="147">
        <v>0.5</v>
      </c>
      <c r="K111" s="147">
        <v>0.25</v>
      </c>
      <c r="L111" s="147">
        <v>-0.25</v>
      </c>
      <c r="M111" s="147">
        <v>-0.5</v>
      </c>
      <c r="O111" s="152" cm="1">
        <f t="array" ref="O111">E111*(1+INDEX($I111:$M111,,$C$16))</f>
        <v>0.02</v>
      </c>
      <c r="P111" s="152" cm="1">
        <f t="array" ref="P111">F111*(1+INDEX($I111:$M111,,$C$16))</f>
        <v>0.02</v>
      </c>
      <c r="Q111" s="152" cm="1">
        <f t="array" ref="Q111">G111*(1+INDEX($I111:$M111,,$C$16))</f>
        <v>0.02</v>
      </c>
    </row>
    <row r="112" spans="2:20" x14ac:dyDescent="0.3">
      <c r="B112" s="137" t="s">
        <v>149</v>
      </c>
      <c r="C112" s="136"/>
      <c r="D112" s="136"/>
      <c r="E112" s="151"/>
      <c r="F112" s="151"/>
      <c r="G112" s="151"/>
      <c r="I112" s="136"/>
      <c r="J112" s="136"/>
      <c r="K112" s="136"/>
      <c r="L112" s="136"/>
      <c r="M112" s="136"/>
      <c r="O112" s="151"/>
      <c r="P112" s="151"/>
      <c r="Q112" s="151"/>
    </row>
    <row r="113" spans="2:17" x14ac:dyDescent="0.3">
      <c r="B113" s="49" t="s">
        <v>182</v>
      </c>
      <c r="C113" s="49"/>
      <c r="D113" s="49" t="s">
        <v>231</v>
      </c>
      <c r="E113" s="220">
        <v>18.399999999999999</v>
      </c>
      <c r="F113" s="221">
        <v>18</v>
      </c>
      <c r="G113" s="221">
        <v>18</v>
      </c>
      <c r="H113" s="260"/>
      <c r="I113" s="352">
        <v>0</v>
      </c>
      <c r="J113" s="149">
        <v>0.5</v>
      </c>
      <c r="K113" s="149">
        <v>0.25</v>
      </c>
      <c r="L113" s="149">
        <v>-0.25</v>
      </c>
      <c r="M113" s="149">
        <v>-0.5</v>
      </c>
      <c r="O113" s="154" cm="1">
        <f t="array" ref="O113">E113*(1+INDEX($I113:$M113,,$C$16))</f>
        <v>18.399999999999999</v>
      </c>
      <c r="P113" s="154" cm="1">
        <f t="array" ref="P113">F113*(1+INDEX($I113:$M113,,$C$16))</f>
        <v>18</v>
      </c>
      <c r="Q113" s="154" cm="1">
        <f t="array" ref="Q113">G113*(1+INDEX($I113:$M113,,$C$16))</f>
        <v>18</v>
      </c>
    </row>
    <row r="114" spans="2:17" x14ac:dyDescent="0.3">
      <c r="E114" s="146"/>
      <c r="F114" s="146"/>
      <c r="G114" s="146"/>
      <c r="O114" s="146"/>
      <c r="P114" s="146"/>
      <c r="Q114" s="146"/>
    </row>
    <row r="115" spans="2:17" x14ac:dyDescent="0.3">
      <c r="B115" s="1" t="s">
        <v>162</v>
      </c>
      <c r="E115" s="146"/>
      <c r="F115" s="146"/>
      <c r="G115" s="146"/>
      <c r="O115" s="146"/>
      <c r="P115" s="146"/>
      <c r="Q115" s="146"/>
    </row>
    <row r="116" spans="2:17" x14ac:dyDescent="0.3">
      <c r="B116" s="137" t="s">
        <v>51</v>
      </c>
      <c r="C116" s="136"/>
      <c r="D116" s="136"/>
      <c r="E116" s="151"/>
      <c r="F116" s="151"/>
      <c r="G116" s="151"/>
      <c r="I116" s="136"/>
      <c r="J116" s="136"/>
      <c r="K116" s="136"/>
      <c r="L116" s="136"/>
      <c r="M116" s="136"/>
      <c r="O116" s="151"/>
      <c r="P116" s="151"/>
      <c r="Q116" s="151"/>
    </row>
    <row r="117" spans="2:17" x14ac:dyDescent="0.3">
      <c r="B117" s="13" t="s">
        <v>38</v>
      </c>
      <c r="D117" s="13" t="s">
        <v>230</v>
      </c>
      <c r="E117" s="217">
        <v>0.01</v>
      </c>
      <c r="F117" s="217">
        <v>0.01</v>
      </c>
      <c r="G117" s="217">
        <v>0.01</v>
      </c>
      <c r="H117" s="260"/>
      <c r="I117" s="351">
        <v>0</v>
      </c>
      <c r="J117" s="147">
        <v>0.5</v>
      </c>
      <c r="K117" s="147">
        <v>0.25</v>
      </c>
      <c r="L117" s="147">
        <v>-0.25</v>
      </c>
      <c r="M117" s="147">
        <v>-0.5</v>
      </c>
      <c r="O117" s="152" cm="1">
        <f t="array" ref="O117">E117*(1+INDEX($I117:$M117,,$C$16))</f>
        <v>0.01</v>
      </c>
      <c r="P117" s="152" cm="1">
        <f t="array" ref="P117">F117*(1+INDEX($I117:$M117,,$C$16))</f>
        <v>0.01</v>
      </c>
      <c r="Q117" s="152" cm="1">
        <f t="array" ref="Q117">G117*(1+INDEX($I117:$M117,,$C$16))</f>
        <v>0.01</v>
      </c>
    </row>
    <row r="118" spans="2:17" x14ac:dyDescent="0.3">
      <c r="B118" s="13" t="s">
        <v>39</v>
      </c>
      <c r="D118" s="13" t="s">
        <v>230</v>
      </c>
      <c r="E118" s="217">
        <v>1.2E-2</v>
      </c>
      <c r="F118" s="217">
        <v>1.2E-2</v>
      </c>
      <c r="G118" s="217">
        <v>1.2E-2</v>
      </c>
      <c r="H118" s="260"/>
      <c r="I118" s="351">
        <v>0</v>
      </c>
      <c r="J118" s="147">
        <v>0.5</v>
      </c>
      <c r="K118" s="147">
        <v>0.25</v>
      </c>
      <c r="L118" s="147">
        <v>-0.25</v>
      </c>
      <c r="M118" s="147">
        <v>-0.5</v>
      </c>
      <c r="O118" s="152" cm="1">
        <f t="array" ref="O118">E118*(1+INDEX($I118:$M118,,$C$16))</f>
        <v>1.2E-2</v>
      </c>
      <c r="P118" s="152" cm="1">
        <f t="array" ref="P118">F118*(1+INDEX($I118:$M118,,$C$16))</f>
        <v>1.2E-2</v>
      </c>
      <c r="Q118" s="152" cm="1">
        <f t="array" ref="Q118">G118*(1+INDEX($I118:$M118,,$C$16))</f>
        <v>1.2E-2</v>
      </c>
    </row>
    <row r="119" spans="2:17" x14ac:dyDescent="0.3">
      <c r="B119" s="13" t="s">
        <v>258</v>
      </c>
      <c r="D119" s="13" t="s">
        <v>231</v>
      </c>
      <c r="E119" s="207"/>
      <c r="F119" s="218">
        <v>60</v>
      </c>
      <c r="G119" s="218">
        <v>60</v>
      </c>
      <c r="H119" s="260"/>
      <c r="I119" s="351">
        <v>0</v>
      </c>
      <c r="J119" s="147">
        <v>0.5</v>
      </c>
      <c r="K119" s="147">
        <v>0.25</v>
      </c>
      <c r="L119" s="147">
        <v>-0.25</v>
      </c>
      <c r="M119" s="147">
        <v>-0.5</v>
      </c>
      <c r="O119" s="153" cm="1">
        <f t="array" ref="O119">E119*(1+INDEX($I119:$M119,,$C$16))</f>
        <v>0</v>
      </c>
      <c r="P119" s="153" cm="1">
        <f t="array" ref="P119">F119*(1+INDEX($I119:$M119,,$C$16))</f>
        <v>60</v>
      </c>
      <c r="Q119" s="153" cm="1">
        <f t="array" ref="Q119">G119*(1+INDEX($I119:$M119,,$C$16))</f>
        <v>60</v>
      </c>
    </row>
    <row r="120" spans="2:17" x14ac:dyDescent="0.3">
      <c r="B120" s="137" t="s">
        <v>50</v>
      </c>
      <c r="C120" s="136"/>
      <c r="D120" s="136"/>
      <c r="E120" s="151"/>
      <c r="F120" s="151"/>
      <c r="G120" s="151"/>
      <c r="I120" s="136"/>
      <c r="J120" s="136"/>
      <c r="K120" s="136"/>
      <c r="L120" s="136"/>
      <c r="M120" s="136"/>
      <c r="O120" s="151"/>
      <c r="P120" s="151"/>
      <c r="Q120" s="151"/>
    </row>
    <row r="121" spans="2:17" x14ac:dyDescent="0.3">
      <c r="B121" s="13" t="s">
        <v>38</v>
      </c>
      <c r="D121" s="13" t="s">
        <v>230</v>
      </c>
      <c r="E121" s="217">
        <v>1.4999999999999999E-2</v>
      </c>
      <c r="F121" s="217">
        <v>1.4999999999999999E-2</v>
      </c>
      <c r="G121" s="217">
        <v>1.4999999999999999E-2</v>
      </c>
      <c r="H121" s="260"/>
      <c r="I121" s="351">
        <v>0</v>
      </c>
      <c r="J121" s="147">
        <v>0.5</v>
      </c>
      <c r="K121" s="147">
        <v>0.25</v>
      </c>
      <c r="L121" s="147">
        <v>-0.25</v>
      </c>
      <c r="M121" s="147">
        <v>-0.5</v>
      </c>
      <c r="O121" s="152" cm="1">
        <f t="array" ref="O121">E121*(1+INDEX($I121:$M121,,$C$16))</f>
        <v>1.4999999999999999E-2</v>
      </c>
      <c r="P121" s="152" cm="1">
        <f t="array" ref="P121">F121*(1+INDEX($I121:$M121,,$C$16))</f>
        <v>1.4999999999999999E-2</v>
      </c>
      <c r="Q121" s="152" cm="1">
        <f t="array" ref="Q121">G121*(1+INDEX($I121:$M121,,$C$16))</f>
        <v>1.4999999999999999E-2</v>
      </c>
    </row>
    <row r="122" spans="2:17" x14ac:dyDescent="0.3">
      <c r="B122" s="13" t="s">
        <v>39</v>
      </c>
      <c r="D122" s="13" t="s">
        <v>230</v>
      </c>
      <c r="E122" s="217">
        <v>1.2E-2</v>
      </c>
      <c r="F122" s="217">
        <v>1.2E-2</v>
      </c>
      <c r="G122" s="217">
        <v>1.2E-2</v>
      </c>
      <c r="H122" s="260"/>
      <c r="I122" s="351">
        <v>0</v>
      </c>
      <c r="J122" s="147">
        <v>0.5</v>
      </c>
      <c r="K122" s="147">
        <v>0.25</v>
      </c>
      <c r="L122" s="147">
        <v>-0.25</v>
      </c>
      <c r="M122" s="147">
        <v>-0.5</v>
      </c>
      <c r="O122" s="152" cm="1">
        <f t="array" ref="O122">E122*(1+INDEX($I122:$M122,,$C$16))</f>
        <v>1.2E-2</v>
      </c>
      <c r="P122" s="152" cm="1">
        <f t="array" ref="P122">F122*(1+INDEX($I122:$M122,,$C$16))</f>
        <v>1.2E-2</v>
      </c>
      <c r="Q122" s="152" cm="1">
        <f t="array" ref="Q122">G122*(1+INDEX($I122:$M122,,$C$16))</f>
        <v>1.2E-2</v>
      </c>
    </row>
    <row r="123" spans="2:17" x14ac:dyDescent="0.3">
      <c r="B123" s="137" t="s">
        <v>21</v>
      </c>
      <c r="C123" s="136"/>
      <c r="D123" s="136"/>
      <c r="E123" s="151"/>
      <c r="F123" s="151"/>
      <c r="G123" s="151"/>
      <c r="I123" s="136"/>
      <c r="J123" s="136"/>
      <c r="K123" s="136"/>
      <c r="L123" s="136"/>
      <c r="M123" s="136"/>
      <c r="O123" s="151"/>
      <c r="P123" s="151"/>
      <c r="Q123" s="151"/>
    </row>
    <row r="124" spans="2:17" x14ac:dyDescent="0.3">
      <c r="B124" s="49" t="s">
        <v>115</v>
      </c>
      <c r="C124" s="49"/>
      <c r="D124" s="49" t="s">
        <v>230</v>
      </c>
      <c r="E124" s="219">
        <v>0.02</v>
      </c>
      <c r="F124" s="219">
        <v>0.02</v>
      </c>
      <c r="G124" s="219">
        <v>0.02</v>
      </c>
      <c r="H124" s="260"/>
      <c r="I124" s="352">
        <v>0</v>
      </c>
      <c r="J124" s="149">
        <v>0.5</v>
      </c>
      <c r="K124" s="149">
        <v>0.25</v>
      </c>
      <c r="L124" s="149">
        <v>-0.25</v>
      </c>
      <c r="M124" s="149">
        <v>-0.5</v>
      </c>
      <c r="O124" s="155" cm="1">
        <f t="array" ref="O124">E124*(1+INDEX($I124:$M124,,$C$16))</f>
        <v>0.02</v>
      </c>
      <c r="P124" s="155" cm="1">
        <f t="array" ref="P124">F124*(1+INDEX($I124:$M124,,$C$16))</f>
        <v>0.02</v>
      </c>
      <c r="Q124" s="155" cm="1">
        <f t="array" ref="Q124">G124*(1+INDEX($I124:$M124,,$C$16))</f>
        <v>0.02</v>
      </c>
    </row>
    <row r="125" spans="2:17" x14ac:dyDescent="0.3">
      <c r="E125" s="146"/>
      <c r="F125" s="146"/>
      <c r="G125" s="146"/>
      <c r="O125" s="146"/>
      <c r="P125" s="146"/>
      <c r="Q125" s="146"/>
    </row>
    <row r="126" spans="2:17" x14ac:dyDescent="0.3">
      <c r="B126" s="1" t="s">
        <v>163</v>
      </c>
      <c r="E126" s="146"/>
      <c r="F126" s="146"/>
      <c r="G126" s="146"/>
      <c r="O126" s="146"/>
      <c r="P126" s="146"/>
      <c r="Q126" s="146"/>
    </row>
    <row r="127" spans="2:17" x14ac:dyDescent="0.3">
      <c r="B127" s="137" t="s">
        <v>22</v>
      </c>
      <c r="C127" s="136"/>
      <c r="D127" s="136"/>
      <c r="E127" s="151"/>
      <c r="F127" s="151"/>
      <c r="G127" s="151"/>
      <c r="I127" s="136"/>
      <c r="J127" s="136"/>
      <c r="K127" s="136"/>
      <c r="L127" s="136"/>
      <c r="M127" s="136"/>
      <c r="O127" s="151"/>
      <c r="P127" s="151"/>
      <c r="Q127" s="151"/>
    </row>
    <row r="128" spans="2:17" x14ac:dyDescent="0.3">
      <c r="B128" s="13" t="s">
        <v>249</v>
      </c>
      <c r="D128" s="13" t="s">
        <v>231</v>
      </c>
      <c r="E128" s="218">
        <v>100</v>
      </c>
      <c r="F128" s="218">
        <v>140</v>
      </c>
      <c r="G128" s="151"/>
      <c r="I128" s="351">
        <v>0</v>
      </c>
      <c r="J128" s="147">
        <v>0.5</v>
      </c>
      <c r="K128" s="147">
        <v>0.25</v>
      </c>
      <c r="L128" s="147">
        <v>-0.25</v>
      </c>
      <c r="M128" s="147">
        <v>-0.5</v>
      </c>
      <c r="O128" s="153" cm="1">
        <f t="array" ref="O128">E128*(1+INDEX($I128:$M128,,$C$16))</f>
        <v>100</v>
      </c>
      <c r="P128" s="153" cm="1">
        <f t="array" ref="P128">F128*(1+INDEX($I128:$M128,,$C$16))</f>
        <v>140</v>
      </c>
      <c r="Q128" s="153" cm="1">
        <f t="array" ref="Q128">G128*(1+INDEX($I128:$M128,,$C$16))</f>
        <v>0</v>
      </c>
    </row>
    <row r="129" spans="2:17" x14ac:dyDescent="0.3">
      <c r="B129" s="137" t="s">
        <v>52</v>
      </c>
      <c r="C129" s="136"/>
      <c r="D129" s="136"/>
      <c r="E129" s="151"/>
      <c r="F129" s="151"/>
      <c r="G129" s="151"/>
      <c r="I129" s="136"/>
      <c r="J129" s="136"/>
      <c r="K129" s="136"/>
      <c r="L129" s="136"/>
      <c r="M129" s="136"/>
      <c r="O129" s="151"/>
      <c r="P129" s="151"/>
      <c r="Q129" s="151"/>
    </row>
    <row r="130" spans="2:17" x14ac:dyDescent="0.3">
      <c r="B130" s="13" t="s">
        <v>23</v>
      </c>
      <c r="D130" s="13" t="s">
        <v>234</v>
      </c>
      <c r="E130" s="218">
        <v>1</v>
      </c>
      <c r="F130" s="151"/>
      <c r="G130" s="151"/>
      <c r="I130" s="351">
        <v>0</v>
      </c>
      <c r="J130" s="147">
        <v>0.5</v>
      </c>
      <c r="K130" s="147">
        <v>0.25</v>
      </c>
      <c r="L130" s="147">
        <v>-0.25</v>
      </c>
      <c r="M130" s="147">
        <v>-0.5</v>
      </c>
      <c r="O130" s="153" cm="1">
        <f t="array" ref="O130">E130*(1+INDEX($I130:$M130,,$C$16))</f>
        <v>1</v>
      </c>
      <c r="P130" s="153" cm="1">
        <f t="array" ref="P130">F130*(1+INDEX($I130:$M130,,$C$16))</f>
        <v>0</v>
      </c>
      <c r="Q130" s="153" cm="1">
        <f t="array" ref="Q130">G130*(1+INDEX($I130:$M130,,$C$16))</f>
        <v>0</v>
      </c>
    </row>
    <row r="131" spans="2:17" x14ac:dyDescent="0.3">
      <c r="B131" s="13" t="s">
        <v>237</v>
      </c>
      <c r="D131" s="13" t="s">
        <v>233</v>
      </c>
      <c r="E131" s="218">
        <v>12</v>
      </c>
      <c r="F131" s="151"/>
      <c r="G131" s="151"/>
      <c r="I131" s="351">
        <v>0</v>
      </c>
      <c r="J131" s="147">
        <v>0.5</v>
      </c>
      <c r="K131" s="147">
        <v>0.25</v>
      </c>
      <c r="L131" s="147">
        <v>-0.25</v>
      </c>
      <c r="M131" s="147">
        <v>-0.5</v>
      </c>
      <c r="O131" s="153" cm="1">
        <f t="array" ref="O131">E131*(1+INDEX($I131:$M131,,$C$16))</f>
        <v>12</v>
      </c>
      <c r="P131" s="153" cm="1">
        <f t="array" ref="P131">F131*(1+INDEX($I131:$M131,,$C$16))</f>
        <v>0</v>
      </c>
      <c r="Q131" s="153" cm="1">
        <f t="array" ref="Q131">G131*(1+INDEX($I131:$M131,,$C$16))</f>
        <v>0</v>
      </c>
    </row>
    <row r="132" spans="2:17" x14ac:dyDescent="0.3">
      <c r="B132" s="13" t="s">
        <v>236</v>
      </c>
      <c r="D132" s="13" t="s">
        <v>235</v>
      </c>
      <c r="E132" s="218">
        <v>50</v>
      </c>
      <c r="F132" s="151"/>
      <c r="G132" s="151"/>
      <c r="H132" s="268"/>
      <c r="I132" s="351">
        <v>0</v>
      </c>
      <c r="J132" s="147">
        <v>0.5</v>
      </c>
      <c r="K132" s="147">
        <v>0.25</v>
      </c>
      <c r="L132" s="147">
        <v>-0.25</v>
      </c>
      <c r="M132" s="147">
        <v>-0.5</v>
      </c>
      <c r="O132" s="153" cm="1">
        <f t="array" ref="O132">E132*(1+INDEX($I132:$M132,,$C$16))</f>
        <v>50</v>
      </c>
      <c r="P132" s="153" cm="1">
        <f t="array" ref="P132">F132*(1+INDEX($I132:$M132,,$C$16))</f>
        <v>0</v>
      </c>
      <c r="Q132" s="153" cm="1">
        <f t="array" ref="Q132">G132*(1+INDEX($I132:$M132,,$C$16))</f>
        <v>0</v>
      </c>
    </row>
    <row r="133" spans="2:17" x14ac:dyDescent="0.3">
      <c r="B133" s="13" t="s">
        <v>25</v>
      </c>
      <c r="D133" s="13" t="s">
        <v>234</v>
      </c>
      <c r="E133" s="218">
        <v>25</v>
      </c>
      <c r="F133" s="151"/>
      <c r="G133" s="151"/>
      <c r="I133" s="351">
        <v>0</v>
      </c>
      <c r="J133" s="147">
        <v>0.5</v>
      </c>
      <c r="K133" s="147">
        <v>0.25</v>
      </c>
      <c r="L133" s="147">
        <v>-0.25</v>
      </c>
      <c r="M133" s="147">
        <v>-0.5</v>
      </c>
      <c r="O133" s="153" cm="1">
        <f t="array" ref="O133">E133*(1+INDEX($I133:$M133,,$C$16))</f>
        <v>25</v>
      </c>
      <c r="P133" s="153" cm="1">
        <f t="array" ref="P133">F133*(1+INDEX($I133:$M133,,$C$16))</f>
        <v>0</v>
      </c>
      <c r="Q133" s="153" cm="1">
        <f t="array" ref="Q133">G133*(1+INDEX($I133:$M133,,$C$16))</f>
        <v>0</v>
      </c>
    </row>
    <row r="134" spans="2:17" x14ac:dyDescent="0.3">
      <c r="B134" s="13" t="s">
        <v>238</v>
      </c>
      <c r="D134" s="13" t="s">
        <v>231</v>
      </c>
      <c r="E134" s="218">
        <v>1</v>
      </c>
      <c r="F134" s="151"/>
      <c r="G134" s="151"/>
      <c r="I134" s="351">
        <v>0</v>
      </c>
      <c r="J134" s="147">
        <v>0.5</v>
      </c>
      <c r="K134" s="147">
        <v>0.25</v>
      </c>
      <c r="L134" s="147">
        <v>-0.25</v>
      </c>
      <c r="M134" s="147">
        <v>-0.5</v>
      </c>
      <c r="O134" s="153" cm="1">
        <f t="array" ref="O134">E134*(1+INDEX($I134:$M134,,$C$16))</f>
        <v>1</v>
      </c>
      <c r="P134" s="153" cm="1">
        <f t="array" ref="P134">F134*(1+INDEX($I134:$M134,,$C$16))</f>
        <v>0</v>
      </c>
      <c r="Q134" s="153" cm="1">
        <f t="array" ref="Q134">G134*(1+INDEX($I134:$M134,,$C$16))</f>
        <v>0</v>
      </c>
    </row>
    <row r="135" spans="2:17" x14ac:dyDescent="0.3">
      <c r="B135" s="13" t="s">
        <v>239</v>
      </c>
      <c r="D135" s="13" t="s">
        <v>231</v>
      </c>
      <c r="E135" s="218">
        <v>10</v>
      </c>
      <c r="F135" s="151"/>
      <c r="G135" s="151"/>
      <c r="I135" s="351">
        <v>0</v>
      </c>
      <c r="J135" s="147">
        <v>0.5</v>
      </c>
      <c r="K135" s="147">
        <v>0.25</v>
      </c>
      <c r="L135" s="147">
        <v>-0.25</v>
      </c>
      <c r="M135" s="147">
        <v>-0.5</v>
      </c>
      <c r="O135" s="153" cm="1">
        <f t="array" ref="O135">E135*(1+INDEX($I135:$M135,,$C$16))</f>
        <v>10</v>
      </c>
      <c r="P135" s="153" cm="1">
        <f t="array" ref="P135">F135*(1+INDEX($I135:$M135,,$C$16))</f>
        <v>0</v>
      </c>
      <c r="Q135" s="153" cm="1">
        <f t="array" ref="Q135">G135*(1+INDEX($I135:$M135,,$C$16))</f>
        <v>0</v>
      </c>
    </row>
    <row r="136" spans="2:17" x14ac:dyDescent="0.3">
      <c r="B136" s="137" t="s">
        <v>27</v>
      </c>
      <c r="C136" s="136"/>
      <c r="D136" s="136"/>
      <c r="E136" s="151"/>
      <c r="F136" s="151"/>
      <c r="G136" s="151"/>
      <c r="I136" s="136"/>
      <c r="J136" s="136"/>
      <c r="K136" s="136"/>
      <c r="L136" s="136"/>
      <c r="M136" s="136"/>
      <c r="O136" s="151"/>
      <c r="P136" s="151"/>
      <c r="Q136" s="151"/>
    </row>
    <row r="137" spans="2:17" x14ac:dyDescent="0.3">
      <c r="B137" s="13" t="s">
        <v>34</v>
      </c>
      <c r="D137" s="13" t="s">
        <v>230</v>
      </c>
      <c r="E137" s="217">
        <v>0.01</v>
      </c>
      <c r="F137" s="217">
        <v>0.01</v>
      </c>
      <c r="G137" s="217">
        <v>0.01</v>
      </c>
      <c r="H137" s="260"/>
      <c r="I137" s="351">
        <v>0</v>
      </c>
      <c r="J137" s="147">
        <v>0.5</v>
      </c>
      <c r="K137" s="147">
        <v>0.25</v>
      </c>
      <c r="L137" s="147">
        <v>-0.25</v>
      </c>
      <c r="M137" s="147">
        <v>-0.5</v>
      </c>
      <c r="O137" s="152" cm="1">
        <f t="array" ref="O137">E137*(1+INDEX($I137:$M137,,$C$16))</f>
        <v>0.01</v>
      </c>
      <c r="P137" s="152" cm="1">
        <f t="array" ref="P137">F137*(1+INDEX($I137:$M137,,$C$16))</f>
        <v>0.01</v>
      </c>
      <c r="Q137" s="152" cm="1">
        <f t="array" ref="Q137">G137*(1+INDEX($I137:$M137,,$C$16))</f>
        <v>0.01</v>
      </c>
    </row>
    <row r="138" spans="2:17" x14ac:dyDescent="0.3">
      <c r="B138" s="13" t="s">
        <v>240</v>
      </c>
      <c r="D138" s="13" t="s">
        <v>231</v>
      </c>
      <c r="E138" s="218">
        <v>750</v>
      </c>
      <c r="F138" s="218">
        <v>750</v>
      </c>
      <c r="G138" s="218">
        <v>750</v>
      </c>
      <c r="H138" s="260"/>
      <c r="I138" s="351">
        <v>0</v>
      </c>
      <c r="J138" s="147">
        <v>0.5</v>
      </c>
      <c r="K138" s="147">
        <v>0.25</v>
      </c>
      <c r="L138" s="147">
        <v>-0.25</v>
      </c>
      <c r="M138" s="147">
        <v>-0.5</v>
      </c>
      <c r="O138" s="153" cm="1">
        <f t="array" ref="O138">E138*(1+INDEX($I138:$M138,,$C$16))</f>
        <v>750</v>
      </c>
      <c r="P138" s="153" cm="1">
        <f t="array" ref="P138">F138*(1+INDEX($I138:$M138,,$C$16))</f>
        <v>750</v>
      </c>
      <c r="Q138" s="153" cm="1">
        <f t="array" ref="Q138">G138*(1+INDEX($I138:$M138,,$C$16))</f>
        <v>750</v>
      </c>
    </row>
    <row r="139" spans="2:17" x14ac:dyDescent="0.3">
      <c r="B139" s="13" t="s">
        <v>241</v>
      </c>
      <c r="D139" s="13" t="s">
        <v>231</v>
      </c>
      <c r="E139" s="218">
        <v>75</v>
      </c>
      <c r="F139" s="218">
        <v>75</v>
      </c>
      <c r="G139" s="218">
        <v>75</v>
      </c>
      <c r="H139" s="260"/>
      <c r="I139" s="351">
        <v>0</v>
      </c>
      <c r="J139" s="147">
        <v>0.5</v>
      </c>
      <c r="K139" s="147">
        <v>0.25</v>
      </c>
      <c r="L139" s="147">
        <v>-0.25</v>
      </c>
      <c r="M139" s="147">
        <v>-0.5</v>
      </c>
      <c r="O139" s="153" cm="1">
        <f t="array" ref="O139">E139*(1+INDEX($I139:$M139,,$C$16))</f>
        <v>75</v>
      </c>
      <c r="P139" s="153" cm="1">
        <f t="array" ref="P139">F139*(1+INDEX($I139:$M139,,$C$16))</f>
        <v>75</v>
      </c>
      <c r="Q139" s="153" cm="1">
        <f t="array" ref="Q139">G139*(1+INDEX($I139:$M139,,$C$16))</f>
        <v>75</v>
      </c>
    </row>
    <row r="140" spans="2:17" x14ac:dyDescent="0.3">
      <c r="B140" s="49" t="s">
        <v>62</v>
      </c>
      <c r="C140" s="49"/>
      <c r="D140" s="49" t="s">
        <v>230</v>
      </c>
      <c r="E140" s="219">
        <v>2.5000000000000001E-2</v>
      </c>
      <c r="F140" s="219">
        <v>2.5000000000000001E-2</v>
      </c>
      <c r="G140" s="219">
        <v>2.5000000000000001E-2</v>
      </c>
      <c r="H140" s="260"/>
      <c r="I140" s="352">
        <v>0</v>
      </c>
      <c r="J140" s="149">
        <v>0.5</v>
      </c>
      <c r="K140" s="149">
        <v>0.25</v>
      </c>
      <c r="L140" s="149">
        <v>-0.25</v>
      </c>
      <c r="M140" s="149">
        <v>-0.5</v>
      </c>
      <c r="O140" s="155" cm="1">
        <f t="array" ref="O140">E140*(1+INDEX($I140:$M140,,$C$16))</f>
        <v>2.5000000000000001E-2</v>
      </c>
      <c r="P140" s="155" cm="1">
        <f t="array" ref="P140">F140*(1+INDEX($I140:$M140,,$C$16))</f>
        <v>2.5000000000000001E-2</v>
      </c>
      <c r="Q140" s="155" cm="1">
        <f t="array" ref="Q140">G140*(1+INDEX($I140:$M140,,$C$16))</f>
        <v>2.5000000000000001E-2</v>
      </c>
    </row>
    <row r="141" spans="2:17" x14ac:dyDescent="0.3">
      <c r="E141" s="146"/>
      <c r="F141" s="146"/>
      <c r="G141" s="146"/>
      <c r="O141" s="146"/>
      <c r="P141" s="146"/>
      <c r="Q141" s="146"/>
    </row>
    <row r="142" spans="2:17" x14ac:dyDescent="0.3">
      <c r="B142" s="1" t="s">
        <v>164</v>
      </c>
      <c r="E142" s="146"/>
      <c r="F142" s="146"/>
      <c r="G142" s="146"/>
      <c r="O142" s="146"/>
      <c r="P142" s="146"/>
      <c r="Q142" s="146"/>
    </row>
    <row r="143" spans="2:17" x14ac:dyDescent="0.3">
      <c r="B143" s="137" t="s">
        <v>42</v>
      </c>
      <c r="C143" s="136"/>
      <c r="D143" s="136"/>
      <c r="E143" s="151"/>
      <c r="F143" s="151"/>
      <c r="G143" s="151"/>
      <c r="I143" s="136"/>
      <c r="J143" s="136"/>
      <c r="K143" s="136"/>
      <c r="L143" s="136"/>
      <c r="M143" s="136"/>
      <c r="O143" s="151"/>
      <c r="P143" s="151"/>
      <c r="Q143" s="151"/>
    </row>
    <row r="144" spans="2:17" x14ac:dyDescent="0.3">
      <c r="B144" s="13" t="s">
        <v>203</v>
      </c>
      <c r="D144" s="13" t="s">
        <v>230</v>
      </c>
      <c r="E144" s="217">
        <v>0.05</v>
      </c>
      <c r="F144" s="217">
        <v>0.05</v>
      </c>
      <c r="G144" s="217">
        <v>0.05</v>
      </c>
      <c r="H144" s="260"/>
      <c r="I144" s="351">
        <v>0</v>
      </c>
      <c r="J144" s="147">
        <v>0.5</v>
      </c>
      <c r="K144" s="147">
        <v>0.25</v>
      </c>
      <c r="L144" s="147">
        <v>-0.25</v>
      </c>
      <c r="M144" s="147">
        <v>-0.5</v>
      </c>
      <c r="O144" s="152" cm="1">
        <f t="array" ref="O144">E144*(1+INDEX($I144:$M144,,$C$16))</f>
        <v>0.05</v>
      </c>
      <c r="P144" s="152" cm="1">
        <f t="array" ref="P144">F144*(1+INDEX($I144:$M144,,$C$16))</f>
        <v>0.05</v>
      </c>
      <c r="Q144" s="152" cm="1">
        <f t="array" ref="Q144">G144*(1+INDEX($I144:$M144,,$C$16))</f>
        <v>0.05</v>
      </c>
    </row>
    <row r="145" spans="2:17" x14ac:dyDescent="0.3">
      <c r="B145" s="13" t="s">
        <v>39</v>
      </c>
      <c r="D145" s="13" t="s">
        <v>230</v>
      </c>
      <c r="E145" s="217">
        <v>1.2E-2</v>
      </c>
      <c r="F145" s="217">
        <v>1.2E-2</v>
      </c>
      <c r="G145" s="217">
        <v>1.2E-2</v>
      </c>
      <c r="H145" s="260"/>
      <c r="I145" s="351">
        <v>0</v>
      </c>
      <c r="J145" s="147">
        <v>0.5</v>
      </c>
      <c r="K145" s="147">
        <v>0.25</v>
      </c>
      <c r="L145" s="147">
        <v>-0.25</v>
      </c>
      <c r="M145" s="147">
        <v>-0.5</v>
      </c>
      <c r="O145" s="152" cm="1">
        <f t="array" ref="O145">E145*(1+INDEX($I145:$M145,,$C$16))</f>
        <v>1.2E-2</v>
      </c>
      <c r="P145" s="152" cm="1">
        <f t="array" ref="P145">F145*(1+INDEX($I145:$M145,,$C$16))</f>
        <v>1.2E-2</v>
      </c>
      <c r="Q145" s="152" cm="1">
        <f t="array" ref="Q145">G145*(1+INDEX($I145:$M145,,$C$16))</f>
        <v>1.2E-2</v>
      </c>
    </row>
    <row r="146" spans="2:17" x14ac:dyDescent="0.3">
      <c r="B146" s="137" t="s">
        <v>43</v>
      </c>
      <c r="C146" s="136"/>
      <c r="D146" s="136"/>
      <c r="E146" s="151"/>
      <c r="F146" s="151"/>
      <c r="G146" s="151"/>
      <c r="I146" s="136"/>
      <c r="J146" s="136"/>
      <c r="K146" s="136"/>
      <c r="L146" s="136"/>
      <c r="M146" s="136"/>
      <c r="O146" s="151"/>
      <c r="P146" s="151"/>
      <c r="Q146" s="151"/>
    </row>
    <row r="147" spans="2:17" x14ac:dyDescent="0.3">
      <c r="B147" s="13" t="s">
        <v>204</v>
      </c>
      <c r="D147" s="13" t="s">
        <v>230</v>
      </c>
      <c r="E147" s="217">
        <v>0.05</v>
      </c>
      <c r="F147" s="217">
        <v>0.05</v>
      </c>
      <c r="G147" s="217">
        <v>0.05</v>
      </c>
      <c r="H147" s="260"/>
      <c r="I147" s="351">
        <v>0</v>
      </c>
      <c r="J147" s="147">
        <v>0.5</v>
      </c>
      <c r="K147" s="147">
        <v>0.25</v>
      </c>
      <c r="L147" s="147">
        <v>-0.25</v>
      </c>
      <c r="M147" s="147">
        <v>-0.5</v>
      </c>
      <c r="O147" s="152" cm="1">
        <f t="array" ref="O147">E147*(1+INDEX($I147:$M147,,$C$16))</f>
        <v>0.05</v>
      </c>
      <c r="P147" s="152" cm="1">
        <f t="array" ref="P147">F147*(1+INDEX($I147:$M147,,$C$16))</f>
        <v>0.05</v>
      </c>
      <c r="Q147" s="152" cm="1">
        <f t="array" ref="Q147">G147*(1+INDEX($I147:$M147,,$C$16))</f>
        <v>0.05</v>
      </c>
    </row>
    <row r="148" spans="2:17" x14ac:dyDescent="0.3">
      <c r="B148" s="49" t="s">
        <v>39</v>
      </c>
      <c r="C148" s="49"/>
      <c r="D148" s="49" t="s">
        <v>230</v>
      </c>
      <c r="E148" s="219">
        <v>1.2E-2</v>
      </c>
      <c r="F148" s="219">
        <v>1.2E-2</v>
      </c>
      <c r="G148" s="219">
        <v>1.2E-2</v>
      </c>
      <c r="H148" s="260"/>
      <c r="I148" s="352">
        <v>0</v>
      </c>
      <c r="J148" s="149">
        <v>0.5</v>
      </c>
      <c r="K148" s="149">
        <v>0.25</v>
      </c>
      <c r="L148" s="149">
        <v>-0.25</v>
      </c>
      <c r="M148" s="149">
        <v>-0.5</v>
      </c>
      <c r="O148" s="155" cm="1">
        <f t="array" ref="O148">E148*(1+INDEX($I148:$M148,,$C$16))</f>
        <v>1.2E-2</v>
      </c>
      <c r="P148" s="155" cm="1">
        <f t="array" ref="P148">F148*(1+INDEX($I148:$M148,,$C$16))</f>
        <v>1.2E-2</v>
      </c>
      <c r="Q148" s="155" cm="1">
        <f t="array" ref="Q148">G148*(1+INDEX($I148:$M148,,$C$16))</f>
        <v>1.2E-2</v>
      </c>
    </row>
    <row r="149" spans="2:17" x14ac:dyDescent="0.3">
      <c r="E149" s="146"/>
      <c r="F149" s="146"/>
      <c r="G149" s="146"/>
      <c r="O149" s="146"/>
      <c r="P149" s="146"/>
      <c r="Q149" s="146"/>
    </row>
    <row r="150" spans="2:17" x14ac:dyDescent="0.3">
      <c r="B150" s="1" t="s">
        <v>199</v>
      </c>
      <c r="E150" s="146"/>
      <c r="F150" s="146"/>
      <c r="G150" s="146"/>
      <c r="O150" s="146"/>
      <c r="P150" s="146"/>
      <c r="Q150" s="146"/>
    </row>
    <row r="151" spans="2:17" x14ac:dyDescent="0.3">
      <c r="B151" s="137" t="s">
        <v>46</v>
      </c>
      <c r="C151" s="136"/>
      <c r="D151" s="136"/>
      <c r="E151" s="151"/>
      <c r="F151" s="151"/>
      <c r="G151" s="151"/>
      <c r="I151" s="136"/>
      <c r="J151" s="136"/>
      <c r="K151" s="136"/>
      <c r="L151" s="136"/>
      <c r="M151" s="136"/>
      <c r="O151" s="151"/>
      <c r="P151" s="151"/>
      <c r="Q151" s="151"/>
    </row>
    <row r="152" spans="2:17" x14ac:dyDescent="0.3">
      <c r="B152" s="13" t="s">
        <v>206</v>
      </c>
      <c r="D152" s="13" t="s">
        <v>230</v>
      </c>
      <c r="E152" s="217">
        <v>0.01</v>
      </c>
      <c r="F152" s="217">
        <v>0.01</v>
      </c>
      <c r="G152" s="217">
        <v>0.01</v>
      </c>
      <c r="H152" s="260"/>
      <c r="I152" s="351">
        <v>0</v>
      </c>
      <c r="J152" s="147">
        <v>0.5</v>
      </c>
      <c r="K152" s="147">
        <v>0.25</v>
      </c>
      <c r="L152" s="147">
        <v>-0.25</v>
      </c>
      <c r="M152" s="147">
        <v>-0.5</v>
      </c>
      <c r="O152" s="152" cm="1">
        <f t="array" ref="O152">E152*(1+INDEX($I152:$M152,,$C$16))</f>
        <v>0.01</v>
      </c>
      <c r="P152" s="152" cm="1">
        <f t="array" ref="P152">F152*(1+INDEX($I152:$M152,,$C$16))</f>
        <v>0.01</v>
      </c>
      <c r="Q152" s="152" cm="1">
        <f t="array" ref="Q152">G152*(1+INDEX($I152:$M152,,$C$16))</f>
        <v>0.01</v>
      </c>
    </row>
    <row r="153" spans="2:17" x14ac:dyDescent="0.3">
      <c r="B153" s="13" t="s">
        <v>242</v>
      </c>
      <c r="D153" s="13" t="s">
        <v>231</v>
      </c>
      <c r="E153" s="218">
        <v>500</v>
      </c>
      <c r="F153" s="218">
        <v>500</v>
      </c>
      <c r="G153" s="218">
        <v>500</v>
      </c>
      <c r="H153" s="260"/>
      <c r="I153" s="351">
        <v>0</v>
      </c>
      <c r="J153" s="147">
        <v>0.5</v>
      </c>
      <c r="K153" s="147">
        <v>0.25</v>
      </c>
      <c r="L153" s="147">
        <v>-0.25</v>
      </c>
      <c r="M153" s="147">
        <v>-0.5</v>
      </c>
      <c r="O153" s="153" cm="1">
        <f t="array" ref="O153">E153*(1+INDEX($I153:$M153,,$C$16))</f>
        <v>500</v>
      </c>
      <c r="P153" s="153" cm="1">
        <f t="array" ref="P153">F153*(1+INDEX($I153:$M153,,$C$16))</f>
        <v>500</v>
      </c>
      <c r="Q153" s="153" cm="1">
        <f t="array" ref="Q153">G153*(1+INDEX($I153:$M153,,$C$16))</f>
        <v>500</v>
      </c>
    </row>
    <row r="154" spans="2:17" x14ac:dyDescent="0.3">
      <c r="B154" s="137" t="s">
        <v>153</v>
      </c>
      <c r="C154" s="136"/>
      <c r="D154" s="136"/>
      <c r="E154" s="151"/>
      <c r="F154" s="151"/>
      <c r="G154" s="151"/>
      <c r="I154" s="136"/>
      <c r="J154" s="136"/>
      <c r="K154" s="136"/>
      <c r="L154" s="136"/>
      <c r="M154" s="136"/>
      <c r="O154" s="151"/>
      <c r="P154" s="151"/>
      <c r="Q154" s="151"/>
    </row>
    <row r="155" spans="2:17" x14ac:dyDescent="0.3">
      <c r="B155" s="13" t="s">
        <v>205</v>
      </c>
      <c r="D155" s="13" t="s">
        <v>230</v>
      </c>
      <c r="E155" s="217">
        <v>0.01</v>
      </c>
      <c r="F155" s="217">
        <v>0.01</v>
      </c>
      <c r="G155" s="217">
        <v>0.01</v>
      </c>
      <c r="H155" s="260"/>
      <c r="I155" s="351">
        <v>0</v>
      </c>
      <c r="J155" s="147">
        <v>0.5</v>
      </c>
      <c r="K155" s="147">
        <v>0.25</v>
      </c>
      <c r="L155" s="147">
        <v>-0.25</v>
      </c>
      <c r="M155" s="147">
        <v>-0.5</v>
      </c>
      <c r="O155" s="152" cm="1">
        <f t="array" ref="O155">E155*(1+INDEX($I155:$M155,,$C$16))</f>
        <v>0.01</v>
      </c>
      <c r="P155" s="152" cm="1">
        <f t="array" ref="P155">F155*(1+INDEX($I155:$M155,,$C$16))</f>
        <v>0.01</v>
      </c>
      <c r="Q155" s="152" cm="1">
        <f t="array" ref="Q155">G155*(1+INDEX($I155:$M155,,$C$16))</f>
        <v>0.01</v>
      </c>
    </row>
    <row r="156" spans="2:17" x14ac:dyDescent="0.3">
      <c r="B156" s="49" t="s">
        <v>243</v>
      </c>
      <c r="C156" s="49"/>
      <c r="D156" s="49" t="s">
        <v>231</v>
      </c>
      <c r="E156" s="220">
        <v>5</v>
      </c>
      <c r="F156" s="220">
        <v>5</v>
      </c>
      <c r="G156" s="220">
        <v>5</v>
      </c>
      <c r="H156" s="260"/>
      <c r="I156" s="352">
        <v>0</v>
      </c>
      <c r="J156" s="149">
        <v>0.5</v>
      </c>
      <c r="K156" s="149">
        <v>0.25</v>
      </c>
      <c r="L156" s="149">
        <v>-0.25</v>
      </c>
      <c r="M156" s="149">
        <v>-0.5</v>
      </c>
      <c r="O156" s="154" cm="1">
        <f t="array" ref="O156">E156*(1+INDEX($I156:$M156,,$C$16))</f>
        <v>5</v>
      </c>
      <c r="P156" s="154" cm="1">
        <f t="array" ref="P156">F156*(1+INDEX($I156:$M156,,$C$16))</f>
        <v>5</v>
      </c>
      <c r="Q156" s="154" cm="1">
        <f t="array" ref="Q156">G156*(1+INDEX($I156:$M156,,$C$16))</f>
        <v>5</v>
      </c>
    </row>
    <row r="157" spans="2:17" x14ac:dyDescent="0.3">
      <c r="E157" s="146"/>
      <c r="F157" s="146"/>
      <c r="G157" s="146"/>
      <c r="O157" s="146"/>
      <c r="P157" s="146"/>
      <c r="Q157" s="146"/>
    </row>
    <row r="158" spans="2:17" x14ac:dyDescent="0.3">
      <c r="B158" s="1" t="s">
        <v>200</v>
      </c>
      <c r="E158" s="146"/>
      <c r="F158" s="146"/>
      <c r="G158" s="146"/>
      <c r="O158" s="146"/>
      <c r="P158" s="146"/>
      <c r="Q158" s="146"/>
    </row>
    <row r="159" spans="2:17" x14ac:dyDescent="0.3">
      <c r="B159" s="137" t="s">
        <v>201</v>
      </c>
      <c r="C159" s="136"/>
      <c r="D159" s="136"/>
      <c r="E159" s="151"/>
      <c r="F159" s="151"/>
      <c r="G159" s="151"/>
      <c r="I159" s="136"/>
      <c r="J159" s="136"/>
      <c r="K159" s="136"/>
      <c r="L159" s="136"/>
      <c r="M159" s="136"/>
      <c r="O159" s="151"/>
      <c r="P159" s="151"/>
      <c r="Q159" s="151"/>
    </row>
    <row r="160" spans="2:17" x14ac:dyDescent="0.3">
      <c r="B160" s="13" t="s">
        <v>38</v>
      </c>
      <c r="D160" s="13" t="s">
        <v>230</v>
      </c>
      <c r="E160" s="217">
        <v>2.5000000000000001E-2</v>
      </c>
      <c r="F160" s="376"/>
      <c r="G160" s="151"/>
      <c r="H160" s="260"/>
      <c r="I160" s="351">
        <v>0</v>
      </c>
      <c r="J160" s="147">
        <v>0.5</v>
      </c>
      <c r="K160" s="147">
        <v>0.25</v>
      </c>
      <c r="L160" s="147">
        <v>-0.25</v>
      </c>
      <c r="M160" s="147">
        <v>-0.5</v>
      </c>
      <c r="O160" s="152" cm="1">
        <f t="array" ref="O160">E160*(1+INDEX($I160:$M160,,$C$16))</f>
        <v>2.5000000000000001E-2</v>
      </c>
      <c r="P160" s="152" cm="1">
        <f t="array" ref="P160">F160*(1+INDEX($I160:$M160,,$C$16))</f>
        <v>0</v>
      </c>
      <c r="Q160" s="152" cm="1">
        <f t="array" ref="Q160">G160*(1+INDEX($I160:$M160,,$C$16))</f>
        <v>0</v>
      </c>
    </row>
    <row r="161" spans="2:17" x14ac:dyDescent="0.3">
      <c r="B161" s="49" t="s">
        <v>39</v>
      </c>
      <c r="C161" s="49"/>
      <c r="D161" s="49" t="s">
        <v>230</v>
      </c>
      <c r="E161" s="219">
        <v>1.2E-2</v>
      </c>
      <c r="F161" s="187"/>
      <c r="G161" s="266"/>
      <c r="H161" s="260"/>
      <c r="I161" s="352">
        <v>0</v>
      </c>
      <c r="J161" s="149">
        <v>0.5</v>
      </c>
      <c r="K161" s="149">
        <v>0.25</v>
      </c>
      <c r="L161" s="149">
        <v>-0.25</v>
      </c>
      <c r="M161" s="149">
        <v>-0.5</v>
      </c>
      <c r="O161" s="155" cm="1">
        <f t="array" ref="O161">E161*(1+INDEX($I161:$M161,,$C$16))</f>
        <v>1.2E-2</v>
      </c>
      <c r="P161" s="155" cm="1">
        <f t="array" ref="P161">F161*(1+INDEX($I161:$M161,,$C$16))</f>
        <v>0</v>
      </c>
      <c r="Q161" s="155" cm="1">
        <f t="array" ref="Q161">G161*(1+INDEX($I161:$M161,,$C$16))</f>
        <v>0</v>
      </c>
    </row>
    <row r="163" spans="2:17" x14ac:dyDescent="0.3">
      <c r="B163" s="129" t="s">
        <v>288</v>
      </c>
      <c r="C163" s="129"/>
      <c r="D163" s="129"/>
      <c r="G163" s="130" t="s">
        <v>209</v>
      </c>
      <c r="I163" s="138"/>
      <c r="J163" s="130"/>
      <c r="K163" s="130" t="s">
        <v>228</v>
      </c>
      <c r="L163" s="130"/>
      <c r="M163" s="130"/>
      <c r="O163" s="138"/>
      <c r="P163" s="130" t="s">
        <v>244</v>
      </c>
      <c r="Q163" s="130"/>
    </row>
    <row r="164" spans="2:17" x14ac:dyDescent="0.3">
      <c r="B164" s="1" t="s">
        <v>211</v>
      </c>
      <c r="I164" s="139" t="s">
        <v>202</v>
      </c>
      <c r="J164" s="139" t="s">
        <v>212</v>
      </c>
      <c r="K164" s="139" t="s">
        <v>213</v>
      </c>
      <c r="L164" s="139" t="s">
        <v>214</v>
      </c>
      <c r="M164" s="139" t="s">
        <v>215</v>
      </c>
      <c r="O164" s="139" t="s">
        <v>1</v>
      </c>
      <c r="P164" s="139" t="s">
        <v>208</v>
      </c>
      <c r="Q164" s="139" t="s">
        <v>209</v>
      </c>
    </row>
    <row r="165" spans="2:17" x14ac:dyDescent="0.3">
      <c r="B165" s="135" t="s">
        <v>149</v>
      </c>
      <c r="C165" s="136"/>
      <c r="D165" s="136"/>
      <c r="E165" s="151"/>
      <c r="F165" s="151"/>
      <c r="G165" s="151"/>
      <c r="I165" s="136"/>
      <c r="J165" s="136"/>
      <c r="K165" s="136"/>
      <c r="L165" s="136"/>
      <c r="M165" s="136"/>
      <c r="O165" s="136"/>
      <c r="P165" s="136"/>
      <c r="Q165" s="136"/>
    </row>
    <row r="166" spans="2:17" x14ac:dyDescent="0.3">
      <c r="B166" s="49" t="s">
        <v>289</v>
      </c>
      <c r="C166" s="49"/>
      <c r="D166" s="49" t="s">
        <v>231</v>
      </c>
      <c r="E166" s="220">
        <v>10</v>
      </c>
      <c r="F166" s="266"/>
      <c r="G166" s="266"/>
      <c r="H166" s="260"/>
      <c r="I166" s="352">
        <v>0</v>
      </c>
      <c r="J166" s="149">
        <v>0.5</v>
      </c>
      <c r="K166" s="149">
        <v>0.25</v>
      </c>
      <c r="L166" s="149">
        <v>-0.25</v>
      </c>
      <c r="M166" s="149">
        <v>-0.5</v>
      </c>
      <c r="O166" s="154" cm="1">
        <f t="array" ref="O166">E166*(1+INDEX($I166:$M166,,$C$16))</f>
        <v>10</v>
      </c>
      <c r="P166" s="154" cm="1">
        <f t="array" ref="P166">F166*(1+INDEX($I166:$M166,,$C$16))</f>
        <v>0</v>
      </c>
      <c r="Q166" s="154" cm="1">
        <f t="array" ref="Q166">G166*(1+INDEX($I166:$M166,,$C$16))</f>
        <v>0</v>
      </c>
    </row>
    <row r="168" spans="2:17" x14ac:dyDescent="0.3">
      <c r="B168" s="1" t="s">
        <v>291</v>
      </c>
    </row>
    <row r="169" spans="2:17" x14ac:dyDescent="0.3">
      <c r="B169" s="135" t="s">
        <v>42</v>
      </c>
      <c r="C169" s="136"/>
      <c r="D169" s="136"/>
      <c r="E169" s="151"/>
      <c r="F169" s="151"/>
      <c r="G169" s="151"/>
      <c r="I169" s="151"/>
      <c r="J169" s="151"/>
      <c r="K169" s="151"/>
      <c r="L169" s="151"/>
      <c r="M169" s="151"/>
      <c r="O169" s="151"/>
      <c r="P169" s="151"/>
      <c r="Q169" s="151"/>
    </row>
    <row r="170" spans="2:17" x14ac:dyDescent="0.3">
      <c r="B170" s="13" t="s">
        <v>292</v>
      </c>
      <c r="D170" s="13" t="s">
        <v>230</v>
      </c>
      <c r="E170" s="217">
        <v>3.7499999999999999E-2</v>
      </c>
      <c r="F170" s="217">
        <v>3.7499999999999999E-2</v>
      </c>
      <c r="G170" s="151"/>
      <c r="I170" s="351">
        <v>0</v>
      </c>
      <c r="J170" s="147">
        <v>0.5</v>
      </c>
      <c r="K170" s="147">
        <v>0.25</v>
      </c>
      <c r="L170" s="147">
        <v>-0.25</v>
      </c>
      <c r="M170" s="147">
        <v>-0.5</v>
      </c>
      <c r="O170" s="152" cm="1">
        <f t="array" ref="O170">E170*(1+INDEX($I170:$M170,,$C$16))</f>
        <v>3.7499999999999999E-2</v>
      </c>
      <c r="P170" s="152" cm="1">
        <f t="array" ref="P170">F170*(1+INDEX($I170:$M170,,$C$16))</f>
        <v>3.7499999999999999E-2</v>
      </c>
      <c r="Q170" s="152" cm="1">
        <f t="array" ref="Q170">G170*(1+INDEX($I170:$M170,,$C$16))</f>
        <v>0</v>
      </c>
    </row>
    <row r="171" spans="2:17" x14ac:dyDescent="0.3">
      <c r="B171" s="135" t="s">
        <v>43</v>
      </c>
      <c r="C171" s="136"/>
      <c r="D171" s="136"/>
      <c r="E171" s="151"/>
      <c r="F171" s="151"/>
      <c r="G171" s="151"/>
      <c r="I171" s="151"/>
      <c r="J171" s="151"/>
      <c r="K171" s="151"/>
      <c r="L171" s="151"/>
      <c r="M171" s="151"/>
      <c r="O171" s="151"/>
      <c r="P171" s="151"/>
      <c r="Q171" s="151"/>
    </row>
    <row r="172" spans="2:17" x14ac:dyDescent="0.3">
      <c r="B172" s="49" t="s">
        <v>292</v>
      </c>
      <c r="C172" s="49"/>
      <c r="D172" s="49" t="s">
        <v>230</v>
      </c>
      <c r="E172" s="219">
        <v>0.04</v>
      </c>
      <c r="F172" s="219">
        <v>0.04</v>
      </c>
      <c r="G172" s="265"/>
      <c r="I172" s="352">
        <v>0</v>
      </c>
      <c r="J172" s="149">
        <v>0.5</v>
      </c>
      <c r="K172" s="149">
        <v>0.25</v>
      </c>
      <c r="L172" s="149">
        <v>-0.25</v>
      </c>
      <c r="M172" s="149">
        <v>-0.5</v>
      </c>
      <c r="O172" s="155" cm="1">
        <f t="array" ref="O172">E172*(1+INDEX($I172:$M172,,$C$16))</f>
        <v>0.04</v>
      </c>
      <c r="P172" s="155" cm="1">
        <f t="array" ref="P172">F172*(1+INDEX($I172:$M172,,$C$16))</f>
        <v>0.04</v>
      </c>
      <c r="Q172" s="155" cm="1">
        <f t="array" ref="Q172">G172*(1+INDEX($I172:$M172,,$C$16))</f>
        <v>0</v>
      </c>
    </row>
    <row r="174" spans="2:17" x14ac:dyDescent="0.3">
      <c r="B174" s="1" t="s">
        <v>295</v>
      </c>
    </row>
    <row r="175" spans="2:17" x14ac:dyDescent="0.3">
      <c r="B175" s="135" t="s">
        <v>296</v>
      </c>
      <c r="C175" s="136"/>
      <c r="D175" s="136"/>
      <c r="E175" s="151"/>
      <c r="F175" s="151"/>
      <c r="G175" s="151"/>
      <c r="I175" s="151"/>
      <c r="J175" s="151"/>
      <c r="K175" s="151"/>
      <c r="L175" s="151"/>
      <c r="M175" s="151"/>
      <c r="O175" s="151"/>
      <c r="P175" s="151"/>
      <c r="Q175" s="151"/>
    </row>
    <row r="176" spans="2:17" x14ac:dyDescent="0.3">
      <c r="B176" s="13" t="s">
        <v>392</v>
      </c>
      <c r="D176" s="13" t="s">
        <v>230</v>
      </c>
      <c r="E176" s="217">
        <v>2.5000000000000001E-2</v>
      </c>
      <c r="F176" s="217">
        <v>2.5000000000000001E-2</v>
      </c>
      <c r="G176" s="151"/>
      <c r="I176" s="351">
        <v>0</v>
      </c>
      <c r="J176" s="147">
        <v>0.5</v>
      </c>
      <c r="K176" s="147">
        <v>0.25</v>
      </c>
      <c r="L176" s="147">
        <v>-0.25</v>
      </c>
      <c r="M176" s="147">
        <v>-0.5</v>
      </c>
      <c r="O176" s="152" cm="1">
        <f t="array" ref="O176">E176*(1+INDEX($I176:$M176,,$C$16))</f>
        <v>2.5000000000000001E-2</v>
      </c>
      <c r="P176" s="152" cm="1">
        <f t="array" ref="P176">F176*(1+INDEX($I176:$M176,,$C$16))</f>
        <v>2.5000000000000001E-2</v>
      </c>
      <c r="Q176" s="152" cm="1">
        <f t="array" ref="Q176">G176*(1+INDEX($I176:$M176,,$C$16))</f>
        <v>0</v>
      </c>
    </row>
    <row r="177" spans="2:34" x14ac:dyDescent="0.3">
      <c r="B177" s="49" t="s">
        <v>391</v>
      </c>
      <c r="C177" s="49"/>
      <c r="D177" s="49" t="s">
        <v>230</v>
      </c>
      <c r="E177" s="219">
        <v>1.2E-2</v>
      </c>
      <c r="F177" s="219">
        <v>1.2E-2</v>
      </c>
      <c r="G177" s="265"/>
      <c r="I177" s="352">
        <v>0</v>
      </c>
      <c r="J177" s="149">
        <v>0.5</v>
      </c>
      <c r="K177" s="149">
        <v>0.25</v>
      </c>
      <c r="L177" s="149">
        <v>-0.25</v>
      </c>
      <c r="M177" s="149">
        <v>-0.5</v>
      </c>
      <c r="O177" s="155" cm="1">
        <f t="array" ref="O177">E177*(1+INDEX($I177:$M177,,$C$16))</f>
        <v>1.2E-2</v>
      </c>
      <c r="P177" s="155" cm="1">
        <f t="array" ref="P177">F177*(1+INDEX($I177:$M177,,$C$16))</f>
        <v>1.2E-2</v>
      </c>
      <c r="Q177" s="155" cm="1">
        <f t="array" ref="Q177">G177*(1+INDEX($I177:$M177,,$C$16))</f>
        <v>0</v>
      </c>
    </row>
    <row r="178" spans="2:34" s="20" customFormat="1" x14ac:dyDescent="0.3">
      <c r="B178" s="145"/>
      <c r="C178" s="145"/>
      <c r="D178" s="145"/>
      <c r="E178" s="263"/>
      <c r="F178" s="263"/>
      <c r="G178" s="263"/>
      <c r="I178" s="264"/>
      <c r="J178" s="264"/>
      <c r="K178" s="264"/>
      <c r="L178" s="264"/>
      <c r="M178" s="264"/>
      <c r="O178" s="263"/>
      <c r="P178" s="263"/>
      <c r="Q178" s="263"/>
    </row>
    <row r="179" spans="2:34" s="20" customFormat="1" x14ac:dyDescent="0.3">
      <c r="B179" s="30" t="s">
        <v>347</v>
      </c>
      <c r="C179" s="145"/>
      <c r="D179" s="145"/>
      <c r="E179" s="263"/>
      <c r="F179" s="263"/>
      <c r="G179" s="263"/>
      <c r="I179" s="264"/>
      <c r="J179" s="264"/>
      <c r="K179" s="264"/>
      <c r="L179" s="264"/>
      <c r="M179" s="264"/>
      <c r="O179" s="263"/>
      <c r="P179" s="263"/>
      <c r="Q179" s="263"/>
    </row>
    <row r="180" spans="2:34" x14ac:dyDescent="0.3">
      <c r="B180" s="135" t="s">
        <v>370</v>
      </c>
      <c r="C180" s="261"/>
      <c r="D180" s="261"/>
      <c r="E180" s="261"/>
      <c r="F180" s="261"/>
      <c r="G180" s="261"/>
      <c r="I180" s="261"/>
      <c r="J180" s="261"/>
      <c r="K180" s="261"/>
      <c r="L180" s="261"/>
      <c r="M180" s="261"/>
      <c r="O180" s="151"/>
      <c r="P180" s="151"/>
      <c r="Q180" s="151"/>
    </row>
    <row r="181" spans="2:34" x14ac:dyDescent="0.3">
      <c r="B181" s="13" t="s">
        <v>349</v>
      </c>
      <c r="D181" s="13" t="s">
        <v>230</v>
      </c>
      <c r="E181" s="151"/>
      <c r="F181" s="151"/>
      <c r="G181" s="217">
        <f>(28-17)/72</f>
        <v>0.15277777777777779</v>
      </c>
      <c r="H181" s="260"/>
      <c r="I181" s="351">
        <v>0</v>
      </c>
      <c r="J181" s="147">
        <v>0.5</v>
      </c>
      <c r="K181" s="147">
        <v>0.25</v>
      </c>
      <c r="L181" s="147">
        <v>-0.25</v>
      </c>
      <c r="M181" s="147">
        <v>-0.5</v>
      </c>
      <c r="O181" s="152" cm="1">
        <f t="array" ref="O181">E181*(1+INDEX($I181:$M181,,$C$16))</f>
        <v>0</v>
      </c>
      <c r="P181" s="152" cm="1">
        <f t="array" ref="P181">F181*(1+INDEX($I181:$M181,,$C$16))</f>
        <v>0</v>
      </c>
      <c r="Q181" s="152" cm="1">
        <f t="array" ref="Q181">G181*(1+INDEX($I181:$M181,,$C$16))</f>
        <v>0.15277777777777779</v>
      </c>
    </row>
    <row r="182" spans="2:34" x14ac:dyDescent="0.3">
      <c r="B182" s="135" t="s">
        <v>368</v>
      </c>
      <c r="C182" s="261"/>
      <c r="D182" s="261"/>
      <c r="E182" s="261"/>
      <c r="F182" s="261"/>
      <c r="G182" s="151"/>
      <c r="I182" s="262"/>
      <c r="J182" s="151"/>
      <c r="K182" s="151"/>
      <c r="L182" s="151"/>
      <c r="M182" s="151"/>
      <c r="O182" s="151"/>
      <c r="P182" s="151"/>
      <c r="Q182" s="151"/>
    </row>
    <row r="183" spans="2:34" x14ac:dyDescent="0.3">
      <c r="B183" s="13" t="s">
        <v>350</v>
      </c>
      <c r="D183" s="13" t="s">
        <v>230</v>
      </c>
      <c r="E183" s="261"/>
      <c r="F183" s="261"/>
      <c r="G183" s="217">
        <f>(((75/17)*28)-75)/(7.5*60)</f>
        <v>0.10784313725490197</v>
      </c>
      <c r="H183" s="260"/>
      <c r="I183" s="351">
        <v>0</v>
      </c>
      <c r="J183" s="147">
        <v>0.5</v>
      </c>
      <c r="K183" s="147">
        <v>0.25</v>
      </c>
      <c r="L183" s="147">
        <v>-0.25</v>
      </c>
      <c r="M183" s="147">
        <v>-0.5</v>
      </c>
      <c r="O183" s="152" cm="1">
        <f t="array" ref="O183">E183*(1+INDEX($I183:$M183,,$C$16))</f>
        <v>0</v>
      </c>
      <c r="P183" s="152" cm="1">
        <f t="array" ref="P183">F183*(1+INDEX($I183:$M183,,$C$16))</f>
        <v>0</v>
      </c>
      <c r="Q183" s="152" cm="1">
        <f t="array" ref="Q183">G183*(1+INDEX($I183:$M183,,$C$16))</f>
        <v>0.10784313725490197</v>
      </c>
    </row>
    <row r="184" spans="2:34" x14ac:dyDescent="0.3">
      <c r="B184" s="135" t="s">
        <v>371</v>
      </c>
      <c r="C184" s="136"/>
      <c r="D184" s="136"/>
      <c r="E184" s="151"/>
      <c r="F184" s="151"/>
      <c r="G184" s="151"/>
      <c r="I184" s="151"/>
      <c r="J184" s="151"/>
      <c r="K184" s="151"/>
      <c r="L184" s="151"/>
      <c r="M184" s="151"/>
      <c r="O184" s="151"/>
      <c r="P184" s="151"/>
      <c r="Q184" s="151"/>
    </row>
    <row r="185" spans="2:34" x14ac:dyDescent="0.3">
      <c r="B185" s="13" t="s">
        <v>358</v>
      </c>
      <c r="D185" s="13" t="s">
        <v>230</v>
      </c>
      <c r="E185" s="151"/>
      <c r="F185" s="151"/>
      <c r="G185" s="217">
        <f>(((75/17)*28)-75)/(7.5*60)</f>
        <v>0.10784313725490197</v>
      </c>
      <c r="H185" s="260"/>
      <c r="I185" s="351">
        <v>0</v>
      </c>
      <c r="J185" s="147">
        <v>0.5</v>
      </c>
      <c r="K185" s="147">
        <v>0.25</v>
      </c>
      <c r="L185" s="147">
        <v>-0.25</v>
      </c>
      <c r="M185" s="147">
        <v>-0.5</v>
      </c>
      <c r="O185" s="152" cm="1">
        <f t="array" ref="O185">E185*(1+INDEX($I185:$M185,,$C$16))</f>
        <v>0</v>
      </c>
      <c r="P185" s="152" cm="1">
        <f t="array" ref="P185">F185*(1+INDEX($I185:$M185,,$C$16))</f>
        <v>0</v>
      </c>
      <c r="Q185" s="152" cm="1">
        <f t="array" ref="Q185">G185*(1+INDEX($I185:$M185,,$C$16))</f>
        <v>0.10784313725490197</v>
      </c>
    </row>
    <row r="186" spans="2:34" x14ac:dyDescent="0.3">
      <c r="B186" s="49" t="s">
        <v>359</v>
      </c>
      <c r="C186" s="49"/>
      <c r="D186" s="49" t="s">
        <v>232</v>
      </c>
      <c r="E186" s="266"/>
      <c r="F186" s="266"/>
      <c r="G186" s="220">
        <v>80</v>
      </c>
      <c r="H186" s="260"/>
      <c r="I186" s="352">
        <v>0</v>
      </c>
      <c r="J186" s="149">
        <v>0.5</v>
      </c>
      <c r="K186" s="149">
        <v>0.25</v>
      </c>
      <c r="L186" s="149">
        <v>-0.25</v>
      </c>
      <c r="M186" s="149">
        <v>-0.5</v>
      </c>
      <c r="O186" s="154" cm="1">
        <f t="array" ref="O186">E186*(1+INDEX($I186:$M186,,$C$16))</f>
        <v>0</v>
      </c>
      <c r="P186" s="154" cm="1">
        <f t="array" ref="P186">F186*(1+INDEX($I186:$M186,,$C$16))</f>
        <v>0</v>
      </c>
      <c r="Q186" s="154" cm="1">
        <f t="array" ref="Q186">G186*(1+INDEX($I186:$M186,,$C$16))</f>
        <v>80</v>
      </c>
    </row>
    <row r="187" spans="2:34" x14ac:dyDescent="0.3">
      <c r="E187" s="263"/>
      <c r="F187" s="263"/>
      <c r="G187" s="263"/>
      <c r="H187" s="267"/>
      <c r="I187" s="263"/>
      <c r="J187" s="263"/>
      <c r="K187" s="263"/>
      <c r="L187" s="263"/>
      <c r="M187" s="263"/>
      <c r="O187" s="152"/>
      <c r="P187" s="152"/>
      <c r="Q187" s="152"/>
    </row>
    <row r="188" spans="2:34" s="20" customFormat="1" x14ac:dyDescent="0.3">
      <c r="B188" s="145"/>
      <c r="C188" s="145"/>
      <c r="D188" s="145"/>
      <c r="E188" s="269"/>
      <c r="F188" s="269"/>
      <c r="G188" s="263"/>
      <c r="H188" s="267"/>
      <c r="I188" s="264"/>
      <c r="J188" s="264"/>
      <c r="K188" s="264"/>
      <c r="L188" s="264"/>
      <c r="M188" s="264"/>
      <c r="O188" s="263"/>
      <c r="P188" s="263"/>
      <c r="Q188" s="263"/>
    </row>
    <row r="189" spans="2:34" ht="22.95" customHeight="1" x14ac:dyDescent="0.3">
      <c r="B189" s="210" t="s">
        <v>302</v>
      </c>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row>
    <row r="191" spans="2:34" x14ac:dyDescent="0.3">
      <c r="B191" s="129" t="s">
        <v>303</v>
      </c>
      <c r="C191" s="130" t="s">
        <v>304</v>
      </c>
      <c r="D191" s="332">
        <v>2021</v>
      </c>
      <c r="E191" s="332">
        <f>D191+1</f>
        <v>2022</v>
      </c>
      <c r="F191" s="332">
        <f t="shared" ref="F191:AC191" si="11">E191+1</f>
        <v>2023</v>
      </c>
      <c r="G191" s="332">
        <f t="shared" si="11"/>
        <v>2024</v>
      </c>
      <c r="H191" s="332">
        <f t="shared" si="11"/>
        <v>2025</v>
      </c>
      <c r="I191" s="332">
        <f t="shared" si="11"/>
        <v>2026</v>
      </c>
      <c r="J191" s="332">
        <f t="shared" si="11"/>
        <v>2027</v>
      </c>
      <c r="K191" s="332">
        <f t="shared" si="11"/>
        <v>2028</v>
      </c>
      <c r="L191" s="332">
        <f t="shared" si="11"/>
        <v>2029</v>
      </c>
      <c r="M191" s="332">
        <f t="shared" si="11"/>
        <v>2030</v>
      </c>
      <c r="N191" s="332">
        <f t="shared" si="11"/>
        <v>2031</v>
      </c>
      <c r="O191" s="332">
        <f t="shared" si="11"/>
        <v>2032</v>
      </c>
      <c r="P191" s="332">
        <f t="shared" si="11"/>
        <v>2033</v>
      </c>
      <c r="Q191" s="332">
        <f t="shared" si="11"/>
        <v>2034</v>
      </c>
      <c r="R191" s="332">
        <f t="shared" si="11"/>
        <v>2035</v>
      </c>
      <c r="S191" s="332">
        <f t="shared" si="11"/>
        <v>2036</v>
      </c>
      <c r="T191" s="332">
        <f t="shared" si="11"/>
        <v>2037</v>
      </c>
      <c r="U191" s="332">
        <f t="shared" si="11"/>
        <v>2038</v>
      </c>
      <c r="V191" s="332">
        <f t="shared" si="11"/>
        <v>2039</v>
      </c>
      <c r="W191" s="332">
        <f t="shared" si="11"/>
        <v>2040</v>
      </c>
      <c r="X191" s="332">
        <f t="shared" si="11"/>
        <v>2041</v>
      </c>
      <c r="Y191" s="332">
        <f t="shared" si="11"/>
        <v>2042</v>
      </c>
      <c r="Z191" s="332">
        <f t="shared" si="11"/>
        <v>2043</v>
      </c>
      <c r="AA191" s="332">
        <f t="shared" si="11"/>
        <v>2044</v>
      </c>
      <c r="AB191" s="332">
        <f t="shared" si="11"/>
        <v>2045</v>
      </c>
      <c r="AC191" s="332">
        <f t="shared" si="11"/>
        <v>2046</v>
      </c>
    </row>
    <row r="192" spans="2:34" x14ac:dyDescent="0.3">
      <c r="B192" s="20" t="str">
        <f t="shared" ref="B192:C204" si="12">B61</f>
        <v>Mornington: Do nothing</v>
      </c>
      <c r="C192" s="153">
        <f t="shared" si="12"/>
        <v>1</v>
      </c>
      <c r="D192" s="329">
        <f>'M. CashFlows'!B16</f>
        <v>1579.1978491640689</v>
      </c>
      <c r="E192" s="329">
        <f>'M. CashFlows'!C16</f>
        <v>1593.1731290747064</v>
      </c>
      <c r="F192" s="329">
        <f>'M. CashFlows'!D16</f>
        <v>1607.337287120343</v>
      </c>
      <c r="G192" s="329">
        <f>'M. CashFlows'!E16</f>
        <v>1621.6931633710913</v>
      </c>
      <c r="H192" s="329">
        <f>'M. CashFlows'!F16</f>
        <v>1736.2436468108424</v>
      </c>
      <c r="I192" s="329">
        <f>'M. CashFlows'!G16</f>
        <v>1650.9916763005981</v>
      </c>
      <c r="J192" s="329">
        <f>'M. CashFlows'!H16</f>
        <v>1665.9402415628283</v>
      </c>
      <c r="K192" s="329">
        <f>'M. CashFlows'!I16</f>
        <v>1681.0923841873516</v>
      </c>
      <c r="L192" s="329">
        <f>'M. CashFlows'!J16</f>
        <v>1696.4511986592402</v>
      </c>
      <c r="M192" s="329">
        <f>'M. CashFlows'!K16</f>
        <v>1712.0198334092572</v>
      </c>
      <c r="N192" s="329">
        <f>'M. CashFlows'!L16</f>
        <v>1727.8014918873607</v>
      </c>
      <c r="O192" s="329">
        <f>'M. CashFlows'!M16</f>
        <v>1743.7994336598067</v>
      </c>
      <c r="P192" s="329">
        <f>'M. CashFlows'!N16</f>
        <v>1760.0169755304062</v>
      </c>
      <c r="Q192" s="329">
        <f>'M. CashFlows'!O16</f>
        <v>1776.4574926865002</v>
      </c>
      <c r="R192" s="329">
        <f>'M. CashFlows'!P16</f>
        <v>1793.1244198702348</v>
      </c>
      <c r="S192" s="329">
        <f>'M. CashFlows'!Q16</f>
        <v>1810.0212525757233</v>
      </c>
      <c r="T192" s="329">
        <f>'M. CashFlows'!R16</f>
        <v>1827.1515482727098</v>
      </c>
      <c r="U192" s="329">
        <f>'M. CashFlows'!S16</f>
        <v>1844.5189276573503</v>
      </c>
      <c r="V192" s="329">
        <f>'M. CashFlows'!T16</f>
        <v>1862.1270759307527</v>
      </c>
      <c r="W192" s="329">
        <f>'M. CashFlows'!U16</f>
        <v>1879.9797441059252</v>
      </c>
      <c r="X192" s="329">
        <f>'M. CashFlows'!V16</f>
        <v>1898.0807503438029</v>
      </c>
      <c r="Y192" s="329">
        <f>'M. CashFlows'!W16</f>
        <v>1916.4339813190397</v>
      </c>
      <c r="Z192" s="329">
        <f>'M. CashFlows'!X16</f>
        <v>1935.0433936162599</v>
      </c>
      <c r="AA192" s="329">
        <f>'M. CashFlows'!Y16</f>
        <v>1953.9130151574959</v>
      </c>
      <c r="AB192" s="329">
        <f>'M. CashFlows'!Z16</f>
        <v>1973.0469466615402</v>
      </c>
      <c r="AC192" s="329">
        <f>'M. CashFlows'!AA16</f>
        <v>1992.4493631359751</v>
      </c>
      <c r="AD192" s="148"/>
      <c r="AE192" s="148"/>
      <c r="AF192" s="148"/>
      <c r="AG192" s="148"/>
      <c r="AH192" s="148"/>
    </row>
    <row r="193" spans="2:34" x14ac:dyDescent="0.3">
      <c r="B193" s="20" t="str">
        <f t="shared" si="12"/>
        <v>Mornington: Redevelop existing site</v>
      </c>
      <c r="C193" s="153">
        <f t="shared" si="12"/>
        <v>2</v>
      </c>
      <c r="D193" s="329">
        <f>'M. CashFlows'!B23-'M. CashFlows'!B20</f>
        <v>1579.1978491640689</v>
      </c>
      <c r="E193" s="329">
        <f>'M. CashFlows'!C23-'M. CashFlows'!C20</f>
        <v>1593.1731290747064</v>
      </c>
      <c r="F193" s="329">
        <f>'M. CashFlows'!D23-'M. CashFlows'!D20</f>
        <v>1607.337287120343</v>
      </c>
      <c r="G193" s="329">
        <f>'M. CashFlows'!E23-'M. CashFlows'!E20</f>
        <v>1621.6931633710913</v>
      </c>
      <c r="H193" s="329">
        <f>'M. CashFlows'!F23-'M. CashFlows'!F20</f>
        <v>1636.2436468108426</v>
      </c>
      <c r="I193" s="329">
        <f>'M. CashFlows'!G23-'M. CashFlows'!G20</f>
        <v>1650.9916763005986</v>
      </c>
      <c r="J193" s="329">
        <f>'M. CashFlows'!H23-'M. CashFlows'!H20</f>
        <v>667.38268104055453</v>
      </c>
      <c r="K193" s="329">
        <f>'M. CashFlows'!I23-'M. CashFlows'!I20</f>
        <v>674.96579185605333</v>
      </c>
      <c r="L193" s="329">
        <f>'M. CashFlows'!J23-'M. CashFlows'!J20</f>
        <v>682.63647861013953</v>
      </c>
      <c r="M193" s="329">
        <f>'M. CashFlows'!K23-'M. CashFlows'!K20</f>
        <v>690.39575389449533</v>
      </c>
      <c r="N193" s="329">
        <f>'M. CashFlows'!L23-'M. CashFlows'!L20</f>
        <v>698.24464202272281</v>
      </c>
      <c r="O193" s="329">
        <f>'M. CashFlows'!M23-'M. CashFlows'!M20</f>
        <v>706.18417916620183</v>
      </c>
      <c r="P193" s="329">
        <f>'M. CashFlows'!N23-'M. CashFlows'!N20</f>
        <v>714.21541349152164</v>
      </c>
      <c r="Q193" s="329">
        <f>'M. CashFlows'!O23-'M. CashFlows'!O20</f>
        <v>722.33940529950894</v>
      </c>
      <c r="R193" s="329">
        <f>'M. CashFlows'!P23-'M. CashFlows'!P20</f>
        <v>730.55722716586831</v>
      </c>
      <c r="S193" s="329">
        <f>'M. CashFlows'!Q23-'M. CashFlows'!Q20</f>
        <v>738.86996408345522</v>
      </c>
      <c r="T193" s="329">
        <f>'M. CashFlows'!R23-'M. CashFlows'!R20</f>
        <v>747.27871360619861</v>
      </c>
      <c r="U193" s="329">
        <f>'M. CashFlows'!S23-'M. CashFlows'!S20</f>
        <v>755.78458599469707</v>
      </c>
      <c r="V193" s="329">
        <f>'M. CashFlows'!T23-'M. CashFlows'!T20</f>
        <v>764.38870436349998</v>
      </c>
      <c r="W193" s="329">
        <f>'M. CashFlows'!U23-'M. CashFlows'!U20</f>
        <v>773.09220483010142</v>
      </c>
      <c r="X193" s="329">
        <f>'M. CashFlows'!V23-'M. CashFlows'!V20</f>
        <v>781.89623666566149</v>
      </c>
      <c r="Y193" s="329">
        <f>'M. CashFlows'!W23-'M. CashFlows'!W20</f>
        <v>790.80196244747754</v>
      </c>
      <c r="Z193" s="329">
        <f>'M. CashFlows'!X23-'M. CashFlows'!X20</f>
        <v>799.81055821322377</v>
      </c>
      <c r="AA193" s="329">
        <f>'M. CashFlows'!Y23-'M. CashFlows'!Y20</f>
        <v>808.92321361698237</v>
      </c>
      <c r="AB193" s="329">
        <f>'M. CashFlows'!Z23-'M. CashFlows'!Z20</f>
        <v>818.14113208708432</v>
      </c>
      <c r="AC193" s="329">
        <f>'M. CashFlows'!AA23-'M. CashFlows'!AA20</f>
        <v>827.46553098578261</v>
      </c>
      <c r="AD193" s="148"/>
      <c r="AE193" s="148"/>
      <c r="AF193" s="148"/>
      <c r="AG193" s="148"/>
      <c r="AH193" s="148"/>
    </row>
    <row r="194" spans="2:34" x14ac:dyDescent="0.3">
      <c r="B194" s="20" t="str">
        <f t="shared" si="12"/>
        <v>Mornington: Purchase greenfield site</v>
      </c>
      <c r="C194" s="153">
        <f t="shared" si="12"/>
        <v>3</v>
      </c>
      <c r="D194" s="329">
        <f>'M. CashFlows'!B30-'M. CashFlows'!B27</f>
        <v>1579.1978491640689</v>
      </c>
      <c r="E194" s="329">
        <f>'M. CashFlows'!C30-'M. CashFlows'!C27</f>
        <v>1593.1731290747064</v>
      </c>
      <c r="F194" s="329">
        <f>'M. CashFlows'!D30-'M. CashFlows'!D27</f>
        <v>1607.337287120343</v>
      </c>
      <c r="G194" s="329">
        <f>'M. CashFlows'!E30-'M. CashFlows'!E27</f>
        <v>1621.6931633710913</v>
      </c>
      <c r="H194" s="329">
        <f>'M. CashFlows'!F30-'M. CashFlows'!F27</f>
        <v>1636.2436468108426</v>
      </c>
      <c r="I194" s="329">
        <f>'M. CashFlows'!G30-'M. CashFlows'!G27</f>
        <v>1650.9916763005986</v>
      </c>
      <c r="J194" s="329">
        <f>'M. CashFlows'!H30-'M. CashFlows'!H27</f>
        <v>0</v>
      </c>
      <c r="K194" s="329">
        <f>'M. CashFlows'!I30-'M. CashFlows'!I27</f>
        <v>0</v>
      </c>
      <c r="L194" s="329">
        <f>'M. CashFlows'!J30-'M. CashFlows'!J27</f>
        <v>0</v>
      </c>
      <c r="M194" s="329">
        <f>'M. CashFlows'!K30-'M. CashFlows'!K27</f>
        <v>0</v>
      </c>
      <c r="N194" s="329">
        <f>'M. CashFlows'!L30-'M. CashFlows'!L27</f>
        <v>0</v>
      </c>
      <c r="O194" s="329">
        <f>'M. CashFlows'!M30-'M. CashFlows'!M27</f>
        <v>0</v>
      </c>
      <c r="P194" s="329">
        <f>'M. CashFlows'!N30-'M. CashFlows'!N27</f>
        <v>0</v>
      </c>
      <c r="Q194" s="329">
        <f>'M. CashFlows'!O30-'M. CashFlows'!O27</f>
        <v>0</v>
      </c>
      <c r="R194" s="329">
        <f>'M. CashFlows'!P30-'M. CashFlows'!P27</f>
        <v>0</v>
      </c>
      <c r="S194" s="329">
        <f>'M. CashFlows'!Q30-'M. CashFlows'!Q27</f>
        <v>0</v>
      </c>
      <c r="T194" s="329">
        <f>'M. CashFlows'!R30-'M. CashFlows'!R27</f>
        <v>0</v>
      </c>
      <c r="U194" s="329">
        <f>'M. CashFlows'!S30-'M. CashFlows'!S27</f>
        <v>0</v>
      </c>
      <c r="V194" s="329">
        <f>'M. CashFlows'!T30-'M. CashFlows'!T27</f>
        <v>0</v>
      </c>
      <c r="W194" s="329">
        <f>'M. CashFlows'!U30-'M. CashFlows'!U27</f>
        <v>0</v>
      </c>
      <c r="X194" s="329">
        <f>'M. CashFlows'!V30-'M. CashFlows'!V27</f>
        <v>0</v>
      </c>
      <c r="Y194" s="329">
        <f>'M. CashFlows'!W30-'M. CashFlows'!W27</f>
        <v>0</v>
      </c>
      <c r="Z194" s="329">
        <f>'M. CashFlows'!X30-'M. CashFlows'!X27</f>
        <v>0</v>
      </c>
      <c r="AA194" s="329">
        <f>'M. CashFlows'!Y30-'M. CashFlows'!Y27</f>
        <v>0</v>
      </c>
      <c r="AB194" s="329">
        <f>'M. CashFlows'!Z30-'M. CashFlows'!Z27</f>
        <v>0</v>
      </c>
      <c r="AC194" s="329">
        <f>'M. CashFlows'!AA30-'M. CashFlows'!AA27</f>
        <v>0</v>
      </c>
      <c r="AD194" s="148"/>
      <c r="AE194" s="148"/>
      <c r="AF194" s="148"/>
      <c r="AG194" s="148"/>
      <c r="AH194" s="148"/>
    </row>
    <row r="195" spans="2:34" x14ac:dyDescent="0.3">
      <c r="B195" s="20" t="str">
        <f t="shared" si="12"/>
        <v>Mornington: Purchase brownfield site</v>
      </c>
      <c r="C195" s="153">
        <f t="shared" si="12"/>
        <v>4</v>
      </c>
      <c r="D195" s="329">
        <f>'M. CashFlows'!B37-'M. CashFlows'!B34</f>
        <v>1579.1978491640689</v>
      </c>
      <c r="E195" s="329">
        <f>'M. CashFlows'!C37-'M. CashFlows'!C34</f>
        <v>1593.1731290747064</v>
      </c>
      <c r="F195" s="329">
        <f>'M. CashFlows'!D37-'M. CashFlows'!D34</f>
        <v>1607.337287120343</v>
      </c>
      <c r="G195" s="329">
        <f>'M. CashFlows'!E37-'M. CashFlows'!E34</f>
        <v>1621.6931633710913</v>
      </c>
      <c r="H195" s="329">
        <f>'M. CashFlows'!F37-'M. CashFlows'!F34</f>
        <v>1636.2436468108426</v>
      </c>
      <c r="I195" s="329">
        <f>'M. CashFlows'!G37-'M. CashFlows'!G34</f>
        <v>136.13190948887271</v>
      </c>
      <c r="J195" s="329">
        <f>'M. CashFlows'!H37-'M. CashFlows'!H34</f>
        <v>137.76549240273914</v>
      </c>
      <c r="K195" s="329">
        <f>'M. CashFlows'!I37-'M. CashFlows'!I34</f>
        <v>139.41867831157205</v>
      </c>
      <c r="L195" s="329">
        <f>'M. CashFlows'!J37-'M. CashFlows'!J34</f>
        <v>141.09170245131091</v>
      </c>
      <c r="M195" s="329">
        <f>'M. CashFlows'!K37-'M. CashFlows'!K34</f>
        <v>142.78480288072663</v>
      </c>
      <c r="N195" s="329">
        <f>'M. CashFlows'!L37-'M. CashFlows'!L34</f>
        <v>144.49822051529534</v>
      </c>
      <c r="O195" s="329">
        <f>'M. CashFlows'!M37-'M. CashFlows'!M34</f>
        <v>146.23219916147889</v>
      </c>
      <c r="P195" s="329">
        <f>'M. CashFlows'!N37-'M. CashFlows'!N34</f>
        <v>147.98698555141664</v>
      </c>
      <c r="Q195" s="329">
        <f>'M. CashFlows'!O37-'M. CashFlows'!O34</f>
        <v>149.76282937803362</v>
      </c>
      <c r="R195" s="329">
        <f>'M. CashFlows'!P37-'M. CashFlows'!P34</f>
        <v>151.55998333057002</v>
      </c>
      <c r="S195" s="329">
        <f>'M. CashFlows'!Q37-'M. CashFlows'!Q34</f>
        <v>153.37870313053691</v>
      </c>
      <c r="T195" s="329">
        <f>'M. CashFlows'!R37-'M. CashFlows'!R34</f>
        <v>155.21924756810333</v>
      </c>
      <c r="U195" s="329">
        <f>'M. CashFlows'!S37-'M. CashFlows'!S34</f>
        <v>157.08187853892059</v>
      </c>
      <c r="V195" s="329">
        <f>'M. CashFlows'!T37-'M. CashFlows'!T34</f>
        <v>158.96686108138761</v>
      </c>
      <c r="W195" s="329">
        <f>'M. CashFlows'!U37-'M. CashFlows'!U34</f>
        <v>160.87446341436427</v>
      </c>
      <c r="X195" s="329">
        <f>'M. CashFlows'!V37-'M. CashFlows'!V34</f>
        <v>162.80495697533664</v>
      </c>
      <c r="Y195" s="329">
        <f>'M. CashFlows'!W37-'M. CashFlows'!W34</f>
        <v>164.7586164590407</v>
      </c>
      <c r="Z195" s="329">
        <f>'M. CashFlows'!X37-'M. CashFlows'!X34</f>
        <v>166.73571985654914</v>
      </c>
      <c r="AA195" s="329">
        <f>'M. CashFlows'!Y37-'M. CashFlows'!Y34</f>
        <v>168.73654849482779</v>
      </c>
      <c r="AB195" s="329">
        <f>'M. CashFlows'!Z37-'M. CashFlows'!Z34</f>
        <v>170.76138707676569</v>
      </c>
      <c r="AC195" s="329">
        <f>'M. CashFlows'!AA37-'M. CashFlows'!AA34</f>
        <v>172.81052372168685</v>
      </c>
      <c r="AD195" s="148"/>
      <c r="AE195" s="148"/>
      <c r="AF195" s="148"/>
      <c r="AG195" s="148"/>
      <c r="AH195" s="148"/>
    </row>
    <row r="196" spans="2:34" x14ac:dyDescent="0.3">
      <c r="B196" s="327" t="str">
        <f t="shared" si="12"/>
        <v>Mornington: Minimum spend</v>
      </c>
      <c r="C196" s="154">
        <f t="shared" si="12"/>
        <v>5</v>
      </c>
      <c r="D196" s="330">
        <f>'M. CashFlows'!B48-'M. CashFlows'!B43</f>
        <v>1461.3978491640692</v>
      </c>
      <c r="E196" s="330">
        <f>'M. CashFlows'!C48-'M. CashFlows'!C43</f>
        <v>1474.2715290747067</v>
      </c>
      <c r="F196" s="330">
        <f>'M. CashFlows'!D48-'M. CashFlows'!D43</f>
        <v>1487.3208679203433</v>
      </c>
      <c r="G196" s="330">
        <f>'M. CashFlows'!E48-'M. CashFlows'!E43</f>
        <v>1500.5485471406912</v>
      </c>
      <c r="H196" s="330">
        <f>'M. CashFlows'!F48-'M. CashFlows'!F43</f>
        <v>1286.9613283888029</v>
      </c>
      <c r="I196" s="330">
        <f>'M. CashFlows'!G48-'M. CashFlows'!G43</f>
        <v>1156.7742724891345</v>
      </c>
      <c r="J196" s="330">
        <f>'M. CashFlows'!H48-'M. CashFlows'!H43</f>
        <v>1168.4321458980585</v>
      </c>
      <c r="K196" s="330">
        <f>'M. CashFlows'!I48-'M. CashFlows'!I43</f>
        <v>1180.2265302918474</v>
      </c>
      <c r="L196" s="330">
        <f>'M. CashFlows'!J48-'M. CashFlows'!J43</f>
        <v>1192.1590259071634</v>
      </c>
      <c r="M196" s="330">
        <f>'M. CashFlows'!K48-'M. CashFlows'!K43</f>
        <v>1204.2312517590833</v>
      </c>
      <c r="N196" s="330">
        <f>'M. CashFlows'!L48-'M. CashFlows'!L43</f>
        <v>1216.4448458616857</v>
      </c>
      <c r="O196" s="330">
        <f>'M. CashFlows'!M48-'M. CashFlows'!M43</f>
        <v>1228.8014654512322</v>
      </c>
      <c r="P196" s="330">
        <f>'M. CashFlows'!N48-'M. CashFlows'!N43</f>
        <v>1241.3027872119726</v>
      </c>
      <c r="Q196" s="330">
        <f>'M. CashFlows'!O48-'M. CashFlows'!O43</f>
        <v>1253.9505075046052</v>
      </c>
      <c r="R196" s="330">
        <f>'M. CashFlows'!P48-'M. CashFlows'!P43</f>
        <v>1266.7463425974258</v>
      </c>
      <c r="S196" s="330">
        <f>'M. CashFlows'!Q48-'M. CashFlows'!Q43</f>
        <v>1279.6920289001914</v>
      </c>
      <c r="T196" s="330">
        <f>'M. CashFlows'!R48-'M. CashFlows'!R43</f>
        <v>1292.7893232007357</v>
      </c>
      <c r="U196" s="330">
        <f>'M. CashFlows'!S48-'M. CashFlows'!S43</f>
        <v>1306.0400029043687</v>
      </c>
      <c r="V196" s="330">
        <f>'M. CashFlows'!T48-'M. CashFlows'!T43</f>
        <v>1319.4458662760874</v>
      </c>
      <c r="W196" s="330">
        <f>'M. CashFlows'!U48-'M. CashFlows'!U43</f>
        <v>1333.0087326856401</v>
      </c>
      <c r="X196" s="330">
        <f>'M. CashFlows'!V48-'M. CashFlows'!V43</f>
        <v>1346.7304428554667</v>
      </c>
      <c r="Y196" s="330">
        <f>'M. CashFlows'!W48-'M. CashFlows'!W43</f>
        <v>1360.6128591115603</v>
      </c>
      <c r="Z196" s="330">
        <f>'M. CashFlows'!X48-'M. CashFlows'!X43</f>
        <v>1374.6578656372756</v>
      </c>
      <c r="AA196" s="330">
        <f>'M. CashFlows'!Y48-'M. CashFlows'!Y43</f>
        <v>1388.867368730123</v>
      </c>
      <c r="AB196" s="330">
        <f>'M. CashFlows'!Z48-'M. CashFlows'!Z43</f>
        <v>1403.2432970615823</v>
      </c>
      <c r="AC196" s="330">
        <f>'M. CashFlows'!AA48-'M. CashFlows'!AA43</f>
        <v>1417.7876019399746</v>
      </c>
      <c r="AD196" s="148"/>
      <c r="AE196" s="148"/>
      <c r="AF196" s="148"/>
      <c r="AG196" s="148"/>
      <c r="AH196" s="148"/>
    </row>
    <row r="197" spans="2:34" x14ac:dyDescent="0.3">
      <c r="B197" s="20" t="str">
        <f t="shared" si="12"/>
        <v>Keysborough: Do nothing</v>
      </c>
      <c r="C197" s="153">
        <f t="shared" si="12"/>
        <v>6</v>
      </c>
      <c r="D197" s="329">
        <f>'K. CashFlows'!B15</f>
        <v>3015.3413775099643</v>
      </c>
      <c r="E197" s="329">
        <f>'K. CashFlows'!C15</f>
        <v>3045.9367189380764</v>
      </c>
      <c r="F197" s="329">
        <f>'K. CashFlows'!D15</f>
        <v>3076.9180220781827</v>
      </c>
      <c r="G197" s="329">
        <f>'K. CashFlows'!E15</f>
        <v>3108.2904656031142</v>
      </c>
      <c r="H197" s="329">
        <f>'K. CashFlows'!F15</f>
        <v>3280.0593048670321</v>
      </c>
      <c r="I197" s="329">
        <f>'K. CashFlows'!G15</f>
        <v>3172.2298731986548</v>
      </c>
      <c r="J197" s="329">
        <f>'K. CashFlows'!H15</f>
        <v>3204.8075832194409</v>
      </c>
      <c r="K197" s="329">
        <f>'K. CashFlows'!I15</f>
        <v>3237.7979281872558</v>
      </c>
      <c r="L197" s="329">
        <f>'K. CashFlows'!J15</f>
        <v>3271.2064833660806</v>
      </c>
      <c r="M197" s="329">
        <f>'K. CashFlows'!K15</f>
        <v>3305.0389074223222</v>
      </c>
      <c r="N197" s="329">
        <f>'K. CashFlows'!L15</f>
        <v>3339.30094384829</v>
      </c>
      <c r="O197" s="329">
        <f>'K. CashFlows'!M15</f>
        <v>3373.9984224134428</v>
      </c>
      <c r="P197" s="329">
        <f>'K. CashFlows'!N15</f>
        <v>3409.1372606439968</v>
      </c>
      <c r="Q197" s="329">
        <f>'K. CashFlows'!O15</f>
        <v>3444.7234653315077</v>
      </c>
      <c r="R197" s="329">
        <f>'K. CashFlows'!P15</f>
        <v>3480.7631340710686</v>
      </c>
      <c r="S197" s="329">
        <f>'K. CashFlows'!Q15</f>
        <v>3517.2624568297556</v>
      </c>
      <c r="T197" s="329">
        <f>'K. CashFlows'!R15</f>
        <v>3554.2277175459858</v>
      </c>
      <c r="U197" s="329">
        <f>'K. CashFlows'!S15</f>
        <v>3591.6652957604647</v>
      </c>
      <c r="V197" s="329">
        <f>'K. CashFlows'!T15</f>
        <v>3629.5816682794075</v>
      </c>
      <c r="W197" s="329">
        <f>'K. CashFlows'!U15</f>
        <v>3667.9834108707437</v>
      </c>
      <c r="X197" s="329">
        <f>'K. CashFlows'!V15</f>
        <v>3706.8771999940286</v>
      </c>
      <c r="Y197" s="329">
        <f>'K. CashFlows'!W15</f>
        <v>3746.269814564801</v>
      </c>
      <c r="Z197" s="329">
        <f>'K. CashFlows'!X15</f>
        <v>3786.1681377541399</v>
      </c>
      <c r="AA197" s="329">
        <f>'K. CashFlows'!Y15</f>
        <v>3826.5791588242037</v>
      </c>
      <c r="AB197" s="329">
        <f>'K. CashFlows'!Z15</f>
        <v>3867.5099750005329</v>
      </c>
      <c r="AC197" s="329">
        <f>'K. CashFlows'!AA15</f>
        <v>3908.9677933819403</v>
      </c>
      <c r="AD197" s="148"/>
      <c r="AE197" s="148"/>
      <c r="AF197" s="148"/>
      <c r="AG197" s="148"/>
      <c r="AH197" s="148"/>
    </row>
    <row r="198" spans="2:34" x14ac:dyDescent="0.3">
      <c r="B198" s="20" t="str">
        <f t="shared" si="12"/>
        <v>Keysborough: Redevelop existing site</v>
      </c>
      <c r="C198" s="153">
        <f t="shared" si="12"/>
        <v>7</v>
      </c>
      <c r="D198" s="329">
        <f>'K. CashFlows'!B22-'K. CashFlows'!B19</f>
        <v>3688.5188775099632</v>
      </c>
      <c r="E198" s="329">
        <f>'K. CashFlows'!C22-'K. CashFlows'!C19</f>
        <v>1178.9204589380759</v>
      </c>
      <c r="F198" s="329">
        <f>'K. CashFlows'!D22-'K. CashFlows'!D19</f>
        <v>1191.6297519581824</v>
      </c>
      <c r="G198" s="329">
        <f>'K. CashFlows'!E22-'K. CashFlows'!E19</f>
        <v>1204.4859368666741</v>
      </c>
      <c r="H198" s="329">
        <f>'K. CashFlows'!F22-'K. CashFlows'!F19</f>
        <v>1217.4907134263794</v>
      </c>
      <c r="I198" s="329">
        <f>'K. CashFlows'!G22-'K. CashFlows'!G19</f>
        <v>1230.6458010923552</v>
      </c>
      <c r="J198" s="329">
        <f>'K. CashFlows'!H22-'K. CashFlows'!H19</f>
        <v>1243.9529392402972</v>
      </c>
      <c r="K198" s="329">
        <f>'K. CashFlows'!I22-'K. CashFlows'!I19</f>
        <v>1257.4138873976049</v>
      </c>
      <c r="L198" s="329">
        <f>'K. CashFlows'!J22-'K. CashFlows'!J19</f>
        <v>1271.0304254771277</v>
      </c>
      <c r="M198" s="329">
        <f>'K. CashFlows'!K22-'K. CashFlows'!K19</f>
        <v>1284.8043540136293</v>
      </c>
      <c r="N198" s="329">
        <f>'K. CashFlows'!L22-'K. CashFlows'!L19</f>
        <v>1298.7374944029939</v>
      </c>
      <c r="O198" s="329">
        <f>'K. CashFlows'!M22-'K. CashFlows'!M19</f>
        <v>1312.8316891442119</v>
      </c>
      <c r="P198" s="329">
        <f>'K. CashFlows'!N22-'K. CashFlows'!N19</f>
        <v>1327.0888020841787</v>
      </c>
      <c r="Q198" s="329">
        <f>'K. CashFlows'!O22-'K. CashFlows'!O19</f>
        <v>1341.5107186653318</v>
      </c>
      <c r="R198" s="329">
        <f>'K. CashFlows'!P22-'K. CashFlows'!P19</f>
        <v>1356.0993461761673</v>
      </c>
      <c r="S198" s="329">
        <f>'K. CashFlows'!Q22-'K. CashFlows'!Q19</f>
        <v>1370.856614004666</v>
      </c>
      <c r="T198" s="329">
        <f>'K. CashFlows'!R22-'K. CashFlows'!R19</f>
        <v>1385.7844738946592</v>
      </c>
      <c r="U198" s="329">
        <f>'K. CashFlows'!S22-'K. CashFlows'!S19</f>
        <v>1400.8849002051784</v>
      </c>
      <c r="V198" s="329">
        <f>'K. CashFlows'!T22-'K. CashFlows'!T19</f>
        <v>1416.15989017281</v>
      </c>
      <c r="W198" s="329">
        <f>'K. CashFlows'!U22-'K. CashFlows'!U19</f>
        <v>1431.6114641771032</v>
      </c>
      <c r="X198" s="329">
        <f>'K. CashFlows'!V22-'K. CashFlows'!V19</f>
        <v>1447.2416660090569</v>
      </c>
      <c r="Y198" s="329">
        <f>'K. CashFlows'!W22-'K. CashFlows'!W19</f>
        <v>1463.0525631427263</v>
      </c>
      <c r="Z198" s="329">
        <f>'K. CashFlows'!X22-'K. CashFlows'!X19</f>
        <v>1479.0462470099853</v>
      </c>
      <c r="AA198" s="329">
        <f>'K. CashFlows'!Y22-'K. CashFlows'!Y19</f>
        <v>1495.2248332784784</v>
      </c>
      <c r="AB198" s="329">
        <f>'K. CashFlows'!Z22-'K. CashFlows'!Z19</f>
        <v>1511.5904621328023</v>
      </c>
      <c r="AC198" s="329">
        <f>'K. CashFlows'!AA22-'K. CashFlows'!AA19</f>
        <v>1528.1452985589538</v>
      </c>
      <c r="AD198" s="148"/>
      <c r="AE198" s="148"/>
      <c r="AF198" s="148"/>
      <c r="AG198" s="148"/>
      <c r="AH198" s="148"/>
    </row>
    <row r="199" spans="2:34" x14ac:dyDescent="0.3">
      <c r="B199" s="20" t="str">
        <f t="shared" si="12"/>
        <v>Keysborough: Expansion develop current depot</v>
      </c>
      <c r="C199" s="153">
        <f t="shared" si="12"/>
        <v>8</v>
      </c>
      <c r="D199" s="329">
        <f>'K. CashFlows'!B29-'K. CashFlows'!B26</f>
        <v>3688.5188775099668</v>
      </c>
      <c r="E199" s="329">
        <f>'K. CashFlows'!C29-'K. CashFlows'!C26</f>
        <v>0</v>
      </c>
      <c r="F199" s="329">
        <f>'K. CashFlows'!D29-'K. CashFlows'!D26</f>
        <v>0</v>
      </c>
      <c r="G199" s="329">
        <f>'K. CashFlows'!E29-'K. CashFlows'!E26</f>
        <v>0</v>
      </c>
      <c r="H199" s="329">
        <f>'K. CashFlows'!F29-'K. CashFlows'!F26</f>
        <v>0</v>
      </c>
      <c r="I199" s="329">
        <f>'K. CashFlows'!G29-'K. CashFlows'!G26</f>
        <v>0</v>
      </c>
      <c r="J199" s="329">
        <f>'K. CashFlows'!H29-'K. CashFlows'!H26</f>
        <v>0</v>
      </c>
      <c r="K199" s="329">
        <f>'K. CashFlows'!I29-'K. CashFlows'!I26</f>
        <v>0</v>
      </c>
      <c r="L199" s="329">
        <f>'K. CashFlows'!J29-'K. CashFlows'!J26</f>
        <v>0</v>
      </c>
      <c r="M199" s="329">
        <f>'K. CashFlows'!K29-'K. CashFlows'!K26</f>
        <v>0</v>
      </c>
      <c r="N199" s="329">
        <f>'K. CashFlows'!L29-'K. CashFlows'!L26</f>
        <v>0</v>
      </c>
      <c r="O199" s="329">
        <f>'K. CashFlows'!M29-'K. CashFlows'!M26</f>
        <v>0</v>
      </c>
      <c r="P199" s="329">
        <f>'K. CashFlows'!N29-'K. CashFlows'!N26</f>
        <v>0</v>
      </c>
      <c r="Q199" s="329">
        <f>'K. CashFlows'!O29-'K. CashFlows'!O26</f>
        <v>0</v>
      </c>
      <c r="R199" s="329">
        <f>'K. CashFlows'!P29-'K. CashFlows'!P26</f>
        <v>0</v>
      </c>
      <c r="S199" s="329">
        <f>'K. CashFlows'!Q29-'K. CashFlows'!Q26</f>
        <v>0</v>
      </c>
      <c r="T199" s="329">
        <f>'K. CashFlows'!R29-'K. CashFlows'!R26</f>
        <v>0</v>
      </c>
      <c r="U199" s="329">
        <f>'K. CashFlows'!S29-'K. CashFlows'!S26</f>
        <v>0</v>
      </c>
      <c r="V199" s="329">
        <f>'K. CashFlows'!T29-'K. CashFlows'!T26</f>
        <v>0</v>
      </c>
      <c r="W199" s="329">
        <f>'K. CashFlows'!U29-'K. CashFlows'!U26</f>
        <v>0</v>
      </c>
      <c r="X199" s="329">
        <f>'K. CashFlows'!V29-'K. CashFlows'!V26</f>
        <v>0</v>
      </c>
      <c r="Y199" s="329">
        <f>'K. CashFlows'!W29-'K. CashFlows'!W26</f>
        <v>0</v>
      </c>
      <c r="Z199" s="329">
        <f>'K. CashFlows'!X29-'K. CashFlows'!X26</f>
        <v>0</v>
      </c>
      <c r="AA199" s="329">
        <f>'K. CashFlows'!Y29-'K. CashFlows'!Y26</f>
        <v>0</v>
      </c>
      <c r="AB199" s="329">
        <f>'K. CashFlows'!Z29-'K. CashFlows'!Z26</f>
        <v>0</v>
      </c>
      <c r="AC199" s="329">
        <f>'K. CashFlows'!AA29-'K. CashFlows'!AA26</f>
        <v>0</v>
      </c>
      <c r="AD199" s="148"/>
      <c r="AE199" s="148"/>
      <c r="AF199" s="148"/>
      <c r="AG199" s="148"/>
      <c r="AH199" s="148"/>
    </row>
    <row r="200" spans="2:34" x14ac:dyDescent="0.3">
      <c r="B200" s="20" t="str">
        <f t="shared" si="12"/>
        <v>Keysborough: Purchase brownfield site</v>
      </c>
      <c r="C200" s="153">
        <f t="shared" si="12"/>
        <v>9</v>
      </c>
      <c r="D200" s="329">
        <f>'K. CashFlows'!B36-'K. CashFlows'!B33</f>
        <v>3688.5188775099668</v>
      </c>
      <c r="E200" s="329">
        <f>'K. CashFlows'!C36-'K. CashFlows'!C33</f>
        <v>3727.1923489380752</v>
      </c>
      <c r="F200" s="329">
        <f>'K. CashFlows'!D36-'K. CashFlows'!D33</f>
        <v>0</v>
      </c>
      <c r="G200" s="329">
        <f>'K. CashFlows'!E36-'K. CashFlows'!E33</f>
        <v>0</v>
      </c>
      <c r="H200" s="329">
        <f>'K. CashFlows'!F36-'K. CashFlows'!F33</f>
        <v>0</v>
      </c>
      <c r="I200" s="329">
        <f>'K. CashFlows'!G36-'K. CashFlows'!G33</f>
        <v>0</v>
      </c>
      <c r="J200" s="329">
        <f>'K. CashFlows'!H36-'K. CashFlows'!H33</f>
        <v>0</v>
      </c>
      <c r="K200" s="329">
        <f>'K. CashFlows'!I36-'K. CashFlows'!I33</f>
        <v>0</v>
      </c>
      <c r="L200" s="329">
        <f>'K. CashFlows'!J36-'K. CashFlows'!J33</f>
        <v>0</v>
      </c>
      <c r="M200" s="329">
        <f>'K. CashFlows'!K36-'K. CashFlows'!K33</f>
        <v>0</v>
      </c>
      <c r="N200" s="329">
        <f>'K. CashFlows'!L36-'K. CashFlows'!L33</f>
        <v>0</v>
      </c>
      <c r="O200" s="329">
        <f>'K. CashFlows'!M36-'K. CashFlows'!M33</f>
        <v>0</v>
      </c>
      <c r="P200" s="329">
        <f>'K. CashFlows'!N36-'K. CashFlows'!N33</f>
        <v>0</v>
      </c>
      <c r="Q200" s="329">
        <f>'K. CashFlows'!O36-'K. CashFlows'!O33</f>
        <v>0</v>
      </c>
      <c r="R200" s="329">
        <f>'K. CashFlows'!P36-'K. CashFlows'!P33</f>
        <v>0</v>
      </c>
      <c r="S200" s="329">
        <f>'K. CashFlows'!Q36-'K. CashFlows'!Q33</f>
        <v>0</v>
      </c>
      <c r="T200" s="329">
        <f>'K. CashFlows'!R36-'K. CashFlows'!R33</f>
        <v>0</v>
      </c>
      <c r="U200" s="329">
        <f>'K. CashFlows'!S36-'K. CashFlows'!S33</f>
        <v>0</v>
      </c>
      <c r="V200" s="329">
        <f>'K. CashFlows'!T36-'K. CashFlows'!T33</f>
        <v>0</v>
      </c>
      <c r="W200" s="329">
        <f>'K. CashFlows'!U36-'K. CashFlows'!U33</f>
        <v>0</v>
      </c>
      <c r="X200" s="329">
        <f>'K. CashFlows'!V36-'K. CashFlows'!V33</f>
        <v>0</v>
      </c>
      <c r="Y200" s="329">
        <f>'K. CashFlows'!W36-'K. CashFlows'!W33</f>
        <v>0</v>
      </c>
      <c r="Z200" s="329">
        <f>'K. CashFlows'!X36-'K. CashFlows'!X33</f>
        <v>0</v>
      </c>
      <c r="AA200" s="329">
        <f>'K. CashFlows'!Y36-'K. CashFlows'!Y33</f>
        <v>0</v>
      </c>
      <c r="AB200" s="329">
        <f>'K. CashFlows'!Z36-'K. CashFlows'!Z33</f>
        <v>0</v>
      </c>
      <c r="AC200" s="329">
        <f>'K. CashFlows'!AA36-'K. CashFlows'!AA33</f>
        <v>0</v>
      </c>
      <c r="AD200" s="148"/>
      <c r="AE200" s="148"/>
      <c r="AF200" s="148"/>
      <c r="AG200" s="148"/>
      <c r="AH200" s="148"/>
    </row>
    <row r="201" spans="2:34" x14ac:dyDescent="0.3">
      <c r="B201" s="327" t="str">
        <f t="shared" si="12"/>
        <v>Keysborough: Minimum spend</v>
      </c>
      <c r="C201" s="154">
        <f t="shared" si="12"/>
        <v>10</v>
      </c>
      <c r="D201" s="330">
        <f>'K. CashFlows'!B46-'K. CashFlows'!B42</f>
        <v>2725.5638775099633</v>
      </c>
      <c r="E201" s="330">
        <f>'K. CashFlows'!C46-'K. CashFlows'!C42</f>
        <v>2752.6818889380756</v>
      </c>
      <c r="F201" s="330">
        <f>'K. CashFlows'!D46-'K. CashFlows'!D42</f>
        <v>2780.1441341181826</v>
      </c>
      <c r="G201" s="330">
        <f>'K. CashFlows'!E46-'K. CashFlows'!E42</f>
        <v>2807.9552909875943</v>
      </c>
      <c r="H201" s="330">
        <f>'K. CashFlows'!F46-'K. CashFlows'!F42</f>
        <v>2609.1241413592506</v>
      </c>
      <c r="I201" s="330">
        <f>'K. CashFlows'!G46-'K. CashFlows'!G42</f>
        <v>2493.8677901604206</v>
      </c>
      <c r="J201" s="330">
        <f>'K. CashFlows'!H46-'K. CashFlows'!H42</f>
        <v>2520.6330721771792</v>
      </c>
      <c r="K201" s="330">
        <f>'K. CashFlows'!I46-'K. CashFlows'!I42</f>
        <v>2547.7136619297298</v>
      </c>
      <c r="L201" s="330">
        <f>'K. CashFlows'!J46-'K. CashFlows'!J42</f>
        <v>2575.1132773036379</v>
      </c>
      <c r="M201" s="330">
        <f>'K. CashFlows'!K46-'K. CashFlows'!K42</f>
        <v>2602.8356800620577</v>
      </c>
      <c r="N201" s="330">
        <f>'K. CashFlows'!L46-'K. CashFlows'!L42</f>
        <v>2630.8846763640036</v>
      </c>
      <c r="O201" s="330">
        <f>'K. CashFlows'!M46-'K. CashFlows'!M42</f>
        <v>2659.2641172887538</v>
      </c>
      <c r="P201" s="330">
        <f>'K. CashFlows'!N46-'K. CashFlows'!N42</f>
        <v>2687.9778993664549</v>
      </c>
      <c r="Q201" s="330">
        <f>'K. CashFlows'!O46-'K. CashFlows'!O42</f>
        <v>2717.0299651149953</v>
      </c>
      <c r="R201" s="330">
        <f>'K. CashFlows'!P46-'K. CashFlows'!P42</f>
        <v>2746.4243035832269</v>
      </c>
      <c r="S201" s="330">
        <f>'K. CashFlows'!Q46-'K. CashFlows'!Q42</f>
        <v>2776.1649509006102</v>
      </c>
      <c r="T201" s="330">
        <f>'K. CashFlows'!R46-'K. CashFlows'!R42</f>
        <v>2806.2559908333551</v>
      </c>
      <c r="U201" s="330">
        <f>'K. CashFlows'!S46-'K. CashFlows'!S42</f>
        <v>2836.7015553471383</v>
      </c>
      <c r="V201" s="330">
        <f>'K. CashFlows'!T46-'K. CashFlows'!T42</f>
        <v>2867.5058251764735</v>
      </c>
      <c r="W201" s="330">
        <f>'K. CashFlows'!U46-'K. CashFlows'!U42</f>
        <v>2898.6730304008106</v>
      </c>
      <c r="X201" s="330">
        <f>'K. CashFlows'!V46-'K. CashFlows'!V42</f>
        <v>2930.2074510274488</v>
      </c>
      <c r="Y201" s="330">
        <f>'K. CashFlows'!W46-'K. CashFlows'!W42</f>
        <v>2962.1134175813395</v>
      </c>
      <c r="Z201" s="330">
        <f>'K. CashFlows'!X46-'K. CashFlows'!X42</f>
        <v>2994.3953117018609</v>
      </c>
      <c r="AA201" s="330">
        <f>'K. CashFlows'!Y46-'K. CashFlows'!Y42</f>
        <v>3027.0575667466574</v>
      </c>
      <c r="AB201" s="330">
        <f>'K. CashFlows'!Z46-'K. CashFlows'!Z42</f>
        <v>3060.1046684025987</v>
      </c>
      <c r="AC201" s="330">
        <f>'K. CashFlows'!AA46-'K. CashFlows'!AA42</f>
        <v>3093.541155303988</v>
      </c>
      <c r="AD201" s="148"/>
      <c r="AE201" s="148"/>
      <c r="AF201" s="148"/>
      <c r="AG201" s="148"/>
      <c r="AH201" s="148"/>
    </row>
    <row r="202" spans="2:34" x14ac:dyDescent="0.3">
      <c r="B202" s="20" t="str">
        <f t="shared" si="12"/>
        <v>Burwood: Do not replace Burwood depot</v>
      </c>
      <c r="C202" s="153">
        <f t="shared" si="12"/>
        <v>11</v>
      </c>
      <c r="D202" s="329">
        <f>'B. CashFlows'!B16</f>
        <v>2057.1030524706948</v>
      </c>
      <c r="E202" s="329">
        <f>'B. CashFlows'!C16</f>
        <v>4662.9352029458369</v>
      </c>
      <c r="F202" s="329">
        <f>'B. CashFlows'!D16</f>
        <v>4698.6794586484775</v>
      </c>
      <c r="G202" s="329">
        <f>'B. CashFlows'!E16</f>
        <v>4734.8612407097316</v>
      </c>
      <c r="H202" s="329">
        <f>'B. CashFlows'!F16</f>
        <v>4771.4862404975274</v>
      </c>
      <c r="I202" s="329">
        <f>'B. CashFlows'!G16</f>
        <v>4808.5602312355968</v>
      </c>
      <c r="J202" s="329">
        <f>'B. CashFlows'!H16</f>
        <v>4846.0890693530982</v>
      </c>
      <c r="K202" s="329">
        <f>'B. CashFlows'!I16</f>
        <v>4884.0786958599401</v>
      </c>
      <c r="L202" s="329">
        <f>'B. CashFlows'!J16</f>
        <v>4922.5351377483494</v>
      </c>
      <c r="M202" s="329">
        <f>'B. CashFlows'!K16</f>
        <v>4961.464509421251</v>
      </c>
      <c r="N202" s="329">
        <f>'B. CashFlows'!L16</f>
        <v>5000.8730141480237</v>
      </c>
      <c r="O202" s="329">
        <f>'B. CashFlows'!M16</f>
        <v>5040.766945548241</v>
      </c>
      <c r="P202" s="329">
        <f>'B. CashFlows'!N16</f>
        <v>5081.1526891039721</v>
      </c>
      <c r="Q202" s="329">
        <f>'B. CashFlows'!O16</f>
        <v>5122.0367237012824</v>
      </c>
      <c r="R202" s="329">
        <f>'B. CashFlows'!P16</f>
        <v>5163.425623201555</v>
      </c>
      <c r="S202" s="329">
        <f>'B. CashFlows'!Q16</f>
        <v>5205.3260580432652</v>
      </c>
      <c r="T202" s="329">
        <f>'B. CashFlows'!R16</f>
        <v>5247.7447968748929</v>
      </c>
      <c r="U202" s="329">
        <f>'B. CashFlows'!S16</f>
        <v>5290.6887082196317</v>
      </c>
      <c r="V202" s="329">
        <f>'B. CashFlows'!T16</f>
        <v>5334.1647621725833</v>
      </c>
      <c r="W202" s="329">
        <f>'B. CashFlows'!U16</f>
        <v>5378.1800321311512</v>
      </c>
      <c r="X202" s="329">
        <f>'B. CashFlows'!V16</f>
        <v>5422.7416965593566</v>
      </c>
      <c r="Y202" s="329">
        <f>'B. CashFlows'!W16</f>
        <v>5467.8570407868137</v>
      </c>
      <c r="Z202" s="329">
        <f>'B. CashFlows'!X16</f>
        <v>5513.5334588431233</v>
      </c>
      <c r="AA202" s="329">
        <f>'B. CashFlows'!Y16</f>
        <v>5559.7784553284546</v>
      </c>
      <c r="AB202" s="329">
        <f>'B. CashFlows'!Z16</f>
        <v>5606.5996473211198</v>
      </c>
      <c r="AC202" s="329">
        <f>'B. CashFlows'!AA16</f>
        <v>5654.0047663229407</v>
      </c>
      <c r="AD202" s="148"/>
      <c r="AE202" s="148"/>
      <c r="AF202" s="148"/>
      <c r="AG202" s="148"/>
      <c r="AH202" s="148"/>
    </row>
    <row r="203" spans="2:34" x14ac:dyDescent="0.3">
      <c r="B203" s="20" t="str">
        <f t="shared" si="12"/>
        <v>Burwood: Develop new depot on greenfield site</v>
      </c>
      <c r="C203" s="153">
        <f t="shared" si="12"/>
        <v>12</v>
      </c>
      <c r="D203" s="329">
        <f>'B. CashFlows'!B23-'B. CashFlows'!B20</f>
        <v>2057.1030524706948</v>
      </c>
      <c r="E203" s="329">
        <f>'B. CashFlows'!C23-'B. CashFlows'!C20</f>
        <v>2331.4676014729193</v>
      </c>
      <c r="F203" s="329">
        <f>'B. CashFlows'!D23-'B. CashFlows'!D20</f>
        <v>0</v>
      </c>
      <c r="G203" s="329">
        <f>'B. CashFlows'!E23-'B. CashFlows'!E20</f>
        <v>0</v>
      </c>
      <c r="H203" s="329">
        <f>'B. CashFlows'!F23-'B. CashFlows'!F20</f>
        <v>0</v>
      </c>
      <c r="I203" s="329">
        <f>'B. CashFlows'!G23-'B. CashFlows'!G20</f>
        <v>0</v>
      </c>
      <c r="J203" s="329">
        <f>'B. CashFlows'!H23-'B. CashFlows'!H20</f>
        <v>0</v>
      </c>
      <c r="K203" s="329">
        <f>'B. CashFlows'!I23-'B. CashFlows'!I20</f>
        <v>0</v>
      </c>
      <c r="L203" s="329">
        <f>'B. CashFlows'!J23-'B. CashFlows'!J20</f>
        <v>0</v>
      </c>
      <c r="M203" s="329">
        <f>'B. CashFlows'!K23-'B. CashFlows'!K20</f>
        <v>0</v>
      </c>
      <c r="N203" s="329">
        <f>'B. CashFlows'!L23-'B. CashFlows'!L20</f>
        <v>0</v>
      </c>
      <c r="O203" s="329">
        <f>'B. CashFlows'!M23-'B. CashFlows'!M20</f>
        <v>0</v>
      </c>
      <c r="P203" s="329">
        <f>'B. CashFlows'!N23-'B. CashFlows'!N20</f>
        <v>0</v>
      </c>
      <c r="Q203" s="329">
        <f>'B. CashFlows'!O23-'B. CashFlows'!O20</f>
        <v>0</v>
      </c>
      <c r="R203" s="329">
        <f>'B. CashFlows'!P23-'B. CashFlows'!P20</f>
        <v>0</v>
      </c>
      <c r="S203" s="329">
        <f>'B. CashFlows'!Q23-'B. CashFlows'!Q20</f>
        <v>0</v>
      </c>
      <c r="T203" s="329">
        <f>'B. CashFlows'!R23-'B. CashFlows'!R20</f>
        <v>0</v>
      </c>
      <c r="U203" s="329">
        <f>'B. CashFlows'!S23-'B. CashFlows'!S20</f>
        <v>0</v>
      </c>
      <c r="V203" s="329">
        <f>'B. CashFlows'!T23-'B. CashFlows'!T20</f>
        <v>0</v>
      </c>
      <c r="W203" s="329">
        <f>'B. CashFlows'!U23-'B. CashFlows'!U20</f>
        <v>0</v>
      </c>
      <c r="X203" s="329">
        <f>'B. CashFlows'!V23-'B. CashFlows'!V20</f>
        <v>0</v>
      </c>
      <c r="Y203" s="329">
        <f>'B. CashFlows'!W23-'B. CashFlows'!W20</f>
        <v>0</v>
      </c>
      <c r="Z203" s="329">
        <f>'B. CashFlows'!X23-'B. CashFlows'!X20</f>
        <v>0</v>
      </c>
      <c r="AA203" s="329">
        <f>'B. CashFlows'!Y23-'B. CashFlows'!Y20</f>
        <v>0</v>
      </c>
      <c r="AB203" s="329">
        <f>'B. CashFlows'!Z23-'B. CashFlows'!Z20</f>
        <v>0</v>
      </c>
      <c r="AC203" s="329">
        <f>'B. CashFlows'!AA23-'B. CashFlows'!AA20</f>
        <v>0</v>
      </c>
      <c r="AD203" s="148"/>
      <c r="AE203" s="148"/>
      <c r="AF203" s="148"/>
      <c r="AG203" s="148"/>
      <c r="AH203" s="148"/>
    </row>
    <row r="204" spans="2:34" x14ac:dyDescent="0.3">
      <c r="B204" s="327" t="str">
        <f t="shared" si="12"/>
        <v>Burwood: Develop new depot on brownfield site</v>
      </c>
      <c r="C204" s="154">
        <f t="shared" si="12"/>
        <v>13</v>
      </c>
      <c r="D204" s="330">
        <f>'B. CashFlows'!B30-'B. CashFlows'!B27</f>
        <v>2057.1030524706948</v>
      </c>
      <c r="E204" s="330">
        <f>'B. CashFlows'!C30-'B. CashFlows'!C27</f>
        <v>2331.4676014729193</v>
      </c>
      <c r="F204" s="330">
        <f>'B. CashFlows'!D30-'B. CashFlows'!D27</f>
        <v>0</v>
      </c>
      <c r="G204" s="330">
        <f>'B. CashFlows'!E30-'B. CashFlows'!E27</f>
        <v>0</v>
      </c>
      <c r="H204" s="330">
        <f>'B. CashFlows'!F30-'B. CashFlows'!F27</f>
        <v>0</v>
      </c>
      <c r="I204" s="330">
        <f>'B. CashFlows'!G30-'B. CashFlows'!G27</f>
        <v>0</v>
      </c>
      <c r="J204" s="330">
        <f>'B. CashFlows'!H30-'B. CashFlows'!H27</f>
        <v>0</v>
      </c>
      <c r="K204" s="330">
        <f>'B. CashFlows'!I30-'B. CashFlows'!I27</f>
        <v>0</v>
      </c>
      <c r="L204" s="330">
        <f>'B. CashFlows'!J30-'B. CashFlows'!J27</f>
        <v>0</v>
      </c>
      <c r="M204" s="330">
        <f>'B. CashFlows'!K30-'B. CashFlows'!K27</f>
        <v>0</v>
      </c>
      <c r="N204" s="330">
        <f>'B. CashFlows'!L30-'B. CashFlows'!L27</f>
        <v>0</v>
      </c>
      <c r="O204" s="330">
        <f>'B. CashFlows'!M30-'B. CashFlows'!M27</f>
        <v>0</v>
      </c>
      <c r="P204" s="330">
        <f>'B. CashFlows'!N30-'B. CashFlows'!N27</f>
        <v>0</v>
      </c>
      <c r="Q204" s="330">
        <f>'B. CashFlows'!O30-'B. CashFlows'!O27</f>
        <v>0</v>
      </c>
      <c r="R204" s="330">
        <f>'B. CashFlows'!P30-'B. CashFlows'!P27</f>
        <v>0</v>
      </c>
      <c r="S204" s="330">
        <f>'B. CashFlows'!Q30-'B. CashFlows'!Q27</f>
        <v>0</v>
      </c>
      <c r="T204" s="330">
        <f>'B. CashFlows'!R30-'B. CashFlows'!R27</f>
        <v>0</v>
      </c>
      <c r="U204" s="330">
        <f>'B. CashFlows'!S30-'B. CashFlows'!S27</f>
        <v>0</v>
      </c>
      <c r="V204" s="330">
        <f>'B. CashFlows'!T30-'B. CashFlows'!T27</f>
        <v>0</v>
      </c>
      <c r="W204" s="330">
        <f>'B. CashFlows'!U30-'B. CashFlows'!U27</f>
        <v>0</v>
      </c>
      <c r="X204" s="330">
        <f>'B. CashFlows'!V30-'B. CashFlows'!V27</f>
        <v>0</v>
      </c>
      <c r="Y204" s="330">
        <f>'B. CashFlows'!W30-'B. CashFlows'!W27</f>
        <v>0</v>
      </c>
      <c r="Z204" s="330">
        <f>'B. CashFlows'!X30-'B. CashFlows'!X27</f>
        <v>0</v>
      </c>
      <c r="AA204" s="330">
        <f>'B. CashFlows'!Y30-'B. CashFlows'!Y27</f>
        <v>0</v>
      </c>
      <c r="AB204" s="330">
        <f>'B. CashFlows'!Z30-'B. CashFlows'!Z27</f>
        <v>0</v>
      </c>
      <c r="AC204" s="330">
        <f>'B. CashFlows'!AA30-'B. CashFlows'!AA27</f>
        <v>0</v>
      </c>
      <c r="AD204" s="148"/>
      <c r="AE204" s="148"/>
      <c r="AF204" s="148"/>
      <c r="AG204" s="148"/>
      <c r="AH204" s="148"/>
    </row>
    <row r="206" spans="2:34" x14ac:dyDescent="0.3">
      <c r="B206" s="129" t="s">
        <v>315</v>
      </c>
      <c r="C206" s="130" t="s">
        <v>304</v>
      </c>
      <c r="D206" s="332">
        <v>2021</v>
      </c>
      <c r="E206" s="332">
        <f>D206+1</f>
        <v>2022</v>
      </c>
      <c r="F206" s="332">
        <f t="shared" ref="F206:AC206" si="13">E206+1</f>
        <v>2023</v>
      </c>
      <c r="G206" s="332">
        <f t="shared" si="13"/>
        <v>2024</v>
      </c>
      <c r="H206" s="332">
        <f t="shared" si="13"/>
        <v>2025</v>
      </c>
      <c r="I206" s="332">
        <f t="shared" si="13"/>
        <v>2026</v>
      </c>
      <c r="J206" s="332">
        <f t="shared" si="13"/>
        <v>2027</v>
      </c>
      <c r="K206" s="332">
        <f t="shared" si="13"/>
        <v>2028</v>
      </c>
      <c r="L206" s="332">
        <f t="shared" si="13"/>
        <v>2029</v>
      </c>
      <c r="M206" s="332">
        <f t="shared" si="13"/>
        <v>2030</v>
      </c>
      <c r="N206" s="332">
        <f t="shared" si="13"/>
        <v>2031</v>
      </c>
      <c r="O206" s="332">
        <f t="shared" si="13"/>
        <v>2032</v>
      </c>
      <c r="P206" s="332">
        <f t="shared" si="13"/>
        <v>2033</v>
      </c>
      <c r="Q206" s="332">
        <f t="shared" si="13"/>
        <v>2034</v>
      </c>
      <c r="R206" s="332">
        <f t="shared" si="13"/>
        <v>2035</v>
      </c>
      <c r="S206" s="332">
        <f t="shared" si="13"/>
        <v>2036</v>
      </c>
      <c r="T206" s="332">
        <f t="shared" si="13"/>
        <v>2037</v>
      </c>
      <c r="U206" s="332">
        <f t="shared" si="13"/>
        <v>2038</v>
      </c>
      <c r="V206" s="332">
        <f t="shared" si="13"/>
        <v>2039</v>
      </c>
      <c r="W206" s="332">
        <f t="shared" si="13"/>
        <v>2040</v>
      </c>
      <c r="X206" s="332">
        <f t="shared" si="13"/>
        <v>2041</v>
      </c>
      <c r="Y206" s="332">
        <f t="shared" si="13"/>
        <v>2042</v>
      </c>
      <c r="Z206" s="332">
        <f t="shared" si="13"/>
        <v>2043</v>
      </c>
      <c r="AA206" s="332">
        <f t="shared" si="13"/>
        <v>2044</v>
      </c>
      <c r="AB206" s="332">
        <f t="shared" si="13"/>
        <v>2045</v>
      </c>
      <c r="AC206" s="332">
        <f t="shared" si="13"/>
        <v>2046</v>
      </c>
    </row>
    <row r="207" spans="2:34" x14ac:dyDescent="0.3">
      <c r="B207" s="20" t="str">
        <f t="shared" ref="B207:C219" si="14">B61</f>
        <v>Mornington: Do nothing</v>
      </c>
      <c r="C207" s="153">
        <f t="shared" si="14"/>
        <v>1</v>
      </c>
      <c r="D207" s="329">
        <f>'M. CashFlows'!B16</f>
        <v>1579.1978491640689</v>
      </c>
      <c r="E207" s="329">
        <f>'M. CashFlows'!C16</f>
        <v>1593.1731290747064</v>
      </c>
      <c r="F207" s="329">
        <f>'M. CashFlows'!D16</f>
        <v>1607.337287120343</v>
      </c>
      <c r="G207" s="329">
        <f>'M. CashFlows'!E16</f>
        <v>1621.6931633710913</v>
      </c>
      <c r="H207" s="329">
        <f>'M. CashFlows'!F16</f>
        <v>1736.2436468108424</v>
      </c>
      <c r="I207" s="329">
        <f>'M. CashFlows'!G16</f>
        <v>1650.9916763005981</v>
      </c>
      <c r="J207" s="329">
        <f>'M. CashFlows'!H16</f>
        <v>1665.9402415628283</v>
      </c>
      <c r="K207" s="329">
        <f>'M. CashFlows'!I16</f>
        <v>1681.0923841873516</v>
      </c>
      <c r="L207" s="329">
        <f>'M. CashFlows'!J16</f>
        <v>1696.4511986592402</v>
      </c>
      <c r="M207" s="329">
        <f>'M. CashFlows'!K16</f>
        <v>1712.0198334092572</v>
      </c>
      <c r="N207" s="329">
        <f>'M. CashFlows'!L16</f>
        <v>1727.8014918873607</v>
      </c>
      <c r="O207" s="329">
        <f>'M. CashFlows'!M16</f>
        <v>1743.7994336598067</v>
      </c>
      <c r="P207" s="329">
        <f>'M. CashFlows'!N16</f>
        <v>1760.0169755304062</v>
      </c>
      <c r="Q207" s="329">
        <f>'M. CashFlows'!O16</f>
        <v>1776.4574926865002</v>
      </c>
      <c r="R207" s="329">
        <f>'M. CashFlows'!P16</f>
        <v>1793.1244198702348</v>
      </c>
      <c r="S207" s="329">
        <f>'M. CashFlows'!Q16</f>
        <v>1810.0212525757233</v>
      </c>
      <c r="T207" s="329">
        <f>'M. CashFlows'!R16</f>
        <v>1827.1515482727098</v>
      </c>
      <c r="U207" s="329">
        <f>'M. CashFlows'!S16</f>
        <v>1844.5189276573503</v>
      </c>
      <c r="V207" s="329">
        <f>'M. CashFlows'!T16</f>
        <v>1862.1270759307527</v>
      </c>
      <c r="W207" s="329">
        <f>'M. CashFlows'!U16</f>
        <v>1879.9797441059252</v>
      </c>
      <c r="X207" s="329">
        <f>'M. CashFlows'!V16</f>
        <v>1898.0807503438029</v>
      </c>
      <c r="Y207" s="329">
        <f>'M. CashFlows'!W16</f>
        <v>1916.4339813190397</v>
      </c>
      <c r="Z207" s="329">
        <f>'M. CashFlows'!X16</f>
        <v>1935.0433936162599</v>
      </c>
      <c r="AA207" s="329">
        <f>'M. CashFlows'!Y16</f>
        <v>1953.9130151574959</v>
      </c>
      <c r="AB207" s="329">
        <f>'M. CashFlows'!Z16</f>
        <v>1973.0469466615402</v>
      </c>
      <c r="AC207" s="329">
        <f>'M. CashFlows'!AA16</f>
        <v>1992.4493631359751</v>
      </c>
      <c r="AD207" s="148"/>
      <c r="AE207" s="148"/>
      <c r="AF207" s="148"/>
      <c r="AG207" s="148"/>
      <c r="AH207" s="148"/>
    </row>
    <row r="208" spans="2:34" x14ac:dyDescent="0.3">
      <c r="B208" s="20" t="str">
        <f t="shared" si="14"/>
        <v>Mornington: Redevelop existing site</v>
      </c>
      <c r="C208" s="153">
        <f t="shared" si="14"/>
        <v>2</v>
      </c>
      <c r="D208" s="329">
        <f>'M. CashFlows'!B23</f>
        <v>1579.1978491640689</v>
      </c>
      <c r="E208" s="329">
        <f>'M. CashFlows'!C23</f>
        <v>1593.1731290747064</v>
      </c>
      <c r="F208" s="329">
        <f>'M. CashFlows'!D23</f>
        <v>1607.337287120343</v>
      </c>
      <c r="G208" s="329">
        <f>'M. CashFlows'!E23</f>
        <v>1621.6931633710913</v>
      </c>
      <c r="H208" s="329">
        <f>'M. CashFlows'!F23</f>
        <v>6516.2436468108426</v>
      </c>
      <c r="I208" s="329">
        <f>'M. CashFlows'!G23</f>
        <v>8970.9916763005986</v>
      </c>
      <c r="J208" s="329">
        <f>'M. CashFlows'!H23</f>
        <v>667.38268104055453</v>
      </c>
      <c r="K208" s="329">
        <f>'M. CashFlows'!I23</f>
        <v>674.96579185605333</v>
      </c>
      <c r="L208" s="329">
        <f>'M. CashFlows'!J23</f>
        <v>682.63647861013953</v>
      </c>
      <c r="M208" s="329">
        <f>'M. CashFlows'!K23</f>
        <v>690.39575389449533</v>
      </c>
      <c r="N208" s="329">
        <f>'M. CashFlows'!L23</f>
        <v>698.24464202272281</v>
      </c>
      <c r="O208" s="329">
        <f>'M. CashFlows'!M23</f>
        <v>706.18417916620183</v>
      </c>
      <c r="P208" s="329">
        <f>'M. CashFlows'!N23</f>
        <v>714.21541349152164</v>
      </c>
      <c r="Q208" s="329">
        <f>'M. CashFlows'!O23</f>
        <v>722.33940529950894</v>
      </c>
      <c r="R208" s="329">
        <f>'M. CashFlows'!P23</f>
        <v>730.55722716586831</v>
      </c>
      <c r="S208" s="329">
        <f>'M. CashFlows'!Q23</f>
        <v>738.86996408345522</v>
      </c>
      <c r="T208" s="329">
        <f>'M. CashFlows'!R23</f>
        <v>747.27871360619861</v>
      </c>
      <c r="U208" s="329">
        <f>'M. CashFlows'!S23</f>
        <v>755.78458599469707</v>
      </c>
      <c r="V208" s="329">
        <f>'M. CashFlows'!T23</f>
        <v>764.38870436349998</v>
      </c>
      <c r="W208" s="329">
        <f>'M. CashFlows'!U23</f>
        <v>773.09220483010142</v>
      </c>
      <c r="X208" s="329">
        <f>'M. CashFlows'!V23</f>
        <v>781.89623666566149</v>
      </c>
      <c r="Y208" s="329">
        <f>'M. CashFlows'!W23</f>
        <v>790.80196244747754</v>
      </c>
      <c r="Z208" s="329">
        <f>'M. CashFlows'!X23</f>
        <v>799.81055821322377</v>
      </c>
      <c r="AA208" s="329">
        <f>'M. CashFlows'!Y23</f>
        <v>808.92321361698237</v>
      </c>
      <c r="AB208" s="329">
        <f>'M. CashFlows'!Z23</f>
        <v>818.14113208708432</v>
      </c>
      <c r="AC208" s="329">
        <f>'M. CashFlows'!AA23</f>
        <v>827.46553098578261</v>
      </c>
      <c r="AD208" s="148"/>
      <c r="AE208" s="148"/>
      <c r="AF208" s="148"/>
      <c r="AG208" s="148"/>
      <c r="AH208" s="148"/>
    </row>
    <row r="209" spans="2:34" x14ac:dyDescent="0.3">
      <c r="B209" s="20" t="str">
        <f t="shared" si="14"/>
        <v>Mornington: Purchase greenfield site</v>
      </c>
      <c r="C209" s="153">
        <f t="shared" si="14"/>
        <v>3</v>
      </c>
      <c r="D209" s="329">
        <f>'M. CashFlows'!B30</f>
        <v>1579.1978491640689</v>
      </c>
      <c r="E209" s="329">
        <f>'M. CashFlows'!C30</f>
        <v>1593.1731290747064</v>
      </c>
      <c r="F209" s="329">
        <f>'M. CashFlows'!D30</f>
        <v>1607.337287120343</v>
      </c>
      <c r="G209" s="329">
        <f>'M. CashFlows'!E30</f>
        <v>1621.6931633710913</v>
      </c>
      <c r="H209" s="329">
        <f>'M. CashFlows'!F30</f>
        <v>8036.2436468108426</v>
      </c>
      <c r="I209" s="329">
        <f>'M. CashFlows'!G30</f>
        <v>10750.991676300599</v>
      </c>
      <c r="J209" s="329">
        <f>'M. CashFlows'!H30</f>
        <v>0</v>
      </c>
      <c r="K209" s="329">
        <f>'M. CashFlows'!I30</f>
        <v>0</v>
      </c>
      <c r="L209" s="329">
        <f>'M. CashFlows'!J30</f>
        <v>0</v>
      </c>
      <c r="M209" s="329">
        <f>'M. CashFlows'!K30</f>
        <v>0</v>
      </c>
      <c r="N209" s="329">
        <f>'M. CashFlows'!L30</f>
        <v>0</v>
      </c>
      <c r="O209" s="329">
        <f>'M. CashFlows'!M30</f>
        <v>0</v>
      </c>
      <c r="P209" s="329">
        <f>'M. CashFlows'!N30</f>
        <v>0</v>
      </c>
      <c r="Q209" s="329">
        <f>'M. CashFlows'!O30</f>
        <v>0</v>
      </c>
      <c r="R209" s="329">
        <f>'M. CashFlows'!P30</f>
        <v>0</v>
      </c>
      <c r="S209" s="329">
        <f>'M. CashFlows'!Q30</f>
        <v>0</v>
      </c>
      <c r="T209" s="329">
        <f>'M. CashFlows'!R30</f>
        <v>0</v>
      </c>
      <c r="U209" s="329">
        <f>'M. CashFlows'!S30</f>
        <v>0</v>
      </c>
      <c r="V209" s="329">
        <f>'M. CashFlows'!T30</f>
        <v>0</v>
      </c>
      <c r="W209" s="329">
        <f>'M. CashFlows'!U30</f>
        <v>0</v>
      </c>
      <c r="X209" s="329">
        <f>'M. CashFlows'!V30</f>
        <v>0</v>
      </c>
      <c r="Y209" s="329">
        <f>'M. CashFlows'!W30</f>
        <v>0</v>
      </c>
      <c r="Z209" s="329">
        <f>'M. CashFlows'!X30</f>
        <v>0</v>
      </c>
      <c r="AA209" s="329">
        <f>'M. CashFlows'!Y30</f>
        <v>0</v>
      </c>
      <c r="AB209" s="329">
        <f>'M. CashFlows'!Z30</f>
        <v>0</v>
      </c>
      <c r="AC209" s="329">
        <f>'M. CashFlows'!AA30</f>
        <v>0</v>
      </c>
      <c r="AD209" s="148"/>
      <c r="AE209" s="148"/>
      <c r="AF209" s="148"/>
      <c r="AG209" s="148"/>
      <c r="AH209" s="148"/>
    </row>
    <row r="210" spans="2:34" x14ac:dyDescent="0.3">
      <c r="B210" s="20" t="str">
        <f t="shared" si="14"/>
        <v>Mornington: Purchase brownfield site</v>
      </c>
      <c r="C210" s="153">
        <f t="shared" si="14"/>
        <v>4</v>
      </c>
      <c r="D210" s="329">
        <f>'M. CashFlows'!B37</f>
        <v>1579.1978491640689</v>
      </c>
      <c r="E210" s="329">
        <f>'M. CashFlows'!C37</f>
        <v>1593.1731290747064</v>
      </c>
      <c r="F210" s="329">
        <f>'M. CashFlows'!D37</f>
        <v>1607.337287120343</v>
      </c>
      <c r="G210" s="329">
        <f>'M. CashFlows'!E37</f>
        <v>1621.6931633710913</v>
      </c>
      <c r="H210" s="329">
        <f>'M. CashFlows'!F37</f>
        <v>17636.243646810843</v>
      </c>
      <c r="I210" s="329">
        <f>'M. CashFlows'!G37</f>
        <v>136.13190948887271</v>
      </c>
      <c r="J210" s="329">
        <f>'M. CashFlows'!H37</f>
        <v>137.76549240273914</v>
      </c>
      <c r="K210" s="329">
        <f>'M. CashFlows'!I37</f>
        <v>139.41867831157205</v>
      </c>
      <c r="L210" s="329">
        <f>'M. CashFlows'!J37</f>
        <v>141.09170245131091</v>
      </c>
      <c r="M210" s="329">
        <f>'M. CashFlows'!K37</f>
        <v>142.78480288072663</v>
      </c>
      <c r="N210" s="329">
        <f>'M. CashFlows'!L37</f>
        <v>144.49822051529534</v>
      </c>
      <c r="O210" s="329">
        <f>'M. CashFlows'!M37</f>
        <v>146.23219916147889</v>
      </c>
      <c r="P210" s="329">
        <f>'M. CashFlows'!N37</f>
        <v>147.98698555141664</v>
      </c>
      <c r="Q210" s="329">
        <f>'M. CashFlows'!O37</f>
        <v>149.76282937803362</v>
      </c>
      <c r="R210" s="329">
        <f>'M. CashFlows'!P37</f>
        <v>151.55998333057002</v>
      </c>
      <c r="S210" s="329">
        <f>'M. CashFlows'!Q37</f>
        <v>153.37870313053691</v>
      </c>
      <c r="T210" s="329">
        <f>'M. CashFlows'!R37</f>
        <v>155.21924756810333</v>
      </c>
      <c r="U210" s="329">
        <f>'M. CashFlows'!S37</f>
        <v>157.08187853892059</v>
      </c>
      <c r="V210" s="329">
        <f>'M. CashFlows'!T37</f>
        <v>158.96686108138761</v>
      </c>
      <c r="W210" s="329">
        <f>'M. CashFlows'!U37</f>
        <v>160.87446341436427</v>
      </c>
      <c r="X210" s="329">
        <f>'M. CashFlows'!V37</f>
        <v>162.80495697533664</v>
      </c>
      <c r="Y210" s="329">
        <f>'M. CashFlows'!W37</f>
        <v>164.7586164590407</v>
      </c>
      <c r="Z210" s="329">
        <f>'M. CashFlows'!X37</f>
        <v>166.73571985654914</v>
      </c>
      <c r="AA210" s="329">
        <f>'M. CashFlows'!Y37</f>
        <v>168.73654849482779</v>
      </c>
      <c r="AB210" s="329">
        <f>'M. CashFlows'!Z37</f>
        <v>170.76138707676569</v>
      </c>
      <c r="AC210" s="329">
        <f>'M. CashFlows'!AA37</f>
        <v>172.81052372168685</v>
      </c>
      <c r="AD210" s="148"/>
      <c r="AE210" s="148"/>
      <c r="AF210" s="148"/>
      <c r="AG210" s="148"/>
      <c r="AH210" s="148"/>
    </row>
    <row r="211" spans="2:34" x14ac:dyDescent="0.3">
      <c r="B211" s="327" t="str">
        <f t="shared" si="14"/>
        <v>Mornington: Minimum spend</v>
      </c>
      <c r="C211" s="154">
        <f t="shared" si="14"/>
        <v>5</v>
      </c>
      <c r="D211" s="330">
        <f>'M. CashFlows'!B48</f>
        <v>3961.3978491640692</v>
      </c>
      <c r="E211" s="330">
        <f>'M. CashFlows'!C48</f>
        <v>1474.2715290747067</v>
      </c>
      <c r="F211" s="330">
        <f>'M. CashFlows'!D48</f>
        <v>1487.3208679203433</v>
      </c>
      <c r="G211" s="330">
        <f>'M. CashFlows'!E48</f>
        <v>1500.5485471406912</v>
      </c>
      <c r="H211" s="330">
        <f>'M. CashFlows'!F48</f>
        <v>10236.961328388803</v>
      </c>
      <c r="I211" s="330">
        <f>'M. CashFlows'!G48</f>
        <v>1156.7742724891345</v>
      </c>
      <c r="J211" s="330">
        <f>'M. CashFlows'!H48</f>
        <v>1168.4321458980585</v>
      </c>
      <c r="K211" s="330">
        <f>'M. CashFlows'!I48</f>
        <v>1180.2265302918474</v>
      </c>
      <c r="L211" s="330">
        <f>'M. CashFlows'!J48</f>
        <v>1192.1590259071634</v>
      </c>
      <c r="M211" s="330">
        <f>'M. CashFlows'!K48</f>
        <v>1204.2312517590833</v>
      </c>
      <c r="N211" s="330">
        <f>'M. CashFlows'!L48</f>
        <v>1216.4448458616857</v>
      </c>
      <c r="O211" s="330">
        <f>'M. CashFlows'!M48</f>
        <v>1228.8014654512322</v>
      </c>
      <c r="P211" s="330">
        <f>'M. CashFlows'!N48</f>
        <v>1241.3027872119726</v>
      </c>
      <c r="Q211" s="330">
        <f>'M. CashFlows'!O48</f>
        <v>1253.9505075046052</v>
      </c>
      <c r="R211" s="330">
        <f>'M. CashFlows'!P48</f>
        <v>1266.7463425974258</v>
      </c>
      <c r="S211" s="330">
        <f>'M. CashFlows'!Q48</f>
        <v>1279.6920289001914</v>
      </c>
      <c r="T211" s="330">
        <f>'M. CashFlows'!R48</f>
        <v>1292.7893232007357</v>
      </c>
      <c r="U211" s="330">
        <f>'M. CashFlows'!S48</f>
        <v>1306.0400029043687</v>
      </c>
      <c r="V211" s="330">
        <f>'M. CashFlows'!T48</f>
        <v>1319.4458662760874</v>
      </c>
      <c r="W211" s="330">
        <f>'M. CashFlows'!U48</f>
        <v>1333.0087326856401</v>
      </c>
      <c r="X211" s="330">
        <f>'M. CashFlows'!V48</f>
        <v>1346.7304428554667</v>
      </c>
      <c r="Y211" s="330">
        <f>'M. CashFlows'!W48</f>
        <v>1360.6128591115603</v>
      </c>
      <c r="Z211" s="330">
        <f>'M. CashFlows'!X48</f>
        <v>1374.6578656372756</v>
      </c>
      <c r="AA211" s="330">
        <f>'M. CashFlows'!Y48</f>
        <v>1388.867368730123</v>
      </c>
      <c r="AB211" s="330">
        <f>'M. CashFlows'!Z48</f>
        <v>1403.2432970615823</v>
      </c>
      <c r="AC211" s="330">
        <f>'M. CashFlows'!AA48</f>
        <v>1417.7876019399746</v>
      </c>
      <c r="AD211" s="148"/>
      <c r="AE211" s="148"/>
      <c r="AF211" s="148"/>
      <c r="AG211" s="148"/>
      <c r="AH211" s="148"/>
    </row>
    <row r="212" spans="2:34" x14ac:dyDescent="0.3">
      <c r="B212" s="20" t="str">
        <f t="shared" si="14"/>
        <v>Keysborough: Do nothing</v>
      </c>
      <c r="C212" s="153">
        <f t="shared" si="14"/>
        <v>6</v>
      </c>
      <c r="D212" s="329">
        <f>'K. CashFlows'!B15</f>
        <v>3015.3413775099643</v>
      </c>
      <c r="E212" s="329">
        <f>'K. CashFlows'!C15</f>
        <v>3045.9367189380764</v>
      </c>
      <c r="F212" s="329">
        <f>'K. CashFlows'!D15</f>
        <v>3076.9180220781827</v>
      </c>
      <c r="G212" s="329">
        <f>'K. CashFlows'!E15</f>
        <v>3108.2904656031142</v>
      </c>
      <c r="H212" s="329">
        <f>'K. CashFlows'!F15</f>
        <v>3280.0593048670321</v>
      </c>
      <c r="I212" s="329">
        <f>'K. CashFlows'!G15</f>
        <v>3172.2298731986548</v>
      </c>
      <c r="J212" s="329">
        <f>'K. CashFlows'!H15</f>
        <v>3204.8075832194409</v>
      </c>
      <c r="K212" s="329">
        <f>'K. CashFlows'!I15</f>
        <v>3237.7979281872558</v>
      </c>
      <c r="L212" s="329">
        <f>'K. CashFlows'!J15</f>
        <v>3271.2064833660806</v>
      </c>
      <c r="M212" s="329">
        <f>'K. CashFlows'!K15</f>
        <v>3305.0389074223222</v>
      </c>
      <c r="N212" s="329">
        <f>'K. CashFlows'!L15</f>
        <v>3339.30094384829</v>
      </c>
      <c r="O212" s="329">
        <f>'K. CashFlows'!M15</f>
        <v>3373.9984224134428</v>
      </c>
      <c r="P212" s="329">
        <f>'K. CashFlows'!N15</f>
        <v>3409.1372606439968</v>
      </c>
      <c r="Q212" s="329">
        <f>'K. CashFlows'!O15</f>
        <v>3444.7234653315077</v>
      </c>
      <c r="R212" s="329">
        <f>'K. CashFlows'!P15</f>
        <v>3480.7631340710686</v>
      </c>
      <c r="S212" s="329">
        <f>'K. CashFlows'!Q15</f>
        <v>3517.2624568297556</v>
      </c>
      <c r="T212" s="329">
        <f>'K. CashFlows'!R15</f>
        <v>3554.2277175459858</v>
      </c>
      <c r="U212" s="329">
        <f>'K. CashFlows'!S15</f>
        <v>3591.6652957604647</v>
      </c>
      <c r="V212" s="329">
        <f>'K. CashFlows'!T15</f>
        <v>3629.5816682794075</v>
      </c>
      <c r="W212" s="329">
        <f>'K. CashFlows'!U15</f>
        <v>3667.9834108707437</v>
      </c>
      <c r="X212" s="329">
        <f>'K. CashFlows'!V15</f>
        <v>3706.8771999940286</v>
      </c>
      <c r="Y212" s="329">
        <f>'K. CashFlows'!W15</f>
        <v>3746.269814564801</v>
      </c>
      <c r="Z212" s="329">
        <f>'K. CashFlows'!X15</f>
        <v>3786.1681377541399</v>
      </c>
      <c r="AA212" s="329">
        <f>'K. CashFlows'!Y15</f>
        <v>3826.5791588242037</v>
      </c>
      <c r="AB212" s="329">
        <f>'K. CashFlows'!Z15</f>
        <v>3867.5099750005329</v>
      </c>
      <c r="AC212" s="329">
        <f>'K. CashFlows'!AA15</f>
        <v>3908.9677933819403</v>
      </c>
      <c r="AD212" s="148"/>
      <c r="AE212" s="148"/>
      <c r="AF212" s="148"/>
      <c r="AG212" s="148"/>
      <c r="AH212" s="148"/>
    </row>
    <row r="213" spans="2:34" x14ac:dyDescent="0.3">
      <c r="B213" s="20" t="str">
        <f t="shared" si="14"/>
        <v>Keysborough: Redevelop existing site</v>
      </c>
      <c r="C213" s="153">
        <f t="shared" si="14"/>
        <v>7</v>
      </c>
      <c r="D213" s="329">
        <f>'K. CashFlows'!B22</f>
        <v>21588.518877509963</v>
      </c>
      <c r="E213" s="329">
        <f>'K. CashFlows'!C22</f>
        <v>1178.9204589380759</v>
      </c>
      <c r="F213" s="329">
        <f>'K. CashFlows'!D22</f>
        <v>1191.6297519581824</v>
      </c>
      <c r="G213" s="329">
        <f>'K. CashFlows'!E22</f>
        <v>1204.4859368666741</v>
      </c>
      <c r="H213" s="329">
        <f>'K. CashFlows'!F22</f>
        <v>1217.4907134263794</v>
      </c>
      <c r="I213" s="329">
        <f>'K. CashFlows'!G22</f>
        <v>1230.6458010923552</v>
      </c>
      <c r="J213" s="329">
        <f>'K. CashFlows'!H22</f>
        <v>1243.9529392402972</v>
      </c>
      <c r="K213" s="329">
        <f>'K. CashFlows'!I22</f>
        <v>1257.4138873976049</v>
      </c>
      <c r="L213" s="329">
        <f>'K. CashFlows'!J22</f>
        <v>1271.0304254771277</v>
      </c>
      <c r="M213" s="329">
        <f>'K. CashFlows'!K22</f>
        <v>1284.8043540136293</v>
      </c>
      <c r="N213" s="329">
        <f>'K. CashFlows'!L22</f>
        <v>1298.7374944029939</v>
      </c>
      <c r="O213" s="329">
        <f>'K. CashFlows'!M22</f>
        <v>1312.8316891442119</v>
      </c>
      <c r="P213" s="329">
        <f>'K. CashFlows'!N22</f>
        <v>1327.0888020841787</v>
      </c>
      <c r="Q213" s="329">
        <f>'K. CashFlows'!O22</f>
        <v>1341.5107186653318</v>
      </c>
      <c r="R213" s="329">
        <f>'K. CashFlows'!P22</f>
        <v>1356.0993461761673</v>
      </c>
      <c r="S213" s="329">
        <f>'K. CashFlows'!Q22</f>
        <v>1370.856614004666</v>
      </c>
      <c r="T213" s="329">
        <f>'K. CashFlows'!R22</f>
        <v>1385.7844738946592</v>
      </c>
      <c r="U213" s="329">
        <f>'K. CashFlows'!S22</f>
        <v>1400.8849002051784</v>
      </c>
      <c r="V213" s="329">
        <f>'K. CashFlows'!T22</f>
        <v>1416.15989017281</v>
      </c>
      <c r="W213" s="329">
        <f>'K. CashFlows'!U22</f>
        <v>1431.6114641771032</v>
      </c>
      <c r="X213" s="329">
        <f>'K. CashFlows'!V22</f>
        <v>1447.2416660090569</v>
      </c>
      <c r="Y213" s="329">
        <f>'K. CashFlows'!W22</f>
        <v>1463.0525631427263</v>
      </c>
      <c r="Z213" s="329">
        <f>'K. CashFlows'!X22</f>
        <v>1479.0462470099853</v>
      </c>
      <c r="AA213" s="329">
        <f>'K. CashFlows'!Y22</f>
        <v>1495.2248332784784</v>
      </c>
      <c r="AB213" s="329">
        <f>'K. CashFlows'!Z22</f>
        <v>1511.5904621328023</v>
      </c>
      <c r="AC213" s="329">
        <f>'K. CashFlows'!AA22</f>
        <v>1528.1452985589538</v>
      </c>
      <c r="AD213" s="148"/>
      <c r="AE213" s="148"/>
      <c r="AF213" s="148"/>
      <c r="AG213" s="148"/>
      <c r="AH213" s="148"/>
    </row>
    <row r="214" spans="2:34" x14ac:dyDescent="0.3">
      <c r="B214" s="20" t="str">
        <f t="shared" si="14"/>
        <v>Keysborough: Expansion develop current depot</v>
      </c>
      <c r="C214" s="153">
        <f t="shared" si="14"/>
        <v>8</v>
      </c>
      <c r="D214" s="329">
        <f>'K. CashFlows'!B29</f>
        <v>23454.047889729267</v>
      </c>
      <c r="E214" s="329">
        <f>'K. CashFlows'!C29</f>
        <v>0</v>
      </c>
      <c r="F214" s="329">
        <f>'K. CashFlows'!D29</f>
        <v>0</v>
      </c>
      <c r="G214" s="329">
        <f>'K. CashFlows'!E29</f>
        <v>0</v>
      </c>
      <c r="H214" s="329">
        <f>'K. CashFlows'!F29</f>
        <v>0</v>
      </c>
      <c r="I214" s="329">
        <f>'K. CashFlows'!G29</f>
        <v>0</v>
      </c>
      <c r="J214" s="329">
        <f>'K. CashFlows'!H29</f>
        <v>0</v>
      </c>
      <c r="K214" s="329">
        <f>'K. CashFlows'!I29</f>
        <v>0</v>
      </c>
      <c r="L214" s="329">
        <f>'K. CashFlows'!J29</f>
        <v>0</v>
      </c>
      <c r="M214" s="329">
        <f>'K. CashFlows'!K29</f>
        <v>0</v>
      </c>
      <c r="N214" s="329">
        <f>'K. CashFlows'!L29</f>
        <v>0</v>
      </c>
      <c r="O214" s="329">
        <f>'K. CashFlows'!M29</f>
        <v>0</v>
      </c>
      <c r="P214" s="329">
        <f>'K. CashFlows'!N29</f>
        <v>0</v>
      </c>
      <c r="Q214" s="329">
        <f>'K. CashFlows'!O29</f>
        <v>0</v>
      </c>
      <c r="R214" s="329">
        <f>'K. CashFlows'!P29</f>
        <v>0</v>
      </c>
      <c r="S214" s="329">
        <f>'K. CashFlows'!Q29</f>
        <v>0</v>
      </c>
      <c r="T214" s="329">
        <f>'K. CashFlows'!R29</f>
        <v>0</v>
      </c>
      <c r="U214" s="329">
        <f>'K. CashFlows'!S29</f>
        <v>0</v>
      </c>
      <c r="V214" s="329">
        <f>'K. CashFlows'!T29</f>
        <v>0</v>
      </c>
      <c r="W214" s="329">
        <f>'K. CashFlows'!U29</f>
        <v>0</v>
      </c>
      <c r="X214" s="329">
        <f>'K. CashFlows'!V29</f>
        <v>0</v>
      </c>
      <c r="Y214" s="329">
        <f>'K. CashFlows'!W29</f>
        <v>0</v>
      </c>
      <c r="Z214" s="329">
        <f>'K. CashFlows'!X29</f>
        <v>0</v>
      </c>
      <c r="AA214" s="329">
        <f>'K. CashFlows'!Y29</f>
        <v>0</v>
      </c>
      <c r="AB214" s="329">
        <f>'K. CashFlows'!Z29</f>
        <v>0</v>
      </c>
      <c r="AC214" s="329">
        <f>'K. CashFlows'!AA29</f>
        <v>0</v>
      </c>
      <c r="AD214" s="148"/>
      <c r="AE214" s="148"/>
      <c r="AF214" s="148"/>
      <c r="AG214" s="148"/>
      <c r="AH214" s="148"/>
    </row>
    <row r="215" spans="2:34" x14ac:dyDescent="0.3">
      <c r="B215" s="20" t="str">
        <f t="shared" si="14"/>
        <v>Keysborough: Purchase brownfield site</v>
      </c>
      <c r="C215" s="153">
        <f t="shared" si="14"/>
        <v>9</v>
      </c>
      <c r="D215" s="329">
        <f>'K. CashFlows'!B36</f>
        <v>21188.518877509967</v>
      </c>
      <c r="E215" s="329">
        <f>'K. CashFlows'!C36</f>
        <v>21727.192348938075</v>
      </c>
      <c r="F215" s="329">
        <f>'K. CashFlows'!D36</f>
        <v>0</v>
      </c>
      <c r="G215" s="329">
        <f>'K. CashFlows'!E36</f>
        <v>0</v>
      </c>
      <c r="H215" s="329">
        <f>'K. CashFlows'!F36</f>
        <v>0</v>
      </c>
      <c r="I215" s="329">
        <f>'K. CashFlows'!G36</f>
        <v>0</v>
      </c>
      <c r="J215" s="329">
        <f>'K. CashFlows'!H36</f>
        <v>0</v>
      </c>
      <c r="K215" s="329">
        <f>'K. CashFlows'!I36</f>
        <v>0</v>
      </c>
      <c r="L215" s="329">
        <f>'K. CashFlows'!J36</f>
        <v>0</v>
      </c>
      <c r="M215" s="329">
        <f>'K. CashFlows'!K36</f>
        <v>0</v>
      </c>
      <c r="N215" s="329">
        <f>'K. CashFlows'!L36</f>
        <v>0</v>
      </c>
      <c r="O215" s="329">
        <f>'K. CashFlows'!M36</f>
        <v>0</v>
      </c>
      <c r="P215" s="329">
        <f>'K. CashFlows'!N36</f>
        <v>0</v>
      </c>
      <c r="Q215" s="329">
        <f>'K. CashFlows'!O36</f>
        <v>0</v>
      </c>
      <c r="R215" s="329">
        <f>'K. CashFlows'!P36</f>
        <v>0</v>
      </c>
      <c r="S215" s="329">
        <f>'K. CashFlows'!Q36</f>
        <v>0</v>
      </c>
      <c r="T215" s="329">
        <f>'K. CashFlows'!R36</f>
        <v>0</v>
      </c>
      <c r="U215" s="329">
        <f>'K. CashFlows'!S36</f>
        <v>0</v>
      </c>
      <c r="V215" s="329">
        <f>'K. CashFlows'!T36</f>
        <v>0</v>
      </c>
      <c r="W215" s="329">
        <f>'K. CashFlows'!U36</f>
        <v>0</v>
      </c>
      <c r="X215" s="329">
        <f>'K. CashFlows'!V36</f>
        <v>0</v>
      </c>
      <c r="Y215" s="329">
        <f>'K. CashFlows'!W36</f>
        <v>0</v>
      </c>
      <c r="Z215" s="329">
        <f>'K. CashFlows'!X36</f>
        <v>0</v>
      </c>
      <c r="AA215" s="329">
        <f>'K. CashFlows'!Y36</f>
        <v>0</v>
      </c>
      <c r="AB215" s="329">
        <f>'K. CashFlows'!Z36</f>
        <v>0</v>
      </c>
      <c r="AC215" s="329">
        <f>'K. CashFlows'!AA36</f>
        <v>0</v>
      </c>
      <c r="AD215" s="148"/>
      <c r="AE215" s="148"/>
      <c r="AF215" s="148"/>
      <c r="AG215" s="148"/>
      <c r="AH215" s="148"/>
    </row>
    <row r="216" spans="2:34" x14ac:dyDescent="0.3">
      <c r="B216" s="327" t="str">
        <f t="shared" si="14"/>
        <v>Keysborough: Minimum spend</v>
      </c>
      <c r="C216" s="154">
        <f t="shared" si="14"/>
        <v>10</v>
      </c>
      <c r="D216" s="330">
        <f>'K. CashFlows'!B46</f>
        <v>14125.563877509963</v>
      </c>
      <c r="E216" s="330">
        <f>'K. CashFlows'!C46</f>
        <v>2752.6818889380756</v>
      </c>
      <c r="F216" s="330">
        <f>'K. CashFlows'!D46</f>
        <v>2780.1441341181826</v>
      </c>
      <c r="G216" s="330">
        <f>'K. CashFlows'!E46</f>
        <v>2807.9552909875943</v>
      </c>
      <c r="H216" s="330">
        <f>'K. CashFlows'!F46</f>
        <v>2749.1241413592506</v>
      </c>
      <c r="I216" s="330">
        <f>'K. CashFlows'!G46</f>
        <v>2493.8677901604206</v>
      </c>
      <c r="J216" s="330">
        <f>'K. CashFlows'!H46</f>
        <v>2520.6330721771792</v>
      </c>
      <c r="K216" s="330">
        <f>'K. CashFlows'!I46</f>
        <v>2547.7136619297298</v>
      </c>
      <c r="L216" s="330">
        <f>'K. CashFlows'!J46</f>
        <v>2575.1132773036379</v>
      </c>
      <c r="M216" s="330">
        <f>'K. CashFlows'!K46</f>
        <v>2602.8356800620577</v>
      </c>
      <c r="N216" s="330">
        <f>'K. CashFlows'!L46</f>
        <v>2630.8846763640036</v>
      </c>
      <c r="O216" s="330">
        <f>'K. CashFlows'!M46</f>
        <v>2659.2641172887538</v>
      </c>
      <c r="P216" s="330">
        <f>'K. CashFlows'!N46</f>
        <v>2687.9778993664549</v>
      </c>
      <c r="Q216" s="330">
        <f>'K. CashFlows'!O46</f>
        <v>2717.0299651149953</v>
      </c>
      <c r="R216" s="330">
        <f>'K. CashFlows'!P46</f>
        <v>2746.4243035832269</v>
      </c>
      <c r="S216" s="330">
        <f>'K. CashFlows'!Q46</f>
        <v>2776.1649509006102</v>
      </c>
      <c r="T216" s="330">
        <f>'K. CashFlows'!R46</f>
        <v>2806.2559908333551</v>
      </c>
      <c r="U216" s="330">
        <f>'K. CashFlows'!S46</f>
        <v>2836.7015553471383</v>
      </c>
      <c r="V216" s="330">
        <f>'K. CashFlows'!T46</f>
        <v>2867.5058251764735</v>
      </c>
      <c r="W216" s="330">
        <f>'K. CashFlows'!U46</f>
        <v>2898.6730304008106</v>
      </c>
      <c r="X216" s="330">
        <f>'K. CashFlows'!V46</f>
        <v>2930.2074510274488</v>
      </c>
      <c r="Y216" s="330">
        <f>'K. CashFlows'!W46</f>
        <v>2962.1134175813395</v>
      </c>
      <c r="Z216" s="330">
        <f>'K. CashFlows'!X46</f>
        <v>2994.3953117018609</v>
      </c>
      <c r="AA216" s="330">
        <f>'K. CashFlows'!Y46</f>
        <v>3027.0575667466574</v>
      </c>
      <c r="AB216" s="330">
        <f>'K. CashFlows'!Z46</f>
        <v>3060.1046684025987</v>
      </c>
      <c r="AC216" s="330">
        <f>'K. CashFlows'!AA46</f>
        <v>3093.541155303988</v>
      </c>
      <c r="AD216" s="148"/>
      <c r="AE216" s="148"/>
      <c r="AF216" s="148"/>
      <c r="AG216" s="148"/>
      <c r="AH216" s="148"/>
    </row>
    <row r="217" spans="2:34" x14ac:dyDescent="0.3">
      <c r="B217" s="20" t="str">
        <f t="shared" si="14"/>
        <v>Burwood: Do not replace Burwood depot</v>
      </c>
      <c r="C217" s="153">
        <f t="shared" si="14"/>
        <v>11</v>
      </c>
      <c r="D217" s="329">
        <f>'B. CashFlows'!B16</f>
        <v>2057.1030524706948</v>
      </c>
      <c r="E217" s="329">
        <f>'B. CashFlows'!C16</f>
        <v>4662.9352029458369</v>
      </c>
      <c r="F217" s="329">
        <f>'B. CashFlows'!D16</f>
        <v>4698.6794586484775</v>
      </c>
      <c r="G217" s="329">
        <f>'B. CashFlows'!E16</f>
        <v>4734.8612407097316</v>
      </c>
      <c r="H217" s="329">
        <f>'B. CashFlows'!F16</f>
        <v>4771.4862404975274</v>
      </c>
      <c r="I217" s="329">
        <f>'B. CashFlows'!G16</f>
        <v>4808.5602312355968</v>
      </c>
      <c r="J217" s="329">
        <f>'B. CashFlows'!H16</f>
        <v>4846.0890693530982</v>
      </c>
      <c r="K217" s="329">
        <f>'B. CashFlows'!I16</f>
        <v>4884.0786958599401</v>
      </c>
      <c r="L217" s="329">
        <f>'B. CashFlows'!J16</f>
        <v>4922.5351377483494</v>
      </c>
      <c r="M217" s="329">
        <f>'B. CashFlows'!K16</f>
        <v>4961.464509421251</v>
      </c>
      <c r="N217" s="329">
        <f>'B. CashFlows'!L16</f>
        <v>5000.8730141480237</v>
      </c>
      <c r="O217" s="329">
        <f>'B. CashFlows'!M16</f>
        <v>5040.766945548241</v>
      </c>
      <c r="P217" s="329">
        <f>'B. CashFlows'!N16</f>
        <v>5081.1526891039721</v>
      </c>
      <c r="Q217" s="329">
        <f>'B. CashFlows'!O16</f>
        <v>5122.0367237012824</v>
      </c>
      <c r="R217" s="329">
        <f>'B. CashFlows'!P16</f>
        <v>5163.425623201555</v>
      </c>
      <c r="S217" s="329">
        <f>'B. CashFlows'!Q16</f>
        <v>5205.3260580432652</v>
      </c>
      <c r="T217" s="329">
        <f>'B. CashFlows'!R16</f>
        <v>5247.7447968748929</v>
      </c>
      <c r="U217" s="329">
        <f>'B. CashFlows'!S16</f>
        <v>5290.6887082196317</v>
      </c>
      <c r="V217" s="329">
        <f>'B. CashFlows'!T16</f>
        <v>5334.1647621725833</v>
      </c>
      <c r="W217" s="329">
        <f>'B. CashFlows'!U16</f>
        <v>5378.1800321311512</v>
      </c>
      <c r="X217" s="329">
        <f>'B. CashFlows'!V16</f>
        <v>5422.7416965593566</v>
      </c>
      <c r="Y217" s="329">
        <f>'B. CashFlows'!W16</f>
        <v>5467.8570407868137</v>
      </c>
      <c r="Z217" s="329">
        <f>'B. CashFlows'!X16</f>
        <v>5513.5334588431233</v>
      </c>
      <c r="AA217" s="329">
        <f>'B. CashFlows'!Y16</f>
        <v>5559.7784553284546</v>
      </c>
      <c r="AB217" s="329">
        <f>'B. CashFlows'!Z16</f>
        <v>5606.5996473211198</v>
      </c>
      <c r="AC217" s="329">
        <f>'B. CashFlows'!AA16</f>
        <v>5654.0047663229407</v>
      </c>
      <c r="AD217" s="148"/>
      <c r="AE217" s="148"/>
      <c r="AF217" s="148"/>
      <c r="AG217" s="148"/>
      <c r="AH217" s="148"/>
    </row>
    <row r="218" spans="2:34" x14ac:dyDescent="0.3">
      <c r="B218" s="20" t="str">
        <f t="shared" si="14"/>
        <v>Burwood: Develop new depot on greenfield site</v>
      </c>
      <c r="C218" s="153">
        <f t="shared" si="14"/>
        <v>12</v>
      </c>
      <c r="D218" s="329">
        <f>'B. CashFlows'!B23</f>
        <v>16757.103052470695</v>
      </c>
      <c r="E218" s="329">
        <f>'B. CashFlows'!C23</f>
        <v>17731.467601472919</v>
      </c>
      <c r="F218" s="329">
        <f>'B. CashFlows'!D23</f>
        <v>0</v>
      </c>
      <c r="G218" s="329">
        <f>'B. CashFlows'!E23</f>
        <v>0</v>
      </c>
      <c r="H218" s="329">
        <f>'B. CashFlows'!F23</f>
        <v>0</v>
      </c>
      <c r="I218" s="329">
        <f>'B. CashFlows'!G23</f>
        <v>0</v>
      </c>
      <c r="J218" s="329">
        <f>'B. CashFlows'!H23</f>
        <v>0</v>
      </c>
      <c r="K218" s="329">
        <f>'B. CashFlows'!I23</f>
        <v>0</v>
      </c>
      <c r="L218" s="329">
        <f>'B. CashFlows'!J23</f>
        <v>0</v>
      </c>
      <c r="M218" s="329">
        <f>'B. CashFlows'!K23</f>
        <v>0</v>
      </c>
      <c r="N218" s="329">
        <f>'B. CashFlows'!L23</f>
        <v>0</v>
      </c>
      <c r="O218" s="329">
        <f>'B. CashFlows'!M23</f>
        <v>0</v>
      </c>
      <c r="P218" s="329">
        <f>'B. CashFlows'!N23</f>
        <v>0</v>
      </c>
      <c r="Q218" s="329">
        <f>'B. CashFlows'!O23</f>
        <v>0</v>
      </c>
      <c r="R218" s="329">
        <f>'B. CashFlows'!P23</f>
        <v>0</v>
      </c>
      <c r="S218" s="329">
        <f>'B. CashFlows'!Q23</f>
        <v>0</v>
      </c>
      <c r="T218" s="329">
        <f>'B. CashFlows'!R23</f>
        <v>0</v>
      </c>
      <c r="U218" s="329">
        <f>'B. CashFlows'!S23</f>
        <v>0</v>
      </c>
      <c r="V218" s="329">
        <f>'B. CashFlows'!T23</f>
        <v>0</v>
      </c>
      <c r="W218" s="329">
        <f>'B. CashFlows'!U23</f>
        <v>0</v>
      </c>
      <c r="X218" s="329">
        <f>'B. CashFlows'!V23</f>
        <v>0</v>
      </c>
      <c r="Y218" s="329">
        <f>'B. CashFlows'!W23</f>
        <v>0</v>
      </c>
      <c r="Z218" s="329">
        <f>'B. CashFlows'!X23</f>
        <v>0</v>
      </c>
      <c r="AA218" s="329">
        <f>'B. CashFlows'!Y23</f>
        <v>0</v>
      </c>
      <c r="AB218" s="329">
        <f>'B. CashFlows'!Z23</f>
        <v>0</v>
      </c>
      <c r="AC218" s="329">
        <f>'B. CashFlows'!AA23</f>
        <v>0</v>
      </c>
      <c r="AD218" s="148"/>
      <c r="AE218" s="148"/>
      <c r="AF218" s="148"/>
      <c r="AG218" s="148"/>
      <c r="AH218" s="148"/>
    </row>
    <row r="219" spans="2:34" x14ac:dyDescent="0.3">
      <c r="B219" s="327" t="str">
        <f t="shared" si="14"/>
        <v>Burwood: Develop new depot on brownfield site</v>
      </c>
      <c r="C219" s="154">
        <f t="shared" si="14"/>
        <v>13</v>
      </c>
      <c r="D219" s="330">
        <f>'B. CashFlows'!B30</f>
        <v>20108.772502996995</v>
      </c>
      <c r="E219" s="330">
        <f>'B. CashFlows'!C30</f>
        <v>15929.587192175619</v>
      </c>
      <c r="F219" s="330">
        <f>'B. CashFlows'!D30</f>
        <v>0</v>
      </c>
      <c r="G219" s="330">
        <f>'B. CashFlows'!E30</f>
        <v>0</v>
      </c>
      <c r="H219" s="330">
        <f>'B. CashFlows'!F30</f>
        <v>0</v>
      </c>
      <c r="I219" s="330">
        <f>'B. CashFlows'!G30</f>
        <v>0</v>
      </c>
      <c r="J219" s="330">
        <f>'B. CashFlows'!H30</f>
        <v>0</v>
      </c>
      <c r="K219" s="330">
        <f>'B. CashFlows'!I30</f>
        <v>0</v>
      </c>
      <c r="L219" s="330">
        <f>'B. CashFlows'!J30</f>
        <v>0</v>
      </c>
      <c r="M219" s="330">
        <f>'B. CashFlows'!K30</f>
        <v>0</v>
      </c>
      <c r="N219" s="330">
        <f>'B. CashFlows'!L30</f>
        <v>0</v>
      </c>
      <c r="O219" s="330">
        <f>'B. CashFlows'!M30</f>
        <v>0</v>
      </c>
      <c r="P219" s="330">
        <f>'B. CashFlows'!N30</f>
        <v>0</v>
      </c>
      <c r="Q219" s="330">
        <f>'B. CashFlows'!O30</f>
        <v>0</v>
      </c>
      <c r="R219" s="330">
        <f>'B. CashFlows'!P30</f>
        <v>0</v>
      </c>
      <c r="S219" s="330">
        <f>'B. CashFlows'!Q30</f>
        <v>0</v>
      </c>
      <c r="T219" s="330">
        <f>'B. CashFlows'!R30</f>
        <v>0</v>
      </c>
      <c r="U219" s="330">
        <f>'B. CashFlows'!S30</f>
        <v>0</v>
      </c>
      <c r="V219" s="330">
        <f>'B. CashFlows'!T30</f>
        <v>0</v>
      </c>
      <c r="W219" s="330">
        <f>'B. CashFlows'!U30</f>
        <v>0</v>
      </c>
      <c r="X219" s="330">
        <f>'B. CashFlows'!V30</f>
        <v>0</v>
      </c>
      <c r="Y219" s="330">
        <f>'B. CashFlows'!W30</f>
        <v>0</v>
      </c>
      <c r="Z219" s="330">
        <f>'B. CashFlows'!X30</f>
        <v>0</v>
      </c>
      <c r="AA219" s="330">
        <f>'B. CashFlows'!Y30</f>
        <v>0</v>
      </c>
      <c r="AB219" s="330">
        <f>'B. CashFlows'!Z30</f>
        <v>0</v>
      </c>
      <c r="AC219" s="330">
        <f>'B. CashFlows'!AA30</f>
        <v>0</v>
      </c>
      <c r="AD219" s="148"/>
      <c r="AE219" s="148"/>
      <c r="AF219" s="148"/>
      <c r="AG219" s="148"/>
      <c r="AH219" s="148"/>
    </row>
    <row r="221" spans="2:34" x14ac:dyDescent="0.3">
      <c r="B221" s="129" t="s">
        <v>308</v>
      </c>
      <c r="C221" s="130" t="s">
        <v>304</v>
      </c>
      <c r="D221" s="332">
        <v>2021</v>
      </c>
      <c r="E221" s="332">
        <f t="shared" ref="E221:N221" si="15">D221+1</f>
        <v>2022</v>
      </c>
      <c r="F221" s="332">
        <f t="shared" si="15"/>
        <v>2023</v>
      </c>
      <c r="G221" s="332">
        <f t="shared" si="15"/>
        <v>2024</v>
      </c>
      <c r="H221" s="332">
        <f t="shared" si="15"/>
        <v>2025</v>
      </c>
      <c r="I221" s="332">
        <f t="shared" si="15"/>
        <v>2026</v>
      </c>
      <c r="J221" s="332">
        <f t="shared" si="15"/>
        <v>2027</v>
      </c>
      <c r="K221" s="332">
        <f t="shared" si="15"/>
        <v>2028</v>
      </c>
      <c r="L221" s="332">
        <f t="shared" si="15"/>
        <v>2029</v>
      </c>
      <c r="M221" s="332">
        <f t="shared" si="15"/>
        <v>2030</v>
      </c>
      <c r="N221" s="332">
        <f t="shared" si="15"/>
        <v>2031</v>
      </c>
      <c r="O221" s="332">
        <f t="shared" ref="O221:AC221" si="16">N221+1</f>
        <v>2032</v>
      </c>
      <c r="P221" s="332">
        <f t="shared" si="16"/>
        <v>2033</v>
      </c>
      <c r="Q221" s="332">
        <f t="shared" si="16"/>
        <v>2034</v>
      </c>
      <c r="R221" s="332">
        <f t="shared" si="16"/>
        <v>2035</v>
      </c>
      <c r="S221" s="332">
        <f t="shared" si="16"/>
        <v>2036</v>
      </c>
      <c r="T221" s="332">
        <f t="shared" si="16"/>
        <v>2037</v>
      </c>
      <c r="U221" s="332">
        <f t="shared" si="16"/>
        <v>2038</v>
      </c>
      <c r="V221" s="332">
        <f t="shared" si="16"/>
        <v>2039</v>
      </c>
      <c r="W221" s="332">
        <f t="shared" si="16"/>
        <v>2040</v>
      </c>
      <c r="X221" s="332">
        <f t="shared" si="16"/>
        <v>2041</v>
      </c>
      <c r="Y221" s="332">
        <f t="shared" si="16"/>
        <v>2042</v>
      </c>
      <c r="Z221" s="332">
        <f t="shared" si="16"/>
        <v>2043</v>
      </c>
      <c r="AA221" s="332">
        <f t="shared" si="16"/>
        <v>2044</v>
      </c>
      <c r="AB221" s="332">
        <f t="shared" si="16"/>
        <v>2045</v>
      </c>
      <c r="AC221" s="332">
        <f t="shared" si="16"/>
        <v>2046</v>
      </c>
    </row>
    <row r="222" spans="2:34" x14ac:dyDescent="0.3">
      <c r="B222" s="20" t="str">
        <f t="shared" ref="B222:C234" si="17">B61</f>
        <v>Mornington: Do nothing</v>
      </c>
      <c r="C222" s="153">
        <f t="shared" si="17"/>
        <v>1</v>
      </c>
      <c r="D222" s="329">
        <f t="shared" ref="D222:AC222" si="18">PMT($E$21,25,-SUMPRODUCT($E61:$O61,$D237:$N237)*$O$103)*((D$221-$D$221+1)&lt;=25)</f>
        <v>0</v>
      </c>
      <c r="E222" s="329">
        <f t="shared" si="18"/>
        <v>0</v>
      </c>
      <c r="F222" s="329">
        <f t="shared" si="18"/>
        <v>0</v>
      </c>
      <c r="G222" s="329">
        <f t="shared" si="18"/>
        <v>0</v>
      </c>
      <c r="H222" s="329">
        <f t="shared" si="18"/>
        <v>0</v>
      </c>
      <c r="I222" s="329">
        <f t="shared" si="18"/>
        <v>0</v>
      </c>
      <c r="J222" s="329">
        <f t="shared" si="18"/>
        <v>0</v>
      </c>
      <c r="K222" s="329">
        <f t="shared" si="18"/>
        <v>0</v>
      </c>
      <c r="L222" s="329">
        <f t="shared" si="18"/>
        <v>0</v>
      </c>
      <c r="M222" s="329">
        <f t="shared" si="18"/>
        <v>0</v>
      </c>
      <c r="N222" s="329">
        <f t="shared" si="18"/>
        <v>0</v>
      </c>
      <c r="O222" s="329">
        <f t="shared" si="18"/>
        <v>0</v>
      </c>
      <c r="P222" s="329">
        <f t="shared" si="18"/>
        <v>0</v>
      </c>
      <c r="Q222" s="329">
        <f t="shared" si="18"/>
        <v>0</v>
      </c>
      <c r="R222" s="329">
        <f t="shared" si="18"/>
        <v>0</v>
      </c>
      <c r="S222" s="329">
        <f t="shared" si="18"/>
        <v>0</v>
      </c>
      <c r="T222" s="329">
        <f t="shared" si="18"/>
        <v>0</v>
      </c>
      <c r="U222" s="329">
        <f t="shared" si="18"/>
        <v>0</v>
      </c>
      <c r="V222" s="329">
        <f t="shared" si="18"/>
        <v>0</v>
      </c>
      <c r="W222" s="329">
        <f t="shared" si="18"/>
        <v>0</v>
      </c>
      <c r="X222" s="329">
        <f t="shared" si="18"/>
        <v>0</v>
      </c>
      <c r="Y222" s="329">
        <f t="shared" si="18"/>
        <v>0</v>
      </c>
      <c r="Z222" s="329">
        <f t="shared" si="18"/>
        <v>0</v>
      </c>
      <c r="AA222" s="329">
        <f t="shared" si="18"/>
        <v>0</v>
      </c>
      <c r="AB222" s="329">
        <f t="shared" si="18"/>
        <v>0</v>
      </c>
      <c r="AC222" s="329">
        <f t="shared" si="18"/>
        <v>0</v>
      </c>
    </row>
    <row r="223" spans="2:34" x14ac:dyDescent="0.3">
      <c r="B223" s="20" t="str">
        <f t="shared" si="17"/>
        <v>Mornington: Redevelop existing site</v>
      </c>
      <c r="C223" s="153">
        <f t="shared" si="17"/>
        <v>2</v>
      </c>
      <c r="D223" s="329">
        <f t="shared" ref="D223:AC223" si="19">PMT($E$21,25,-SUMPRODUCT($E62:$O62,$D238:$N238)*$O$103)*((D$221-$D$221+1)&lt;=25)</f>
        <v>688.74140113624105</v>
      </c>
      <c r="E223" s="329">
        <f t="shared" si="19"/>
        <v>688.74140113624105</v>
      </c>
      <c r="F223" s="329">
        <f t="shared" si="19"/>
        <v>688.74140113624105</v>
      </c>
      <c r="G223" s="329">
        <f t="shared" si="19"/>
        <v>688.74140113624105</v>
      </c>
      <c r="H223" s="329">
        <f t="shared" si="19"/>
        <v>688.74140113624105</v>
      </c>
      <c r="I223" s="329">
        <f t="shared" si="19"/>
        <v>688.74140113624105</v>
      </c>
      <c r="J223" s="329">
        <f t="shared" si="19"/>
        <v>688.74140113624105</v>
      </c>
      <c r="K223" s="329">
        <f t="shared" si="19"/>
        <v>688.74140113624105</v>
      </c>
      <c r="L223" s="329">
        <f t="shared" si="19"/>
        <v>688.74140113624105</v>
      </c>
      <c r="M223" s="329">
        <f t="shared" si="19"/>
        <v>688.74140113624105</v>
      </c>
      <c r="N223" s="329">
        <f t="shared" si="19"/>
        <v>688.74140113624105</v>
      </c>
      <c r="O223" s="329">
        <f t="shared" si="19"/>
        <v>688.74140113624105</v>
      </c>
      <c r="P223" s="329">
        <f t="shared" si="19"/>
        <v>688.74140113624105</v>
      </c>
      <c r="Q223" s="329">
        <f t="shared" si="19"/>
        <v>688.74140113624105</v>
      </c>
      <c r="R223" s="329">
        <f t="shared" si="19"/>
        <v>688.74140113624105</v>
      </c>
      <c r="S223" s="329">
        <f t="shared" si="19"/>
        <v>688.74140113624105</v>
      </c>
      <c r="T223" s="329">
        <f t="shared" si="19"/>
        <v>688.74140113624105</v>
      </c>
      <c r="U223" s="329">
        <f t="shared" si="19"/>
        <v>688.74140113624105</v>
      </c>
      <c r="V223" s="329">
        <f t="shared" si="19"/>
        <v>688.74140113624105</v>
      </c>
      <c r="W223" s="329">
        <f t="shared" si="19"/>
        <v>688.74140113624105</v>
      </c>
      <c r="X223" s="329">
        <f t="shared" si="19"/>
        <v>688.74140113624105</v>
      </c>
      <c r="Y223" s="329">
        <f t="shared" si="19"/>
        <v>688.74140113624105</v>
      </c>
      <c r="Z223" s="329">
        <f t="shared" si="19"/>
        <v>688.74140113624105</v>
      </c>
      <c r="AA223" s="329">
        <f t="shared" si="19"/>
        <v>688.74140113624105</v>
      </c>
      <c r="AB223" s="329">
        <f t="shared" si="19"/>
        <v>688.74140113624105</v>
      </c>
      <c r="AC223" s="329">
        <f t="shared" si="19"/>
        <v>0</v>
      </c>
    </row>
    <row r="224" spans="2:34" x14ac:dyDescent="0.3">
      <c r="B224" s="20" t="str">
        <f t="shared" si="17"/>
        <v>Mornington: Purchase greenfield site</v>
      </c>
      <c r="C224" s="153">
        <f t="shared" si="17"/>
        <v>3</v>
      </c>
      <c r="D224" s="329">
        <f t="shared" ref="D224:AC224" si="20">PMT($E$21,25,-SUMPRODUCT($E63:$O63,$D239:$N239)*$O$103)*((D$221-$D$221+1)&lt;=25)</f>
        <v>875.3474245765201</v>
      </c>
      <c r="E224" s="329">
        <f t="shared" si="20"/>
        <v>875.3474245765201</v>
      </c>
      <c r="F224" s="329">
        <f t="shared" si="20"/>
        <v>875.3474245765201</v>
      </c>
      <c r="G224" s="329">
        <f t="shared" si="20"/>
        <v>875.3474245765201</v>
      </c>
      <c r="H224" s="329">
        <f t="shared" si="20"/>
        <v>875.3474245765201</v>
      </c>
      <c r="I224" s="329">
        <f t="shared" si="20"/>
        <v>875.3474245765201</v>
      </c>
      <c r="J224" s="329">
        <f t="shared" si="20"/>
        <v>875.3474245765201</v>
      </c>
      <c r="K224" s="329">
        <f t="shared" si="20"/>
        <v>875.3474245765201</v>
      </c>
      <c r="L224" s="329">
        <f t="shared" si="20"/>
        <v>875.3474245765201</v>
      </c>
      <c r="M224" s="329">
        <f t="shared" si="20"/>
        <v>875.3474245765201</v>
      </c>
      <c r="N224" s="329">
        <f t="shared" si="20"/>
        <v>875.3474245765201</v>
      </c>
      <c r="O224" s="329">
        <f t="shared" si="20"/>
        <v>875.3474245765201</v>
      </c>
      <c r="P224" s="329">
        <f t="shared" si="20"/>
        <v>875.3474245765201</v>
      </c>
      <c r="Q224" s="329">
        <f t="shared" si="20"/>
        <v>875.3474245765201</v>
      </c>
      <c r="R224" s="329">
        <f t="shared" si="20"/>
        <v>875.3474245765201</v>
      </c>
      <c r="S224" s="329">
        <f t="shared" si="20"/>
        <v>875.3474245765201</v>
      </c>
      <c r="T224" s="329">
        <f t="shared" si="20"/>
        <v>875.3474245765201</v>
      </c>
      <c r="U224" s="329">
        <f t="shared" si="20"/>
        <v>875.3474245765201</v>
      </c>
      <c r="V224" s="329">
        <f t="shared" si="20"/>
        <v>875.3474245765201</v>
      </c>
      <c r="W224" s="329">
        <f t="shared" si="20"/>
        <v>875.3474245765201</v>
      </c>
      <c r="X224" s="329">
        <f t="shared" si="20"/>
        <v>875.3474245765201</v>
      </c>
      <c r="Y224" s="329">
        <f t="shared" si="20"/>
        <v>875.3474245765201</v>
      </c>
      <c r="Z224" s="329">
        <f t="shared" si="20"/>
        <v>875.3474245765201</v>
      </c>
      <c r="AA224" s="329">
        <f t="shared" si="20"/>
        <v>875.3474245765201</v>
      </c>
      <c r="AB224" s="329">
        <f t="shared" si="20"/>
        <v>875.3474245765201</v>
      </c>
      <c r="AC224" s="329">
        <f t="shared" si="20"/>
        <v>0</v>
      </c>
    </row>
    <row r="225" spans="2:29" x14ac:dyDescent="0.3">
      <c r="B225" s="20" t="str">
        <f t="shared" si="17"/>
        <v>Mornington: Purchase brownfield site</v>
      </c>
      <c r="C225" s="153">
        <f t="shared" si="17"/>
        <v>4</v>
      </c>
      <c r="D225" s="329">
        <f t="shared" ref="D225:AC225" si="21">PMT($E$21,25,-SUMPRODUCT($E64:$O64,$D240:$N240)*$O$103)*((D$221-$D$221+1)&lt;=25)</f>
        <v>893.43957599032422</v>
      </c>
      <c r="E225" s="329">
        <f t="shared" si="21"/>
        <v>893.43957599032422</v>
      </c>
      <c r="F225" s="329">
        <f t="shared" si="21"/>
        <v>893.43957599032422</v>
      </c>
      <c r="G225" s="329">
        <f t="shared" si="21"/>
        <v>893.43957599032422</v>
      </c>
      <c r="H225" s="329">
        <f t="shared" si="21"/>
        <v>893.43957599032422</v>
      </c>
      <c r="I225" s="329">
        <f t="shared" si="21"/>
        <v>893.43957599032422</v>
      </c>
      <c r="J225" s="329">
        <f t="shared" si="21"/>
        <v>893.43957599032422</v>
      </c>
      <c r="K225" s="329">
        <f t="shared" si="21"/>
        <v>893.43957599032422</v>
      </c>
      <c r="L225" s="329">
        <f t="shared" si="21"/>
        <v>893.43957599032422</v>
      </c>
      <c r="M225" s="329">
        <f t="shared" si="21"/>
        <v>893.43957599032422</v>
      </c>
      <c r="N225" s="329">
        <f t="shared" si="21"/>
        <v>893.43957599032422</v>
      </c>
      <c r="O225" s="329">
        <f t="shared" si="21"/>
        <v>893.43957599032422</v>
      </c>
      <c r="P225" s="329">
        <f t="shared" si="21"/>
        <v>893.43957599032422</v>
      </c>
      <c r="Q225" s="329">
        <f t="shared" si="21"/>
        <v>893.43957599032422</v>
      </c>
      <c r="R225" s="329">
        <f t="shared" si="21"/>
        <v>893.43957599032422</v>
      </c>
      <c r="S225" s="329">
        <f t="shared" si="21"/>
        <v>893.43957599032422</v>
      </c>
      <c r="T225" s="329">
        <f t="shared" si="21"/>
        <v>893.43957599032422</v>
      </c>
      <c r="U225" s="329">
        <f t="shared" si="21"/>
        <v>893.43957599032422</v>
      </c>
      <c r="V225" s="329">
        <f t="shared" si="21"/>
        <v>893.43957599032422</v>
      </c>
      <c r="W225" s="329">
        <f t="shared" si="21"/>
        <v>893.43957599032422</v>
      </c>
      <c r="X225" s="329">
        <f t="shared" si="21"/>
        <v>893.43957599032422</v>
      </c>
      <c r="Y225" s="329">
        <f t="shared" si="21"/>
        <v>893.43957599032422</v>
      </c>
      <c r="Z225" s="329">
        <f t="shared" si="21"/>
        <v>893.43957599032422</v>
      </c>
      <c r="AA225" s="329">
        <f t="shared" si="21"/>
        <v>893.43957599032422</v>
      </c>
      <c r="AB225" s="329">
        <f t="shared" si="21"/>
        <v>893.43957599032422</v>
      </c>
      <c r="AC225" s="329">
        <f t="shared" si="21"/>
        <v>0</v>
      </c>
    </row>
    <row r="226" spans="2:29" x14ac:dyDescent="0.3">
      <c r="B226" s="327" t="str">
        <f t="shared" si="17"/>
        <v>Mornington: Minimum spend</v>
      </c>
      <c r="C226" s="154">
        <f t="shared" si="17"/>
        <v>5</v>
      </c>
      <c r="D226" s="330">
        <f t="shared" ref="D226:AC226" si="22">PMT($E$21,25,-SUMPRODUCT($E65:$O65,$D241:$N241)*$O$103)*((D$221-$D$221+1)&lt;=25)</f>
        <v>655.36881678844713</v>
      </c>
      <c r="E226" s="330">
        <f t="shared" si="22"/>
        <v>655.36881678844713</v>
      </c>
      <c r="F226" s="330">
        <f t="shared" si="22"/>
        <v>655.36881678844713</v>
      </c>
      <c r="G226" s="330">
        <f t="shared" si="22"/>
        <v>655.36881678844713</v>
      </c>
      <c r="H226" s="330">
        <f t="shared" si="22"/>
        <v>655.36881678844713</v>
      </c>
      <c r="I226" s="330">
        <f t="shared" si="22"/>
        <v>655.36881678844713</v>
      </c>
      <c r="J226" s="330">
        <f t="shared" si="22"/>
        <v>655.36881678844713</v>
      </c>
      <c r="K226" s="330">
        <f t="shared" si="22"/>
        <v>655.36881678844713</v>
      </c>
      <c r="L226" s="330">
        <f t="shared" si="22"/>
        <v>655.36881678844713</v>
      </c>
      <c r="M226" s="330">
        <f t="shared" si="22"/>
        <v>655.36881678844713</v>
      </c>
      <c r="N226" s="330">
        <f t="shared" si="22"/>
        <v>655.36881678844713</v>
      </c>
      <c r="O226" s="330">
        <f t="shared" si="22"/>
        <v>655.36881678844713</v>
      </c>
      <c r="P226" s="330">
        <f t="shared" si="22"/>
        <v>655.36881678844713</v>
      </c>
      <c r="Q226" s="330">
        <f t="shared" si="22"/>
        <v>655.36881678844713</v>
      </c>
      <c r="R226" s="330">
        <f t="shared" si="22"/>
        <v>655.36881678844713</v>
      </c>
      <c r="S226" s="330">
        <f t="shared" si="22"/>
        <v>655.36881678844713</v>
      </c>
      <c r="T226" s="330">
        <f t="shared" si="22"/>
        <v>655.36881678844713</v>
      </c>
      <c r="U226" s="330">
        <f t="shared" si="22"/>
        <v>655.36881678844713</v>
      </c>
      <c r="V226" s="330">
        <f t="shared" si="22"/>
        <v>655.36881678844713</v>
      </c>
      <c r="W226" s="330">
        <f t="shared" si="22"/>
        <v>655.36881678844713</v>
      </c>
      <c r="X226" s="330">
        <f t="shared" si="22"/>
        <v>655.36881678844713</v>
      </c>
      <c r="Y226" s="330">
        <f t="shared" si="22"/>
        <v>655.36881678844713</v>
      </c>
      <c r="Z226" s="330">
        <f t="shared" si="22"/>
        <v>655.36881678844713</v>
      </c>
      <c r="AA226" s="330">
        <f t="shared" si="22"/>
        <v>655.36881678844713</v>
      </c>
      <c r="AB226" s="330">
        <f t="shared" si="22"/>
        <v>655.36881678844713</v>
      </c>
      <c r="AC226" s="330">
        <f t="shared" si="22"/>
        <v>0</v>
      </c>
    </row>
    <row r="227" spans="2:29" x14ac:dyDescent="0.3">
      <c r="B227" s="20" t="str">
        <f t="shared" si="17"/>
        <v>Keysborough: Do nothing</v>
      </c>
      <c r="C227" s="153">
        <f t="shared" si="17"/>
        <v>6</v>
      </c>
      <c r="D227" s="329">
        <f t="shared" ref="D227:AC227" si="23">PMT($E$21,25,-SUMPRODUCT($E66:$O66,$D242:$N242)*$O$103)*((D$221-$D$221+1)&lt;=25)</f>
        <v>0</v>
      </c>
      <c r="E227" s="329">
        <f t="shared" si="23"/>
        <v>0</v>
      </c>
      <c r="F227" s="329">
        <f t="shared" si="23"/>
        <v>0</v>
      </c>
      <c r="G227" s="329">
        <f t="shared" si="23"/>
        <v>0</v>
      </c>
      <c r="H227" s="329">
        <f t="shared" si="23"/>
        <v>0</v>
      </c>
      <c r="I227" s="329">
        <f t="shared" si="23"/>
        <v>0</v>
      </c>
      <c r="J227" s="329">
        <f t="shared" si="23"/>
        <v>0</v>
      </c>
      <c r="K227" s="329">
        <f t="shared" si="23"/>
        <v>0</v>
      </c>
      <c r="L227" s="329">
        <f t="shared" si="23"/>
        <v>0</v>
      </c>
      <c r="M227" s="329">
        <f t="shared" si="23"/>
        <v>0</v>
      </c>
      <c r="N227" s="329">
        <f t="shared" si="23"/>
        <v>0</v>
      </c>
      <c r="O227" s="329">
        <f t="shared" si="23"/>
        <v>0</v>
      </c>
      <c r="P227" s="329">
        <f t="shared" si="23"/>
        <v>0</v>
      </c>
      <c r="Q227" s="329">
        <f t="shared" si="23"/>
        <v>0</v>
      </c>
      <c r="R227" s="329">
        <f t="shared" si="23"/>
        <v>0</v>
      </c>
      <c r="S227" s="329">
        <f t="shared" si="23"/>
        <v>0</v>
      </c>
      <c r="T227" s="329">
        <f t="shared" si="23"/>
        <v>0</v>
      </c>
      <c r="U227" s="329">
        <f t="shared" si="23"/>
        <v>0</v>
      </c>
      <c r="V227" s="329">
        <f t="shared" si="23"/>
        <v>0</v>
      </c>
      <c r="W227" s="329">
        <f t="shared" si="23"/>
        <v>0</v>
      </c>
      <c r="X227" s="329">
        <f t="shared" si="23"/>
        <v>0</v>
      </c>
      <c r="Y227" s="329">
        <f t="shared" si="23"/>
        <v>0</v>
      </c>
      <c r="Z227" s="329">
        <f t="shared" si="23"/>
        <v>0</v>
      </c>
      <c r="AA227" s="329">
        <f t="shared" si="23"/>
        <v>0</v>
      </c>
      <c r="AB227" s="329">
        <f t="shared" si="23"/>
        <v>0</v>
      </c>
      <c r="AC227" s="329">
        <f t="shared" si="23"/>
        <v>0</v>
      </c>
    </row>
    <row r="228" spans="2:29" x14ac:dyDescent="0.3">
      <c r="B228" s="20" t="str">
        <f t="shared" si="17"/>
        <v>Keysborough: Redevelop existing site</v>
      </c>
      <c r="C228" s="153">
        <f t="shared" si="17"/>
        <v>7</v>
      </c>
      <c r="D228" s="329">
        <f t="shared" ref="D228:AC228" si="24">PMT($E$21,25,-SUMPRODUCT($E67:$O67,$D243:$N243)*$O$103)*((D$221-$D$221+1)&lt;=25)</f>
        <v>999.53552563917526</v>
      </c>
      <c r="E228" s="329">
        <f t="shared" si="24"/>
        <v>999.53552563917526</v>
      </c>
      <c r="F228" s="329">
        <f t="shared" si="24"/>
        <v>999.53552563917526</v>
      </c>
      <c r="G228" s="329">
        <f t="shared" si="24"/>
        <v>999.53552563917526</v>
      </c>
      <c r="H228" s="329">
        <f t="shared" si="24"/>
        <v>999.53552563917526</v>
      </c>
      <c r="I228" s="329">
        <f t="shared" si="24"/>
        <v>999.53552563917526</v>
      </c>
      <c r="J228" s="329">
        <f t="shared" si="24"/>
        <v>999.53552563917526</v>
      </c>
      <c r="K228" s="329">
        <f t="shared" si="24"/>
        <v>999.53552563917526</v>
      </c>
      <c r="L228" s="329">
        <f t="shared" si="24"/>
        <v>999.53552563917526</v>
      </c>
      <c r="M228" s="329">
        <f t="shared" si="24"/>
        <v>999.53552563917526</v>
      </c>
      <c r="N228" s="329">
        <f t="shared" si="24"/>
        <v>999.53552563917526</v>
      </c>
      <c r="O228" s="329">
        <f t="shared" si="24"/>
        <v>999.53552563917526</v>
      </c>
      <c r="P228" s="329">
        <f t="shared" si="24"/>
        <v>999.53552563917526</v>
      </c>
      <c r="Q228" s="329">
        <f t="shared" si="24"/>
        <v>999.53552563917526</v>
      </c>
      <c r="R228" s="329">
        <f t="shared" si="24"/>
        <v>999.53552563917526</v>
      </c>
      <c r="S228" s="329">
        <f t="shared" si="24"/>
        <v>999.53552563917526</v>
      </c>
      <c r="T228" s="329">
        <f t="shared" si="24"/>
        <v>999.53552563917526</v>
      </c>
      <c r="U228" s="329">
        <f t="shared" si="24"/>
        <v>999.53552563917526</v>
      </c>
      <c r="V228" s="329">
        <f t="shared" si="24"/>
        <v>999.53552563917526</v>
      </c>
      <c r="W228" s="329">
        <f t="shared" si="24"/>
        <v>999.53552563917526</v>
      </c>
      <c r="X228" s="329">
        <f t="shared" si="24"/>
        <v>999.53552563917526</v>
      </c>
      <c r="Y228" s="329">
        <f t="shared" si="24"/>
        <v>999.53552563917526</v>
      </c>
      <c r="Z228" s="329">
        <f t="shared" si="24"/>
        <v>999.53552563917526</v>
      </c>
      <c r="AA228" s="329">
        <f t="shared" si="24"/>
        <v>999.53552563917526</v>
      </c>
      <c r="AB228" s="329">
        <f t="shared" si="24"/>
        <v>999.53552563917526</v>
      </c>
      <c r="AC228" s="329">
        <f t="shared" si="24"/>
        <v>0</v>
      </c>
    </row>
    <row r="229" spans="2:29" x14ac:dyDescent="0.3">
      <c r="B229" s="20" t="str">
        <f t="shared" si="17"/>
        <v>Keysborough: Expansion develop current depot</v>
      </c>
      <c r="C229" s="153">
        <f t="shared" si="17"/>
        <v>8</v>
      </c>
      <c r="D229" s="329">
        <f t="shared" ref="D229:AC229" si="25">PMT($E$21,25,-SUMPRODUCT($E68:$O68,$D244:$N244)*$O$103)*((D$221-$D$221+1)&lt;=25)</f>
        <v>1103.7066162438541</v>
      </c>
      <c r="E229" s="329">
        <f t="shared" si="25"/>
        <v>1103.7066162438541</v>
      </c>
      <c r="F229" s="329">
        <f t="shared" si="25"/>
        <v>1103.7066162438541</v>
      </c>
      <c r="G229" s="329">
        <f t="shared" si="25"/>
        <v>1103.7066162438541</v>
      </c>
      <c r="H229" s="329">
        <f t="shared" si="25"/>
        <v>1103.7066162438541</v>
      </c>
      <c r="I229" s="329">
        <f t="shared" si="25"/>
        <v>1103.7066162438541</v>
      </c>
      <c r="J229" s="329">
        <f t="shared" si="25"/>
        <v>1103.7066162438541</v>
      </c>
      <c r="K229" s="329">
        <f t="shared" si="25"/>
        <v>1103.7066162438541</v>
      </c>
      <c r="L229" s="329">
        <f t="shared" si="25"/>
        <v>1103.7066162438541</v>
      </c>
      <c r="M229" s="329">
        <f t="shared" si="25"/>
        <v>1103.7066162438541</v>
      </c>
      <c r="N229" s="329">
        <f t="shared" si="25"/>
        <v>1103.7066162438541</v>
      </c>
      <c r="O229" s="329">
        <f t="shared" si="25"/>
        <v>1103.7066162438541</v>
      </c>
      <c r="P229" s="329">
        <f t="shared" si="25"/>
        <v>1103.7066162438541</v>
      </c>
      <c r="Q229" s="329">
        <f t="shared" si="25"/>
        <v>1103.7066162438541</v>
      </c>
      <c r="R229" s="329">
        <f t="shared" si="25"/>
        <v>1103.7066162438541</v>
      </c>
      <c r="S229" s="329">
        <f t="shared" si="25"/>
        <v>1103.7066162438541</v>
      </c>
      <c r="T229" s="329">
        <f t="shared" si="25"/>
        <v>1103.7066162438541</v>
      </c>
      <c r="U229" s="329">
        <f t="shared" si="25"/>
        <v>1103.7066162438541</v>
      </c>
      <c r="V229" s="329">
        <f t="shared" si="25"/>
        <v>1103.7066162438541</v>
      </c>
      <c r="W229" s="329">
        <f t="shared" si="25"/>
        <v>1103.7066162438541</v>
      </c>
      <c r="X229" s="329">
        <f t="shared" si="25"/>
        <v>1103.7066162438541</v>
      </c>
      <c r="Y229" s="329">
        <f t="shared" si="25"/>
        <v>1103.7066162438541</v>
      </c>
      <c r="Z229" s="329">
        <f t="shared" si="25"/>
        <v>1103.7066162438541</v>
      </c>
      <c r="AA229" s="329">
        <f t="shared" si="25"/>
        <v>1103.7066162438541</v>
      </c>
      <c r="AB229" s="329">
        <f t="shared" si="25"/>
        <v>1103.7066162438541</v>
      </c>
      <c r="AC229" s="329">
        <f t="shared" si="25"/>
        <v>0</v>
      </c>
    </row>
    <row r="230" spans="2:29" x14ac:dyDescent="0.3">
      <c r="B230" s="20" t="str">
        <f t="shared" si="17"/>
        <v>Keysborough: Purchase brownfield site</v>
      </c>
      <c r="C230" s="153">
        <f t="shared" si="17"/>
        <v>9</v>
      </c>
      <c r="D230" s="329">
        <f t="shared" ref="D230:AC230" si="26">PMT($E$21,25,-SUMPRODUCT($E69:$O69,$D245:$N245)*$O$103)*((D$221-$D$221+1)&lt;=25)</f>
        <v>2009.1920464751156</v>
      </c>
      <c r="E230" s="329">
        <f t="shared" si="26"/>
        <v>2009.1920464751156</v>
      </c>
      <c r="F230" s="329">
        <f t="shared" si="26"/>
        <v>2009.1920464751156</v>
      </c>
      <c r="G230" s="329">
        <f t="shared" si="26"/>
        <v>2009.1920464751156</v>
      </c>
      <c r="H230" s="329">
        <f t="shared" si="26"/>
        <v>2009.1920464751156</v>
      </c>
      <c r="I230" s="329">
        <f t="shared" si="26"/>
        <v>2009.1920464751156</v>
      </c>
      <c r="J230" s="329">
        <f t="shared" si="26"/>
        <v>2009.1920464751156</v>
      </c>
      <c r="K230" s="329">
        <f t="shared" si="26"/>
        <v>2009.1920464751156</v>
      </c>
      <c r="L230" s="329">
        <f t="shared" si="26"/>
        <v>2009.1920464751156</v>
      </c>
      <c r="M230" s="329">
        <f t="shared" si="26"/>
        <v>2009.1920464751156</v>
      </c>
      <c r="N230" s="329">
        <f t="shared" si="26"/>
        <v>2009.1920464751156</v>
      </c>
      <c r="O230" s="329">
        <f t="shared" si="26"/>
        <v>2009.1920464751156</v>
      </c>
      <c r="P230" s="329">
        <f t="shared" si="26"/>
        <v>2009.1920464751156</v>
      </c>
      <c r="Q230" s="329">
        <f t="shared" si="26"/>
        <v>2009.1920464751156</v>
      </c>
      <c r="R230" s="329">
        <f t="shared" si="26"/>
        <v>2009.1920464751156</v>
      </c>
      <c r="S230" s="329">
        <f t="shared" si="26"/>
        <v>2009.1920464751156</v>
      </c>
      <c r="T230" s="329">
        <f t="shared" si="26"/>
        <v>2009.1920464751156</v>
      </c>
      <c r="U230" s="329">
        <f t="shared" si="26"/>
        <v>2009.1920464751156</v>
      </c>
      <c r="V230" s="329">
        <f t="shared" si="26"/>
        <v>2009.1920464751156</v>
      </c>
      <c r="W230" s="329">
        <f t="shared" si="26"/>
        <v>2009.1920464751156</v>
      </c>
      <c r="X230" s="329">
        <f t="shared" si="26"/>
        <v>2009.1920464751156</v>
      </c>
      <c r="Y230" s="329">
        <f t="shared" si="26"/>
        <v>2009.1920464751156</v>
      </c>
      <c r="Z230" s="329">
        <f t="shared" si="26"/>
        <v>2009.1920464751156</v>
      </c>
      <c r="AA230" s="329">
        <f t="shared" si="26"/>
        <v>2009.1920464751156</v>
      </c>
      <c r="AB230" s="329">
        <f t="shared" si="26"/>
        <v>2009.1920464751156</v>
      </c>
      <c r="AC230" s="329">
        <f t="shared" si="26"/>
        <v>0</v>
      </c>
    </row>
    <row r="231" spans="2:29" x14ac:dyDescent="0.3">
      <c r="B231" s="327" t="str">
        <f t="shared" si="17"/>
        <v>Keysborough: Minimum spend</v>
      </c>
      <c r="C231" s="154">
        <f t="shared" si="17"/>
        <v>10</v>
      </c>
      <c r="D231" s="330">
        <f t="shared" ref="D231:AC231" si="27">PMT($E$21,25,-SUMPRODUCT($E70:$O70,$D246:$N246)*$O$103)*((D$221-$D$221+1)&lt;=25)</f>
        <v>717.35840238791502</v>
      </c>
      <c r="E231" s="330">
        <f t="shared" si="27"/>
        <v>717.35840238791502</v>
      </c>
      <c r="F231" s="330">
        <f t="shared" si="27"/>
        <v>717.35840238791502</v>
      </c>
      <c r="G231" s="330">
        <f t="shared" si="27"/>
        <v>717.35840238791502</v>
      </c>
      <c r="H231" s="330">
        <f t="shared" si="27"/>
        <v>717.35840238791502</v>
      </c>
      <c r="I231" s="330">
        <f t="shared" si="27"/>
        <v>717.35840238791502</v>
      </c>
      <c r="J231" s="330">
        <f t="shared" si="27"/>
        <v>717.35840238791502</v>
      </c>
      <c r="K231" s="330">
        <f t="shared" si="27"/>
        <v>717.35840238791502</v>
      </c>
      <c r="L231" s="330">
        <f t="shared" si="27"/>
        <v>717.35840238791502</v>
      </c>
      <c r="M231" s="330">
        <f t="shared" si="27"/>
        <v>717.35840238791502</v>
      </c>
      <c r="N231" s="330">
        <f t="shared" si="27"/>
        <v>717.35840238791502</v>
      </c>
      <c r="O231" s="330">
        <f t="shared" si="27"/>
        <v>717.35840238791502</v>
      </c>
      <c r="P231" s="330">
        <f t="shared" si="27"/>
        <v>717.35840238791502</v>
      </c>
      <c r="Q231" s="330">
        <f t="shared" si="27"/>
        <v>717.35840238791502</v>
      </c>
      <c r="R231" s="330">
        <f t="shared" si="27"/>
        <v>717.35840238791502</v>
      </c>
      <c r="S231" s="330">
        <f t="shared" si="27"/>
        <v>717.35840238791502</v>
      </c>
      <c r="T231" s="330">
        <f t="shared" si="27"/>
        <v>717.35840238791502</v>
      </c>
      <c r="U231" s="330">
        <f t="shared" si="27"/>
        <v>717.35840238791502</v>
      </c>
      <c r="V231" s="330">
        <f t="shared" si="27"/>
        <v>717.35840238791502</v>
      </c>
      <c r="W231" s="330">
        <f t="shared" si="27"/>
        <v>717.35840238791502</v>
      </c>
      <c r="X231" s="330">
        <f t="shared" si="27"/>
        <v>717.35840238791502</v>
      </c>
      <c r="Y231" s="330">
        <f t="shared" si="27"/>
        <v>717.35840238791502</v>
      </c>
      <c r="Z231" s="330">
        <f t="shared" si="27"/>
        <v>717.35840238791502</v>
      </c>
      <c r="AA231" s="330">
        <f t="shared" si="27"/>
        <v>717.35840238791502</v>
      </c>
      <c r="AB231" s="330">
        <f t="shared" si="27"/>
        <v>717.35840238791502</v>
      </c>
      <c r="AC231" s="330">
        <f t="shared" si="27"/>
        <v>0</v>
      </c>
    </row>
    <row r="232" spans="2:29" x14ac:dyDescent="0.3">
      <c r="B232" s="20" t="str">
        <f t="shared" si="17"/>
        <v>Burwood: Do not replace Burwood depot</v>
      </c>
      <c r="C232" s="153">
        <f t="shared" si="17"/>
        <v>11</v>
      </c>
      <c r="D232" s="329">
        <f t="shared" ref="D232:AC232" si="28">PMT($E$21,25,-SUMPRODUCT($E71:$O71,$D247:$N247)*$O$103)*((D$221-$D$221+1)&lt;=25)</f>
        <v>0</v>
      </c>
      <c r="E232" s="329">
        <f t="shared" si="28"/>
        <v>0</v>
      </c>
      <c r="F232" s="329">
        <f t="shared" si="28"/>
        <v>0</v>
      </c>
      <c r="G232" s="329">
        <f t="shared" si="28"/>
        <v>0</v>
      </c>
      <c r="H232" s="329">
        <f t="shared" si="28"/>
        <v>0</v>
      </c>
      <c r="I232" s="329">
        <f t="shared" si="28"/>
        <v>0</v>
      </c>
      <c r="J232" s="329">
        <f t="shared" si="28"/>
        <v>0</v>
      </c>
      <c r="K232" s="329">
        <f t="shared" si="28"/>
        <v>0</v>
      </c>
      <c r="L232" s="329">
        <f t="shared" si="28"/>
        <v>0</v>
      </c>
      <c r="M232" s="329">
        <f t="shared" si="28"/>
        <v>0</v>
      </c>
      <c r="N232" s="329">
        <f t="shared" si="28"/>
        <v>0</v>
      </c>
      <c r="O232" s="329">
        <f t="shared" si="28"/>
        <v>0</v>
      </c>
      <c r="P232" s="329">
        <f t="shared" si="28"/>
        <v>0</v>
      </c>
      <c r="Q232" s="329">
        <f t="shared" si="28"/>
        <v>0</v>
      </c>
      <c r="R232" s="329">
        <f t="shared" si="28"/>
        <v>0</v>
      </c>
      <c r="S232" s="329">
        <f t="shared" si="28"/>
        <v>0</v>
      </c>
      <c r="T232" s="329">
        <f t="shared" si="28"/>
        <v>0</v>
      </c>
      <c r="U232" s="329">
        <f t="shared" si="28"/>
        <v>0</v>
      </c>
      <c r="V232" s="329">
        <f t="shared" si="28"/>
        <v>0</v>
      </c>
      <c r="W232" s="329">
        <f t="shared" si="28"/>
        <v>0</v>
      </c>
      <c r="X232" s="329">
        <f t="shared" si="28"/>
        <v>0</v>
      </c>
      <c r="Y232" s="329">
        <f t="shared" si="28"/>
        <v>0</v>
      </c>
      <c r="Z232" s="329">
        <f t="shared" si="28"/>
        <v>0</v>
      </c>
      <c r="AA232" s="329">
        <f t="shared" si="28"/>
        <v>0</v>
      </c>
      <c r="AB232" s="329">
        <f t="shared" si="28"/>
        <v>0</v>
      </c>
      <c r="AC232" s="329">
        <f t="shared" si="28"/>
        <v>0</v>
      </c>
    </row>
    <row r="233" spans="2:29" x14ac:dyDescent="0.3">
      <c r="B233" s="20" t="str">
        <f t="shared" si="17"/>
        <v>Burwood: Develop new depot on greenfield site</v>
      </c>
      <c r="C233" s="153">
        <f t="shared" si="17"/>
        <v>12</v>
      </c>
      <c r="D233" s="329">
        <f t="shared" ref="D233:AC233" si="29">PMT($E$21,25,-SUMPRODUCT($E72:$O72,$D248:$N248)*$O$103)*((D$221-$D$221+1)&lt;=25)</f>
        <v>1703.3565116189279</v>
      </c>
      <c r="E233" s="329">
        <f t="shared" si="29"/>
        <v>1703.3565116189279</v>
      </c>
      <c r="F233" s="329">
        <f t="shared" si="29"/>
        <v>1703.3565116189279</v>
      </c>
      <c r="G233" s="329">
        <f t="shared" si="29"/>
        <v>1703.3565116189279</v>
      </c>
      <c r="H233" s="329">
        <f t="shared" si="29"/>
        <v>1703.3565116189279</v>
      </c>
      <c r="I233" s="329">
        <f t="shared" si="29"/>
        <v>1703.3565116189279</v>
      </c>
      <c r="J233" s="329">
        <f t="shared" si="29"/>
        <v>1703.3565116189279</v>
      </c>
      <c r="K233" s="329">
        <f t="shared" si="29"/>
        <v>1703.3565116189279</v>
      </c>
      <c r="L233" s="329">
        <f t="shared" si="29"/>
        <v>1703.3565116189279</v>
      </c>
      <c r="M233" s="329">
        <f t="shared" si="29"/>
        <v>1703.3565116189279</v>
      </c>
      <c r="N233" s="329">
        <f t="shared" si="29"/>
        <v>1703.3565116189279</v>
      </c>
      <c r="O233" s="329">
        <f t="shared" si="29"/>
        <v>1703.3565116189279</v>
      </c>
      <c r="P233" s="329">
        <f t="shared" si="29"/>
        <v>1703.3565116189279</v>
      </c>
      <c r="Q233" s="329">
        <f t="shared" si="29"/>
        <v>1703.3565116189279</v>
      </c>
      <c r="R233" s="329">
        <f t="shared" si="29"/>
        <v>1703.3565116189279</v>
      </c>
      <c r="S233" s="329">
        <f t="shared" si="29"/>
        <v>1703.3565116189279</v>
      </c>
      <c r="T233" s="329">
        <f t="shared" si="29"/>
        <v>1703.3565116189279</v>
      </c>
      <c r="U233" s="329">
        <f t="shared" si="29"/>
        <v>1703.3565116189279</v>
      </c>
      <c r="V233" s="329">
        <f t="shared" si="29"/>
        <v>1703.3565116189279</v>
      </c>
      <c r="W233" s="329">
        <f t="shared" si="29"/>
        <v>1703.3565116189279</v>
      </c>
      <c r="X233" s="329">
        <f t="shared" si="29"/>
        <v>1703.3565116189279</v>
      </c>
      <c r="Y233" s="329">
        <f t="shared" si="29"/>
        <v>1703.3565116189279</v>
      </c>
      <c r="Z233" s="329">
        <f t="shared" si="29"/>
        <v>1703.3565116189279</v>
      </c>
      <c r="AA233" s="329">
        <f t="shared" si="29"/>
        <v>1703.3565116189279</v>
      </c>
      <c r="AB233" s="329">
        <f t="shared" si="29"/>
        <v>1703.3565116189279</v>
      </c>
      <c r="AC233" s="329">
        <f t="shared" si="29"/>
        <v>0</v>
      </c>
    </row>
    <row r="234" spans="2:29" x14ac:dyDescent="0.3">
      <c r="B234" s="327" t="str">
        <f t="shared" si="17"/>
        <v>Burwood: Develop new depot on brownfield site</v>
      </c>
      <c r="C234" s="154">
        <f t="shared" si="17"/>
        <v>13</v>
      </c>
      <c r="D234" s="330">
        <f t="shared" ref="D234:AC234" si="30">PMT($E$21,25,-SUMPRODUCT($E73:$O73,$D249:$N249)*$O$103)*((D$221-$D$221+1)&lt;=25)</f>
        <v>1795.0435117764521</v>
      </c>
      <c r="E234" s="330">
        <f t="shared" si="30"/>
        <v>1795.0435117764521</v>
      </c>
      <c r="F234" s="330">
        <f t="shared" si="30"/>
        <v>1795.0435117764521</v>
      </c>
      <c r="G234" s="330">
        <f t="shared" si="30"/>
        <v>1795.0435117764521</v>
      </c>
      <c r="H234" s="330">
        <f t="shared" si="30"/>
        <v>1795.0435117764521</v>
      </c>
      <c r="I234" s="330">
        <f t="shared" si="30"/>
        <v>1795.0435117764521</v>
      </c>
      <c r="J234" s="330">
        <f t="shared" si="30"/>
        <v>1795.0435117764521</v>
      </c>
      <c r="K234" s="330">
        <f t="shared" si="30"/>
        <v>1795.0435117764521</v>
      </c>
      <c r="L234" s="330">
        <f t="shared" si="30"/>
        <v>1795.0435117764521</v>
      </c>
      <c r="M234" s="330">
        <f t="shared" si="30"/>
        <v>1795.0435117764521</v>
      </c>
      <c r="N234" s="330">
        <f t="shared" si="30"/>
        <v>1795.0435117764521</v>
      </c>
      <c r="O234" s="330">
        <f t="shared" si="30"/>
        <v>1795.0435117764521</v>
      </c>
      <c r="P234" s="330">
        <f t="shared" si="30"/>
        <v>1795.0435117764521</v>
      </c>
      <c r="Q234" s="330">
        <f t="shared" si="30"/>
        <v>1795.0435117764521</v>
      </c>
      <c r="R234" s="330">
        <f t="shared" si="30"/>
        <v>1795.0435117764521</v>
      </c>
      <c r="S234" s="330">
        <f t="shared" si="30"/>
        <v>1795.0435117764521</v>
      </c>
      <c r="T234" s="330">
        <f t="shared" si="30"/>
        <v>1795.0435117764521</v>
      </c>
      <c r="U234" s="330">
        <f t="shared" si="30"/>
        <v>1795.0435117764521</v>
      </c>
      <c r="V234" s="330">
        <f t="shared" si="30"/>
        <v>1795.0435117764521</v>
      </c>
      <c r="W234" s="330">
        <f t="shared" si="30"/>
        <v>1795.0435117764521</v>
      </c>
      <c r="X234" s="330">
        <f t="shared" si="30"/>
        <v>1795.0435117764521</v>
      </c>
      <c r="Y234" s="330">
        <f t="shared" si="30"/>
        <v>1795.0435117764521</v>
      </c>
      <c r="Z234" s="330">
        <f t="shared" si="30"/>
        <v>1795.0435117764521</v>
      </c>
      <c r="AA234" s="330">
        <f t="shared" si="30"/>
        <v>1795.0435117764521</v>
      </c>
      <c r="AB234" s="330">
        <f t="shared" si="30"/>
        <v>1795.0435117764521</v>
      </c>
      <c r="AC234" s="330">
        <f t="shared" si="30"/>
        <v>0</v>
      </c>
    </row>
    <row r="236" spans="2:29" x14ac:dyDescent="0.3">
      <c r="B236" s="129" t="s">
        <v>309</v>
      </c>
      <c r="C236" s="130" t="s">
        <v>304</v>
      </c>
      <c r="D236" s="332">
        <v>2021</v>
      </c>
      <c r="E236" s="332">
        <f t="shared" ref="E236:N236" si="31">D236+1</f>
        <v>2022</v>
      </c>
      <c r="F236" s="332">
        <f t="shared" si="31"/>
        <v>2023</v>
      </c>
      <c r="G236" s="332">
        <f t="shared" si="31"/>
        <v>2024</v>
      </c>
      <c r="H236" s="332">
        <f t="shared" si="31"/>
        <v>2025</v>
      </c>
      <c r="I236" s="332">
        <f t="shared" si="31"/>
        <v>2026</v>
      </c>
      <c r="J236" s="332">
        <f t="shared" si="31"/>
        <v>2027</v>
      </c>
      <c r="K236" s="332">
        <f t="shared" si="31"/>
        <v>2028</v>
      </c>
      <c r="L236" s="332">
        <f t="shared" si="31"/>
        <v>2029</v>
      </c>
      <c r="M236" s="332">
        <f t="shared" si="31"/>
        <v>2030</v>
      </c>
      <c r="N236" s="332">
        <f t="shared" si="31"/>
        <v>2031</v>
      </c>
    </row>
    <row r="237" spans="2:29" x14ac:dyDescent="0.3">
      <c r="B237" s="20" t="str">
        <f t="shared" ref="B237:C249" si="32">B61</f>
        <v>Mornington: Do nothing</v>
      </c>
      <c r="C237" s="153">
        <f t="shared" si="32"/>
        <v>1</v>
      </c>
      <c r="D237" s="331" cm="1">
        <f t="array" ref="D237">(1+$E$21)^(MAX(IF($E61:$O61&lt;&gt;0,$E$60:$O$60))-MIN(IF($E61:$O61&lt;&gt;0,$E$60:$O$60))-(D$236-MIN(IF($E61:$O61&lt;&gt;0,$E$60:$O$60))))*(D$236&gt;=MIN(IF($E61:$O61&lt;&gt;0,$E$60:$O$60)))*(D$236&lt;=MAX(IF($E61:$O61&lt;&gt;0,$E$60:$O$60)))</f>
        <v>0</v>
      </c>
      <c r="E237" s="331" cm="1">
        <f t="array" ref="E237">(1+$E$21)^(MAX(IF($E61:$O61&lt;&gt;0,$E$60:$O$60))-MIN(IF($E61:$O61&lt;&gt;0,$E$60:$O$60))-(E$236-MIN(IF($E61:$O61&lt;&gt;0,$E$60:$O$60))))*(E$236&gt;=MIN(IF($E61:$O61&lt;&gt;0,$E$60:$O$60)))*(E$236&lt;=MAX(IF($E61:$O61&lt;&gt;0,$E$60:$O$60)))</f>
        <v>0</v>
      </c>
      <c r="F237" s="331" cm="1">
        <f t="array" ref="F237">(1+$E$21)^(MAX(IF($E61:$O61&lt;&gt;0,$E$60:$O$60))-MIN(IF($E61:$O61&lt;&gt;0,$E$60:$O$60))-(F$236-MIN(IF($E61:$O61&lt;&gt;0,$E$60:$O$60))))*(F$236&gt;=MIN(IF($E61:$O61&lt;&gt;0,$E$60:$O$60)))*(F$236&lt;=MAX(IF($E61:$O61&lt;&gt;0,$E$60:$O$60)))</f>
        <v>0</v>
      </c>
      <c r="G237" s="331" cm="1">
        <f t="array" ref="G237">(1+$E$21)^(MAX(IF($E61:$O61&lt;&gt;0,$E$60:$O$60))-MIN(IF($E61:$O61&lt;&gt;0,$E$60:$O$60))-(G$236-MIN(IF($E61:$O61&lt;&gt;0,$E$60:$O$60))))*(G$236&gt;=MIN(IF($E61:$O61&lt;&gt;0,$E$60:$O$60)))*(G$236&lt;=MAX(IF($E61:$O61&lt;&gt;0,$E$60:$O$60)))</f>
        <v>0</v>
      </c>
      <c r="H237" s="331" cm="1">
        <f t="array" ref="H237">(1+$E$21)^(MAX(IF($E61:$O61&lt;&gt;0,$E$60:$O$60))-MIN(IF($E61:$O61&lt;&gt;0,$E$60:$O$60))-(H$236-MIN(IF($E61:$O61&lt;&gt;0,$E$60:$O$60))))*(H$236&gt;=MIN(IF($E61:$O61&lt;&gt;0,$E$60:$O$60)))*(H$236&lt;=MAX(IF($E61:$O61&lt;&gt;0,$E$60:$O$60)))</f>
        <v>0</v>
      </c>
      <c r="I237" s="331" cm="1">
        <f t="array" ref="I237">(1+$E$21)^(MAX(IF($E61:$O61&lt;&gt;0,$E$60:$O$60))-MIN(IF($E61:$O61&lt;&gt;0,$E$60:$O$60))-(I$236-MIN(IF($E61:$O61&lt;&gt;0,$E$60:$O$60))))*(I$236&gt;=MIN(IF($E61:$O61&lt;&gt;0,$E$60:$O$60)))*(I$236&lt;=MAX(IF($E61:$O61&lt;&gt;0,$E$60:$O$60)))</f>
        <v>0</v>
      </c>
      <c r="J237" s="331" cm="1">
        <f t="array" ref="J237">(1+$E$21)^(MAX(IF($E61:$O61&lt;&gt;0,$E$60:$O$60))-MIN(IF($E61:$O61&lt;&gt;0,$E$60:$O$60))-(J$236-MIN(IF($E61:$O61&lt;&gt;0,$E$60:$O$60))))*(J$236&gt;=MIN(IF($E61:$O61&lt;&gt;0,$E$60:$O$60)))*(J$236&lt;=MAX(IF($E61:$O61&lt;&gt;0,$E$60:$O$60)))</f>
        <v>0</v>
      </c>
      <c r="K237" s="331" cm="1">
        <f t="array" ref="K237">(1+$E$21)^(MAX(IF($E61:$O61&lt;&gt;0,$E$60:$O$60))-MIN(IF($E61:$O61&lt;&gt;0,$E$60:$O$60))-(K$236-MIN(IF($E61:$O61&lt;&gt;0,$E$60:$O$60))))*(K$236&gt;=MIN(IF($E61:$O61&lt;&gt;0,$E$60:$O$60)))*(K$236&lt;=MAX(IF($E61:$O61&lt;&gt;0,$E$60:$O$60)))</f>
        <v>0</v>
      </c>
      <c r="L237" s="331" cm="1">
        <f t="array" ref="L237">(1+$E$21)^(MAX(IF($E61:$O61&lt;&gt;0,$E$60:$O$60))-MIN(IF($E61:$O61&lt;&gt;0,$E$60:$O$60))-(L$236-MIN(IF($E61:$O61&lt;&gt;0,$E$60:$O$60))))*(L$236&gt;=MIN(IF($E61:$O61&lt;&gt;0,$E$60:$O$60)))*(L$236&lt;=MAX(IF($E61:$O61&lt;&gt;0,$E$60:$O$60)))</f>
        <v>0</v>
      </c>
      <c r="M237" s="331" cm="1">
        <f t="array" ref="M237">(1+$E$21)^(MAX(IF($E61:$O61&lt;&gt;0,$E$60:$O$60))-MIN(IF($E61:$O61&lt;&gt;0,$E$60:$O$60))-(M$236-MIN(IF($E61:$O61&lt;&gt;0,$E$60:$O$60))))*(M$236&gt;=MIN(IF($E61:$O61&lt;&gt;0,$E$60:$O$60)))*(M$236&lt;=MAX(IF($E61:$O61&lt;&gt;0,$E$60:$O$60)))</f>
        <v>0</v>
      </c>
      <c r="N237" s="331" cm="1">
        <f t="array" ref="N237">(1+$E$21)^(MAX(IF($E61:$O61&lt;&gt;0,$E$60:$O$60))-MIN(IF($E61:$O61&lt;&gt;0,$E$60:$O$60))-(N$236-MIN(IF($E61:$O61&lt;&gt;0,$E$60:$O$60))))*(N$236&gt;=MIN(IF($E61:$O61&lt;&gt;0,$E$60:$O$60)))*(N$236&lt;=MAX(IF($E61:$O61&lt;&gt;0,$E$60:$O$60)))</f>
        <v>0</v>
      </c>
    </row>
    <row r="238" spans="2:29" x14ac:dyDescent="0.3">
      <c r="B238" s="20" t="str">
        <f t="shared" si="32"/>
        <v>Mornington: Redevelop existing site</v>
      </c>
      <c r="C238" s="153">
        <f t="shared" si="32"/>
        <v>2</v>
      </c>
      <c r="D238" s="331" cm="1">
        <f t="array" ref="D238">(1+$E$21)^(MAX(IF($E62:$O62&lt;&gt;0,$E$60:$O$60))-MIN(IF($E62:$O62&lt;&gt;0,$E$60:$O$60))-(D$236-MIN(IF($E62:$O62&lt;&gt;0,$E$60:$O$60))))*(D$236&gt;=MIN(IF($E62:$O62&lt;&gt;0,$E$60:$O$60)))*(D$236&lt;=MAX(IF($E62:$O62&lt;&gt;0,$E$60:$O$60)))</f>
        <v>0</v>
      </c>
      <c r="E238" s="331" cm="1">
        <f t="array" ref="E238">(1+$E$21)^(MAX(IF($E62:$O62&lt;&gt;0,$E$60:$O$60))-MIN(IF($E62:$O62&lt;&gt;0,$E$60:$O$60))-(E$236-MIN(IF($E62:$O62&lt;&gt;0,$E$60:$O$60))))*(E$236&gt;=MIN(IF($E62:$O62&lt;&gt;0,$E$60:$O$60)))*(E$236&lt;=MAX(IF($E62:$O62&lt;&gt;0,$E$60:$O$60)))</f>
        <v>0</v>
      </c>
      <c r="F238" s="331" cm="1">
        <f t="array" ref="F238">(1+$E$21)^(MAX(IF($E62:$O62&lt;&gt;0,$E$60:$O$60))-MIN(IF($E62:$O62&lt;&gt;0,$E$60:$O$60))-(F$236-MIN(IF($E62:$O62&lt;&gt;0,$E$60:$O$60))))*(F$236&gt;=MIN(IF($E62:$O62&lt;&gt;0,$E$60:$O$60)))*(F$236&lt;=MAX(IF($E62:$O62&lt;&gt;0,$E$60:$O$60)))</f>
        <v>0</v>
      </c>
      <c r="G238" s="331" cm="1">
        <f t="array" ref="G238">(1+$E$21)^(MAX(IF($E62:$O62&lt;&gt;0,$E$60:$O$60))-MIN(IF($E62:$O62&lt;&gt;0,$E$60:$O$60))-(G$236-MIN(IF($E62:$O62&lt;&gt;0,$E$60:$O$60))))*(G$236&gt;=MIN(IF($E62:$O62&lt;&gt;0,$E$60:$O$60)))*(G$236&lt;=MAX(IF($E62:$O62&lt;&gt;0,$E$60:$O$60)))</f>
        <v>0</v>
      </c>
      <c r="H238" s="331" cm="1">
        <f t="array" ref="H238">(1+$E$21)^(MAX(IF($E62:$O62&lt;&gt;0,$E$60:$O$60))-MIN(IF($E62:$O62&lt;&gt;0,$E$60:$O$60))-(H$236-MIN(IF($E62:$O62&lt;&gt;0,$E$60:$O$60))))*(H$236&gt;=MIN(IF($E62:$O62&lt;&gt;0,$E$60:$O$60)))*(H$236&lt;=MAX(IF($E62:$O62&lt;&gt;0,$E$60:$O$60)))</f>
        <v>1.0275000000000001</v>
      </c>
      <c r="I238" s="331" cm="1">
        <f t="array" ref="I238">(1+$E$21)^(MAX(IF($E62:$O62&lt;&gt;0,$E$60:$O$60))-MIN(IF($E62:$O62&lt;&gt;0,$E$60:$O$60))-(I$236-MIN(IF($E62:$O62&lt;&gt;0,$E$60:$O$60))))*(I$236&gt;=MIN(IF($E62:$O62&lt;&gt;0,$E$60:$O$60)))*(I$236&lt;=MAX(IF($E62:$O62&lt;&gt;0,$E$60:$O$60)))</f>
        <v>1</v>
      </c>
      <c r="J238" s="331" cm="1">
        <f t="array" ref="J238">(1+$E$21)^(MAX(IF($E62:$O62&lt;&gt;0,$E$60:$O$60))-MIN(IF($E62:$O62&lt;&gt;0,$E$60:$O$60))-(J$236-MIN(IF($E62:$O62&lt;&gt;0,$E$60:$O$60))))*(J$236&gt;=MIN(IF($E62:$O62&lt;&gt;0,$E$60:$O$60)))*(J$236&lt;=MAX(IF($E62:$O62&lt;&gt;0,$E$60:$O$60)))</f>
        <v>0</v>
      </c>
      <c r="K238" s="331" cm="1">
        <f t="array" ref="K238">(1+$E$21)^(MAX(IF($E62:$O62&lt;&gt;0,$E$60:$O$60))-MIN(IF($E62:$O62&lt;&gt;0,$E$60:$O$60))-(K$236-MIN(IF($E62:$O62&lt;&gt;0,$E$60:$O$60))))*(K$236&gt;=MIN(IF($E62:$O62&lt;&gt;0,$E$60:$O$60)))*(K$236&lt;=MAX(IF($E62:$O62&lt;&gt;0,$E$60:$O$60)))</f>
        <v>0</v>
      </c>
      <c r="L238" s="331" cm="1">
        <f t="array" ref="L238">(1+$E$21)^(MAX(IF($E62:$O62&lt;&gt;0,$E$60:$O$60))-MIN(IF($E62:$O62&lt;&gt;0,$E$60:$O$60))-(L$236-MIN(IF($E62:$O62&lt;&gt;0,$E$60:$O$60))))*(L$236&gt;=MIN(IF($E62:$O62&lt;&gt;0,$E$60:$O$60)))*(L$236&lt;=MAX(IF($E62:$O62&lt;&gt;0,$E$60:$O$60)))</f>
        <v>0</v>
      </c>
      <c r="M238" s="331" cm="1">
        <f t="array" ref="M238">(1+$E$21)^(MAX(IF($E62:$O62&lt;&gt;0,$E$60:$O$60))-MIN(IF($E62:$O62&lt;&gt;0,$E$60:$O$60))-(M$236-MIN(IF($E62:$O62&lt;&gt;0,$E$60:$O$60))))*(M$236&gt;=MIN(IF($E62:$O62&lt;&gt;0,$E$60:$O$60)))*(M$236&lt;=MAX(IF($E62:$O62&lt;&gt;0,$E$60:$O$60)))</f>
        <v>0</v>
      </c>
      <c r="N238" s="331" cm="1">
        <f t="array" ref="N238">(1+$E$21)^(MAX(IF($E62:$O62&lt;&gt;0,$E$60:$O$60))-MIN(IF($E62:$O62&lt;&gt;0,$E$60:$O$60))-(N$236-MIN(IF($E62:$O62&lt;&gt;0,$E$60:$O$60))))*(N$236&gt;=MIN(IF($E62:$O62&lt;&gt;0,$E$60:$O$60)))*(N$236&lt;=MAX(IF($E62:$O62&lt;&gt;0,$E$60:$O$60)))</f>
        <v>0</v>
      </c>
    </row>
    <row r="239" spans="2:29" x14ac:dyDescent="0.3">
      <c r="B239" s="20" t="str">
        <f t="shared" si="32"/>
        <v>Mornington: Purchase greenfield site</v>
      </c>
      <c r="C239" s="153">
        <f t="shared" si="32"/>
        <v>3</v>
      </c>
      <c r="D239" s="331" cm="1">
        <f t="array" ref="D239">(1+$E$21)^(MAX(IF($E63:$O63&lt;&gt;0,$E$60:$O$60))-MIN(IF($E63:$O63&lt;&gt;0,$E$60:$O$60))-(D$236-MIN(IF($E63:$O63&lt;&gt;0,$E$60:$O$60))))*(D$236&gt;=MIN(IF($E63:$O63&lt;&gt;0,$E$60:$O$60)))*(D$236&lt;=MAX(IF($E63:$O63&lt;&gt;0,$E$60:$O$60)))</f>
        <v>0</v>
      </c>
      <c r="E239" s="331" cm="1">
        <f t="array" ref="E239">(1+$E$21)^(MAX(IF($E63:$O63&lt;&gt;0,$E$60:$O$60))-MIN(IF($E63:$O63&lt;&gt;0,$E$60:$O$60))-(E$236-MIN(IF($E63:$O63&lt;&gt;0,$E$60:$O$60))))*(E$236&gt;=MIN(IF($E63:$O63&lt;&gt;0,$E$60:$O$60)))*(E$236&lt;=MAX(IF($E63:$O63&lt;&gt;0,$E$60:$O$60)))</f>
        <v>0</v>
      </c>
      <c r="F239" s="331" cm="1">
        <f t="array" ref="F239">(1+$E$21)^(MAX(IF($E63:$O63&lt;&gt;0,$E$60:$O$60))-MIN(IF($E63:$O63&lt;&gt;0,$E$60:$O$60))-(F$236-MIN(IF($E63:$O63&lt;&gt;0,$E$60:$O$60))))*(F$236&gt;=MIN(IF($E63:$O63&lt;&gt;0,$E$60:$O$60)))*(F$236&lt;=MAX(IF($E63:$O63&lt;&gt;0,$E$60:$O$60)))</f>
        <v>0</v>
      </c>
      <c r="G239" s="331" cm="1">
        <f t="array" ref="G239">(1+$E$21)^(MAX(IF($E63:$O63&lt;&gt;0,$E$60:$O$60))-MIN(IF($E63:$O63&lt;&gt;0,$E$60:$O$60))-(G$236-MIN(IF($E63:$O63&lt;&gt;0,$E$60:$O$60))))*(G$236&gt;=MIN(IF($E63:$O63&lt;&gt;0,$E$60:$O$60)))*(G$236&lt;=MAX(IF($E63:$O63&lt;&gt;0,$E$60:$O$60)))</f>
        <v>0</v>
      </c>
      <c r="H239" s="331" cm="1">
        <f t="array" ref="H239">(1+$E$21)^(MAX(IF($E63:$O63&lt;&gt;0,$E$60:$O$60))-MIN(IF($E63:$O63&lt;&gt;0,$E$60:$O$60))-(H$236-MIN(IF($E63:$O63&lt;&gt;0,$E$60:$O$60))))*(H$236&gt;=MIN(IF($E63:$O63&lt;&gt;0,$E$60:$O$60)))*(H$236&lt;=MAX(IF($E63:$O63&lt;&gt;0,$E$60:$O$60)))</f>
        <v>1.0275000000000001</v>
      </c>
      <c r="I239" s="331" cm="1">
        <f t="array" ref="I239">(1+$E$21)^(MAX(IF($E63:$O63&lt;&gt;0,$E$60:$O$60))-MIN(IF($E63:$O63&lt;&gt;0,$E$60:$O$60))-(I$236-MIN(IF($E63:$O63&lt;&gt;0,$E$60:$O$60))))*(I$236&gt;=MIN(IF($E63:$O63&lt;&gt;0,$E$60:$O$60)))*(I$236&lt;=MAX(IF($E63:$O63&lt;&gt;0,$E$60:$O$60)))</f>
        <v>1</v>
      </c>
      <c r="J239" s="331" cm="1">
        <f t="array" ref="J239">(1+$E$21)^(MAX(IF($E63:$O63&lt;&gt;0,$E$60:$O$60))-MIN(IF($E63:$O63&lt;&gt;0,$E$60:$O$60))-(J$236-MIN(IF($E63:$O63&lt;&gt;0,$E$60:$O$60))))*(J$236&gt;=MIN(IF($E63:$O63&lt;&gt;0,$E$60:$O$60)))*(J$236&lt;=MAX(IF($E63:$O63&lt;&gt;0,$E$60:$O$60)))</f>
        <v>0</v>
      </c>
      <c r="K239" s="331" cm="1">
        <f t="array" ref="K239">(1+$E$21)^(MAX(IF($E63:$O63&lt;&gt;0,$E$60:$O$60))-MIN(IF($E63:$O63&lt;&gt;0,$E$60:$O$60))-(K$236-MIN(IF($E63:$O63&lt;&gt;0,$E$60:$O$60))))*(K$236&gt;=MIN(IF($E63:$O63&lt;&gt;0,$E$60:$O$60)))*(K$236&lt;=MAX(IF($E63:$O63&lt;&gt;0,$E$60:$O$60)))</f>
        <v>0</v>
      </c>
      <c r="L239" s="331" cm="1">
        <f t="array" ref="L239">(1+$E$21)^(MAX(IF($E63:$O63&lt;&gt;0,$E$60:$O$60))-MIN(IF($E63:$O63&lt;&gt;0,$E$60:$O$60))-(L$236-MIN(IF($E63:$O63&lt;&gt;0,$E$60:$O$60))))*(L$236&gt;=MIN(IF($E63:$O63&lt;&gt;0,$E$60:$O$60)))*(L$236&lt;=MAX(IF($E63:$O63&lt;&gt;0,$E$60:$O$60)))</f>
        <v>0</v>
      </c>
      <c r="M239" s="331" cm="1">
        <f t="array" ref="M239">(1+$E$21)^(MAX(IF($E63:$O63&lt;&gt;0,$E$60:$O$60))-MIN(IF($E63:$O63&lt;&gt;0,$E$60:$O$60))-(M$236-MIN(IF($E63:$O63&lt;&gt;0,$E$60:$O$60))))*(M$236&gt;=MIN(IF($E63:$O63&lt;&gt;0,$E$60:$O$60)))*(M$236&lt;=MAX(IF($E63:$O63&lt;&gt;0,$E$60:$O$60)))</f>
        <v>0</v>
      </c>
      <c r="N239" s="331" cm="1">
        <f t="array" ref="N239">(1+$E$21)^(MAX(IF($E63:$O63&lt;&gt;0,$E$60:$O$60))-MIN(IF($E63:$O63&lt;&gt;0,$E$60:$O$60))-(N$236-MIN(IF($E63:$O63&lt;&gt;0,$E$60:$O$60))))*(N$236&gt;=MIN(IF($E63:$O63&lt;&gt;0,$E$60:$O$60)))*(N$236&lt;=MAX(IF($E63:$O63&lt;&gt;0,$E$60:$O$60)))</f>
        <v>0</v>
      </c>
    </row>
    <row r="240" spans="2:29" x14ac:dyDescent="0.3">
      <c r="B240" s="20" t="str">
        <f t="shared" si="32"/>
        <v>Mornington: Purchase brownfield site</v>
      </c>
      <c r="C240" s="153">
        <f t="shared" si="32"/>
        <v>4</v>
      </c>
      <c r="D240" s="331" cm="1">
        <f t="array" ref="D240">(1+$E$21)^(MAX(IF($E64:$O64&lt;&gt;0,$E$60:$O$60))-MIN(IF($E64:$O64&lt;&gt;0,$E$60:$O$60))-(D$236-MIN(IF($E64:$O64&lt;&gt;0,$E$60:$O$60))))*(D$236&gt;=MIN(IF($E64:$O64&lt;&gt;0,$E$60:$O$60)))*(D$236&lt;=MAX(IF($E64:$O64&lt;&gt;0,$E$60:$O$60)))</f>
        <v>0</v>
      </c>
      <c r="E240" s="331" cm="1">
        <f t="array" ref="E240">(1+$E$21)^(MAX(IF($E64:$O64&lt;&gt;0,$E$60:$O$60))-MIN(IF($E64:$O64&lt;&gt;0,$E$60:$O$60))-(E$236-MIN(IF($E64:$O64&lt;&gt;0,$E$60:$O$60))))*(E$236&gt;=MIN(IF($E64:$O64&lt;&gt;0,$E$60:$O$60)))*(E$236&lt;=MAX(IF($E64:$O64&lt;&gt;0,$E$60:$O$60)))</f>
        <v>0</v>
      </c>
      <c r="F240" s="331" cm="1">
        <f t="array" ref="F240">(1+$E$21)^(MAX(IF($E64:$O64&lt;&gt;0,$E$60:$O$60))-MIN(IF($E64:$O64&lt;&gt;0,$E$60:$O$60))-(F$236-MIN(IF($E64:$O64&lt;&gt;0,$E$60:$O$60))))*(F$236&gt;=MIN(IF($E64:$O64&lt;&gt;0,$E$60:$O$60)))*(F$236&lt;=MAX(IF($E64:$O64&lt;&gt;0,$E$60:$O$60)))</f>
        <v>0</v>
      </c>
      <c r="G240" s="331" cm="1">
        <f t="array" ref="G240">(1+$E$21)^(MAX(IF($E64:$O64&lt;&gt;0,$E$60:$O$60))-MIN(IF($E64:$O64&lt;&gt;0,$E$60:$O$60))-(G$236-MIN(IF($E64:$O64&lt;&gt;0,$E$60:$O$60))))*(G$236&gt;=MIN(IF($E64:$O64&lt;&gt;0,$E$60:$O$60)))*(G$236&lt;=MAX(IF($E64:$O64&lt;&gt;0,$E$60:$O$60)))</f>
        <v>0</v>
      </c>
      <c r="H240" s="331" cm="1">
        <f t="array" ref="H240">(1+$E$21)^(MAX(IF($E64:$O64&lt;&gt;0,$E$60:$O$60))-MIN(IF($E64:$O64&lt;&gt;0,$E$60:$O$60))-(H$236-MIN(IF($E64:$O64&lt;&gt;0,$E$60:$O$60))))*(H$236&gt;=MIN(IF($E64:$O64&lt;&gt;0,$E$60:$O$60)))*(H$236&lt;=MAX(IF($E64:$O64&lt;&gt;0,$E$60:$O$60)))</f>
        <v>1</v>
      </c>
      <c r="I240" s="331" cm="1">
        <f t="array" ref="I240">(1+$E$21)^(MAX(IF($E64:$O64&lt;&gt;0,$E$60:$O$60))-MIN(IF($E64:$O64&lt;&gt;0,$E$60:$O$60))-(I$236-MIN(IF($E64:$O64&lt;&gt;0,$E$60:$O$60))))*(I$236&gt;=MIN(IF($E64:$O64&lt;&gt;0,$E$60:$O$60)))*(I$236&lt;=MAX(IF($E64:$O64&lt;&gt;0,$E$60:$O$60)))</f>
        <v>0</v>
      </c>
      <c r="J240" s="331" cm="1">
        <f t="array" ref="J240">(1+$E$21)^(MAX(IF($E64:$O64&lt;&gt;0,$E$60:$O$60))-MIN(IF($E64:$O64&lt;&gt;0,$E$60:$O$60))-(J$236-MIN(IF($E64:$O64&lt;&gt;0,$E$60:$O$60))))*(J$236&gt;=MIN(IF($E64:$O64&lt;&gt;0,$E$60:$O$60)))*(J$236&lt;=MAX(IF($E64:$O64&lt;&gt;0,$E$60:$O$60)))</f>
        <v>0</v>
      </c>
      <c r="K240" s="331" cm="1">
        <f t="array" ref="K240">(1+$E$21)^(MAX(IF($E64:$O64&lt;&gt;0,$E$60:$O$60))-MIN(IF($E64:$O64&lt;&gt;0,$E$60:$O$60))-(K$236-MIN(IF($E64:$O64&lt;&gt;0,$E$60:$O$60))))*(K$236&gt;=MIN(IF($E64:$O64&lt;&gt;0,$E$60:$O$60)))*(K$236&lt;=MAX(IF($E64:$O64&lt;&gt;0,$E$60:$O$60)))</f>
        <v>0</v>
      </c>
      <c r="L240" s="331" cm="1">
        <f t="array" ref="L240">(1+$E$21)^(MAX(IF($E64:$O64&lt;&gt;0,$E$60:$O$60))-MIN(IF($E64:$O64&lt;&gt;0,$E$60:$O$60))-(L$236-MIN(IF($E64:$O64&lt;&gt;0,$E$60:$O$60))))*(L$236&gt;=MIN(IF($E64:$O64&lt;&gt;0,$E$60:$O$60)))*(L$236&lt;=MAX(IF($E64:$O64&lt;&gt;0,$E$60:$O$60)))</f>
        <v>0</v>
      </c>
      <c r="M240" s="331" cm="1">
        <f t="array" ref="M240">(1+$E$21)^(MAX(IF($E64:$O64&lt;&gt;0,$E$60:$O$60))-MIN(IF($E64:$O64&lt;&gt;0,$E$60:$O$60))-(M$236-MIN(IF($E64:$O64&lt;&gt;0,$E$60:$O$60))))*(M$236&gt;=MIN(IF($E64:$O64&lt;&gt;0,$E$60:$O$60)))*(M$236&lt;=MAX(IF($E64:$O64&lt;&gt;0,$E$60:$O$60)))</f>
        <v>0</v>
      </c>
      <c r="N240" s="331" cm="1">
        <f t="array" ref="N240">(1+$E$21)^(MAX(IF($E64:$O64&lt;&gt;0,$E$60:$O$60))-MIN(IF($E64:$O64&lt;&gt;0,$E$60:$O$60))-(N$236-MIN(IF($E64:$O64&lt;&gt;0,$E$60:$O$60))))*(N$236&gt;=MIN(IF($E64:$O64&lt;&gt;0,$E$60:$O$60)))*(N$236&lt;=MAX(IF($E64:$O64&lt;&gt;0,$E$60:$O$60)))</f>
        <v>0</v>
      </c>
    </row>
    <row r="241" spans="2:29" x14ac:dyDescent="0.3">
      <c r="B241" s="327" t="str">
        <f t="shared" si="32"/>
        <v>Mornington: Minimum spend</v>
      </c>
      <c r="C241" s="154">
        <f t="shared" si="32"/>
        <v>5</v>
      </c>
      <c r="D241" s="356" cm="1">
        <f t="array" ref="D241">(1+$E$21)^(MAX(IF($E65:$O65&lt;&gt;0,$E$60:$O$60))-MIN(IF($E65:$O65&lt;&gt;0,$E$60:$O$60))-(D$236-MIN(IF($E65:$O65&lt;&gt;0,$E$60:$O$60))))*(D$236&gt;=MIN(IF($E65:$O65&lt;&gt;0,$E$60:$O$60)))*(D$236&lt;=MAX(IF($E65:$O65&lt;&gt;0,$E$60:$O$60)))</f>
        <v>1.1146212594140628</v>
      </c>
      <c r="E241" s="356" cm="1">
        <f t="array" ref="E241">(1+$E$21)^(MAX(IF($E65:$O65&lt;&gt;0,$E$60:$O$60))-MIN(IF($E65:$O65&lt;&gt;0,$E$60:$O$60))-(E$236-MIN(IF($E65:$O65&lt;&gt;0,$E$60:$O$60))))*(E$236&gt;=MIN(IF($E65:$O65&lt;&gt;0,$E$60:$O$60)))*(E$236&lt;=MAX(IF($E65:$O65&lt;&gt;0,$E$60:$O$60)))</f>
        <v>1.0847895468750002</v>
      </c>
      <c r="F241" s="356" cm="1">
        <f t="array" ref="F241">(1+$E$21)^(MAX(IF($E65:$O65&lt;&gt;0,$E$60:$O$60))-MIN(IF($E65:$O65&lt;&gt;0,$E$60:$O$60))-(F$236-MIN(IF($E65:$O65&lt;&gt;0,$E$60:$O$60))))*(F$236&gt;=MIN(IF($E65:$O65&lt;&gt;0,$E$60:$O$60)))*(F$236&lt;=MAX(IF($E65:$O65&lt;&gt;0,$E$60:$O$60)))</f>
        <v>1.0557562500000002</v>
      </c>
      <c r="G241" s="356" cm="1">
        <f t="array" ref="G241">(1+$E$21)^(MAX(IF($E65:$O65&lt;&gt;0,$E$60:$O$60))-MIN(IF($E65:$O65&lt;&gt;0,$E$60:$O$60))-(G$236-MIN(IF($E65:$O65&lt;&gt;0,$E$60:$O$60))))*(G$236&gt;=MIN(IF($E65:$O65&lt;&gt;0,$E$60:$O$60)))*(G$236&lt;=MAX(IF($E65:$O65&lt;&gt;0,$E$60:$O$60)))</f>
        <v>1.0275000000000001</v>
      </c>
      <c r="H241" s="356" cm="1">
        <f t="array" ref="H241">(1+$E$21)^(MAX(IF($E65:$O65&lt;&gt;0,$E$60:$O$60))-MIN(IF($E65:$O65&lt;&gt;0,$E$60:$O$60))-(H$236-MIN(IF($E65:$O65&lt;&gt;0,$E$60:$O$60))))*(H$236&gt;=MIN(IF($E65:$O65&lt;&gt;0,$E$60:$O$60)))*(H$236&lt;=MAX(IF($E65:$O65&lt;&gt;0,$E$60:$O$60)))</f>
        <v>1</v>
      </c>
      <c r="I241" s="356" cm="1">
        <f t="array" ref="I241">(1+$E$21)^(MAX(IF($E65:$O65&lt;&gt;0,$E$60:$O$60))-MIN(IF($E65:$O65&lt;&gt;0,$E$60:$O$60))-(I$236-MIN(IF($E65:$O65&lt;&gt;0,$E$60:$O$60))))*(I$236&gt;=MIN(IF($E65:$O65&lt;&gt;0,$E$60:$O$60)))*(I$236&lt;=MAX(IF($E65:$O65&lt;&gt;0,$E$60:$O$60)))</f>
        <v>0</v>
      </c>
      <c r="J241" s="356" cm="1">
        <f t="array" ref="J241">(1+$E$21)^(MAX(IF($E65:$O65&lt;&gt;0,$E$60:$O$60))-MIN(IF($E65:$O65&lt;&gt;0,$E$60:$O$60))-(J$236-MIN(IF($E65:$O65&lt;&gt;0,$E$60:$O$60))))*(J$236&gt;=MIN(IF($E65:$O65&lt;&gt;0,$E$60:$O$60)))*(J$236&lt;=MAX(IF($E65:$O65&lt;&gt;0,$E$60:$O$60)))</f>
        <v>0</v>
      </c>
      <c r="K241" s="356" cm="1">
        <f t="array" ref="K241">(1+$E$21)^(MAX(IF($E65:$O65&lt;&gt;0,$E$60:$O$60))-MIN(IF($E65:$O65&lt;&gt;0,$E$60:$O$60))-(K$236-MIN(IF($E65:$O65&lt;&gt;0,$E$60:$O$60))))*(K$236&gt;=MIN(IF($E65:$O65&lt;&gt;0,$E$60:$O$60)))*(K$236&lt;=MAX(IF($E65:$O65&lt;&gt;0,$E$60:$O$60)))</f>
        <v>0</v>
      </c>
      <c r="L241" s="356" cm="1">
        <f t="array" ref="L241">(1+$E$21)^(MAX(IF($E65:$O65&lt;&gt;0,$E$60:$O$60))-MIN(IF($E65:$O65&lt;&gt;0,$E$60:$O$60))-(L$236-MIN(IF($E65:$O65&lt;&gt;0,$E$60:$O$60))))*(L$236&gt;=MIN(IF($E65:$O65&lt;&gt;0,$E$60:$O$60)))*(L$236&lt;=MAX(IF($E65:$O65&lt;&gt;0,$E$60:$O$60)))</f>
        <v>0</v>
      </c>
      <c r="M241" s="356" cm="1">
        <f t="array" ref="M241">(1+$E$21)^(MAX(IF($E65:$O65&lt;&gt;0,$E$60:$O$60))-MIN(IF($E65:$O65&lt;&gt;0,$E$60:$O$60))-(M$236-MIN(IF($E65:$O65&lt;&gt;0,$E$60:$O$60))))*(M$236&gt;=MIN(IF($E65:$O65&lt;&gt;0,$E$60:$O$60)))*(M$236&lt;=MAX(IF($E65:$O65&lt;&gt;0,$E$60:$O$60)))</f>
        <v>0</v>
      </c>
      <c r="N241" s="356" cm="1">
        <f t="array" ref="N241">(1+$E$21)^(MAX(IF($E65:$O65&lt;&gt;0,$E$60:$O$60))-MIN(IF($E65:$O65&lt;&gt;0,$E$60:$O$60))-(N$236-MIN(IF($E65:$O65&lt;&gt;0,$E$60:$O$60))))*(N$236&gt;=MIN(IF($E65:$O65&lt;&gt;0,$E$60:$O$60)))*(N$236&lt;=MAX(IF($E65:$O65&lt;&gt;0,$E$60:$O$60)))</f>
        <v>0</v>
      </c>
    </row>
    <row r="242" spans="2:29" x14ac:dyDescent="0.3">
      <c r="B242" s="20" t="str">
        <f t="shared" si="32"/>
        <v>Keysborough: Do nothing</v>
      </c>
      <c r="C242" s="153">
        <f t="shared" si="32"/>
        <v>6</v>
      </c>
      <c r="D242" s="331" cm="1">
        <f t="array" ref="D242">(1+$E$21)^(MAX(IF($E66:$O66&lt;&gt;0,$E$60:$O$60))-MIN(IF($E66:$O66&lt;&gt;0,$E$60:$O$60))-(D$236-MIN(IF($E66:$O66&lt;&gt;0,$E$60:$O$60))))*(D$236&gt;=MIN(IF($E66:$O66&lt;&gt;0,$E$60:$O$60)))*(D$236&lt;=MAX(IF($E66:$O66&lt;&gt;0,$E$60:$O$60)))</f>
        <v>0</v>
      </c>
      <c r="E242" s="331" cm="1">
        <f t="array" ref="E242">(1+$E$21)^(MAX(IF($E66:$O66&lt;&gt;0,$E$60:$O$60))-MIN(IF($E66:$O66&lt;&gt;0,$E$60:$O$60))-(E$236-MIN(IF($E66:$O66&lt;&gt;0,$E$60:$O$60))))*(E$236&gt;=MIN(IF($E66:$O66&lt;&gt;0,$E$60:$O$60)))*(E$236&lt;=MAX(IF($E66:$O66&lt;&gt;0,$E$60:$O$60)))</f>
        <v>0</v>
      </c>
      <c r="F242" s="331" cm="1">
        <f t="array" ref="F242">(1+$E$21)^(MAX(IF($E66:$O66&lt;&gt;0,$E$60:$O$60))-MIN(IF($E66:$O66&lt;&gt;0,$E$60:$O$60))-(F$236-MIN(IF($E66:$O66&lt;&gt;0,$E$60:$O$60))))*(F$236&gt;=MIN(IF($E66:$O66&lt;&gt;0,$E$60:$O$60)))*(F$236&lt;=MAX(IF($E66:$O66&lt;&gt;0,$E$60:$O$60)))</f>
        <v>0</v>
      </c>
      <c r="G242" s="331" cm="1">
        <f t="array" ref="G242">(1+$E$21)^(MAX(IF($E66:$O66&lt;&gt;0,$E$60:$O$60))-MIN(IF($E66:$O66&lt;&gt;0,$E$60:$O$60))-(G$236-MIN(IF($E66:$O66&lt;&gt;0,$E$60:$O$60))))*(G$236&gt;=MIN(IF($E66:$O66&lt;&gt;0,$E$60:$O$60)))*(G$236&lt;=MAX(IF($E66:$O66&lt;&gt;0,$E$60:$O$60)))</f>
        <v>0</v>
      </c>
      <c r="H242" s="331" cm="1">
        <f t="array" ref="H242">(1+$E$21)^(MAX(IF($E66:$O66&lt;&gt;0,$E$60:$O$60))-MIN(IF($E66:$O66&lt;&gt;0,$E$60:$O$60))-(H$236-MIN(IF($E66:$O66&lt;&gt;0,$E$60:$O$60))))*(H$236&gt;=MIN(IF($E66:$O66&lt;&gt;0,$E$60:$O$60)))*(H$236&lt;=MAX(IF($E66:$O66&lt;&gt;0,$E$60:$O$60)))</f>
        <v>0</v>
      </c>
      <c r="I242" s="331" cm="1">
        <f t="array" ref="I242">(1+$E$21)^(MAX(IF($E66:$O66&lt;&gt;0,$E$60:$O$60))-MIN(IF($E66:$O66&lt;&gt;0,$E$60:$O$60))-(I$236-MIN(IF($E66:$O66&lt;&gt;0,$E$60:$O$60))))*(I$236&gt;=MIN(IF($E66:$O66&lt;&gt;0,$E$60:$O$60)))*(I$236&lt;=MAX(IF($E66:$O66&lt;&gt;0,$E$60:$O$60)))</f>
        <v>0</v>
      </c>
      <c r="J242" s="331" cm="1">
        <f t="array" ref="J242">(1+$E$21)^(MAX(IF($E66:$O66&lt;&gt;0,$E$60:$O$60))-MIN(IF($E66:$O66&lt;&gt;0,$E$60:$O$60))-(J$236-MIN(IF($E66:$O66&lt;&gt;0,$E$60:$O$60))))*(J$236&gt;=MIN(IF($E66:$O66&lt;&gt;0,$E$60:$O$60)))*(J$236&lt;=MAX(IF($E66:$O66&lt;&gt;0,$E$60:$O$60)))</f>
        <v>0</v>
      </c>
      <c r="K242" s="331" cm="1">
        <f t="array" ref="K242">(1+$E$21)^(MAX(IF($E66:$O66&lt;&gt;0,$E$60:$O$60))-MIN(IF($E66:$O66&lt;&gt;0,$E$60:$O$60))-(K$236-MIN(IF($E66:$O66&lt;&gt;0,$E$60:$O$60))))*(K$236&gt;=MIN(IF($E66:$O66&lt;&gt;0,$E$60:$O$60)))*(K$236&lt;=MAX(IF($E66:$O66&lt;&gt;0,$E$60:$O$60)))</f>
        <v>0</v>
      </c>
      <c r="L242" s="331" cm="1">
        <f t="array" ref="L242">(1+$E$21)^(MAX(IF($E66:$O66&lt;&gt;0,$E$60:$O$60))-MIN(IF($E66:$O66&lt;&gt;0,$E$60:$O$60))-(L$236-MIN(IF($E66:$O66&lt;&gt;0,$E$60:$O$60))))*(L$236&gt;=MIN(IF($E66:$O66&lt;&gt;0,$E$60:$O$60)))*(L$236&lt;=MAX(IF($E66:$O66&lt;&gt;0,$E$60:$O$60)))</f>
        <v>0</v>
      </c>
      <c r="M242" s="331" cm="1">
        <f t="array" ref="M242">(1+$E$21)^(MAX(IF($E66:$O66&lt;&gt;0,$E$60:$O$60))-MIN(IF($E66:$O66&lt;&gt;0,$E$60:$O$60))-(M$236-MIN(IF($E66:$O66&lt;&gt;0,$E$60:$O$60))))*(M$236&gt;=MIN(IF($E66:$O66&lt;&gt;0,$E$60:$O$60)))*(M$236&lt;=MAX(IF($E66:$O66&lt;&gt;0,$E$60:$O$60)))</f>
        <v>0</v>
      </c>
      <c r="N242" s="331" cm="1">
        <f t="array" ref="N242">(1+$E$21)^(MAX(IF($E66:$O66&lt;&gt;0,$E$60:$O$60))-MIN(IF($E66:$O66&lt;&gt;0,$E$60:$O$60))-(N$236-MIN(IF($E66:$O66&lt;&gt;0,$E$60:$O$60))))*(N$236&gt;=MIN(IF($E66:$O66&lt;&gt;0,$E$60:$O$60)))*(N$236&lt;=MAX(IF($E66:$O66&lt;&gt;0,$E$60:$O$60)))</f>
        <v>0</v>
      </c>
    </row>
    <row r="243" spans="2:29" x14ac:dyDescent="0.3">
      <c r="B243" s="20" t="str">
        <f t="shared" si="32"/>
        <v>Keysborough: Redevelop existing site</v>
      </c>
      <c r="C243" s="153">
        <f t="shared" si="32"/>
        <v>7</v>
      </c>
      <c r="D243" s="331" cm="1">
        <f t="array" ref="D243">(1+$E$21)^(MAX(IF($E67:$O67&lt;&gt;0,$E$60:$O$60))-MIN(IF($E67:$O67&lt;&gt;0,$E$60:$O$60))-(D$236-MIN(IF($E67:$O67&lt;&gt;0,$E$60:$O$60))))*(D$236&gt;=MIN(IF($E67:$O67&lt;&gt;0,$E$60:$O$60)))*(D$236&lt;=MAX(IF($E67:$O67&lt;&gt;0,$E$60:$O$60)))</f>
        <v>1</v>
      </c>
      <c r="E243" s="331" cm="1">
        <f t="array" ref="E243">(1+$E$21)^(MAX(IF($E67:$O67&lt;&gt;0,$E$60:$O$60))-MIN(IF($E67:$O67&lt;&gt;0,$E$60:$O$60))-(E$236-MIN(IF($E67:$O67&lt;&gt;0,$E$60:$O$60))))*(E$236&gt;=MIN(IF($E67:$O67&lt;&gt;0,$E$60:$O$60)))*(E$236&lt;=MAX(IF($E67:$O67&lt;&gt;0,$E$60:$O$60)))</f>
        <v>0</v>
      </c>
      <c r="F243" s="331" cm="1">
        <f t="array" ref="F243">(1+$E$21)^(MAX(IF($E67:$O67&lt;&gt;0,$E$60:$O$60))-MIN(IF($E67:$O67&lt;&gt;0,$E$60:$O$60))-(F$236-MIN(IF($E67:$O67&lt;&gt;0,$E$60:$O$60))))*(F$236&gt;=MIN(IF($E67:$O67&lt;&gt;0,$E$60:$O$60)))*(F$236&lt;=MAX(IF($E67:$O67&lt;&gt;0,$E$60:$O$60)))</f>
        <v>0</v>
      </c>
      <c r="G243" s="331" cm="1">
        <f t="array" ref="G243">(1+$E$21)^(MAX(IF($E67:$O67&lt;&gt;0,$E$60:$O$60))-MIN(IF($E67:$O67&lt;&gt;0,$E$60:$O$60))-(G$236-MIN(IF($E67:$O67&lt;&gt;0,$E$60:$O$60))))*(G$236&gt;=MIN(IF($E67:$O67&lt;&gt;0,$E$60:$O$60)))*(G$236&lt;=MAX(IF($E67:$O67&lt;&gt;0,$E$60:$O$60)))</f>
        <v>0</v>
      </c>
      <c r="H243" s="331" cm="1">
        <f t="array" ref="H243">(1+$E$21)^(MAX(IF($E67:$O67&lt;&gt;0,$E$60:$O$60))-MIN(IF($E67:$O67&lt;&gt;0,$E$60:$O$60))-(H$236-MIN(IF($E67:$O67&lt;&gt;0,$E$60:$O$60))))*(H$236&gt;=MIN(IF($E67:$O67&lt;&gt;0,$E$60:$O$60)))*(H$236&lt;=MAX(IF($E67:$O67&lt;&gt;0,$E$60:$O$60)))</f>
        <v>0</v>
      </c>
      <c r="I243" s="331" cm="1">
        <f t="array" ref="I243">(1+$E$21)^(MAX(IF($E67:$O67&lt;&gt;0,$E$60:$O$60))-MIN(IF($E67:$O67&lt;&gt;0,$E$60:$O$60))-(I$236-MIN(IF($E67:$O67&lt;&gt;0,$E$60:$O$60))))*(I$236&gt;=MIN(IF($E67:$O67&lt;&gt;0,$E$60:$O$60)))*(I$236&lt;=MAX(IF($E67:$O67&lt;&gt;0,$E$60:$O$60)))</f>
        <v>0</v>
      </c>
      <c r="J243" s="331" cm="1">
        <f t="array" ref="J243">(1+$E$21)^(MAX(IF($E67:$O67&lt;&gt;0,$E$60:$O$60))-MIN(IF($E67:$O67&lt;&gt;0,$E$60:$O$60))-(J$236-MIN(IF($E67:$O67&lt;&gt;0,$E$60:$O$60))))*(J$236&gt;=MIN(IF($E67:$O67&lt;&gt;0,$E$60:$O$60)))*(J$236&lt;=MAX(IF($E67:$O67&lt;&gt;0,$E$60:$O$60)))</f>
        <v>0</v>
      </c>
      <c r="K243" s="331" cm="1">
        <f t="array" ref="K243">(1+$E$21)^(MAX(IF($E67:$O67&lt;&gt;0,$E$60:$O$60))-MIN(IF($E67:$O67&lt;&gt;0,$E$60:$O$60))-(K$236-MIN(IF($E67:$O67&lt;&gt;0,$E$60:$O$60))))*(K$236&gt;=MIN(IF($E67:$O67&lt;&gt;0,$E$60:$O$60)))*(K$236&lt;=MAX(IF($E67:$O67&lt;&gt;0,$E$60:$O$60)))</f>
        <v>0</v>
      </c>
      <c r="L243" s="331" cm="1">
        <f t="array" ref="L243">(1+$E$21)^(MAX(IF($E67:$O67&lt;&gt;0,$E$60:$O$60))-MIN(IF($E67:$O67&lt;&gt;0,$E$60:$O$60))-(L$236-MIN(IF($E67:$O67&lt;&gt;0,$E$60:$O$60))))*(L$236&gt;=MIN(IF($E67:$O67&lt;&gt;0,$E$60:$O$60)))*(L$236&lt;=MAX(IF($E67:$O67&lt;&gt;0,$E$60:$O$60)))</f>
        <v>0</v>
      </c>
      <c r="M243" s="331" cm="1">
        <f t="array" ref="M243">(1+$E$21)^(MAX(IF($E67:$O67&lt;&gt;0,$E$60:$O$60))-MIN(IF($E67:$O67&lt;&gt;0,$E$60:$O$60))-(M$236-MIN(IF($E67:$O67&lt;&gt;0,$E$60:$O$60))))*(M$236&gt;=MIN(IF($E67:$O67&lt;&gt;0,$E$60:$O$60)))*(M$236&lt;=MAX(IF($E67:$O67&lt;&gt;0,$E$60:$O$60)))</f>
        <v>0</v>
      </c>
      <c r="N243" s="331" cm="1">
        <f t="array" ref="N243">(1+$E$21)^(MAX(IF($E67:$O67&lt;&gt;0,$E$60:$O$60))-MIN(IF($E67:$O67&lt;&gt;0,$E$60:$O$60))-(N$236-MIN(IF($E67:$O67&lt;&gt;0,$E$60:$O$60))))*(N$236&gt;=MIN(IF($E67:$O67&lt;&gt;0,$E$60:$O$60)))*(N$236&lt;=MAX(IF($E67:$O67&lt;&gt;0,$E$60:$O$60)))</f>
        <v>0</v>
      </c>
    </row>
    <row r="244" spans="2:29" x14ac:dyDescent="0.3">
      <c r="B244" s="20" t="str">
        <f t="shared" si="32"/>
        <v>Keysborough: Expansion develop current depot</v>
      </c>
      <c r="C244" s="153">
        <f t="shared" si="32"/>
        <v>8</v>
      </c>
      <c r="D244" s="331" cm="1">
        <f t="array" ref="D244">(1+$E$21)^(MAX(IF($E68:$O68&lt;&gt;0,$E$60:$O$60))-MIN(IF($E68:$O68&lt;&gt;0,$E$60:$O$60))-(D$236-MIN(IF($E68:$O68&lt;&gt;0,$E$60:$O$60))))*(D$236&gt;=MIN(IF($E68:$O68&lt;&gt;0,$E$60:$O$60)))*(D$236&lt;=MAX(IF($E68:$O68&lt;&gt;0,$E$60:$O$60)))</f>
        <v>1</v>
      </c>
      <c r="E244" s="331" cm="1">
        <f t="array" ref="E244">(1+$E$21)^(MAX(IF($E68:$O68&lt;&gt;0,$E$60:$O$60))-MIN(IF($E68:$O68&lt;&gt;0,$E$60:$O$60))-(E$236-MIN(IF($E68:$O68&lt;&gt;0,$E$60:$O$60))))*(E$236&gt;=MIN(IF($E68:$O68&lt;&gt;0,$E$60:$O$60)))*(E$236&lt;=MAX(IF($E68:$O68&lt;&gt;0,$E$60:$O$60)))</f>
        <v>0</v>
      </c>
      <c r="F244" s="331" cm="1">
        <f t="array" ref="F244">(1+$E$21)^(MAX(IF($E68:$O68&lt;&gt;0,$E$60:$O$60))-MIN(IF($E68:$O68&lt;&gt;0,$E$60:$O$60))-(F$236-MIN(IF($E68:$O68&lt;&gt;0,$E$60:$O$60))))*(F$236&gt;=MIN(IF($E68:$O68&lt;&gt;0,$E$60:$O$60)))*(F$236&lt;=MAX(IF($E68:$O68&lt;&gt;0,$E$60:$O$60)))</f>
        <v>0</v>
      </c>
      <c r="G244" s="331" cm="1">
        <f t="array" ref="G244">(1+$E$21)^(MAX(IF($E68:$O68&lt;&gt;0,$E$60:$O$60))-MIN(IF($E68:$O68&lt;&gt;0,$E$60:$O$60))-(G$236-MIN(IF($E68:$O68&lt;&gt;0,$E$60:$O$60))))*(G$236&gt;=MIN(IF($E68:$O68&lt;&gt;0,$E$60:$O$60)))*(G$236&lt;=MAX(IF($E68:$O68&lt;&gt;0,$E$60:$O$60)))</f>
        <v>0</v>
      </c>
      <c r="H244" s="331" cm="1">
        <f t="array" ref="H244">(1+$E$21)^(MAX(IF($E68:$O68&lt;&gt;0,$E$60:$O$60))-MIN(IF($E68:$O68&lt;&gt;0,$E$60:$O$60))-(H$236-MIN(IF($E68:$O68&lt;&gt;0,$E$60:$O$60))))*(H$236&gt;=MIN(IF($E68:$O68&lt;&gt;0,$E$60:$O$60)))*(H$236&lt;=MAX(IF($E68:$O68&lt;&gt;0,$E$60:$O$60)))</f>
        <v>0</v>
      </c>
      <c r="I244" s="331" cm="1">
        <f t="array" ref="I244">(1+$E$21)^(MAX(IF($E68:$O68&lt;&gt;0,$E$60:$O$60))-MIN(IF($E68:$O68&lt;&gt;0,$E$60:$O$60))-(I$236-MIN(IF($E68:$O68&lt;&gt;0,$E$60:$O$60))))*(I$236&gt;=MIN(IF($E68:$O68&lt;&gt;0,$E$60:$O$60)))*(I$236&lt;=MAX(IF($E68:$O68&lt;&gt;0,$E$60:$O$60)))</f>
        <v>0</v>
      </c>
      <c r="J244" s="331" cm="1">
        <f t="array" ref="J244">(1+$E$21)^(MAX(IF($E68:$O68&lt;&gt;0,$E$60:$O$60))-MIN(IF($E68:$O68&lt;&gt;0,$E$60:$O$60))-(J$236-MIN(IF($E68:$O68&lt;&gt;0,$E$60:$O$60))))*(J$236&gt;=MIN(IF($E68:$O68&lt;&gt;0,$E$60:$O$60)))*(J$236&lt;=MAX(IF($E68:$O68&lt;&gt;0,$E$60:$O$60)))</f>
        <v>0</v>
      </c>
      <c r="K244" s="331" cm="1">
        <f t="array" ref="K244">(1+$E$21)^(MAX(IF($E68:$O68&lt;&gt;0,$E$60:$O$60))-MIN(IF($E68:$O68&lt;&gt;0,$E$60:$O$60))-(K$236-MIN(IF($E68:$O68&lt;&gt;0,$E$60:$O$60))))*(K$236&gt;=MIN(IF($E68:$O68&lt;&gt;0,$E$60:$O$60)))*(K$236&lt;=MAX(IF($E68:$O68&lt;&gt;0,$E$60:$O$60)))</f>
        <v>0</v>
      </c>
      <c r="L244" s="331" cm="1">
        <f t="array" ref="L244">(1+$E$21)^(MAX(IF($E68:$O68&lt;&gt;0,$E$60:$O$60))-MIN(IF($E68:$O68&lt;&gt;0,$E$60:$O$60))-(L$236-MIN(IF($E68:$O68&lt;&gt;0,$E$60:$O$60))))*(L$236&gt;=MIN(IF($E68:$O68&lt;&gt;0,$E$60:$O$60)))*(L$236&lt;=MAX(IF($E68:$O68&lt;&gt;0,$E$60:$O$60)))</f>
        <v>0</v>
      </c>
      <c r="M244" s="331" cm="1">
        <f t="array" ref="M244">(1+$E$21)^(MAX(IF($E68:$O68&lt;&gt;0,$E$60:$O$60))-MIN(IF($E68:$O68&lt;&gt;0,$E$60:$O$60))-(M$236-MIN(IF($E68:$O68&lt;&gt;0,$E$60:$O$60))))*(M$236&gt;=MIN(IF($E68:$O68&lt;&gt;0,$E$60:$O$60)))*(M$236&lt;=MAX(IF($E68:$O68&lt;&gt;0,$E$60:$O$60)))</f>
        <v>0</v>
      </c>
      <c r="N244" s="331" cm="1">
        <f t="array" ref="N244">(1+$E$21)^(MAX(IF($E68:$O68&lt;&gt;0,$E$60:$O$60))-MIN(IF($E68:$O68&lt;&gt;0,$E$60:$O$60))-(N$236-MIN(IF($E68:$O68&lt;&gt;0,$E$60:$O$60))))*(N$236&gt;=MIN(IF($E68:$O68&lt;&gt;0,$E$60:$O$60)))*(N$236&lt;=MAX(IF($E68:$O68&lt;&gt;0,$E$60:$O$60)))</f>
        <v>0</v>
      </c>
    </row>
    <row r="245" spans="2:29" x14ac:dyDescent="0.3">
      <c r="B245" s="20" t="str">
        <f t="shared" si="32"/>
        <v>Keysborough: Purchase brownfield site</v>
      </c>
      <c r="C245" s="153">
        <f t="shared" si="32"/>
        <v>9</v>
      </c>
      <c r="D245" s="331" cm="1">
        <f t="array" ref="D245">(1+$E$21)^(MAX(IF($E69:$O69&lt;&gt;0,$E$60:$O$60))-MIN(IF($E69:$O69&lt;&gt;0,$E$60:$O$60))-(D$236-MIN(IF($E69:$O69&lt;&gt;0,$E$60:$O$60))))*(D$236&gt;=MIN(IF($E69:$O69&lt;&gt;0,$E$60:$O$60)))*(D$236&lt;=MAX(IF($E69:$O69&lt;&gt;0,$E$60:$O$60)))</f>
        <v>1.0275000000000001</v>
      </c>
      <c r="E245" s="331" cm="1">
        <f t="array" ref="E245">(1+$E$21)^(MAX(IF($E69:$O69&lt;&gt;0,$E$60:$O$60))-MIN(IF($E69:$O69&lt;&gt;0,$E$60:$O$60))-(E$236-MIN(IF($E69:$O69&lt;&gt;0,$E$60:$O$60))))*(E$236&gt;=MIN(IF($E69:$O69&lt;&gt;0,$E$60:$O$60)))*(E$236&lt;=MAX(IF($E69:$O69&lt;&gt;0,$E$60:$O$60)))</f>
        <v>1</v>
      </c>
      <c r="F245" s="331" cm="1">
        <f t="array" ref="F245">(1+$E$21)^(MAX(IF($E69:$O69&lt;&gt;0,$E$60:$O$60))-MIN(IF($E69:$O69&lt;&gt;0,$E$60:$O$60))-(F$236-MIN(IF($E69:$O69&lt;&gt;0,$E$60:$O$60))))*(F$236&gt;=MIN(IF($E69:$O69&lt;&gt;0,$E$60:$O$60)))*(F$236&lt;=MAX(IF($E69:$O69&lt;&gt;0,$E$60:$O$60)))</f>
        <v>0</v>
      </c>
      <c r="G245" s="331" cm="1">
        <f t="array" ref="G245">(1+$E$21)^(MAX(IF($E69:$O69&lt;&gt;0,$E$60:$O$60))-MIN(IF($E69:$O69&lt;&gt;0,$E$60:$O$60))-(G$236-MIN(IF($E69:$O69&lt;&gt;0,$E$60:$O$60))))*(G$236&gt;=MIN(IF($E69:$O69&lt;&gt;0,$E$60:$O$60)))*(G$236&lt;=MAX(IF($E69:$O69&lt;&gt;0,$E$60:$O$60)))</f>
        <v>0</v>
      </c>
      <c r="H245" s="331" cm="1">
        <f t="array" ref="H245">(1+$E$21)^(MAX(IF($E69:$O69&lt;&gt;0,$E$60:$O$60))-MIN(IF($E69:$O69&lt;&gt;0,$E$60:$O$60))-(H$236-MIN(IF($E69:$O69&lt;&gt;0,$E$60:$O$60))))*(H$236&gt;=MIN(IF($E69:$O69&lt;&gt;0,$E$60:$O$60)))*(H$236&lt;=MAX(IF($E69:$O69&lt;&gt;0,$E$60:$O$60)))</f>
        <v>0</v>
      </c>
      <c r="I245" s="331" cm="1">
        <f t="array" ref="I245">(1+$E$21)^(MAX(IF($E69:$O69&lt;&gt;0,$E$60:$O$60))-MIN(IF($E69:$O69&lt;&gt;0,$E$60:$O$60))-(I$236-MIN(IF($E69:$O69&lt;&gt;0,$E$60:$O$60))))*(I$236&gt;=MIN(IF($E69:$O69&lt;&gt;0,$E$60:$O$60)))*(I$236&lt;=MAX(IF($E69:$O69&lt;&gt;0,$E$60:$O$60)))</f>
        <v>0</v>
      </c>
      <c r="J245" s="331" cm="1">
        <f t="array" ref="J245">(1+$E$21)^(MAX(IF($E69:$O69&lt;&gt;0,$E$60:$O$60))-MIN(IF($E69:$O69&lt;&gt;0,$E$60:$O$60))-(J$236-MIN(IF($E69:$O69&lt;&gt;0,$E$60:$O$60))))*(J$236&gt;=MIN(IF($E69:$O69&lt;&gt;0,$E$60:$O$60)))*(J$236&lt;=MAX(IF($E69:$O69&lt;&gt;0,$E$60:$O$60)))</f>
        <v>0</v>
      </c>
      <c r="K245" s="331" cm="1">
        <f t="array" ref="K245">(1+$E$21)^(MAX(IF($E69:$O69&lt;&gt;0,$E$60:$O$60))-MIN(IF($E69:$O69&lt;&gt;0,$E$60:$O$60))-(K$236-MIN(IF($E69:$O69&lt;&gt;0,$E$60:$O$60))))*(K$236&gt;=MIN(IF($E69:$O69&lt;&gt;0,$E$60:$O$60)))*(K$236&lt;=MAX(IF($E69:$O69&lt;&gt;0,$E$60:$O$60)))</f>
        <v>0</v>
      </c>
      <c r="L245" s="331" cm="1">
        <f t="array" ref="L245">(1+$E$21)^(MAX(IF($E69:$O69&lt;&gt;0,$E$60:$O$60))-MIN(IF($E69:$O69&lt;&gt;0,$E$60:$O$60))-(L$236-MIN(IF($E69:$O69&lt;&gt;0,$E$60:$O$60))))*(L$236&gt;=MIN(IF($E69:$O69&lt;&gt;0,$E$60:$O$60)))*(L$236&lt;=MAX(IF($E69:$O69&lt;&gt;0,$E$60:$O$60)))</f>
        <v>0</v>
      </c>
      <c r="M245" s="331" cm="1">
        <f t="array" ref="M245">(1+$E$21)^(MAX(IF($E69:$O69&lt;&gt;0,$E$60:$O$60))-MIN(IF($E69:$O69&lt;&gt;0,$E$60:$O$60))-(M$236-MIN(IF($E69:$O69&lt;&gt;0,$E$60:$O$60))))*(M$236&gt;=MIN(IF($E69:$O69&lt;&gt;0,$E$60:$O$60)))*(M$236&lt;=MAX(IF($E69:$O69&lt;&gt;0,$E$60:$O$60)))</f>
        <v>0</v>
      </c>
      <c r="N245" s="331" cm="1">
        <f t="array" ref="N245">(1+$E$21)^(MAX(IF($E69:$O69&lt;&gt;0,$E$60:$O$60))-MIN(IF($E69:$O69&lt;&gt;0,$E$60:$O$60))-(N$236-MIN(IF($E69:$O69&lt;&gt;0,$E$60:$O$60))))*(N$236&gt;=MIN(IF($E69:$O69&lt;&gt;0,$E$60:$O$60)))*(N$236&lt;=MAX(IF($E69:$O69&lt;&gt;0,$E$60:$O$60)))</f>
        <v>0</v>
      </c>
    </row>
    <row r="246" spans="2:29" x14ac:dyDescent="0.3">
      <c r="B246" s="327" t="str">
        <f t="shared" si="32"/>
        <v>Keysborough: Minimum spend</v>
      </c>
      <c r="C246" s="154">
        <f t="shared" si="32"/>
        <v>10</v>
      </c>
      <c r="D246" s="356" cm="1">
        <f t="array" ref="D246">(1+$E$21)^(MAX(IF($E70:$O70&lt;&gt;0,$E$60:$O$60))-MIN(IF($E70:$O70&lt;&gt;0,$E$60:$O$60))-(D$236-MIN(IF($E70:$O70&lt;&gt;0,$E$60:$O$60))))*(D$236&gt;=MIN(IF($E70:$O70&lt;&gt;0,$E$60:$O$60)))*(D$236&lt;=MAX(IF($E70:$O70&lt;&gt;0,$E$60:$O$60)))</f>
        <v>1.1146212594140628</v>
      </c>
      <c r="E246" s="356" cm="1">
        <f t="array" ref="E246">(1+$E$21)^(MAX(IF($E70:$O70&lt;&gt;0,$E$60:$O$60))-MIN(IF($E70:$O70&lt;&gt;0,$E$60:$O$60))-(E$236-MIN(IF($E70:$O70&lt;&gt;0,$E$60:$O$60))))*(E$236&gt;=MIN(IF($E70:$O70&lt;&gt;0,$E$60:$O$60)))*(E$236&lt;=MAX(IF($E70:$O70&lt;&gt;0,$E$60:$O$60)))</f>
        <v>1.0847895468750002</v>
      </c>
      <c r="F246" s="356" cm="1">
        <f t="array" ref="F246">(1+$E$21)^(MAX(IF($E70:$O70&lt;&gt;0,$E$60:$O$60))-MIN(IF($E70:$O70&lt;&gt;0,$E$60:$O$60))-(F$236-MIN(IF($E70:$O70&lt;&gt;0,$E$60:$O$60))))*(F$236&gt;=MIN(IF($E70:$O70&lt;&gt;0,$E$60:$O$60)))*(F$236&lt;=MAX(IF($E70:$O70&lt;&gt;0,$E$60:$O$60)))</f>
        <v>1.0557562500000002</v>
      </c>
      <c r="G246" s="356" cm="1">
        <f t="array" ref="G246">(1+$E$21)^(MAX(IF($E70:$O70&lt;&gt;0,$E$60:$O$60))-MIN(IF($E70:$O70&lt;&gt;0,$E$60:$O$60))-(G$236-MIN(IF($E70:$O70&lt;&gt;0,$E$60:$O$60))))*(G$236&gt;=MIN(IF($E70:$O70&lt;&gt;0,$E$60:$O$60)))*(G$236&lt;=MAX(IF($E70:$O70&lt;&gt;0,$E$60:$O$60)))</f>
        <v>1.0275000000000001</v>
      </c>
      <c r="H246" s="356" cm="1">
        <f t="array" ref="H246">(1+$E$21)^(MAX(IF($E70:$O70&lt;&gt;0,$E$60:$O$60))-MIN(IF($E70:$O70&lt;&gt;0,$E$60:$O$60))-(H$236-MIN(IF($E70:$O70&lt;&gt;0,$E$60:$O$60))))*(H$236&gt;=MIN(IF($E70:$O70&lt;&gt;0,$E$60:$O$60)))*(H$236&lt;=MAX(IF($E70:$O70&lt;&gt;0,$E$60:$O$60)))</f>
        <v>1</v>
      </c>
      <c r="I246" s="356" cm="1">
        <f t="array" ref="I246">(1+$E$21)^(MAX(IF($E70:$O70&lt;&gt;0,$E$60:$O$60))-MIN(IF($E70:$O70&lt;&gt;0,$E$60:$O$60))-(I$236-MIN(IF($E70:$O70&lt;&gt;0,$E$60:$O$60))))*(I$236&gt;=MIN(IF($E70:$O70&lt;&gt;0,$E$60:$O$60)))*(I$236&lt;=MAX(IF($E70:$O70&lt;&gt;0,$E$60:$O$60)))</f>
        <v>0</v>
      </c>
      <c r="J246" s="356" cm="1">
        <f t="array" ref="J246">(1+$E$21)^(MAX(IF($E70:$O70&lt;&gt;0,$E$60:$O$60))-MIN(IF($E70:$O70&lt;&gt;0,$E$60:$O$60))-(J$236-MIN(IF($E70:$O70&lt;&gt;0,$E$60:$O$60))))*(J$236&gt;=MIN(IF($E70:$O70&lt;&gt;0,$E$60:$O$60)))*(J$236&lt;=MAX(IF($E70:$O70&lt;&gt;0,$E$60:$O$60)))</f>
        <v>0</v>
      </c>
      <c r="K246" s="356" cm="1">
        <f t="array" ref="K246">(1+$E$21)^(MAX(IF($E70:$O70&lt;&gt;0,$E$60:$O$60))-MIN(IF($E70:$O70&lt;&gt;0,$E$60:$O$60))-(K$236-MIN(IF($E70:$O70&lt;&gt;0,$E$60:$O$60))))*(K$236&gt;=MIN(IF($E70:$O70&lt;&gt;0,$E$60:$O$60)))*(K$236&lt;=MAX(IF($E70:$O70&lt;&gt;0,$E$60:$O$60)))</f>
        <v>0</v>
      </c>
      <c r="L246" s="356" cm="1">
        <f t="array" ref="L246">(1+$E$21)^(MAX(IF($E70:$O70&lt;&gt;0,$E$60:$O$60))-MIN(IF($E70:$O70&lt;&gt;0,$E$60:$O$60))-(L$236-MIN(IF($E70:$O70&lt;&gt;0,$E$60:$O$60))))*(L$236&gt;=MIN(IF($E70:$O70&lt;&gt;0,$E$60:$O$60)))*(L$236&lt;=MAX(IF($E70:$O70&lt;&gt;0,$E$60:$O$60)))</f>
        <v>0</v>
      </c>
      <c r="M246" s="356" cm="1">
        <f t="array" ref="M246">(1+$E$21)^(MAX(IF($E70:$O70&lt;&gt;0,$E$60:$O$60))-MIN(IF($E70:$O70&lt;&gt;0,$E$60:$O$60))-(M$236-MIN(IF($E70:$O70&lt;&gt;0,$E$60:$O$60))))*(M$236&gt;=MIN(IF($E70:$O70&lt;&gt;0,$E$60:$O$60)))*(M$236&lt;=MAX(IF($E70:$O70&lt;&gt;0,$E$60:$O$60)))</f>
        <v>0</v>
      </c>
      <c r="N246" s="356" cm="1">
        <f t="array" ref="N246">(1+$E$21)^(MAX(IF($E70:$O70&lt;&gt;0,$E$60:$O$60))-MIN(IF($E70:$O70&lt;&gt;0,$E$60:$O$60))-(N$236-MIN(IF($E70:$O70&lt;&gt;0,$E$60:$O$60))))*(N$236&gt;=MIN(IF($E70:$O70&lt;&gt;0,$E$60:$O$60)))*(N$236&lt;=MAX(IF($E70:$O70&lt;&gt;0,$E$60:$O$60)))</f>
        <v>0</v>
      </c>
    </row>
    <row r="247" spans="2:29" x14ac:dyDescent="0.3">
      <c r="B247" s="20" t="str">
        <f t="shared" si="32"/>
        <v>Burwood: Do not replace Burwood depot</v>
      </c>
      <c r="C247" s="153">
        <f t="shared" si="32"/>
        <v>11</v>
      </c>
      <c r="D247" s="331" cm="1">
        <f t="array" ref="D247">(1+$E$21)^(MAX(IF($E71:$O71&lt;&gt;0,$E$60:$O$60))-MIN(IF($E71:$O71&lt;&gt;0,$E$60:$O$60))-(D$236-MIN(IF($E71:$O71&lt;&gt;0,$E$60:$O$60))))*(D$236&gt;=MIN(IF($E71:$O71&lt;&gt;0,$E$60:$O$60)))*(D$236&lt;=MAX(IF($E71:$O71&lt;&gt;0,$E$60:$O$60)))</f>
        <v>0</v>
      </c>
      <c r="E247" s="331" cm="1">
        <f t="array" ref="E247">(1+$E$21)^(MAX(IF($E71:$O71&lt;&gt;0,$E$60:$O$60))-MIN(IF($E71:$O71&lt;&gt;0,$E$60:$O$60))-(E$236-MIN(IF($E71:$O71&lt;&gt;0,$E$60:$O$60))))*(E$236&gt;=MIN(IF($E71:$O71&lt;&gt;0,$E$60:$O$60)))*(E$236&lt;=MAX(IF($E71:$O71&lt;&gt;0,$E$60:$O$60)))</f>
        <v>0</v>
      </c>
      <c r="F247" s="331" cm="1">
        <f t="array" ref="F247">(1+$E$21)^(MAX(IF($E71:$O71&lt;&gt;0,$E$60:$O$60))-MIN(IF($E71:$O71&lt;&gt;0,$E$60:$O$60))-(F$236-MIN(IF($E71:$O71&lt;&gt;0,$E$60:$O$60))))*(F$236&gt;=MIN(IF($E71:$O71&lt;&gt;0,$E$60:$O$60)))*(F$236&lt;=MAX(IF($E71:$O71&lt;&gt;0,$E$60:$O$60)))</f>
        <v>0</v>
      </c>
      <c r="G247" s="331" cm="1">
        <f t="array" ref="G247">(1+$E$21)^(MAX(IF($E71:$O71&lt;&gt;0,$E$60:$O$60))-MIN(IF($E71:$O71&lt;&gt;0,$E$60:$O$60))-(G$236-MIN(IF($E71:$O71&lt;&gt;0,$E$60:$O$60))))*(G$236&gt;=MIN(IF($E71:$O71&lt;&gt;0,$E$60:$O$60)))*(G$236&lt;=MAX(IF($E71:$O71&lt;&gt;0,$E$60:$O$60)))</f>
        <v>0</v>
      </c>
      <c r="H247" s="331" cm="1">
        <f t="array" ref="H247">(1+$E$21)^(MAX(IF($E71:$O71&lt;&gt;0,$E$60:$O$60))-MIN(IF($E71:$O71&lt;&gt;0,$E$60:$O$60))-(H$236-MIN(IF($E71:$O71&lt;&gt;0,$E$60:$O$60))))*(H$236&gt;=MIN(IF($E71:$O71&lt;&gt;0,$E$60:$O$60)))*(H$236&lt;=MAX(IF($E71:$O71&lt;&gt;0,$E$60:$O$60)))</f>
        <v>0</v>
      </c>
      <c r="I247" s="331" cm="1">
        <f t="array" ref="I247">(1+$E$21)^(MAX(IF($E71:$O71&lt;&gt;0,$E$60:$O$60))-MIN(IF($E71:$O71&lt;&gt;0,$E$60:$O$60))-(I$236-MIN(IF($E71:$O71&lt;&gt;0,$E$60:$O$60))))*(I$236&gt;=MIN(IF($E71:$O71&lt;&gt;0,$E$60:$O$60)))*(I$236&lt;=MAX(IF($E71:$O71&lt;&gt;0,$E$60:$O$60)))</f>
        <v>0</v>
      </c>
      <c r="J247" s="331" cm="1">
        <f t="array" ref="J247">(1+$E$21)^(MAX(IF($E71:$O71&lt;&gt;0,$E$60:$O$60))-MIN(IF($E71:$O71&lt;&gt;0,$E$60:$O$60))-(J$236-MIN(IF($E71:$O71&lt;&gt;0,$E$60:$O$60))))*(J$236&gt;=MIN(IF($E71:$O71&lt;&gt;0,$E$60:$O$60)))*(J$236&lt;=MAX(IF($E71:$O71&lt;&gt;0,$E$60:$O$60)))</f>
        <v>0</v>
      </c>
      <c r="K247" s="331" cm="1">
        <f t="array" ref="K247">(1+$E$21)^(MAX(IF($E71:$O71&lt;&gt;0,$E$60:$O$60))-MIN(IF($E71:$O71&lt;&gt;0,$E$60:$O$60))-(K$236-MIN(IF($E71:$O71&lt;&gt;0,$E$60:$O$60))))*(K$236&gt;=MIN(IF($E71:$O71&lt;&gt;0,$E$60:$O$60)))*(K$236&lt;=MAX(IF($E71:$O71&lt;&gt;0,$E$60:$O$60)))</f>
        <v>0</v>
      </c>
      <c r="L247" s="331" cm="1">
        <f t="array" ref="L247">(1+$E$21)^(MAX(IF($E71:$O71&lt;&gt;0,$E$60:$O$60))-MIN(IF($E71:$O71&lt;&gt;0,$E$60:$O$60))-(L$236-MIN(IF($E71:$O71&lt;&gt;0,$E$60:$O$60))))*(L$236&gt;=MIN(IF($E71:$O71&lt;&gt;0,$E$60:$O$60)))*(L$236&lt;=MAX(IF($E71:$O71&lt;&gt;0,$E$60:$O$60)))</f>
        <v>0</v>
      </c>
      <c r="M247" s="331" cm="1">
        <f t="array" ref="M247">(1+$E$21)^(MAX(IF($E71:$O71&lt;&gt;0,$E$60:$O$60))-MIN(IF($E71:$O71&lt;&gt;0,$E$60:$O$60))-(M$236-MIN(IF($E71:$O71&lt;&gt;0,$E$60:$O$60))))*(M$236&gt;=MIN(IF($E71:$O71&lt;&gt;0,$E$60:$O$60)))*(M$236&lt;=MAX(IF($E71:$O71&lt;&gt;0,$E$60:$O$60)))</f>
        <v>0</v>
      </c>
      <c r="N247" s="331" cm="1">
        <f t="array" ref="N247">(1+$E$21)^(MAX(IF($E71:$O71&lt;&gt;0,$E$60:$O$60))-MIN(IF($E71:$O71&lt;&gt;0,$E$60:$O$60))-(N$236-MIN(IF($E71:$O71&lt;&gt;0,$E$60:$O$60))))*(N$236&gt;=MIN(IF($E71:$O71&lt;&gt;0,$E$60:$O$60)))*(N$236&lt;=MAX(IF($E71:$O71&lt;&gt;0,$E$60:$O$60)))</f>
        <v>0</v>
      </c>
    </row>
    <row r="248" spans="2:29" x14ac:dyDescent="0.3">
      <c r="B248" s="20" t="str">
        <f t="shared" si="32"/>
        <v>Burwood: Develop new depot on greenfield site</v>
      </c>
      <c r="C248" s="153">
        <f t="shared" si="32"/>
        <v>12</v>
      </c>
      <c r="D248" s="331" cm="1">
        <f t="array" ref="D248">(1+$E$21)^(MAX(IF($E72:$O72&lt;&gt;0,$E$60:$O$60))-MIN(IF($E72:$O72&lt;&gt;0,$E$60:$O$60))-(D$236-MIN(IF($E72:$O72&lt;&gt;0,$E$60:$O$60))))*(D$236&gt;=MIN(IF($E72:$O72&lt;&gt;0,$E$60:$O$60)))*(D$236&lt;=MAX(IF($E72:$O72&lt;&gt;0,$E$60:$O$60)))</f>
        <v>1.0275000000000001</v>
      </c>
      <c r="E248" s="331" cm="1">
        <f t="array" ref="E248">(1+$E$21)^(MAX(IF($E72:$O72&lt;&gt;0,$E$60:$O$60))-MIN(IF($E72:$O72&lt;&gt;0,$E$60:$O$60))-(E$236-MIN(IF($E72:$O72&lt;&gt;0,$E$60:$O$60))))*(E$236&gt;=MIN(IF($E72:$O72&lt;&gt;0,$E$60:$O$60)))*(E$236&lt;=MAX(IF($E72:$O72&lt;&gt;0,$E$60:$O$60)))</f>
        <v>1</v>
      </c>
      <c r="F248" s="331" cm="1">
        <f t="array" ref="F248">(1+$E$21)^(MAX(IF($E72:$O72&lt;&gt;0,$E$60:$O$60))-MIN(IF($E72:$O72&lt;&gt;0,$E$60:$O$60))-(F$236-MIN(IF($E72:$O72&lt;&gt;0,$E$60:$O$60))))*(F$236&gt;=MIN(IF($E72:$O72&lt;&gt;0,$E$60:$O$60)))*(F$236&lt;=MAX(IF($E72:$O72&lt;&gt;0,$E$60:$O$60)))</f>
        <v>0</v>
      </c>
      <c r="G248" s="331" cm="1">
        <f t="array" ref="G248">(1+$E$21)^(MAX(IF($E72:$O72&lt;&gt;0,$E$60:$O$60))-MIN(IF($E72:$O72&lt;&gt;0,$E$60:$O$60))-(G$236-MIN(IF($E72:$O72&lt;&gt;0,$E$60:$O$60))))*(G$236&gt;=MIN(IF($E72:$O72&lt;&gt;0,$E$60:$O$60)))*(G$236&lt;=MAX(IF($E72:$O72&lt;&gt;0,$E$60:$O$60)))</f>
        <v>0</v>
      </c>
      <c r="H248" s="331" cm="1">
        <f t="array" ref="H248">(1+$E$21)^(MAX(IF($E72:$O72&lt;&gt;0,$E$60:$O$60))-MIN(IF($E72:$O72&lt;&gt;0,$E$60:$O$60))-(H$236-MIN(IF($E72:$O72&lt;&gt;0,$E$60:$O$60))))*(H$236&gt;=MIN(IF($E72:$O72&lt;&gt;0,$E$60:$O$60)))*(H$236&lt;=MAX(IF($E72:$O72&lt;&gt;0,$E$60:$O$60)))</f>
        <v>0</v>
      </c>
      <c r="I248" s="331" cm="1">
        <f t="array" ref="I248">(1+$E$21)^(MAX(IF($E72:$O72&lt;&gt;0,$E$60:$O$60))-MIN(IF($E72:$O72&lt;&gt;0,$E$60:$O$60))-(I$236-MIN(IF($E72:$O72&lt;&gt;0,$E$60:$O$60))))*(I$236&gt;=MIN(IF($E72:$O72&lt;&gt;0,$E$60:$O$60)))*(I$236&lt;=MAX(IF($E72:$O72&lt;&gt;0,$E$60:$O$60)))</f>
        <v>0</v>
      </c>
      <c r="J248" s="331" cm="1">
        <f t="array" ref="J248">(1+$E$21)^(MAX(IF($E72:$O72&lt;&gt;0,$E$60:$O$60))-MIN(IF($E72:$O72&lt;&gt;0,$E$60:$O$60))-(J$236-MIN(IF($E72:$O72&lt;&gt;0,$E$60:$O$60))))*(J$236&gt;=MIN(IF($E72:$O72&lt;&gt;0,$E$60:$O$60)))*(J$236&lt;=MAX(IF($E72:$O72&lt;&gt;0,$E$60:$O$60)))</f>
        <v>0</v>
      </c>
      <c r="K248" s="331" cm="1">
        <f t="array" ref="K248">(1+$E$21)^(MAX(IF($E72:$O72&lt;&gt;0,$E$60:$O$60))-MIN(IF($E72:$O72&lt;&gt;0,$E$60:$O$60))-(K$236-MIN(IF($E72:$O72&lt;&gt;0,$E$60:$O$60))))*(K$236&gt;=MIN(IF($E72:$O72&lt;&gt;0,$E$60:$O$60)))*(K$236&lt;=MAX(IF($E72:$O72&lt;&gt;0,$E$60:$O$60)))</f>
        <v>0</v>
      </c>
      <c r="L248" s="331" cm="1">
        <f t="array" ref="L248">(1+$E$21)^(MAX(IF($E72:$O72&lt;&gt;0,$E$60:$O$60))-MIN(IF($E72:$O72&lt;&gt;0,$E$60:$O$60))-(L$236-MIN(IF($E72:$O72&lt;&gt;0,$E$60:$O$60))))*(L$236&gt;=MIN(IF($E72:$O72&lt;&gt;0,$E$60:$O$60)))*(L$236&lt;=MAX(IF($E72:$O72&lt;&gt;0,$E$60:$O$60)))</f>
        <v>0</v>
      </c>
      <c r="M248" s="331" cm="1">
        <f t="array" ref="M248">(1+$E$21)^(MAX(IF($E72:$O72&lt;&gt;0,$E$60:$O$60))-MIN(IF($E72:$O72&lt;&gt;0,$E$60:$O$60))-(M$236-MIN(IF($E72:$O72&lt;&gt;0,$E$60:$O$60))))*(M$236&gt;=MIN(IF($E72:$O72&lt;&gt;0,$E$60:$O$60)))*(M$236&lt;=MAX(IF($E72:$O72&lt;&gt;0,$E$60:$O$60)))</f>
        <v>0</v>
      </c>
      <c r="N248" s="331" cm="1">
        <f t="array" ref="N248">(1+$E$21)^(MAX(IF($E72:$O72&lt;&gt;0,$E$60:$O$60))-MIN(IF($E72:$O72&lt;&gt;0,$E$60:$O$60))-(N$236-MIN(IF($E72:$O72&lt;&gt;0,$E$60:$O$60))))*(N$236&gt;=MIN(IF($E72:$O72&lt;&gt;0,$E$60:$O$60)))*(N$236&lt;=MAX(IF($E72:$O72&lt;&gt;0,$E$60:$O$60)))</f>
        <v>0</v>
      </c>
    </row>
    <row r="249" spans="2:29" x14ac:dyDescent="0.3">
      <c r="B249" s="327" t="str">
        <f t="shared" si="32"/>
        <v>Burwood: Develop new depot on brownfield site</v>
      </c>
      <c r="C249" s="154">
        <f t="shared" si="32"/>
        <v>13</v>
      </c>
      <c r="D249" s="356" cm="1">
        <f t="array" ref="D249">(1+$E$21)^(MAX(IF($E73:$O73&lt;&gt;0,$E$60:$O$60))-MIN(IF($E73:$O73&lt;&gt;0,$E$60:$O$60))-(D$236-MIN(IF($E73:$O73&lt;&gt;0,$E$60:$O$60))))*(D$236&gt;=MIN(IF($E73:$O73&lt;&gt;0,$E$60:$O$60)))*(D$236&lt;=MAX(IF($E73:$O73&lt;&gt;0,$E$60:$O$60)))</f>
        <v>1.0275000000000001</v>
      </c>
      <c r="E249" s="356" cm="1">
        <f t="array" ref="E249">(1+$E$21)^(MAX(IF($E73:$O73&lt;&gt;0,$E$60:$O$60))-MIN(IF($E73:$O73&lt;&gt;0,$E$60:$O$60))-(E$236-MIN(IF($E73:$O73&lt;&gt;0,$E$60:$O$60))))*(E$236&gt;=MIN(IF($E73:$O73&lt;&gt;0,$E$60:$O$60)))*(E$236&lt;=MAX(IF($E73:$O73&lt;&gt;0,$E$60:$O$60)))</f>
        <v>1</v>
      </c>
      <c r="F249" s="356" cm="1">
        <f t="array" ref="F249">(1+$E$21)^(MAX(IF($E73:$O73&lt;&gt;0,$E$60:$O$60))-MIN(IF($E73:$O73&lt;&gt;0,$E$60:$O$60))-(F$236-MIN(IF($E73:$O73&lt;&gt;0,$E$60:$O$60))))*(F$236&gt;=MIN(IF($E73:$O73&lt;&gt;0,$E$60:$O$60)))*(F$236&lt;=MAX(IF($E73:$O73&lt;&gt;0,$E$60:$O$60)))</f>
        <v>0</v>
      </c>
      <c r="G249" s="356" cm="1">
        <f t="array" ref="G249">(1+$E$21)^(MAX(IF($E73:$O73&lt;&gt;0,$E$60:$O$60))-MIN(IF($E73:$O73&lt;&gt;0,$E$60:$O$60))-(G$236-MIN(IF($E73:$O73&lt;&gt;0,$E$60:$O$60))))*(G$236&gt;=MIN(IF($E73:$O73&lt;&gt;0,$E$60:$O$60)))*(G$236&lt;=MAX(IF($E73:$O73&lt;&gt;0,$E$60:$O$60)))</f>
        <v>0</v>
      </c>
      <c r="H249" s="356" cm="1">
        <f t="array" ref="H249">(1+$E$21)^(MAX(IF($E73:$O73&lt;&gt;0,$E$60:$O$60))-MIN(IF($E73:$O73&lt;&gt;0,$E$60:$O$60))-(H$236-MIN(IF($E73:$O73&lt;&gt;0,$E$60:$O$60))))*(H$236&gt;=MIN(IF($E73:$O73&lt;&gt;0,$E$60:$O$60)))*(H$236&lt;=MAX(IF($E73:$O73&lt;&gt;0,$E$60:$O$60)))</f>
        <v>0</v>
      </c>
      <c r="I249" s="356" cm="1">
        <f t="array" ref="I249">(1+$E$21)^(MAX(IF($E73:$O73&lt;&gt;0,$E$60:$O$60))-MIN(IF($E73:$O73&lt;&gt;0,$E$60:$O$60))-(I$236-MIN(IF($E73:$O73&lt;&gt;0,$E$60:$O$60))))*(I$236&gt;=MIN(IF($E73:$O73&lt;&gt;0,$E$60:$O$60)))*(I$236&lt;=MAX(IF($E73:$O73&lt;&gt;0,$E$60:$O$60)))</f>
        <v>0</v>
      </c>
      <c r="J249" s="356" cm="1">
        <f t="array" ref="J249">(1+$E$21)^(MAX(IF($E73:$O73&lt;&gt;0,$E$60:$O$60))-MIN(IF($E73:$O73&lt;&gt;0,$E$60:$O$60))-(J$236-MIN(IF($E73:$O73&lt;&gt;0,$E$60:$O$60))))*(J$236&gt;=MIN(IF($E73:$O73&lt;&gt;0,$E$60:$O$60)))*(J$236&lt;=MAX(IF($E73:$O73&lt;&gt;0,$E$60:$O$60)))</f>
        <v>0</v>
      </c>
      <c r="K249" s="356" cm="1">
        <f t="array" ref="K249">(1+$E$21)^(MAX(IF($E73:$O73&lt;&gt;0,$E$60:$O$60))-MIN(IF($E73:$O73&lt;&gt;0,$E$60:$O$60))-(K$236-MIN(IF($E73:$O73&lt;&gt;0,$E$60:$O$60))))*(K$236&gt;=MIN(IF($E73:$O73&lt;&gt;0,$E$60:$O$60)))*(K$236&lt;=MAX(IF($E73:$O73&lt;&gt;0,$E$60:$O$60)))</f>
        <v>0</v>
      </c>
      <c r="L249" s="356" cm="1">
        <f t="array" ref="L249">(1+$E$21)^(MAX(IF($E73:$O73&lt;&gt;0,$E$60:$O$60))-MIN(IF($E73:$O73&lt;&gt;0,$E$60:$O$60))-(L$236-MIN(IF($E73:$O73&lt;&gt;0,$E$60:$O$60))))*(L$236&gt;=MIN(IF($E73:$O73&lt;&gt;0,$E$60:$O$60)))*(L$236&lt;=MAX(IF($E73:$O73&lt;&gt;0,$E$60:$O$60)))</f>
        <v>0</v>
      </c>
      <c r="M249" s="356" cm="1">
        <f t="array" ref="M249">(1+$E$21)^(MAX(IF($E73:$O73&lt;&gt;0,$E$60:$O$60))-MIN(IF($E73:$O73&lt;&gt;0,$E$60:$O$60))-(M$236-MIN(IF($E73:$O73&lt;&gt;0,$E$60:$O$60))))*(M$236&gt;=MIN(IF($E73:$O73&lt;&gt;0,$E$60:$O$60)))*(M$236&lt;=MAX(IF($E73:$O73&lt;&gt;0,$E$60:$O$60)))</f>
        <v>0</v>
      </c>
      <c r="N249" s="356" cm="1">
        <f t="array" ref="N249">(1+$E$21)^(MAX(IF($E73:$O73&lt;&gt;0,$E$60:$O$60))-MIN(IF($E73:$O73&lt;&gt;0,$E$60:$O$60))-(N$236-MIN(IF($E73:$O73&lt;&gt;0,$E$60:$O$60))))*(N$236&gt;=MIN(IF($E73:$O73&lt;&gt;0,$E$60:$O$60)))*(N$236&lt;=MAX(IF($E73:$O73&lt;&gt;0,$E$60:$O$60)))</f>
        <v>0</v>
      </c>
    </row>
    <row r="251" spans="2:29" x14ac:dyDescent="0.3">
      <c r="B251" s="129" t="s">
        <v>311</v>
      </c>
      <c r="C251" s="129" t="s">
        <v>304</v>
      </c>
      <c r="D251" s="357">
        <v>2021</v>
      </c>
      <c r="E251" s="357">
        <f>D251+1</f>
        <v>2022</v>
      </c>
      <c r="F251" s="357">
        <f t="shared" ref="F251:AC251" si="33">E251+1</f>
        <v>2023</v>
      </c>
      <c r="G251" s="357">
        <f t="shared" si="33"/>
        <v>2024</v>
      </c>
      <c r="H251" s="357">
        <f t="shared" si="33"/>
        <v>2025</v>
      </c>
      <c r="I251" s="357">
        <f t="shared" si="33"/>
        <v>2026</v>
      </c>
      <c r="J251" s="357">
        <f t="shared" si="33"/>
        <v>2027</v>
      </c>
      <c r="K251" s="357">
        <f t="shared" si="33"/>
        <v>2028</v>
      </c>
      <c r="L251" s="357">
        <f t="shared" si="33"/>
        <v>2029</v>
      </c>
      <c r="M251" s="357">
        <f t="shared" si="33"/>
        <v>2030</v>
      </c>
      <c r="N251" s="357">
        <f t="shared" si="33"/>
        <v>2031</v>
      </c>
      <c r="O251" s="357">
        <f t="shared" si="33"/>
        <v>2032</v>
      </c>
      <c r="P251" s="357">
        <f t="shared" si="33"/>
        <v>2033</v>
      </c>
      <c r="Q251" s="357">
        <f t="shared" si="33"/>
        <v>2034</v>
      </c>
      <c r="R251" s="357">
        <f t="shared" si="33"/>
        <v>2035</v>
      </c>
      <c r="S251" s="357">
        <f t="shared" si="33"/>
        <v>2036</v>
      </c>
      <c r="T251" s="357">
        <f t="shared" si="33"/>
        <v>2037</v>
      </c>
      <c r="U251" s="357">
        <f t="shared" si="33"/>
        <v>2038</v>
      </c>
      <c r="V251" s="357">
        <f t="shared" si="33"/>
        <v>2039</v>
      </c>
      <c r="W251" s="357">
        <f t="shared" si="33"/>
        <v>2040</v>
      </c>
      <c r="X251" s="357">
        <f t="shared" si="33"/>
        <v>2041</v>
      </c>
      <c r="Y251" s="357">
        <f t="shared" si="33"/>
        <v>2042</v>
      </c>
      <c r="Z251" s="357">
        <f t="shared" si="33"/>
        <v>2043</v>
      </c>
      <c r="AA251" s="357">
        <f t="shared" si="33"/>
        <v>2044</v>
      </c>
      <c r="AB251" s="357">
        <f t="shared" si="33"/>
        <v>2045</v>
      </c>
      <c r="AC251" s="357">
        <f t="shared" si="33"/>
        <v>2046</v>
      </c>
    </row>
    <row r="252" spans="2:29" x14ac:dyDescent="0.3">
      <c r="B252" s="13" t="s">
        <v>312</v>
      </c>
      <c r="D252" s="32">
        <f t="shared" ref="D252:AC252" si="34">SUMIF($C$192:$C$204,$N$13,D$192:D$204)+SUMIF($C$192:$C$204,$N$14,D$192:D$204)+SUMIF($C$192:$C$204,$N$15,D$192:D$204)</f>
        <v>6651.6422791447276</v>
      </c>
      <c r="E252" s="32">
        <f t="shared" si="34"/>
        <v>9302.045050958619</v>
      </c>
      <c r="F252" s="32">
        <f t="shared" si="34"/>
        <v>9382.934767847004</v>
      </c>
      <c r="G252" s="32">
        <f t="shared" si="34"/>
        <v>9464.8448696839368</v>
      </c>
      <c r="H252" s="32">
        <f t="shared" si="34"/>
        <v>9787.7891921754017</v>
      </c>
      <c r="I252" s="32">
        <f t="shared" si="34"/>
        <v>9631.7817807348492</v>
      </c>
      <c r="J252" s="32">
        <f t="shared" si="34"/>
        <v>9716.8368941353674</v>
      </c>
      <c r="K252" s="32">
        <f t="shared" si="34"/>
        <v>9802.9690082345478</v>
      </c>
      <c r="L252" s="32">
        <f t="shared" si="34"/>
        <v>9890.1928197736706</v>
      </c>
      <c r="M252" s="32">
        <f t="shared" si="34"/>
        <v>9978.5232502528306</v>
      </c>
      <c r="N252" s="32">
        <f t="shared" si="34"/>
        <v>10067.975449883674</v>
      </c>
      <c r="O252" s="32">
        <f t="shared" si="34"/>
        <v>10158.564801621491</v>
      </c>
      <c r="P252" s="32">
        <f t="shared" si="34"/>
        <v>10250.306925278375</v>
      </c>
      <c r="Q252" s="32">
        <f t="shared" si="34"/>
        <v>10343.21768171929</v>
      </c>
      <c r="R252" s="32">
        <f t="shared" si="34"/>
        <v>10437.31317714286</v>
      </c>
      <c r="S252" s="32">
        <f t="shared" si="34"/>
        <v>10532.609767448745</v>
      </c>
      <c r="T252" s="32">
        <f t="shared" si="34"/>
        <v>10629.124062693589</v>
      </c>
      <c r="U252" s="32">
        <f t="shared" si="34"/>
        <v>10726.872931637447</v>
      </c>
      <c r="V252" s="32">
        <f t="shared" si="34"/>
        <v>10825.873506382744</v>
      </c>
      <c r="W252" s="32">
        <f t="shared" si="34"/>
        <v>10926.14318710782</v>
      </c>
      <c r="X252" s="32">
        <f t="shared" si="34"/>
        <v>11027.699646897188</v>
      </c>
      <c r="Y252" s="32">
        <f t="shared" si="34"/>
        <v>11130.560836670655</v>
      </c>
      <c r="Z252" s="32">
        <f t="shared" si="34"/>
        <v>11234.744990213523</v>
      </c>
      <c r="AA252" s="32">
        <f t="shared" si="34"/>
        <v>11340.270629310155</v>
      </c>
      <c r="AB252" s="32">
        <f t="shared" si="34"/>
        <v>11447.156568983193</v>
      </c>
      <c r="AC252" s="32">
        <f t="shared" si="34"/>
        <v>11555.421922840855</v>
      </c>
    </row>
    <row r="253" spans="2:29" x14ac:dyDescent="0.3">
      <c r="B253" s="49" t="s">
        <v>310</v>
      </c>
      <c r="C253" s="49"/>
      <c r="D253" s="358">
        <f t="shared" ref="D253:AC253" si="35">SUMIF($C$222:$C$234,$C$13,D$222:D$234)+SUMIF($C$222:$C$234,$C$14,D$222:D$234)+SUMIF($C$222:$C$234,$C$15,D$222:D$234)</f>
        <v>3774.0975525968261</v>
      </c>
      <c r="E253" s="358">
        <f t="shared" si="35"/>
        <v>3774.0975525968261</v>
      </c>
      <c r="F253" s="358">
        <f t="shared" si="35"/>
        <v>3774.0975525968261</v>
      </c>
      <c r="G253" s="358">
        <f t="shared" si="35"/>
        <v>3774.0975525968261</v>
      </c>
      <c r="H253" s="358">
        <f t="shared" si="35"/>
        <v>3774.0975525968261</v>
      </c>
      <c r="I253" s="358">
        <f t="shared" si="35"/>
        <v>3774.0975525968261</v>
      </c>
      <c r="J253" s="358">
        <f t="shared" si="35"/>
        <v>3774.0975525968261</v>
      </c>
      <c r="K253" s="358">
        <f t="shared" si="35"/>
        <v>3774.0975525968261</v>
      </c>
      <c r="L253" s="358">
        <f t="shared" si="35"/>
        <v>3774.0975525968261</v>
      </c>
      <c r="M253" s="358">
        <f t="shared" si="35"/>
        <v>3774.0975525968261</v>
      </c>
      <c r="N253" s="358">
        <f t="shared" si="35"/>
        <v>3774.0975525968261</v>
      </c>
      <c r="O253" s="358">
        <f t="shared" si="35"/>
        <v>3774.0975525968261</v>
      </c>
      <c r="P253" s="358">
        <f t="shared" si="35"/>
        <v>3774.0975525968261</v>
      </c>
      <c r="Q253" s="358">
        <f t="shared" si="35"/>
        <v>3774.0975525968261</v>
      </c>
      <c r="R253" s="358">
        <f t="shared" si="35"/>
        <v>3774.0975525968261</v>
      </c>
      <c r="S253" s="358">
        <f t="shared" si="35"/>
        <v>3774.0975525968261</v>
      </c>
      <c r="T253" s="358">
        <f t="shared" si="35"/>
        <v>3774.0975525968261</v>
      </c>
      <c r="U253" s="358">
        <f t="shared" si="35"/>
        <v>3774.0975525968261</v>
      </c>
      <c r="V253" s="358">
        <f t="shared" si="35"/>
        <v>3774.0975525968261</v>
      </c>
      <c r="W253" s="358">
        <f t="shared" si="35"/>
        <v>3774.0975525968261</v>
      </c>
      <c r="X253" s="358">
        <f t="shared" si="35"/>
        <v>3774.0975525968261</v>
      </c>
      <c r="Y253" s="358">
        <f t="shared" si="35"/>
        <v>3774.0975525968261</v>
      </c>
      <c r="Z253" s="358">
        <f t="shared" si="35"/>
        <v>3774.0975525968261</v>
      </c>
      <c r="AA253" s="358">
        <f t="shared" si="35"/>
        <v>3774.0975525968261</v>
      </c>
      <c r="AB253" s="358">
        <f t="shared" si="35"/>
        <v>3774.0975525968261</v>
      </c>
      <c r="AC253" s="358">
        <f t="shared" si="35"/>
        <v>0</v>
      </c>
    </row>
    <row r="255" spans="2:29" x14ac:dyDescent="0.3">
      <c r="B255" s="129" t="s">
        <v>316</v>
      </c>
      <c r="C255" s="129" t="s">
        <v>304</v>
      </c>
      <c r="D255" s="357">
        <v>2021</v>
      </c>
      <c r="E255" s="357">
        <f>D255+1</f>
        <v>2022</v>
      </c>
      <c r="F255" s="357">
        <f t="shared" ref="F255:AC255" si="36">E255+1</f>
        <v>2023</v>
      </c>
      <c r="G255" s="357">
        <f t="shared" si="36"/>
        <v>2024</v>
      </c>
      <c r="H255" s="357">
        <f t="shared" si="36"/>
        <v>2025</v>
      </c>
      <c r="I255" s="357">
        <f t="shared" si="36"/>
        <v>2026</v>
      </c>
      <c r="J255" s="357">
        <f t="shared" si="36"/>
        <v>2027</v>
      </c>
      <c r="K255" s="357">
        <f t="shared" si="36"/>
        <v>2028</v>
      </c>
      <c r="L255" s="357">
        <f t="shared" si="36"/>
        <v>2029</v>
      </c>
      <c r="M255" s="357">
        <f t="shared" si="36"/>
        <v>2030</v>
      </c>
      <c r="N255" s="357">
        <f t="shared" si="36"/>
        <v>2031</v>
      </c>
      <c r="O255" s="357">
        <f t="shared" si="36"/>
        <v>2032</v>
      </c>
      <c r="P255" s="357">
        <f t="shared" si="36"/>
        <v>2033</v>
      </c>
      <c r="Q255" s="357">
        <f t="shared" si="36"/>
        <v>2034</v>
      </c>
      <c r="R255" s="357">
        <f t="shared" si="36"/>
        <v>2035</v>
      </c>
      <c r="S255" s="357">
        <f t="shared" si="36"/>
        <v>2036</v>
      </c>
      <c r="T255" s="357">
        <f t="shared" si="36"/>
        <v>2037</v>
      </c>
      <c r="U255" s="357">
        <f t="shared" si="36"/>
        <v>2038</v>
      </c>
      <c r="V255" s="357">
        <f t="shared" si="36"/>
        <v>2039</v>
      </c>
      <c r="W255" s="357">
        <f t="shared" si="36"/>
        <v>2040</v>
      </c>
      <c r="X255" s="357">
        <f t="shared" si="36"/>
        <v>2041</v>
      </c>
      <c r="Y255" s="357">
        <f t="shared" si="36"/>
        <v>2042</v>
      </c>
      <c r="Z255" s="357">
        <f t="shared" si="36"/>
        <v>2043</v>
      </c>
      <c r="AA255" s="357">
        <f t="shared" si="36"/>
        <v>2044</v>
      </c>
      <c r="AB255" s="357">
        <f t="shared" si="36"/>
        <v>2045</v>
      </c>
      <c r="AC255" s="357">
        <f t="shared" si="36"/>
        <v>2046</v>
      </c>
    </row>
    <row r="256" spans="2:29" x14ac:dyDescent="0.3">
      <c r="B256" s="13" t="s">
        <v>317</v>
      </c>
      <c r="D256" s="32">
        <f t="shared" ref="D256:AC256" si="37">SUMIF($C$207:$C$219,$N$13,D$207:D$219)+SUMIF($C$207:$C$219,$N$14,D$207:D$219)+SUMIF($C$207:$C$219,$N$15,D$207:D$219)</f>
        <v>6651.6422791447276</v>
      </c>
      <c r="E256" s="32">
        <f t="shared" si="37"/>
        <v>9302.045050958619</v>
      </c>
      <c r="F256" s="32">
        <f t="shared" si="37"/>
        <v>9382.934767847004</v>
      </c>
      <c r="G256" s="32">
        <f t="shared" si="37"/>
        <v>9464.8448696839368</v>
      </c>
      <c r="H256" s="32">
        <f t="shared" si="37"/>
        <v>9787.7891921754017</v>
      </c>
      <c r="I256" s="32">
        <f t="shared" si="37"/>
        <v>9631.7817807348492</v>
      </c>
      <c r="J256" s="32">
        <f t="shared" si="37"/>
        <v>9716.8368941353674</v>
      </c>
      <c r="K256" s="32">
        <f t="shared" si="37"/>
        <v>9802.9690082345478</v>
      </c>
      <c r="L256" s="32">
        <f t="shared" si="37"/>
        <v>9890.1928197736706</v>
      </c>
      <c r="M256" s="32">
        <f t="shared" si="37"/>
        <v>9978.5232502528306</v>
      </c>
      <c r="N256" s="32">
        <f t="shared" si="37"/>
        <v>10067.975449883674</v>
      </c>
      <c r="O256" s="32">
        <f t="shared" si="37"/>
        <v>10158.564801621491</v>
      </c>
      <c r="P256" s="32">
        <f t="shared" si="37"/>
        <v>10250.306925278375</v>
      </c>
      <c r="Q256" s="32">
        <f t="shared" si="37"/>
        <v>10343.21768171929</v>
      </c>
      <c r="R256" s="32">
        <f t="shared" si="37"/>
        <v>10437.31317714286</v>
      </c>
      <c r="S256" s="32">
        <f t="shared" si="37"/>
        <v>10532.609767448745</v>
      </c>
      <c r="T256" s="32">
        <f t="shared" si="37"/>
        <v>10629.124062693589</v>
      </c>
      <c r="U256" s="32">
        <f t="shared" si="37"/>
        <v>10726.872931637447</v>
      </c>
      <c r="V256" s="32">
        <f t="shared" si="37"/>
        <v>10825.873506382744</v>
      </c>
      <c r="W256" s="32">
        <f t="shared" si="37"/>
        <v>10926.14318710782</v>
      </c>
      <c r="X256" s="32">
        <f t="shared" si="37"/>
        <v>11027.699646897188</v>
      </c>
      <c r="Y256" s="32">
        <f t="shared" si="37"/>
        <v>11130.560836670655</v>
      </c>
      <c r="Z256" s="32">
        <f t="shared" si="37"/>
        <v>11234.744990213523</v>
      </c>
      <c r="AA256" s="32">
        <f t="shared" si="37"/>
        <v>11340.270629310155</v>
      </c>
      <c r="AB256" s="32">
        <f t="shared" si="37"/>
        <v>11447.156568983193</v>
      </c>
      <c r="AC256" s="32">
        <f t="shared" si="37"/>
        <v>11555.421922840855</v>
      </c>
    </row>
    <row r="257" spans="2:29" x14ac:dyDescent="0.3">
      <c r="B257" s="49" t="s">
        <v>318</v>
      </c>
      <c r="C257" s="49"/>
      <c r="D257" s="358">
        <f t="shared" ref="D257:AC257" si="38">SUMIF($C$207:$C$219,$C$13,D$207:D$219)+SUMIF($C$207:$C$219,$C$14,D$207:D$219)+SUMIF($C$207:$C$219,$C$15,D$207:D$219)</f>
        <v>45142.018241890328</v>
      </c>
      <c r="E257" s="358">
        <f t="shared" si="38"/>
        <v>17522.760321250324</v>
      </c>
      <c r="F257" s="358">
        <f t="shared" si="38"/>
        <v>1607.337287120343</v>
      </c>
      <c r="G257" s="358">
        <f t="shared" si="38"/>
        <v>1621.6931633710913</v>
      </c>
      <c r="H257" s="358">
        <f t="shared" si="38"/>
        <v>8036.2436468108426</v>
      </c>
      <c r="I257" s="358">
        <f t="shared" si="38"/>
        <v>10750.991676300599</v>
      </c>
      <c r="J257" s="358">
        <f t="shared" si="38"/>
        <v>0</v>
      </c>
      <c r="K257" s="358">
        <f t="shared" si="38"/>
        <v>0</v>
      </c>
      <c r="L257" s="358">
        <f t="shared" si="38"/>
        <v>0</v>
      </c>
      <c r="M257" s="358">
        <f t="shared" si="38"/>
        <v>0</v>
      </c>
      <c r="N257" s="358">
        <f t="shared" si="38"/>
        <v>0</v>
      </c>
      <c r="O257" s="358">
        <f t="shared" si="38"/>
        <v>0</v>
      </c>
      <c r="P257" s="358">
        <f t="shared" si="38"/>
        <v>0</v>
      </c>
      <c r="Q257" s="358">
        <f t="shared" si="38"/>
        <v>0</v>
      </c>
      <c r="R257" s="358">
        <f t="shared" si="38"/>
        <v>0</v>
      </c>
      <c r="S257" s="358">
        <f t="shared" si="38"/>
        <v>0</v>
      </c>
      <c r="T257" s="358">
        <f t="shared" si="38"/>
        <v>0</v>
      </c>
      <c r="U257" s="358">
        <f t="shared" si="38"/>
        <v>0</v>
      </c>
      <c r="V257" s="358">
        <f t="shared" si="38"/>
        <v>0</v>
      </c>
      <c r="W257" s="358">
        <f t="shared" si="38"/>
        <v>0</v>
      </c>
      <c r="X257" s="358">
        <f t="shared" si="38"/>
        <v>0</v>
      </c>
      <c r="Y257" s="358">
        <f t="shared" si="38"/>
        <v>0</v>
      </c>
      <c r="Z257" s="358">
        <f t="shared" si="38"/>
        <v>0</v>
      </c>
      <c r="AA257" s="358">
        <f t="shared" si="38"/>
        <v>0</v>
      </c>
      <c r="AB257" s="358">
        <f t="shared" si="38"/>
        <v>0</v>
      </c>
      <c r="AC257" s="358">
        <f t="shared" si="38"/>
        <v>0</v>
      </c>
    </row>
    <row r="259" spans="2:29" x14ac:dyDescent="0.3">
      <c r="B259" s="129" t="s">
        <v>321</v>
      </c>
      <c r="C259" s="129" t="s">
        <v>304</v>
      </c>
      <c r="D259" s="357">
        <v>2021</v>
      </c>
      <c r="E259" s="357">
        <f>D259+1</f>
        <v>2022</v>
      </c>
      <c r="F259" s="357">
        <f t="shared" ref="F259:AC259" si="39">E259+1</f>
        <v>2023</v>
      </c>
      <c r="G259" s="357">
        <f t="shared" si="39"/>
        <v>2024</v>
      </c>
      <c r="H259" s="357">
        <f t="shared" si="39"/>
        <v>2025</v>
      </c>
      <c r="I259" s="357">
        <f t="shared" si="39"/>
        <v>2026</v>
      </c>
      <c r="J259" s="357">
        <f t="shared" si="39"/>
        <v>2027</v>
      </c>
      <c r="K259" s="357">
        <f t="shared" si="39"/>
        <v>2028</v>
      </c>
      <c r="L259" s="357">
        <f t="shared" si="39"/>
        <v>2029</v>
      </c>
      <c r="M259" s="357">
        <f t="shared" si="39"/>
        <v>2030</v>
      </c>
      <c r="N259" s="357">
        <f t="shared" si="39"/>
        <v>2031</v>
      </c>
      <c r="O259" s="357">
        <f t="shared" si="39"/>
        <v>2032</v>
      </c>
      <c r="P259" s="357">
        <f t="shared" si="39"/>
        <v>2033</v>
      </c>
      <c r="Q259" s="357">
        <f t="shared" si="39"/>
        <v>2034</v>
      </c>
      <c r="R259" s="357">
        <f t="shared" si="39"/>
        <v>2035</v>
      </c>
      <c r="S259" s="357">
        <f t="shared" si="39"/>
        <v>2036</v>
      </c>
      <c r="T259" s="357">
        <f t="shared" si="39"/>
        <v>2037</v>
      </c>
      <c r="U259" s="357">
        <f t="shared" si="39"/>
        <v>2038</v>
      </c>
      <c r="V259" s="357">
        <f t="shared" si="39"/>
        <v>2039</v>
      </c>
      <c r="W259" s="357">
        <f t="shared" si="39"/>
        <v>2040</v>
      </c>
      <c r="X259" s="357">
        <f t="shared" si="39"/>
        <v>2041</v>
      </c>
      <c r="Y259" s="357">
        <f t="shared" si="39"/>
        <v>2042</v>
      </c>
      <c r="Z259" s="357">
        <f t="shared" si="39"/>
        <v>2043</v>
      </c>
      <c r="AA259" s="357">
        <f t="shared" si="39"/>
        <v>2044</v>
      </c>
      <c r="AB259" s="357">
        <f t="shared" si="39"/>
        <v>2045</v>
      </c>
      <c r="AC259" s="357">
        <f t="shared" si="39"/>
        <v>2046</v>
      </c>
    </row>
    <row r="260" spans="2:29" x14ac:dyDescent="0.3">
      <c r="B260" s="13" t="s">
        <v>320</v>
      </c>
      <c r="D260" s="32">
        <f>SUM($D252:D252)</f>
        <v>6651.6422791447276</v>
      </c>
      <c r="E260" s="32">
        <f>SUM($D252:E252)</f>
        <v>15953.687330103347</v>
      </c>
      <c r="F260" s="32">
        <f>SUM($D252:F252)</f>
        <v>25336.622097950349</v>
      </c>
      <c r="G260" s="32">
        <f>SUM($D252:G252)</f>
        <v>34801.466967634289</v>
      </c>
      <c r="H260" s="32">
        <f>SUM($D252:H252)</f>
        <v>44589.256159809695</v>
      </c>
      <c r="I260" s="32">
        <f>SUM($D252:I252)</f>
        <v>54221.037940544542</v>
      </c>
      <c r="J260" s="32">
        <f>SUM($D252:J252)</f>
        <v>63937.874834679911</v>
      </c>
      <c r="K260" s="32">
        <f>SUM($D252:K252)</f>
        <v>73740.843842914459</v>
      </c>
      <c r="L260" s="32">
        <f>SUM($D252:L252)</f>
        <v>83631.03666268813</v>
      </c>
      <c r="M260" s="32">
        <f>SUM($D252:M252)</f>
        <v>93609.559912940953</v>
      </c>
      <c r="N260" s="32">
        <f>SUM($D252:N252)</f>
        <v>103677.53536282462</v>
      </c>
      <c r="O260" s="32">
        <f>SUM($D252:O252)</f>
        <v>113836.10016444611</v>
      </c>
      <c r="P260" s="32">
        <f>SUM($D252:P252)</f>
        <v>124086.40708972448</v>
      </c>
      <c r="Q260" s="32">
        <f>SUM($D252:Q252)</f>
        <v>134429.62477144378</v>
      </c>
      <c r="R260" s="32">
        <f>SUM($D252:R252)</f>
        <v>144866.93794858665</v>
      </c>
      <c r="S260" s="32">
        <f>SUM($D252:S252)</f>
        <v>155399.54771603539</v>
      </c>
      <c r="T260" s="32">
        <f>SUM($D252:T252)</f>
        <v>166028.67177872898</v>
      </c>
      <c r="U260" s="32">
        <f>SUM($D252:U252)</f>
        <v>176755.54471036643</v>
      </c>
      <c r="V260" s="32">
        <f>SUM($D252:V252)</f>
        <v>187581.41821674918</v>
      </c>
      <c r="W260" s="32">
        <f>SUM($D252:W252)</f>
        <v>198507.56140385699</v>
      </c>
      <c r="X260" s="32">
        <f>SUM($D252:X252)</f>
        <v>209535.26105075417</v>
      </c>
      <c r="Y260" s="32">
        <f>SUM($D252:Y252)</f>
        <v>220665.82188742483</v>
      </c>
      <c r="Z260" s="32">
        <f>SUM($D252:Z252)</f>
        <v>231900.56687763834</v>
      </c>
      <c r="AA260" s="32">
        <f>SUM($D252:AA252)</f>
        <v>243240.8375069485</v>
      </c>
      <c r="AB260" s="32">
        <f>SUM($D252:AB252)</f>
        <v>254687.9940759317</v>
      </c>
      <c r="AC260" s="32">
        <f>SUM($D252:AC252)</f>
        <v>266243.41599877254</v>
      </c>
    </row>
    <row r="261" spans="2:29" x14ac:dyDescent="0.3">
      <c r="B261" s="49" t="s">
        <v>323</v>
      </c>
      <c r="C261" s="49"/>
      <c r="D261" s="358">
        <f>SUM($D253:D253)</f>
        <v>3774.0975525968261</v>
      </c>
      <c r="E261" s="358">
        <f>SUM($D253:E253)</f>
        <v>7548.1951051936521</v>
      </c>
      <c r="F261" s="358">
        <f>SUM($D253:F253)</f>
        <v>11322.292657790478</v>
      </c>
      <c r="G261" s="358">
        <f>SUM($D253:G253)</f>
        <v>15096.390210387304</v>
      </c>
      <c r="H261" s="358">
        <f>SUM($D253:H253)</f>
        <v>18870.487762984128</v>
      </c>
      <c r="I261" s="358">
        <f>SUM($D253:I253)</f>
        <v>22644.585315580953</v>
      </c>
      <c r="J261" s="358">
        <f>SUM($D253:J253)</f>
        <v>26418.682868177777</v>
      </c>
      <c r="K261" s="358">
        <f>SUM($D253:K253)</f>
        <v>30192.780420774601</v>
      </c>
      <c r="L261" s="358">
        <f>SUM($D253:L253)</f>
        <v>33966.877973371425</v>
      </c>
      <c r="M261" s="358">
        <f>SUM($D253:M253)</f>
        <v>37740.97552596825</v>
      </c>
      <c r="N261" s="358">
        <f>SUM($D253:N253)</f>
        <v>41515.073078565074</v>
      </c>
      <c r="O261" s="358">
        <f>SUM($D253:O253)</f>
        <v>45289.170631161898</v>
      </c>
      <c r="P261" s="358">
        <f>SUM($D253:P253)</f>
        <v>49063.268183758722</v>
      </c>
      <c r="Q261" s="358">
        <f>SUM($D253:Q253)</f>
        <v>52837.365736355547</v>
      </c>
      <c r="R261" s="358">
        <f>SUM($D253:R253)</f>
        <v>56611.463288952371</v>
      </c>
      <c r="S261" s="358">
        <f>SUM($D253:S253)</f>
        <v>60385.560841549195</v>
      </c>
      <c r="T261" s="358">
        <f>SUM($D253:T253)</f>
        <v>64159.658394146019</v>
      </c>
      <c r="U261" s="358">
        <f>SUM($D253:U253)</f>
        <v>67933.755946742851</v>
      </c>
      <c r="V261" s="358">
        <f>SUM($D253:V253)</f>
        <v>71707.853499339675</v>
      </c>
      <c r="W261" s="358">
        <f>SUM($D253:W253)</f>
        <v>75481.951051936499</v>
      </c>
      <c r="X261" s="358">
        <f>SUM($D253:X253)</f>
        <v>79256.048604533324</v>
      </c>
      <c r="Y261" s="358">
        <f>SUM($D253:Y253)</f>
        <v>83030.146157130148</v>
      </c>
      <c r="Z261" s="358">
        <f>SUM($D253:Z253)</f>
        <v>86804.243709726972</v>
      </c>
      <c r="AA261" s="358">
        <f>SUM($D253:AA253)</f>
        <v>90578.341262323796</v>
      </c>
      <c r="AB261" s="358">
        <f>SUM($D253:AB253)</f>
        <v>94352.438814920621</v>
      </c>
      <c r="AC261" s="358">
        <f>SUM($D253:AC253)</f>
        <v>94352.438814920621</v>
      </c>
    </row>
    <row r="263" spans="2:29" x14ac:dyDescent="0.3">
      <c r="B263" s="129" t="s">
        <v>322</v>
      </c>
      <c r="C263" s="129" t="s">
        <v>304</v>
      </c>
      <c r="D263" s="357">
        <v>2021</v>
      </c>
      <c r="E263" s="357">
        <f>D263+1</f>
        <v>2022</v>
      </c>
      <c r="F263" s="357">
        <f t="shared" ref="F263:AC263" si="40">E263+1</f>
        <v>2023</v>
      </c>
      <c r="G263" s="357">
        <f t="shared" si="40"/>
        <v>2024</v>
      </c>
      <c r="H263" s="357">
        <f t="shared" si="40"/>
        <v>2025</v>
      </c>
      <c r="I263" s="357">
        <f t="shared" si="40"/>
        <v>2026</v>
      </c>
      <c r="J263" s="357">
        <f t="shared" si="40"/>
        <v>2027</v>
      </c>
      <c r="K263" s="357">
        <f t="shared" si="40"/>
        <v>2028</v>
      </c>
      <c r="L263" s="357">
        <f t="shared" si="40"/>
        <v>2029</v>
      </c>
      <c r="M263" s="357">
        <f t="shared" si="40"/>
        <v>2030</v>
      </c>
      <c r="N263" s="357">
        <f t="shared" si="40"/>
        <v>2031</v>
      </c>
      <c r="O263" s="357">
        <f t="shared" si="40"/>
        <v>2032</v>
      </c>
      <c r="P263" s="357">
        <f t="shared" si="40"/>
        <v>2033</v>
      </c>
      <c r="Q263" s="357">
        <f t="shared" si="40"/>
        <v>2034</v>
      </c>
      <c r="R263" s="357">
        <f t="shared" si="40"/>
        <v>2035</v>
      </c>
      <c r="S263" s="357">
        <f t="shared" si="40"/>
        <v>2036</v>
      </c>
      <c r="T263" s="357">
        <f t="shared" si="40"/>
        <v>2037</v>
      </c>
      <c r="U263" s="357">
        <f t="shared" si="40"/>
        <v>2038</v>
      </c>
      <c r="V263" s="357">
        <f t="shared" si="40"/>
        <v>2039</v>
      </c>
      <c r="W263" s="357">
        <f t="shared" si="40"/>
        <v>2040</v>
      </c>
      <c r="X263" s="357">
        <f t="shared" si="40"/>
        <v>2041</v>
      </c>
      <c r="Y263" s="357">
        <f t="shared" si="40"/>
        <v>2042</v>
      </c>
      <c r="Z263" s="357">
        <f t="shared" si="40"/>
        <v>2043</v>
      </c>
      <c r="AA263" s="357">
        <f t="shared" si="40"/>
        <v>2044</v>
      </c>
      <c r="AB263" s="357">
        <f t="shared" si="40"/>
        <v>2045</v>
      </c>
      <c r="AC263" s="357">
        <f t="shared" si="40"/>
        <v>2046</v>
      </c>
    </row>
    <row r="264" spans="2:29" x14ac:dyDescent="0.3">
      <c r="B264" s="13" t="s">
        <v>324</v>
      </c>
      <c r="D264" s="32">
        <f t="shared" ref="D264:AC264" si="41">SUMIF($C$192:$C$204,$C$13,D$192:D$204)+SUMIF($C$192:$C$204,$C$14,D$192:D$204)+SUMIF($C$192:$C$204,$C$15,D$192:D$204)</f>
        <v>7324.819779144731</v>
      </c>
      <c r="E264" s="32">
        <f t="shared" si="41"/>
        <v>3924.6407305476259</v>
      </c>
      <c r="F264" s="32">
        <f t="shared" si="41"/>
        <v>1607.337287120343</v>
      </c>
      <c r="G264" s="32">
        <f t="shared" si="41"/>
        <v>1621.6931633710913</v>
      </c>
      <c r="H264" s="32">
        <f t="shared" si="41"/>
        <v>1636.2436468108426</v>
      </c>
      <c r="I264" s="32">
        <f t="shared" si="41"/>
        <v>1650.9916763005986</v>
      </c>
      <c r="J264" s="32">
        <f t="shared" si="41"/>
        <v>0</v>
      </c>
      <c r="K264" s="32">
        <f t="shared" si="41"/>
        <v>0</v>
      </c>
      <c r="L264" s="32">
        <f t="shared" si="41"/>
        <v>0</v>
      </c>
      <c r="M264" s="32">
        <f t="shared" si="41"/>
        <v>0</v>
      </c>
      <c r="N264" s="32">
        <f t="shared" si="41"/>
        <v>0</v>
      </c>
      <c r="O264" s="32">
        <f t="shared" si="41"/>
        <v>0</v>
      </c>
      <c r="P264" s="32">
        <f t="shared" si="41"/>
        <v>0</v>
      </c>
      <c r="Q264" s="32">
        <f t="shared" si="41"/>
        <v>0</v>
      </c>
      <c r="R264" s="32">
        <f t="shared" si="41"/>
        <v>0</v>
      </c>
      <c r="S264" s="32">
        <f t="shared" si="41"/>
        <v>0</v>
      </c>
      <c r="T264" s="32">
        <f t="shared" si="41"/>
        <v>0</v>
      </c>
      <c r="U264" s="32">
        <f t="shared" si="41"/>
        <v>0</v>
      </c>
      <c r="V264" s="32">
        <f t="shared" si="41"/>
        <v>0</v>
      </c>
      <c r="W264" s="32">
        <f t="shared" si="41"/>
        <v>0</v>
      </c>
      <c r="X264" s="32">
        <f t="shared" si="41"/>
        <v>0</v>
      </c>
      <c r="Y264" s="32">
        <f t="shared" si="41"/>
        <v>0</v>
      </c>
      <c r="Z264" s="32">
        <f t="shared" si="41"/>
        <v>0</v>
      </c>
      <c r="AA264" s="32">
        <f t="shared" si="41"/>
        <v>0</v>
      </c>
      <c r="AB264" s="32">
        <f t="shared" si="41"/>
        <v>0</v>
      </c>
      <c r="AC264" s="32">
        <f t="shared" si="41"/>
        <v>0</v>
      </c>
    </row>
    <row r="265" spans="2:29" x14ac:dyDescent="0.3">
      <c r="B265" s="49" t="s">
        <v>325</v>
      </c>
      <c r="C265" s="49"/>
      <c r="D265" s="358">
        <f>SUM($D264:D264)</f>
        <v>7324.819779144731</v>
      </c>
      <c r="E265" s="358">
        <f>SUM($D264:E264)</f>
        <v>11249.460509692357</v>
      </c>
      <c r="F265" s="358">
        <f>SUM($D264:F264)</f>
        <v>12856.7977968127</v>
      </c>
      <c r="G265" s="358">
        <f>SUM($D264:G264)</f>
        <v>14478.490960183792</v>
      </c>
      <c r="H265" s="358">
        <f>SUM($D264:H264)</f>
        <v>16114.734606994634</v>
      </c>
      <c r="I265" s="358">
        <f>SUM($D264:I264)</f>
        <v>17765.726283295233</v>
      </c>
      <c r="J265" s="358">
        <f>SUM($D264:J264)</f>
        <v>17765.726283295233</v>
      </c>
      <c r="K265" s="358">
        <f>SUM($D264:K264)</f>
        <v>17765.726283295233</v>
      </c>
      <c r="L265" s="358">
        <f>SUM($D264:L264)</f>
        <v>17765.726283295233</v>
      </c>
      <c r="M265" s="358">
        <f>SUM($D264:M264)</f>
        <v>17765.726283295233</v>
      </c>
      <c r="N265" s="358">
        <f>SUM($D264:N264)</f>
        <v>17765.726283295233</v>
      </c>
      <c r="O265" s="358">
        <f>SUM($D264:O264)</f>
        <v>17765.726283295233</v>
      </c>
      <c r="P265" s="358">
        <f>SUM($D264:P264)</f>
        <v>17765.726283295233</v>
      </c>
      <c r="Q265" s="358">
        <f>SUM($D264:Q264)</f>
        <v>17765.726283295233</v>
      </c>
      <c r="R265" s="358">
        <f>SUM($D264:R264)</f>
        <v>17765.726283295233</v>
      </c>
      <c r="S265" s="358">
        <f>SUM($D264:S264)</f>
        <v>17765.726283295233</v>
      </c>
      <c r="T265" s="358">
        <f>SUM($D264:T264)</f>
        <v>17765.726283295233</v>
      </c>
      <c r="U265" s="358">
        <f>SUM($D264:U264)</f>
        <v>17765.726283295233</v>
      </c>
      <c r="V265" s="358">
        <f>SUM($D264:V264)</f>
        <v>17765.726283295233</v>
      </c>
      <c r="W265" s="358">
        <f>SUM($D264:W264)</f>
        <v>17765.726283295233</v>
      </c>
      <c r="X265" s="358">
        <f>SUM($D264:X264)</f>
        <v>17765.726283295233</v>
      </c>
      <c r="Y265" s="358">
        <f>SUM($D264:Y264)</f>
        <v>17765.726283295233</v>
      </c>
      <c r="Z265" s="358">
        <f>SUM($D264:Z264)</f>
        <v>17765.726283295233</v>
      </c>
      <c r="AA265" s="358">
        <f>SUM($D264:AA264)</f>
        <v>17765.726283295233</v>
      </c>
      <c r="AB265" s="358">
        <f>SUM($D264:AB264)</f>
        <v>17765.726283295233</v>
      </c>
      <c r="AC265" s="358">
        <f>SUM($D264:AC264)</f>
        <v>17765.726283295233</v>
      </c>
    </row>
    <row r="266" spans="2:29" x14ac:dyDescent="0.3">
      <c r="B266" s="134" t="s">
        <v>319</v>
      </c>
      <c r="C266" s="134"/>
      <c r="D266" s="359">
        <f>D260-D265</f>
        <v>-673.17750000000342</v>
      </c>
      <c r="E266" s="359">
        <f t="shared" ref="E266:AC266" si="42">E260-E265</f>
        <v>4704.2268204109896</v>
      </c>
      <c r="F266" s="359">
        <f t="shared" si="42"/>
        <v>12479.824301137649</v>
      </c>
      <c r="G266" s="359">
        <f t="shared" si="42"/>
        <v>20322.976007450496</v>
      </c>
      <c r="H266" s="359">
        <f t="shared" si="42"/>
        <v>28474.521552815058</v>
      </c>
      <c r="I266" s="359">
        <f t="shared" si="42"/>
        <v>36455.311657249309</v>
      </c>
      <c r="J266" s="359">
        <f t="shared" si="42"/>
        <v>46172.148551384678</v>
      </c>
      <c r="K266" s="359">
        <f t="shared" si="42"/>
        <v>55975.117559619226</v>
      </c>
      <c r="L266" s="359">
        <f t="shared" si="42"/>
        <v>65865.310379392904</v>
      </c>
      <c r="M266" s="359">
        <f t="shared" si="42"/>
        <v>75843.833629645727</v>
      </c>
      <c r="N266" s="359">
        <f t="shared" si="42"/>
        <v>85911.809079529397</v>
      </c>
      <c r="O266" s="359">
        <f t="shared" si="42"/>
        <v>96070.373881150881</v>
      </c>
      <c r="P266" s="359">
        <f t="shared" si="42"/>
        <v>106320.68080642924</v>
      </c>
      <c r="Q266" s="359">
        <f t="shared" si="42"/>
        <v>116663.89848814855</v>
      </c>
      <c r="R266" s="359">
        <f t="shared" si="42"/>
        <v>127101.21166529143</v>
      </c>
      <c r="S266" s="359">
        <f t="shared" si="42"/>
        <v>137633.82143274017</v>
      </c>
      <c r="T266" s="359">
        <f t="shared" si="42"/>
        <v>148262.94549543376</v>
      </c>
      <c r="U266" s="359">
        <f t="shared" si="42"/>
        <v>158989.81842707121</v>
      </c>
      <c r="V266" s="359">
        <f t="shared" si="42"/>
        <v>169815.69193345396</v>
      </c>
      <c r="W266" s="359">
        <f t="shared" si="42"/>
        <v>180741.83512056177</v>
      </c>
      <c r="X266" s="359">
        <f t="shared" si="42"/>
        <v>191769.53476745894</v>
      </c>
      <c r="Y266" s="359">
        <f t="shared" si="42"/>
        <v>202900.0956041296</v>
      </c>
      <c r="Z266" s="359">
        <f t="shared" si="42"/>
        <v>214134.84059434311</v>
      </c>
      <c r="AA266" s="359">
        <f t="shared" si="42"/>
        <v>225475.11122365328</v>
      </c>
      <c r="AB266" s="359">
        <f t="shared" si="42"/>
        <v>236922.26779263647</v>
      </c>
      <c r="AC266" s="359">
        <f t="shared" si="42"/>
        <v>248477.68971547732</v>
      </c>
    </row>
    <row r="268" spans="2:29" ht="22.95" customHeight="1" x14ac:dyDescent="0.3">
      <c r="B268" s="210" t="s">
        <v>327</v>
      </c>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row>
    <row r="270" spans="2:29" x14ac:dyDescent="0.3">
      <c r="B270" s="129" t="s">
        <v>332</v>
      </c>
      <c r="C270" s="130" t="s">
        <v>304</v>
      </c>
      <c r="D270" s="332">
        <v>2021</v>
      </c>
      <c r="E270" s="332">
        <f>D270+1</f>
        <v>2022</v>
      </c>
      <c r="F270" s="332">
        <f t="shared" ref="F270:AC270" si="43">E270+1</f>
        <v>2023</v>
      </c>
      <c r="G270" s="332">
        <f t="shared" si="43"/>
        <v>2024</v>
      </c>
      <c r="H270" s="332">
        <f t="shared" si="43"/>
        <v>2025</v>
      </c>
      <c r="I270" s="332">
        <f t="shared" si="43"/>
        <v>2026</v>
      </c>
      <c r="J270" s="332">
        <f t="shared" si="43"/>
        <v>2027</v>
      </c>
      <c r="K270" s="332">
        <f t="shared" si="43"/>
        <v>2028</v>
      </c>
      <c r="L270" s="332">
        <f t="shared" si="43"/>
        <v>2029</v>
      </c>
      <c r="M270" s="332">
        <f t="shared" si="43"/>
        <v>2030</v>
      </c>
      <c r="N270" s="332">
        <f t="shared" si="43"/>
        <v>2031</v>
      </c>
      <c r="O270" s="332">
        <f t="shared" si="43"/>
        <v>2032</v>
      </c>
      <c r="P270" s="332">
        <f t="shared" si="43"/>
        <v>2033</v>
      </c>
      <c r="Q270" s="332">
        <f t="shared" si="43"/>
        <v>2034</v>
      </c>
      <c r="R270" s="332">
        <f t="shared" si="43"/>
        <v>2035</v>
      </c>
      <c r="S270" s="332">
        <f t="shared" si="43"/>
        <v>2036</v>
      </c>
      <c r="T270" s="332">
        <f t="shared" si="43"/>
        <v>2037</v>
      </c>
      <c r="U270" s="332">
        <f t="shared" si="43"/>
        <v>2038</v>
      </c>
      <c r="V270" s="332">
        <f t="shared" si="43"/>
        <v>2039</v>
      </c>
      <c r="W270" s="332">
        <f t="shared" si="43"/>
        <v>2040</v>
      </c>
      <c r="X270" s="332">
        <f t="shared" si="43"/>
        <v>2041</v>
      </c>
      <c r="Y270" s="332">
        <f t="shared" si="43"/>
        <v>2042</v>
      </c>
      <c r="Z270" s="332">
        <f t="shared" si="43"/>
        <v>2043</v>
      </c>
      <c r="AA270" s="332">
        <f t="shared" si="43"/>
        <v>2044</v>
      </c>
      <c r="AB270" s="332">
        <f t="shared" si="43"/>
        <v>2045</v>
      </c>
      <c r="AC270" s="332">
        <f t="shared" si="43"/>
        <v>2046</v>
      </c>
    </row>
    <row r="271" spans="2:29" x14ac:dyDescent="0.3">
      <c r="B271" s="228" t="s">
        <v>333</v>
      </c>
      <c r="C271" s="228"/>
      <c r="D271" s="360">
        <v>1</v>
      </c>
      <c r="E271" s="360">
        <v>2</v>
      </c>
      <c r="F271" s="360">
        <v>3</v>
      </c>
      <c r="G271" s="360">
        <v>4</v>
      </c>
      <c r="H271" s="360">
        <v>5</v>
      </c>
      <c r="I271" s="360">
        <v>6</v>
      </c>
      <c r="J271" s="360">
        <v>7</v>
      </c>
      <c r="K271" s="360">
        <v>8</v>
      </c>
      <c r="L271" s="360">
        <v>9</v>
      </c>
      <c r="M271" s="360">
        <v>10</v>
      </c>
      <c r="N271" s="360">
        <v>11</v>
      </c>
      <c r="O271" s="360">
        <v>12</v>
      </c>
      <c r="P271" s="360">
        <v>13</v>
      </c>
      <c r="Q271" s="360">
        <v>14</v>
      </c>
      <c r="R271" s="360">
        <v>15</v>
      </c>
      <c r="S271" s="360">
        <v>16</v>
      </c>
      <c r="T271" s="360">
        <v>17</v>
      </c>
      <c r="U271" s="360">
        <v>18</v>
      </c>
      <c r="V271" s="360">
        <v>19</v>
      </c>
      <c r="W271" s="360">
        <v>20</v>
      </c>
      <c r="X271" s="360">
        <v>21</v>
      </c>
      <c r="Y271" s="360">
        <v>22</v>
      </c>
      <c r="Z271" s="360">
        <v>23</v>
      </c>
      <c r="AA271" s="360">
        <v>24</v>
      </c>
      <c r="AB271" s="360">
        <v>25</v>
      </c>
      <c r="AC271" s="360">
        <v>26</v>
      </c>
    </row>
    <row r="272" spans="2:29" x14ac:dyDescent="0.3">
      <c r="B272" s="20" t="str">
        <f t="shared" ref="B272:C284" si="44">B61</f>
        <v>Mornington: Do nothing</v>
      </c>
      <c r="C272" s="153">
        <f t="shared" si="44"/>
        <v>1</v>
      </c>
      <c r="D272" s="329">
        <f t="shared" ref="D272:AC272" si="45">(D$271&lt;=$E$20)*D207</f>
        <v>1579.1978491640689</v>
      </c>
      <c r="E272" s="329">
        <f t="shared" si="45"/>
        <v>1593.1731290747064</v>
      </c>
      <c r="F272" s="329">
        <f t="shared" si="45"/>
        <v>1607.337287120343</v>
      </c>
      <c r="G272" s="329">
        <f t="shared" si="45"/>
        <v>1621.6931633710913</v>
      </c>
      <c r="H272" s="329">
        <f t="shared" si="45"/>
        <v>1736.2436468108424</v>
      </c>
      <c r="I272" s="329">
        <f t="shared" si="45"/>
        <v>1650.9916763005981</v>
      </c>
      <c r="J272" s="329">
        <f t="shared" si="45"/>
        <v>1665.9402415628283</v>
      </c>
      <c r="K272" s="329">
        <f t="shared" si="45"/>
        <v>1681.0923841873516</v>
      </c>
      <c r="L272" s="329">
        <f t="shared" si="45"/>
        <v>1696.4511986592402</v>
      </c>
      <c r="M272" s="329">
        <f t="shared" si="45"/>
        <v>1712.0198334092572</v>
      </c>
      <c r="N272" s="329">
        <f t="shared" si="45"/>
        <v>1727.8014918873607</v>
      </c>
      <c r="O272" s="329">
        <f t="shared" si="45"/>
        <v>1743.7994336598067</v>
      </c>
      <c r="P272" s="329">
        <f t="shared" si="45"/>
        <v>1760.0169755304062</v>
      </c>
      <c r="Q272" s="329">
        <f t="shared" si="45"/>
        <v>1776.4574926865002</v>
      </c>
      <c r="R272" s="329">
        <f t="shared" si="45"/>
        <v>1793.1244198702348</v>
      </c>
      <c r="S272" s="329">
        <f t="shared" si="45"/>
        <v>1810.0212525757233</v>
      </c>
      <c r="T272" s="329">
        <f t="shared" si="45"/>
        <v>1827.1515482727098</v>
      </c>
      <c r="U272" s="329">
        <f t="shared" si="45"/>
        <v>1844.5189276573503</v>
      </c>
      <c r="V272" s="329">
        <f t="shared" si="45"/>
        <v>1862.1270759307527</v>
      </c>
      <c r="W272" s="329">
        <f t="shared" si="45"/>
        <v>1879.9797441059252</v>
      </c>
      <c r="X272" s="329">
        <f t="shared" si="45"/>
        <v>1898.0807503438029</v>
      </c>
      <c r="Y272" s="329">
        <f t="shared" si="45"/>
        <v>1916.4339813190397</v>
      </c>
      <c r="Z272" s="329">
        <f t="shared" si="45"/>
        <v>1935.0433936162599</v>
      </c>
      <c r="AA272" s="329">
        <f t="shared" si="45"/>
        <v>1953.9130151574959</v>
      </c>
      <c r="AB272" s="329">
        <f t="shared" si="45"/>
        <v>1973.0469466615402</v>
      </c>
      <c r="AC272" s="329">
        <f t="shared" si="45"/>
        <v>0</v>
      </c>
    </row>
    <row r="273" spans="2:29" x14ac:dyDescent="0.3">
      <c r="B273" s="20" t="str">
        <f t="shared" si="44"/>
        <v>Mornington: Redevelop existing site</v>
      </c>
      <c r="C273" s="153">
        <f t="shared" si="44"/>
        <v>2</v>
      </c>
      <c r="D273" s="329">
        <f t="shared" ref="D273:AC273" si="46">(D$271&lt;=$E$20)*D208</f>
        <v>1579.1978491640689</v>
      </c>
      <c r="E273" s="329">
        <f t="shared" si="46"/>
        <v>1593.1731290747064</v>
      </c>
      <c r="F273" s="329">
        <f t="shared" si="46"/>
        <v>1607.337287120343</v>
      </c>
      <c r="G273" s="329">
        <f t="shared" si="46"/>
        <v>1621.6931633710913</v>
      </c>
      <c r="H273" s="329">
        <f t="shared" si="46"/>
        <v>6516.2436468108426</v>
      </c>
      <c r="I273" s="329">
        <f t="shared" si="46"/>
        <v>8970.9916763005986</v>
      </c>
      <c r="J273" s="329">
        <f t="shared" si="46"/>
        <v>667.38268104055453</v>
      </c>
      <c r="K273" s="329">
        <f t="shared" si="46"/>
        <v>674.96579185605333</v>
      </c>
      <c r="L273" s="329">
        <f t="shared" si="46"/>
        <v>682.63647861013953</v>
      </c>
      <c r="M273" s="329">
        <f t="shared" si="46"/>
        <v>690.39575389449533</v>
      </c>
      <c r="N273" s="329">
        <f t="shared" si="46"/>
        <v>698.24464202272281</v>
      </c>
      <c r="O273" s="329">
        <f t="shared" si="46"/>
        <v>706.18417916620183</v>
      </c>
      <c r="P273" s="329">
        <f t="shared" si="46"/>
        <v>714.21541349152164</v>
      </c>
      <c r="Q273" s="329">
        <f t="shared" si="46"/>
        <v>722.33940529950894</v>
      </c>
      <c r="R273" s="329">
        <f t="shared" si="46"/>
        <v>730.55722716586831</v>
      </c>
      <c r="S273" s="329">
        <f t="shared" si="46"/>
        <v>738.86996408345522</v>
      </c>
      <c r="T273" s="329">
        <f t="shared" si="46"/>
        <v>747.27871360619861</v>
      </c>
      <c r="U273" s="329">
        <f t="shared" si="46"/>
        <v>755.78458599469707</v>
      </c>
      <c r="V273" s="329">
        <f t="shared" si="46"/>
        <v>764.38870436349998</v>
      </c>
      <c r="W273" s="329">
        <f t="shared" si="46"/>
        <v>773.09220483010142</v>
      </c>
      <c r="X273" s="329">
        <f t="shared" si="46"/>
        <v>781.89623666566149</v>
      </c>
      <c r="Y273" s="329">
        <f t="shared" si="46"/>
        <v>790.80196244747754</v>
      </c>
      <c r="Z273" s="329">
        <f t="shared" si="46"/>
        <v>799.81055821322377</v>
      </c>
      <c r="AA273" s="329">
        <f t="shared" si="46"/>
        <v>808.92321361698237</v>
      </c>
      <c r="AB273" s="329">
        <f t="shared" si="46"/>
        <v>818.14113208708432</v>
      </c>
      <c r="AC273" s="329">
        <f t="shared" si="46"/>
        <v>0</v>
      </c>
    </row>
    <row r="274" spans="2:29" x14ac:dyDescent="0.3">
      <c r="B274" s="20" t="str">
        <f t="shared" si="44"/>
        <v>Mornington: Purchase greenfield site</v>
      </c>
      <c r="C274" s="153">
        <f t="shared" si="44"/>
        <v>3</v>
      </c>
      <c r="D274" s="329">
        <f t="shared" ref="D274:AC274" si="47">(D$271&lt;=$E$20)*D209</f>
        <v>1579.1978491640689</v>
      </c>
      <c r="E274" s="329">
        <f t="shared" si="47"/>
        <v>1593.1731290747064</v>
      </c>
      <c r="F274" s="329">
        <f t="shared" si="47"/>
        <v>1607.337287120343</v>
      </c>
      <c r="G274" s="329">
        <f t="shared" si="47"/>
        <v>1621.6931633710913</v>
      </c>
      <c r="H274" s="329">
        <f t="shared" si="47"/>
        <v>8036.2436468108426</v>
      </c>
      <c r="I274" s="329">
        <f t="shared" si="47"/>
        <v>10750.991676300599</v>
      </c>
      <c r="J274" s="329">
        <f t="shared" si="47"/>
        <v>0</v>
      </c>
      <c r="K274" s="329">
        <f t="shared" si="47"/>
        <v>0</v>
      </c>
      <c r="L274" s="329">
        <f t="shared" si="47"/>
        <v>0</v>
      </c>
      <c r="M274" s="329">
        <f t="shared" si="47"/>
        <v>0</v>
      </c>
      <c r="N274" s="329">
        <f t="shared" si="47"/>
        <v>0</v>
      </c>
      <c r="O274" s="329">
        <f t="shared" si="47"/>
        <v>0</v>
      </c>
      <c r="P274" s="329">
        <f t="shared" si="47"/>
        <v>0</v>
      </c>
      <c r="Q274" s="329">
        <f t="shared" si="47"/>
        <v>0</v>
      </c>
      <c r="R274" s="329">
        <f t="shared" si="47"/>
        <v>0</v>
      </c>
      <c r="S274" s="329">
        <f t="shared" si="47"/>
        <v>0</v>
      </c>
      <c r="T274" s="329">
        <f t="shared" si="47"/>
        <v>0</v>
      </c>
      <c r="U274" s="329">
        <f t="shared" si="47"/>
        <v>0</v>
      </c>
      <c r="V274" s="329">
        <f t="shared" si="47"/>
        <v>0</v>
      </c>
      <c r="W274" s="329">
        <f t="shared" si="47"/>
        <v>0</v>
      </c>
      <c r="X274" s="329">
        <f t="shared" si="47"/>
        <v>0</v>
      </c>
      <c r="Y274" s="329">
        <f t="shared" si="47"/>
        <v>0</v>
      </c>
      <c r="Z274" s="329">
        <f t="shared" si="47"/>
        <v>0</v>
      </c>
      <c r="AA274" s="329">
        <f t="shared" si="47"/>
        <v>0</v>
      </c>
      <c r="AB274" s="329">
        <f t="shared" si="47"/>
        <v>0</v>
      </c>
      <c r="AC274" s="329">
        <f t="shared" si="47"/>
        <v>0</v>
      </c>
    </row>
    <row r="275" spans="2:29" x14ac:dyDescent="0.3">
      <c r="B275" s="20" t="str">
        <f t="shared" si="44"/>
        <v>Mornington: Purchase brownfield site</v>
      </c>
      <c r="C275" s="153">
        <f t="shared" si="44"/>
        <v>4</v>
      </c>
      <c r="D275" s="329">
        <f t="shared" ref="D275:AC275" si="48">(D$271&lt;=$E$20)*D210</f>
        <v>1579.1978491640689</v>
      </c>
      <c r="E275" s="329">
        <f t="shared" si="48"/>
        <v>1593.1731290747064</v>
      </c>
      <c r="F275" s="329">
        <f t="shared" si="48"/>
        <v>1607.337287120343</v>
      </c>
      <c r="G275" s="329">
        <f t="shared" si="48"/>
        <v>1621.6931633710913</v>
      </c>
      <c r="H275" s="329">
        <f t="shared" si="48"/>
        <v>17636.243646810843</v>
      </c>
      <c r="I275" s="329">
        <f t="shared" si="48"/>
        <v>136.13190948887271</v>
      </c>
      <c r="J275" s="329">
        <f t="shared" si="48"/>
        <v>137.76549240273914</v>
      </c>
      <c r="K275" s="329">
        <f t="shared" si="48"/>
        <v>139.41867831157205</v>
      </c>
      <c r="L275" s="329">
        <f t="shared" si="48"/>
        <v>141.09170245131091</v>
      </c>
      <c r="M275" s="329">
        <f t="shared" si="48"/>
        <v>142.78480288072663</v>
      </c>
      <c r="N275" s="329">
        <f t="shared" si="48"/>
        <v>144.49822051529534</v>
      </c>
      <c r="O275" s="329">
        <f t="shared" si="48"/>
        <v>146.23219916147889</v>
      </c>
      <c r="P275" s="329">
        <f t="shared" si="48"/>
        <v>147.98698555141664</v>
      </c>
      <c r="Q275" s="329">
        <f t="shared" si="48"/>
        <v>149.76282937803362</v>
      </c>
      <c r="R275" s="329">
        <f t="shared" si="48"/>
        <v>151.55998333057002</v>
      </c>
      <c r="S275" s="329">
        <f t="shared" si="48"/>
        <v>153.37870313053691</v>
      </c>
      <c r="T275" s="329">
        <f t="shared" si="48"/>
        <v>155.21924756810333</v>
      </c>
      <c r="U275" s="329">
        <f t="shared" si="48"/>
        <v>157.08187853892059</v>
      </c>
      <c r="V275" s="329">
        <f t="shared" si="48"/>
        <v>158.96686108138761</v>
      </c>
      <c r="W275" s="329">
        <f t="shared" si="48"/>
        <v>160.87446341436427</v>
      </c>
      <c r="X275" s="329">
        <f t="shared" si="48"/>
        <v>162.80495697533664</v>
      </c>
      <c r="Y275" s="329">
        <f t="shared" si="48"/>
        <v>164.7586164590407</v>
      </c>
      <c r="Z275" s="329">
        <f t="shared" si="48"/>
        <v>166.73571985654914</v>
      </c>
      <c r="AA275" s="329">
        <f t="shared" si="48"/>
        <v>168.73654849482779</v>
      </c>
      <c r="AB275" s="329">
        <f t="shared" si="48"/>
        <v>170.76138707676569</v>
      </c>
      <c r="AC275" s="329">
        <f t="shared" si="48"/>
        <v>0</v>
      </c>
    </row>
    <row r="276" spans="2:29" x14ac:dyDescent="0.3">
      <c r="B276" s="327" t="str">
        <f t="shared" si="44"/>
        <v>Mornington: Minimum spend</v>
      </c>
      <c r="C276" s="154">
        <f t="shared" si="44"/>
        <v>5</v>
      </c>
      <c r="D276" s="330">
        <f t="shared" ref="D276:AC276" si="49">(D$271&lt;=$E$20)*D211</f>
        <v>3961.3978491640692</v>
      </c>
      <c r="E276" s="330">
        <f t="shared" si="49"/>
        <v>1474.2715290747067</v>
      </c>
      <c r="F276" s="330">
        <f t="shared" si="49"/>
        <v>1487.3208679203433</v>
      </c>
      <c r="G276" s="330">
        <f t="shared" si="49"/>
        <v>1500.5485471406912</v>
      </c>
      <c r="H276" s="330">
        <f t="shared" si="49"/>
        <v>10236.961328388803</v>
      </c>
      <c r="I276" s="330">
        <f t="shared" si="49"/>
        <v>1156.7742724891345</v>
      </c>
      <c r="J276" s="330">
        <f t="shared" si="49"/>
        <v>1168.4321458980585</v>
      </c>
      <c r="K276" s="330">
        <f t="shared" si="49"/>
        <v>1180.2265302918474</v>
      </c>
      <c r="L276" s="330">
        <f t="shared" si="49"/>
        <v>1192.1590259071634</v>
      </c>
      <c r="M276" s="330">
        <f t="shared" si="49"/>
        <v>1204.2312517590833</v>
      </c>
      <c r="N276" s="330">
        <f t="shared" si="49"/>
        <v>1216.4448458616857</v>
      </c>
      <c r="O276" s="330">
        <f t="shared" si="49"/>
        <v>1228.8014654512322</v>
      </c>
      <c r="P276" s="330">
        <f t="shared" si="49"/>
        <v>1241.3027872119726</v>
      </c>
      <c r="Q276" s="330">
        <f t="shared" si="49"/>
        <v>1253.9505075046052</v>
      </c>
      <c r="R276" s="330">
        <f t="shared" si="49"/>
        <v>1266.7463425974258</v>
      </c>
      <c r="S276" s="330">
        <f t="shared" si="49"/>
        <v>1279.6920289001914</v>
      </c>
      <c r="T276" s="330">
        <f t="shared" si="49"/>
        <v>1292.7893232007357</v>
      </c>
      <c r="U276" s="330">
        <f t="shared" si="49"/>
        <v>1306.0400029043687</v>
      </c>
      <c r="V276" s="330">
        <f t="shared" si="49"/>
        <v>1319.4458662760874</v>
      </c>
      <c r="W276" s="330">
        <f t="shared" si="49"/>
        <v>1333.0087326856401</v>
      </c>
      <c r="X276" s="330">
        <f t="shared" si="49"/>
        <v>1346.7304428554667</v>
      </c>
      <c r="Y276" s="330">
        <f t="shared" si="49"/>
        <v>1360.6128591115603</v>
      </c>
      <c r="Z276" s="330">
        <f t="shared" si="49"/>
        <v>1374.6578656372756</v>
      </c>
      <c r="AA276" s="330">
        <f t="shared" si="49"/>
        <v>1388.867368730123</v>
      </c>
      <c r="AB276" s="330">
        <f t="shared" si="49"/>
        <v>1403.2432970615823</v>
      </c>
      <c r="AC276" s="330">
        <f t="shared" si="49"/>
        <v>0</v>
      </c>
    </row>
    <row r="277" spans="2:29" x14ac:dyDescent="0.3">
      <c r="B277" s="20" t="str">
        <f t="shared" si="44"/>
        <v>Keysborough: Do nothing</v>
      </c>
      <c r="C277" s="153">
        <f t="shared" si="44"/>
        <v>6</v>
      </c>
      <c r="D277" s="329">
        <f t="shared" ref="D277:AC277" si="50">(D$271&lt;=$E$20)*D212</f>
        <v>3015.3413775099643</v>
      </c>
      <c r="E277" s="329">
        <f t="shared" si="50"/>
        <v>3045.9367189380764</v>
      </c>
      <c r="F277" s="329">
        <f t="shared" si="50"/>
        <v>3076.9180220781827</v>
      </c>
      <c r="G277" s="329">
        <f t="shared" si="50"/>
        <v>3108.2904656031142</v>
      </c>
      <c r="H277" s="329">
        <f t="shared" si="50"/>
        <v>3280.0593048670321</v>
      </c>
      <c r="I277" s="329">
        <f t="shared" si="50"/>
        <v>3172.2298731986548</v>
      </c>
      <c r="J277" s="329">
        <f t="shared" si="50"/>
        <v>3204.8075832194409</v>
      </c>
      <c r="K277" s="329">
        <f t="shared" si="50"/>
        <v>3237.7979281872558</v>
      </c>
      <c r="L277" s="329">
        <f t="shared" si="50"/>
        <v>3271.2064833660806</v>
      </c>
      <c r="M277" s="329">
        <f t="shared" si="50"/>
        <v>3305.0389074223222</v>
      </c>
      <c r="N277" s="329">
        <f t="shared" si="50"/>
        <v>3339.30094384829</v>
      </c>
      <c r="O277" s="329">
        <f t="shared" si="50"/>
        <v>3373.9984224134428</v>
      </c>
      <c r="P277" s="329">
        <f t="shared" si="50"/>
        <v>3409.1372606439968</v>
      </c>
      <c r="Q277" s="329">
        <f t="shared" si="50"/>
        <v>3444.7234653315077</v>
      </c>
      <c r="R277" s="329">
        <f t="shared" si="50"/>
        <v>3480.7631340710686</v>
      </c>
      <c r="S277" s="329">
        <f t="shared" si="50"/>
        <v>3517.2624568297556</v>
      </c>
      <c r="T277" s="329">
        <f t="shared" si="50"/>
        <v>3554.2277175459858</v>
      </c>
      <c r="U277" s="329">
        <f t="shared" si="50"/>
        <v>3591.6652957604647</v>
      </c>
      <c r="V277" s="329">
        <f t="shared" si="50"/>
        <v>3629.5816682794075</v>
      </c>
      <c r="W277" s="329">
        <f t="shared" si="50"/>
        <v>3667.9834108707437</v>
      </c>
      <c r="X277" s="329">
        <f t="shared" si="50"/>
        <v>3706.8771999940286</v>
      </c>
      <c r="Y277" s="329">
        <f t="shared" si="50"/>
        <v>3746.269814564801</v>
      </c>
      <c r="Z277" s="329">
        <f t="shared" si="50"/>
        <v>3786.1681377541399</v>
      </c>
      <c r="AA277" s="329">
        <f t="shared" si="50"/>
        <v>3826.5791588242037</v>
      </c>
      <c r="AB277" s="329">
        <f t="shared" si="50"/>
        <v>3867.5099750005329</v>
      </c>
      <c r="AC277" s="329">
        <f t="shared" si="50"/>
        <v>0</v>
      </c>
    </row>
    <row r="278" spans="2:29" x14ac:dyDescent="0.3">
      <c r="B278" s="20" t="str">
        <f t="shared" si="44"/>
        <v>Keysborough: Redevelop existing site</v>
      </c>
      <c r="C278" s="153">
        <f t="shared" si="44"/>
        <v>7</v>
      </c>
      <c r="D278" s="329">
        <f t="shared" ref="D278:AC278" si="51">(D$271&lt;=$E$20)*D213</f>
        <v>21588.518877509963</v>
      </c>
      <c r="E278" s="329">
        <f t="shared" si="51"/>
        <v>1178.9204589380759</v>
      </c>
      <c r="F278" s="329">
        <f t="shared" si="51"/>
        <v>1191.6297519581824</v>
      </c>
      <c r="G278" s="329">
        <f t="shared" si="51"/>
        <v>1204.4859368666741</v>
      </c>
      <c r="H278" s="329">
        <f t="shared" si="51"/>
        <v>1217.4907134263794</v>
      </c>
      <c r="I278" s="329">
        <f t="shared" si="51"/>
        <v>1230.6458010923552</v>
      </c>
      <c r="J278" s="329">
        <f t="shared" si="51"/>
        <v>1243.9529392402972</v>
      </c>
      <c r="K278" s="329">
        <f t="shared" si="51"/>
        <v>1257.4138873976049</v>
      </c>
      <c r="L278" s="329">
        <f t="shared" si="51"/>
        <v>1271.0304254771277</v>
      </c>
      <c r="M278" s="329">
        <f t="shared" si="51"/>
        <v>1284.8043540136293</v>
      </c>
      <c r="N278" s="329">
        <f t="shared" si="51"/>
        <v>1298.7374944029939</v>
      </c>
      <c r="O278" s="329">
        <f t="shared" si="51"/>
        <v>1312.8316891442119</v>
      </c>
      <c r="P278" s="329">
        <f t="shared" si="51"/>
        <v>1327.0888020841787</v>
      </c>
      <c r="Q278" s="329">
        <f t="shared" si="51"/>
        <v>1341.5107186653318</v>
      </c>
      <c r="R278" s="329">
        <f t="shared" si="51"/>
        <v>1356.0993461761673</v>
      </c>
      <c r="S278" s="329">
        <f t="shared" si="51"/>
        <v>1370.856614004666</v>
      </c>
      <c r="T278" s="329">
        <f t="shared" si="51"/>
        <v>1385.7844738946592</v>
      </c>
      <c r="U278" s="329">
        <f t="shared" si="51"/>
        <v>1400.8849002051784</v>
      </c>
      <c r="V278" s="329">
        <f t="shared" si="51"/>
        <v>1416.15989017281</v>
      </c>
      <c r="W278" s="329">
        <f t="shared" si="51"/>
        <v>1431.6114641771032</v>
      </c>
      <c r="X278" s="329">
        <f t="shared" si="51"/>
        <v>1447.2416660090569</v>
      </c>
      <c r="Y278" s="329">
        <f t="shared" si="51"/>
        <v>1463.0525631427263</v>
      </c>
      <c r="Z278" s="329">
        <f t="shared" si="51"/>
        <v>1479.0462470099853</v>
      </c>
      <c r="AA278" s="329">
        <f t="shared" si="51"/>
        <v>1495.2248332784784</v>
      </c>
      <c r="AB278" s="329">
        <f t="shared" si="51"/>
        <v>1511.5904621328023</v>
      </c>
      <c r="AC278" s="329">
        <f t="shared" si="51"/>
        <v>0</v>
      </c>
    </row>
    <row r="279" spans="2:29" x14ac:dyDescent="0.3">
      <c r="B279" s="20" t="str">
        <f t="shared" si="44"/>
        <v>Keysborough: Expansion develop current depot</v>
      </c>
      <c r="C279" s="153">
        <f t="shared" si="44"/>
        <v>8</v>
      </c>
      <c r="D279" s="329">
        <f t="shared" ref="D279:AC279" si="52">(D$271&lt;=$E$20)*D214</f>
        <v>23454.047889729267</v>
      </c>
      <c r="E279" s="329">
        <f t="shared" si="52"/>
        <v>0</v>
      </c>
      <c r="F279" s="329">
        <f t="shared" si="52"/>
        <v>0</v>
      </c>
      <c r="G279" s="329">
        <f t="shared" si="52"/>
        <v>0</v>
      </c>
      <c r="H279" s="329">
        <f t="shared" si="52"/>
        <v>0</v>
      </c>
      <c r="I279" s="329">
        <f t="shared" si="52"/>
        <v>0</v>
      </c>
      <c r="J279" s="329">
        <f t="shared" si="52"/>
        <v>0</v>
      </c>
      <c r="K279" s="329">
        <f t="shared" si="52"/>
        <v>0</v>
      </c>
      <c r="L279" s="329">
        <f t="shared" si="52"/>
        <v>0</v>
      </c>
      <c r="M279" s="329">
        <f t="shared" si="52"/>
        <v>0</v>
      </c>
      <c r="N279" s="329">
        <f t="shared" si="52"/>
        <v>0</v>
      </c>
      <c r="O279" s="329">
        <f t="shared" si="52"/>
        <v>0</v>
      </c>
      <c r="P279" s="329">
        <f t="shared" si="52"/>
        <v>0</v>
      </c>
      <c r="Q279" s="329">
        <f t="shared" si="52"/>
        <v>0</v>
      </c>
      <c r="R279" s="329">
        <f t="shared" si="52"/>
        <v>0</v>
      </c>
      <c r="S279" s="329">
        <f t="shared" si="52"/>
        <v>0</v>
      </c>
      <c r="T279" s="329">
        <f t="shared" si="52"/>
        <v>0</v>
      </c>
      <c r="U279" s="329">
        <f t="shared" si="52"/>
        <v>0</v>
      </c>
      <c r="V279" s="329">
        <f t="shared" si="52"/>
        <v>0</v>
      </c>
      <c r="W279" s="329">
        <f t="shared" si="52"/>
        <v>0</v>
      </c>
      <c r="X279" s="329">
        <f t="shared" si="52"/>
        <v>0</v>
      </c>
      <c r="Y279" s="329">
        <f t="shared" si="52"/>
        <v>0</v>
      </c>
      <c r="Z279" s="329">
        <f t="shared" si="52"/>
        <v>0</v>
      </c>
      <c r="AA279" s="329">
        <f t="shared" si="52"/>
        <v>0</v>
      </c>
      <c r="AB279" s="329">
        <f t="shared" si="52"/>
        <v>0</v>
      </c>
      <c r="AC279" s="329">
        <f t="shared" si="52"/>
        <v>0</v>
      </c>
    </row>
    <row r="280" spans="2:29" x14ac:dyDescent="0.3">
      <c r="B280" s="20" t="str">
        <f t="shared" si="44"/>
        <v>Keysborough: Purchase brownfield site</v>
      </c>
      <c r="C280" s="153">
        <f t="shared" si="44"/>
        <v>9</v>
      </c>
      <c r="D280" s="329">
        <f t="shared" ref="D280:AC280" si="53">(D$271&lt;=$E$20)*D215</f>
        <v>21188.518877509967</v>
      </c>
      <c r="E280" s="329">
        <f t="shared" si="53"/>
        <v>21727.192348938075</v>
      </c>
      <c r="F280" s="329">
        <f t="shared" si="53"/>
        <v>0</v>
      </c>
      <c r="G280" s="329">
        <f t="shared" si="53"/>
        <v>0</v>
      </c>
      <c r="H280" s="329">
        <f t="shared" si="53"/>
        <v>0</v>
      </c>
      <c r="I280" s="329">
        <f t="shared" si="53"/>
        <v>0</v>
      </c>
      <c r="J280" s="329">
        <f t="shared" si="53"/>
        <v>0</v>
      </c>
      <c r="K280" s="329">
        <f t="shared" si="53"/>
        <v>0</v>
      </c>
      <c r="L280" s="329">
        <f t="shared" si="53"/>
        <v>0</v>
      </c>
      <c r="M280" s="329">
        <f t="shared" si="53"/>
        <v>0</v>
      </c>
      <c r="N280" s="329">
        <f t="shared" si="53"/>
        <v>0</v>
      </c>
      <c r="O280" s="329">
        <f t="shared" si="53"/>
        <v>0</v>
      </c>
      <c r="P280" s="329">
        <f t="shared" si="53"/>
        <v>0</v>
      </c>
      <c r="Q280" s="329">
        <f t="shared" si="53"/>
        <v>0</v>
      </c>
      <c r="R280" s="329">
        <f t="shared" si="53"/>
        <v>0</v>
      </c>
      <c r="S280" s="329">
        <f t="shared" si="53"/>
        <v>0</v>
      </c>
      <c r="T280" s="329">
        <f t="shared" si="53"/>
        <v>0</v>
      </c>
      <c r="U280" s="329">
        <f t="shared" si="53"/>
        <v>0</v>
      </c>
      <c r="V280" s="329">
        <f t="shared" si="53"/>
        <v>0</v>
      </c>
      <c r="W280" s="329">
        <f t="shared" si="53"/>
        <v>0</v>
      </c>
      <c r="X280" s="329">
        <f t="shared" si="53"/>
        <v>0</v>
      </c>
      <c r="Y280" s="329">
        <f t="shared" si="53"/>
        <v>0</v>
      </c>
      <c r="Z280" s="329">
        <f t="shared" si="53"/>
        <v>0</v>
      </c>
      <c r="AA280" s="329">
        <f t="shared" si="53"/>
        <v>0</v>
      </c>
      <c r="AB280" s="329">
        <f t="shared" si="53"/>
        <v>0</v>
      </c>
      <c r="AC280" s="329">
        <f t="shared" si="53"/>
        <v>0</v>
      </c>
    </row>
    <row r="281" spans="2:29" x14ac:dyDescent="0.3">
      <c r="B281" s="327" t="str">
        <f t="shared" si="44"/>
        <v>Keysborough: Minimum spend</v>
      </c>
      <c r="C281" s="154">
        <f t="shared" si="44"/>
        <v>10</v>
      </c>
      <c r="D281" s="330">
        <f t="shared" ref="D281:AC281" si="54">(D$271&lt;=$E$20)*D216</f>
        <v>14125.563877509963</v>
      </c>
      <c r="E281" s="330">
        <f t="shared" si="54"/>
        <v>2752.6818889380756</v>
      </c>
      <c r="F281" s="330">
        <f t="shared" si="54"/>
        <v>2780.1441341181826</v>
      </c>
      <c r="G281" s="330">
        <f t="shared" si="54"/>
        <v>2807.9552909875943</v>
      </c>
      <c r="H281" s="330">
        <f t="shared" si="54"/>
        <v>2749.1241413592506</v>
      </c>
      <c r="I281" s="330">
        <f t="shared" si="54"/>
        <v>2493.8677901604206</v>
      </c>
      <c r="J281" s="330">
        <f t="shared" si="54"/>
        <v>2520.6330721771792</v>
      </c>
      <c r="K281" s="330">
        <f t="shared" si="54"/>
        <v>2547.7136619297298</v>
      </c>
      <c r="L281" s="330">
        <f t="shared" si="54"/>
        <v>2575.1132773036379</v>
      </c>
      <c r="M281" s="330">
        <f t="shared" si="54"/>
        <v>2602.8356800620577</v>
      </c>
      <c r="N281" s="330">
        <f t="shared" si="54"/>
        <v>2630.8846763640036</v>
      </c>
      <c r="O281" s="330">
        <f t="shared" si="54"/>
        <v>2659.2641172887538</v>
      </c>
      <c r="P281" s="330">
        <f t="shared" si="54"/>
        <v>2687.9778993664549</v>
      </c>
      <c r="Q281" s="330">
        <f t="shared" si="54"/>
        <v>2717.0299651149953</v>
      </c>
      <c r="R281" s="330">
        <f t="shared" si="54"/>
        <v>2746.4243035832269</v>
      </c>
      <c r="S281" s="330">
        <f t="shared" si="54"/>
        <v>2776.1649509006102</v>
      </c>
      <c r="T281" s="330">
        <f t="shared" si="54"/>
        <v>2806.2559908333551</v>
      </c>
      <c r="U281" s="330">
        <f t="shared" si="54"/>
        <v>2836.7015553471383</v>
      </c>
      <c r="V281" s="330">
        <f t="shared" si="54"/>
        <v>2867.5058251764735</v>
      </c>
      <c r="W281" s="330">
        <f t="shared" si="54"/>
        <v>2898.6730304008106</v>
      </c>
      <c r="X281" s="330">
        <f t="shared" si="54"/>
        <v>2930.2074510274488</v>
      </c>
      <c r="Y281" s="330">
        <f t="shared" si="54"/>
        <v>2962.1134175813395</v>
      </c>
      <c r="Z281" s="330">
        <f t="shared" si="54"/>
        <v>2994.3953117018609</v>
      </c>
      <c r="AA281" s="330">
        <f t="shared" si="54"/>
        <v>3027.0575667466574</v>
      </c>
      <c r="AB281" s="330">
        <f t="shared" si="54"/>
        <v>3060.1046684025987</v>
      </c>
      <c r="AC281" s="330">
        <f t="shared" si="54"/>
        <v>0</v>
      </c>
    </row>
    <row r="282" spans="2:29" x14ac:dyDescent="0.3">
      <c r="B282" s="20" t="str">
        <f t="shared" si="44"/>
        <v>Burwood: Do not replace Burwood depot</v>
      </c>
      <c r="C282" s="153">
        <f t="shared" si="44"/>
        <v>11</v>
      </c>
      <c r="D282" s="329">
        <f t="shared" ref="D282:AC282" si="55">(D$271&lt;=$E$20)*D217</f>
        <v>2057.1030524706948</v>
      </c>
      <c r="E282" s="329">
        <f t="shared" si="55"/>
        <v>4662.9352029458369</v>
      </c>
      <c r="F282" s="329">
        <f t="shared" si="55"/>
        <v>4698.6794586484775</v>
      </c>
      <c r="G282" s="329">
        <f t="shared" si="55"/>
        <v>4734.8612407097316</v>
      </c>
      <c r="H282" s="329">
        <f t="shared" si="55"/>
        <v>4771.4862404975274</v>
      </c>
      <c r="I282" s="329">
        <f t="shared" si="55"/>
        <v>4808.5602312355968</v>
      </c>
      <c r="J282" s="329">
        <f t="shared" si="55"/>
        <v>4846.0890693530982</v>
      </c>
      <c r="K282" s="329">
        <f t="shared" si="55"/>
        <v>4884.0786958599401</v>
      </c>
      <c r="L282" s="329">
        <f t="shared" si="55"/>
        <v>4922.5351377483494</v>
      </c>
      <c r="M282" s="329">
        <f t="shared" si="55"/>
        <v>4961.464509421251</v>
      </c>
      <c r="N282" s="329">
        <f t="shared" si="55"/>
        <v>5000.8730141480237</v>
      </c>
      <c r="O282" s="329">
        <f t="shared" si="55"/>
        <v>5040.766945548241</v>
      </c>
      <c r="P282" s="329">
        <f t="shared" si="55"/>
        <v>5081.1526891039721</v>
      </c>
      <c r="Q282" s="329">
        <f t="shared" si="55"/>
        <v>5122.0367237012824</v>
      </c>
      <c r="R282" s="329">
        <f t="shared" si="55"/>
        <v>5163.425623201555</v>
      </c>
      <c r="S282" s="329">
        <f t="shared" si="55"/>
        <v>5205.3260580432652</v>
      </c>
      <c r="T282" s="329">
        <f t="shared" si="55"/>
        <v>5247.7447968748929</v>
      </c>
      <c r="U282" s="329">
        <f t="shared" si="55"/>
        <v>5290.6887082196317</v>
      </c>
      <c r="V282" s="329">
        <f t="shared" si="55"/>
        <v>5334.1647621725833</v>
      </c>
      <c r="W282" s="329">
        <f t="shared" si="55"/>
        <v>5378.1800321311512</v>
      </c>
      <c r="X282" s="329">
        <f t="shared" si="55"/>
        <v>5422.7416965593566</v>
      </c>
      <c r="Y282" s="329">
        <f t="shared" si="55"/>
        <v>5467.8570407868137</v>
      </c>
      <c r="Z282" s="329">
        <f t="shared" si="55"/>
        <v>5513.5334588431233</v>
      </c>
      <c r="AA282" s="329">
        <f t="shared" si="55"/>
        <v>5559.7784553284546</v>
      </c>
      <c r="AB282" s="329">
        <f t="shared" si="55"/>
        <v>5606.5996473211198</v>
      </c>
      <c r="AC282" s="329">
        <f t="shared" si="55"/>
        <v>0</v>
      </c>
    </row>
    <row r="283" spans="2:29" x14ac:dyDescent="0.3">
      <c r="B283" s="20" t="str">
        <f t="shared" si="44"/>
        <v>Burwood: Develop new depot on greenfield site</v>
      </c>
      <c r="C283" s="153">
        <f t="shared" si="44"/>
        <v>12</v>
      </c>
      <c r="D283" s="329">
        <f t="shared" ref="D283:AC283" si="56">(D$271&lt;=$E$20)*D218</f>
        <v>16757.103052470695</v>
      </c>
      <c r="E283" s="329">
        <f t="shared" si="56"/>
        <v>17731.467601472919</v>
      </c>
      <c r="F283" s="329">
        <f t="shared" si="56"/>
        <v>0</v>
      </c>
      <c r="G283" s="329">
        <f t="shared" si="56"/>
        <v>0</v>
      </c>
      <c r="H283" s="329">
        <f t="shared" si="56"/>
        <v>0</v>
      </c>
      <c r="I283" s="329">
        <f t="shared" si="56"/>
        <v>0</v>
      </c>
      <c r="J283" s="329">
        <f t="shared" si="56"/>
        <v>0</v>
      </c>
      <c r="K283" s="329">
        <f t="shared" si="56"/>
        <v>0</v>
      </c>
      <c r="L283" s="329">
        <f t="shared" si="56"/>
        <v>0</v>
      </c>
      <c r="M283" s="329">
        <f t="shared" si="56"/>
        <v>0</v>
      </c>
      <c r="N283" s="329">
        <f t="shared" si="56"/>
        <v>0</v>
      </c>
      <c r="O283" s="329">
        <f t="shared" si="56"/>
        <v>0</v>
      </c>
      <c r="P283" s="329">
        <f t="shared" si="56"/>
        <v>0</v>
      </c>
      <c r="Q283" s="329">
        <f t="shared" si="56"/>
        <v>0</v>
      </c>
      <c r="R283" s="329">
        <f t="shared" si="56"/>
        <v>0</v>
      </c>
      <c r="S283" s="329">
        <f t="shared" si="56"/>
        <v>0</v>
      </c>
      <c r="T283" s="329">
        <f t="shared" si="56"/>
        <v>0</v>
      </c>
      <c r="U283" s="329">
        <f t="shared" si="56"/>
        <v>0</v>
      </c>
      <c r="V283" s="329">
        <f t="shared" si="56"/>
        <v>0</v>
      </c>
      <c r="W283" s="329">
        <f t="shared" si="56"/>
        <v>0</v>
      </c>
      <c r="X283" s="329">
        <f t="shared" si="56"/>
        <v>0</v>
      </c>
      <c r="Y283" s="329">
        <f t="shared" si="56"/>
        <v>0</v>
      </c>
      <c r="Z283" s="329">
        <f t="shared" si="56"/>
        <v>0</v>
      </c>
      <c r="AA283" s="329">
        <f t="shared" si="56"/>
        <v>0</v>
      </c>
      <c r="AB283" s="329">
        <f t="shared" si="56"/>
        <v>0</v>
      </c>
      <c r="AC283" s="329">
        <f t="shared" si="56"/>
        <v>0</v>
      </c>
    </row>
    <row r="284" spans="2:29" x14ac:dyDescent="0.3">
      <c r="B284" s="327" t="str">
        <f t="shared" si="44"/>
        <v>Burwood: Develop new depot on brownfield site</v>
      </c>
      <c r="C284" s="154">
        <f t="shared" si="44"/>
        <v>13</v>
      </c>
      <c r="D284" s="330">
        <f t="shared" ref="D284:AC284" si="57">(D$271&lt;=$E$20)*D219</f>
        <v>20108.772502996995</v>
      </c>
      <c r="E284" s="330">
        <f t="shared" si="57"/>
        <v>15929.587192175619</v>
      </c>
      <c r="F284" s="330">
        <f t="shared" si="57"/>
        <v>0</v>
      </c>
      <c r="G284" s="330">
        <f t="shared" si="57"/>
        <v>0</v>
      </c>
      <c r="H284" s="330">
        <f t="shared" si="57"/>
        <v>0</v>
      </c>
      <c r="I284" s="330">
        <f t="shared" si="57"/>
        <v>0</v>
      </c>
      <c r="J284" s="330">
        <f t="shared" si="57"/>
        <v>0</v>
      </c>
      <c r="K284" s="330">
        <f t="shared" si="57"/>
        <v>0</v>
      </c>
      <c r="L284" s="330">
        <f t="shared" si="57"/>
        <v>0</v>
      </c>
      <c r="M284" s="330">
        <f t="shared" si="57"/>
        <v>0</v>
      </c>
      <c r="N284" s="330">
        <f t="shared" si="57"/>
        <v>0</v>
      </c>
      <c r="O284" s="330">
        <f t="shared" si="57"/>
        <v>0</v>
      </c>
      <c r="P284" s="330">
        <f t="shared" si="57"/>
        <v>0</v>
      </c>
      <c r="Q284" s="330">
        <f t="shared" si="57"/>
        <v>0</v>
      </c>
      <c r="R284" s="330">
        <f t="shared" si="57"/>
        <v>0</v>
      </c>
      <c r="S284" s="330">
        <f t="shared" si="57"/>
        <v>0</v>
      </c>
      <c r="T284" s="330">
        <f t="shared" si="57"/>
        <v>0</v>
      </c>
      <c r="U284" s="330">
        <f t="shared" si="57"/>
        <v>0</v>
      </c>
      <c r="V284" s="330">
        <f t="shared" si="57"/>
        <v>0</v>
      </c>
      <c r="W284" s="330">
        <f t="shared" si="57"/>
        <v>0</v>
      </c>
      <c r="X284" s="330">
        <f t="shared" si="57"/>
        <v>0</v>
      </c>
      <c r="Y284" s="330">
        <f t="shared" si="57"/>
        <v>0</v>
      </c>
      <c r="Z284" s="330">
        <f t="shared" si="57"/>
        <v>0</v>
      </c>
      <c r="AA284" s="330">
        <f t="shared" si="57"/>
        <v>0</v>
      </c>
      <c r="AB284" s="330">
        <f t="shared" si="57"/>
        <v>0</v>
      </c>
      <c r="AC284" s="330">
        <f t="shared" si="57"/>
        <v>0</v>
      </c>
    </row>
    <row r="286" spans="2:29" ht="28.95" customHeight="1" x14ac:dyDescent="0.3">
      <c r="B286" s="143" t="s">
        <v>342</v>
      </c>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row>
    <row r="288" spans="2:29" x14ac:dyDescent="0.3">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row>
    <row r="289" spans="4:29" x14ac:dyDescent="0.3">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row>
    <row r="290" spans="4:29" x14ac:dyDescent="0.3">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row>
    <row r="291" spans="4:29" x14ac:dyDescent="0.3">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row>
    <row r="292" spans="4:29" x14ac:dyDescent="0.3">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row>
    <row r="293" spans="4:29" x14ac:dyDescent="0.3">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row>
    <row r="294" spans="4:29" x14ac:dyDescent="0.3">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row>
    <row r="295" spans="4:29" x14ac:dyDescent="0.3">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row>
    <row r="296" spans="4:29" x14ac:dyDescent="0.3">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row>
    <row r="297" spans="4:29" x14ac:dyDescent="0.3">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c r="AA297" s="274"/>
      <c r="AB297" s="274"/>
      <c r="AC297" s="274"/>
    </row>
    <row r="298" spans="4:29" x14ac:dyDescent="0.3">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274"/>
      <c r="AB298" s="274"/>
      <c r="AC298" s="274"/>
    </row>
    <row r="299" spans="4:29" x14ac:dyDescent="0.3">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c r="AA299" s="274"/>
      <c r="AB299" s="274"/>
      <c r="AC299" s="274"/>
    </row>
    <row r="300" spans="4:29" x14ac:dyDescent="0.3">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274"/>
      <c r="AB300" s="274"/>
      <c r="AC300" s="274"/>
    </row>
    <row r="301" spans="4:29" x14ac:dyDescent="0.3">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c r="AA301" s="274"/>
      <c r="AB301" s="274"/>
      <c r="AC301" s="274"/>
    </row>
    <row r="302" spans="4:29" x14ac:dyDescent="0.3">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c r="AA302" s="274"/>
      <c r="AB302" s="274"/>
      <c r="AC302" s="274"/>
    </row>
    <row r="304" spans="4:29" x14ac:dyDescent="0.3">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c r="AA304" s="274"/>
      <c r="AB304" s="274"/>
      <c r="AC304" s="274"/>
    </row>
    <row r="305" spans="4:29" x14ac:dyDescent="0.3">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c r="AA305" s="274"/>
      <c r="AB305" s="274"/>
      <c r="AC305" s="274"/>
    </row>
    <row r="306" spans="4:29" x14ac:dyDescent="0.3">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c r="AA306" s="274"/>
      <c r="AB306" s="274"/>
      <c r="AC306" s="274"/>
    </row>
    <row r="307" spans="4:29" x14ac:dyDescent="0.3">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c r="AA307" s="274"/>
      <c r="AB307" s="274"/>
      <c r="AC307" s="274"/>
    </row>
    <row r="308" spans="4:29" x14ac:dyDescent="0.3">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c r="AA308" s="274"/>
      <c r="AB308" s="274"/>
      <c r="AC308" s="274"/>
    </row>
    <row r="309" spans="4:29" x14ac:dyDescent="0.3">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row>
    <row r="310" spans="4:29" x14ac:dyDescent="0.3">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4"/>
    </row>
    <row r="311" spans="4:29" x14ac:dyDescent="0.3">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row>
    <row r="312" spans="4:29" x14ac:dyDescent="0.3">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c r="AA312" s="274"/>
      <c r="AB312" s="274"/>
      <c r="AC312" s="274"/>
    </row>
    <row r="313" spans="4:29" x14ac:dyDescent="0.3">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c r="AA313" s="274"/>
      <c r="AB313" s="274"/>
      <c r="AC313" s="274"/>
    </row>
    <row r="314" spans="4:29" x14ac:dyDescent="0.3">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c r="AA314" s="274"/>
      <c r="AB314" s="274"/>
      <c r="AC314" s="274"/>
    </row>
    <row r="315" spans="4:29" x14ac:dyDescent="0.3">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c r="AA315" s="274"/>
      <c r="AB315" s="274"/>
      <c r="AC315" s="274"/>
    </row>
    <row r="316" spans="4:29" x14ac:dyDescent="0.3">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c r="AA316" s="274"/>
      <c r="AB316" s="274"/>
      <c r="AC316" s="274"/>
    </row>
    <row r="317" spans="4:29" x14ac:dyDescent="0.3">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c r="AA317" s="274"/>
      <c r="AB317" s="274"/>
      <c r="AC317" s="274"/>
    </row>
    <row r="318" spans="4:29" x14ac:dyDescent="0.3">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c r="AA318" s="274"/>
      <c r="AB318" s="274"/>
      <c r="AC318" s="274"/>
    </row>
  </sheetData>
  <phoneticPr fontId="26" type="noConversion"/>
  <conditionalFormatting sqref="C48:C50">
    <cfRule type="expression" dxfId="0" priority="1">
      <formula>C48="Check"</formula>
    </cfRule>
  </conditionalFormatting>
  <dataValidations count="6">
    <dataValidation type="list" allowBlank="1" showInputMessage="1" showErrorMessage="1" sqref="E13" xr:uid="{AB1F5BAC-282E-4ED8-A031-C44BFD8E3E93}">
      <formula1>$G$13:$K$13</formula1>
    </dataValidation>
    <dataValidation type="list" allowBlank="1" showInputMessage="1" showErrorMessage="1" sqref="E14" xr:uid="{5D9C04DC-5543-41D5-9DEB-F1561D5903FA}">
      <formula1>$G$14:$K$14</formula1>
    </dataValidation>
    <dataValidation type="list" allowBlank="1" showInputMessage="1" showErrorMessage="1" sqref="E15" xr:uid="{7E6B58B8-4FC4-4111-AF1D-3F20689C3868}">
      <formula1>$G$15:$K$15</formula1>
    </dataValidation>
    <dataValidation type="list" allowBlank="1" showInputMessage="1" showErrorMessage="1" sqref="E16" xr:uid="{93CE2C69-573D-4E53-9DF8-1946E127B1C1}">
      <formula1>$G$16:$K$16</formula1>
    </dataValidation>
    <dataValidation type="list" allowBlank="1" showInputMessage="1" showErrorMessage="1" sqref="C27:C39" xr:uid="{D99A49F6-65A8-4058-8973-584C1B1549E1}">
      <formula1>"0,1"</formula1>
    </dataValidation>
    <dataValidation type="list" allowBlank="1" showInputMessage="1" showErrorMessage="1" sqref="E20" xr:uid="{4084DECE-6D48-4F40-9133-5DD2EEB9E644}">
      <formula1>$D$271:$AC$271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CF80-CD30-4E49-9CEC-7650D57B077D}">
  <dimension ref="A1:W66"/>
  <sheetViews>
    <sheetView showGridLines="0" topLeftCell="A34" zoomScale="90" zoomScaleNormal="90" workbookViewId="0">
      <selection activeCell="I53" sqref="I53"/>
    </sheetView>
  </sheetViews>
  <sheetFormatPr defaultColWidth="11" defaultRowHeight="13.8" x14ac:dyDescent="0.3"/>
  <cols>
    <col min="1" max="1" width="6.88671875" style="281" customWidth="1"/>
    <col min="2" max="2" width="34.109375" style="281" customWidth="1"/>
    <col min="3" max="4" width="1.6640625" style="281" customWidth="1"/>
    <col min="5" max="5" width="13.33203125" style="281" customWidth="1"/>
    <col min="6" max="6" width="11" style="281" customWidth="1"/>
    <col min="7" max="8" width="11" style="281"/>
    <col min="9" max="9" width="6.21875" style="281" customWidth="1"/>
    <col min="10" max="10" width="3.88671875" style="281" customWidth="1"/>
    <col min="11" max="16384" width="11" style="281"/>
  </cols>
  <sheetData>
    <row r="1" spans="1:23" s="282" customFormat="1" ht="18" x14ac:dyDescent="0.35">
      <c r="A1" s="280" t="s">
        <v>85</v>
      </c>
      <c r="B1" s="280"/>
      <c r="C1" s="280"/>
      <c r="D1" s="280"/>
      <c r="E1" s="280"/>
      <c r="F1" s="280"/>
      <c r="G1" s="280"/>
      <c r="H1" s="280"/>
      <c r="I1" s="280"/>
      <c r="J1" s="280"/>
      <c r="K1" s="280"/>
      <c r="L1" s="280"/>
      <c r="M1" s="280"/>
      <c r="N1" s="280"/>
      <c r="O1" s="280"/>
      <c r="P1" s="280"/>
      <c r="Q1" s="281"/>
      <c r="R1" s="281"/>
      <c r="S1" s="281"/>
      <c r="T1" s="281"/>
      <c r="U1" s="281"/>
      <c r="V1" s="281"/>
      <c r="W1" s="281"/>
    </row>
    <row r="2" spans="1:23" s="282" customFormat="1" ht="18" x14ac:dyDescent="0.35">
      <c r="A2" s="280" t="s">
        <v>86</v>
      </c>
      <c r="B2" s="280"/>
      <c r="C2" s="280"/>
      <c r="D2" s="280"/>
      <c r="E2" s="280"/>
      <c r="F2" s="280"/>
      <c r="G2" s="280"/>
      <c r="H2" s="280"/>
      <c r="I2" s="280"/>
      <c r="J2" s="280"/>
      <c r="K2" s="280"/>
      <c r="L2" s="280"/>
      <c r="M2" s="280"/>
      <c r="N2" s="280"/>
      <c r="O2" s="280"/>
      <c r="P2" s="280"/>
      <c r="Q2" s="281"/>
      <c r="R2" s="281"/>
      <c r="S2" s="281"/>
      <c r="T2" s="281"/>
      <c r="U2" s="281"/>
      <c r="V2" s="281"/>
      <c r="W2" s="281"/>
    </row>
    <row r="3" spans="1:23" x14ac:dyDescent="0.3">
      <c r="A3" s="283"/>
    </row>
    <row r="4" spans="1:23" x14ac:dyDescent="0.3">
      <c r="A4" s="57" t="s">
        <v>87</v>
      </c>
      <c r="B4" s="58"/>
      <c r="C4" s="58"/>
      <c r="D4" s="58"/>
      <c r="E4" s="58"/>
      <c r="F4" s="58"/>
      <c r="G4" s="58"/>
      <c r="H4" s="58"/>
      <c r="I4" s="58"/>
      <c r="J4" s="58"/>
      <c r="K4" s="58"/>
      <c r="L4" s="58"/>
      <c r="M4" s="58"/>
      <c r="N4" s="58"/>
      <c r="O4" s="58"/>
      <c r="P4" s="58"/>
    </row>
    <row r="5" spans="1:23" x14ac:dyDescent="0.3">
      <c r="A5" s="284"/>
      <c r="B5" s="285"/>
      <c r="C5" s="285"/>
      <c r="D5" s="285"/>
      <c r="E5" s="285"/>
      <c r="F5" s="285"/>
      <c r="G5" s="285"/>
      <c r="H5" s="285"/>
      <c r="I5" s="285"/>
      <c r="J5" s="285"/>
      <c r="K5" s="285"/>
      <c r="L5" s="285"/>
      <c r="M5" s="285"/>
      <c r="N5" s="285"/>
      <c r="O5" s="285"/>
      <c r="P5" s="285"/>
    </row>
    <row r="6" spans="1:23" x14ac:dyDescent="0.3">
      <c r="B6" s="281" t="s">
        <v>89</v>
      </c>
      <c r="F6" s="286">
        <v>7699487.4657063</v>
      </c>
      <c r="K6" s="287" t="s">
        <v>373</v>
      </c>
      <c r="L6" s="288"/>
      <c r="M6" s="289"/>
      <c r="N6" s="289"/>
      <c r="O6" s="289"/>
      <c r="P6" s="289"/>
      <c r="Q6" s="289"/>
      <c r="R6" s="289"/>
      <c r="S6" s="289"/>
    </row>
    <row r="7" spans="1:23" x14ac:dyDescent="0.3">
      <c r="B7" s="281" t="s">
        <v>90</v>
      </c>
      <c r="F7" s="319">
        <v>366.79239579654592</v>
      </c>
      <c r="K7" s="320" t="s">
        <v>390</v>
      </c>
      <c r="L7" s="321"/>
      <c r="M7" s="321"/>
      <c r="N7" s="321"/>
      <c r="O7" s="321"/>
      <c r="P7" s="321"/>
    </row>
    <row r="8" spans="1:23" x14ac:dyDescent="0.3">
      <c r="B8" s="281" t="s">
        <v>374</v>
      </c>
      <c r="F8" s="286">
        <f>365.25*24*60</f>
        <v>525960</v>
      </c>
    </row>
    <row r="9" spans="1:23" x14ac:dyDescent="0.3">
      <c r="B9" s="281" t="s">
        <v>375</v>
      </c>
      <c r="F9" s="290">
        <v>0.08</v>
      </c>
      <c r="H9" s="288"/>
    </row>
    <row r="11" spans="1:23" x14ac:dyDescent="0.3">
      <c r="A11" s="284"/>
      <c r="B11" s="285"/>
      <c r="C11" s="285"/>
      <c r="D11" s="285"/>
      <c r="E11" s="285"/>
      <c r="F11" s="285"/>
      <c r="G11" s="285"/>
      <c r="H11" s="285"/>
      <c r="I11" s="285"/>
      <c r="J11" s="285"/>
      <c r="K11" s="285"/>
      <c r="L11" s="285"/>
      <c r="M11" s="285"/>
      <c r="N11" s="285"/>
      <c r="O11" s="285"/>
      <c r="P11" s="285"/>
    </row>
    <row r="12" spans="1:23" ht="12.75" customHeight="1" x14ac:dyDescent="0.3">
      <c r="A12" s="283"/>
      <c r="B12" s="291"/>
      <c r="C12" s="291"/>
      <c r="D12" s="291"/>
      <c r="E12" s="291"/>
      <c r="F12" s="292">
        <v>2019</v>
      </c>
      <c r="G12" s="292">
        <v>2020</v>
      </c>
      <c r="H12" s="292">
        <v>2021</v>
      </c>
    </row>
    <row r="13" spans="1:23" ht="12.75" customHeight="1" x14ac:dyDescent="0.3">
      <c r="A13" s="293"/>
      <c r="B13" s="281" t="s">
        <v>376</v>
      </c>
      <c r="G13" s="322">
        <v>1.5679442508710784E-2</v>
      </c>
      <c r="H13" s="322">
        <v>0</v>
      </c>
      <c r="I13" s="294"/>
      <c r="K13" s="281" t="s">
        <v>372</v>
      </c>
    </row>
    <row r="14" spans="1:23" ht="12.75" customHeight="1" x14ac:dyDescent="0.3">
      <c r="B14" s="281" t="s">
        <v>377</v>
      </c>
      <c r="F14" s="295">
        <v>44520</v>
      </c>
      <c r="G14" s="296">
        <f>F14*(1+G$13)</f>
        <v>45218.048780487807</v>
      </c>
      <c r="H14" s="296">
        <f>G14*(1+H$13)</f>
        <v>45218.048780487807</v>
      </c>
      <c r="K14" s="288" t="s">
        <v>88</v>
      </c>
    </row>
    <row r="15" spans="1:23" ht="12.75" customHeight="1" x14ac:dyDescent="0.3">
      <c r="B15" s="281" t="s">
        <v>378</v>
      </c>
      <c r="F15" s="295">
        <v>41210</v>
      </c>
      <c r="G15" s="296">
        <f>F15*(1+G$13)</f>
        <v>41856.14982578397</v>
      </c>
      <c r="H15" s="296">
        <f>G15*(1+H$13)</f>
        <v>41856.14982578397</v>
      </c>
      <c r="K15" s="288" t="s">
        <v>88</v>
      </c>
    </row>
    <row r="16" spans="1:23" ht="12.75" customHeight="1" x14ac:dyDescent="0.3">
      <c r="G16" s="289"/>
      <c r="H16" s="289"/>
      <c r="I16" s="288"/>
    </row>
    <row r="17" spans="2:19" ht="12.75" customHeight="1" x14ac:dyDescent="0.3">
      <c r="G17" s="289"/>
      <c r="H17" s="297"/>
      <c r="I17" s="288"/>
    </row>
    <row r="18" spans="2:19" x14ac:dyDescent="0.3">
      <c r="H18" s="297"/>
      <c r="K18" s="289"/>
      <c r="L18" s="288"/>
      <c r="M18" s="289"/>
      <c r="N18" s="289"/>
      <c r="O18" s="289"/>
      <c r="P18" s="289"/>
      <c r="Q18" s="289"/>
      <c r="R18" s="289"/>
      <c r="S18" s="289"/>
    </row>
    <row r="19" spans="2:19" x14ac:dyDescent="0.3">
      <c r="B19" s="291"/>
      <c r="C19" s="291"/>
      <c r="D19" s="291"/>
      <c r="E19" s="298" t="s">
        <v>92</v>
      </c>
      <c r="F19" s="298" t="s">
        <v>93</v>
      </c>
      <c r="G19" s="298" t="s">
        <v>379</v>
      </c>
      <c r="H19" s="298" t="s">
        <v>380</v>
      </c>
      <c r="K19" s="289"/>
      <c r="L19" s="289"/>
      <c r="M19" s="289"/>
      <c r="N19" s="289"/>
      <c r="O19" s="289"/>
      <c r="P19" s="289"/>
      <c r="Q19" s="289"/>
      <c r="R19" s="289"/>
      <c r="S19" s="289"/>
    </row>
    <row r="20" spans="2:19" x14ac:dyDescent="0.3">
      <c r="B20" s="281" t="s">
        <v>381</v>
      </c>
      <c r="E20" s="286">
        <v>0</v>
      </c>
      <c r="F20" s="286">
        <v>632952</v>
      </c>
      <c r="G20" s="286">
        <v>59471</v>
      </c>
      <c r="H20" s="286">
        <v>0</v>
      </c>
      <c r="K20" s="288" t="s">
        <v>382</v>
      </c>
      <c r="L20" s="289"/>
      <c r="M20" s="289"/>
      <c r="N20" s="289"/>
      <c r="O20" s="289"/>
      <c r="P20" s="289"/>
      <c r="Q20" s="289"/>
      <c r="R20" s="289"/>
      <c r="S20" s="289"/>
    </row>
    <row r="21" spans="2:19" x14ac:dyDescent="0.3">
      <c r="E21" s="325">
        <f>E20/SUM($E$20:$H$20)</f>
        <v>0</v>
      </c>
      <c r="F21" s="325">
        <f>F20/SUM($E$20:$H$20)</f>
        <v>0.91411174960970387</v>
      </c>
      <c r="G21" s="325">
        <f>G20/SUM($E$20:$H$20)</f>
        <v>8.58882503902961E-2</v>
      </c>
      <c r="H21" s="325">
        <f>H20/SUM($E$20:$H$20)</f>
        <v>0</v>
      </c>
      <c r="I21" s="289"/>
      <c r="K21" s="289"/>
      <c r="L21" s="289"/>
      <c r="M21" s="289"/>
      <c r="N21" s="289"/>
      <c r="O21" s="289"/>
      <c r="P21" s="289"/>
      <c r="Q21" s="289"/>
      <c r="R21" s="289"/>
      <c r="S21" s="289"/>
    </row>
    <row r="22" spans="2:19" x14ac:dyDescent="0.3">
      <c r="F22" s="299"/>
      <c r="G22" s="289"/>
      <c r="H22" s="297"/>
      <c r="I22" s="289"/>
      <c r="K22" s="289"/>
      <c r="L22" s="289"/>
      <c r="M22" s="289"/>
      <c r="N22" s="289"/>
      <c r="O22" s="289"/>
      <c r="P22" s="289"/>
      <c r="Q22" s="289"/>
      <c r="R22" s="289"/>
      <c r="S22" s="289"/>
    </row>
    <row r="23" spans="2:19" x14ac:dyDescent="0.3">
      <c r="F23" s="299"/>
      <c r="G23" s="289"/>
      <c r="H23" s="297"/>
      <c r="I23" s="289"/>
      <c r="K23" s="289"/>
      <c r="L23" s="289"/>
      <c r="M23" s="289"/>
      <c r="N23" s="289"/>
      <c r="O23" s="289"/>
      <c r="P23" s="289"/>
      <c r="Q23" s="289"/>
      <c r="R23" s="289"/>
      <c r="S23" s="289"/>
    </row>
    <row r="24" spans="2:19" x14ac:dyDescent="0.3">
      <c r="B24" s="291"/>
      <c r="C24" s="291"/>
      <c r="D24" s="291"/>
      <c r="E24" s="298" t="s">
        <v>92</v>
      </c>
      <c r="F24" s="298" t="s">
        <v>93</v>
      </c>
      <c r="G24" s="298" t="s">
        <v>379</v>
      </c>
      <c r="H24" s="298" t="s">
        <v>380</v>
      </c>
      <c r="I24" s="289"/>
      <c r="K24" s="289"/>
      <c r="L24" s="289"/>
      <c r="M24" s="289"/>
      <c r="N24" s="289"/>
      <c r="O24" s="289"/>
      <c r="P24" s="289"/>
      <c r="Q24" s="289"/>
      <c r="R24" s="289"/>
      <c r="S24" s="289"/>
    </row>
    <row r="25" spans="2:19" x14ac:dyDescent="0.3">
      <c r="B25" s="281" t="s">
        <v>383</v>
      </c>
      <c r="E25" s="300">
        <f>energy*E20/SUM($E$20:$H$20)</f>
        <v>0</v>
      </c>
      <c r="F25" s="300">
        <f>energy*F20/SUM($E$20:$H$20)</f>
        <v>7038191.9583747713</v>
      </c>
      <c r="G25" s="300">
        <f>energy*G20/SUM($E$20:$H$20)</f>
        <v>661295.50733152905</v>
      </c>
      <c r="H25" s="300">
        <f>energy*H20/SUM($E$20:$H$20)</f>
        <v>0</v>
      </c>
      <c r="I25" s="301"/>
      <c r="K25" s="289"/>
    </row>
    <row r="26" spans="2:19" x14ac:dyDescent="0.3">
      <c r="G26" s="301"/>
      <c r="H26" s="297"/>
      <c r="I26" s="301"/>
      <c r="K26" s="289"/>
    </row>
    <row r="27" spans="2:19" x14ac:dyDescent="0.3">
      <c r="H27" s="297"/>
    </row>
    <row r="28" spans="2:19" x14ac:dyDescent="0.3">
      <c r="H28" s="297"/>
    </row>
    <row r="29" spans="2:19" x14ac:dyDescent="0.3">
      <c r="B29" s="302"/>
      <c r="C29" s="302"/>
      <c r="D29" s="302"/>
      <c r="E29" s="298" t="s">
        <v>92</v>
      </c>
      <c r="F29" s="298" t="s">
        <v>93</v>
      </c>
      <c r="G29" s="298" t="s">
        <v>379</v>
      </c>
      <c r="H29" s="298" t="s">
        <v>380</v>
      </c>
      <c r="K29" s="288"/>
    </row>
    <row r="30" spans="2:19" x14ac:dyDescent="0.3">
      <c r="B30" s="281" t="s">
        <v>91</v>
      </c>
      <c r="E30" s="303">
        <v>1.5</v>
      </c>
      <c r="F30" s="303">
        <v>1.5</v>
      </c>
      <c r="G30" s="303">
        <v>1.5</v>
      </c>
      <c r="H30" s="303">
        <v>1.5</v>
      </c>
    </row>
    <row r="31" spans="2:19" x14ac:dyDescent="0.3">
      <c r="H31" s="297"/>
    </row>
    <row r="32" spans="2:19" x14ac:dyDescent="0.3">
      <c r="H32" s="297"/>
    </row>
    <row r="33" spans="1:16" x14ac:dyDescent="0.3">
      <c r="F33" s="304"/>
      <c r="H33" s="297"/>
    </row>
    <row r="34" spans="1:16" x14ac:dyDescent="0.3">
      <c r="E34" s="305" t="s">
        <v>94</v>
      </c>
      <c r="F34" s="305"/>
      <c r="G34" s="306"/>
      <c r="H34" s="307"/>
    </row>
    <row r="35" spans="1:16" x14ac:dyDescent="0.3">
      <c r="B35" s="291"/>
      <c r="C35" s="291"/>
      <c r="D35" s="291"/>
      <c r="E35" s="308" t="s">
        <v>92</v>
      </c>
      <c r="F35" s="298" t="s">
        <v>93</v>
      </c>
      <c r="G35" s="298" t="s">
        <v>379</v>
      </c>
      <c r="H35" s="308" t="s">
        <v>380</v>
      </c>
    </row>
    <row r="36" spans="1:16" x14ac:dyDescent="0.3">
      <c r="B36" s="281" t="s">
        <v>96</v>
      </c>
      <c r="E36" s="309"/>
      <c r="F36" s="323">
        <v>46.053410229494425</v>
      </c>
      <c r="G36" s="323">
        <v>139.07137726532</v>
      </c>
      <c r="H36" s="309"/>
    </row>
    <row r="37" spans="1:16" x14ac:dyDescent="0.3">
      <c r="B37" s="281" t="s">
        <v>95</v>
      </c>
      <c r="E37" s="309"/>
      <c r="F37" s="323">
        <v>0.73103973571688263</v>
      </c>
      <c r="G37" s="323">
        <v>2.0543459020709918</v>
      </c>
      <c r="H37" s="309"/>
    </row>
    <row r="38" spans="1:16" x14ac:dyDescent="0.3">
      <c r="B38" s="281" t="s">
        <v>97</v>
      </c>
      <c r="E38" s="309"/>
      <c r="F38" s="323">
        <v>0.97650583841982375</v>
      </c>
      <c r="G38" s="323">
        <v>4.4315444852762091</v>
      </c>
      <c r="H38" s="309"/>
    </row>
    <row r="39" spans="1:16" x14ac:dyDescent="0.3">
      <c r="F39" s="310"/>
      <c r="G39" s="310"/>
      <c r="H39" s="297"/>
    </row>
    <row r="40" spans="1:16" x14ac:dyDescent="0.3">
      <c r="E40" s="304"/>
      <c r="H40" s="297"/>
    </row>
    <row r="41" spans="1:16" x14ac:dyDescent="0.3">
      <c r="A41" s="57" t="s">
        <v>384</v>
      </c>
      <c r="B41" s="58"/>
      <c r="C41" s="58"/>
      <c r="D41" s="58"/>
      <c r="E41" s="58"/>
      <c r="F41" s="58"/>
      <c r="G41" s="58"/>
      <c r="H41" s="58"/>
      <c r="I41" s="58"/>
      <c r="J41" s="58"/>
      <c r="K41" s="58"/>
      <c r="L41" s="58"/>
      <c r="M41" s="58"/>
      <c r="N41" s="58"/>
      <c r="O41" s="58"/>
      <c r="P41" s="58"/>
    </row>
    <row r="42" spans="1:16" x14ac:dyDescent="0.3">
      <c r="H42" s="297"/>
    </row>
    <row r="43" spans="1:16" x14ac:dyDescent="0.3">
      <c r="B43" s="292" t="s">
        <v>98</v>
      </c>
      <c r="C43" s="292"/>
      <c r="D43" s="292"/>
      <c r="E43" s="298" t="s">
        <v>92</v>
      </c>
      <c r="F43" s="298" t="s">
        <v>93</v>
      </c>
      <c r="G43" s="298" t="s">
        <v>379</v>
      </c>
      <c r="H43" s="298" t="s">
        <v>380</v>
      </c>
    </row>
    <row r="44" spans="1:16" x14ac:dyDescent="0.3">
      <c r="B44" s="281" t="s">
        <v>100</v>
      </c>
      <c r="E44" s="311">
        <f>IF(E36=0,0,IF(E$43="CBD", cbd_vcr, non_cbd_vcr)*(1-(1/(1+E$30))))</f>
        <v>0</v>
      </c>
      <c r="F44" s="311">
        <f>IF(F36=0,0,IF(F$43="CBD", cbd_vcr, non_cbd_vcr)*(1-(1/(1+F$30))))</f>
        <v>25113.689895470383</v>
      </c>
      <c r="G44" s="311">
        <f>IF(G36=0,0,IF(G$43="CBD", cbd_vcr, non_cbd_vcr)*(1-(1/(1+G$30))))</f>
        <v>25113.689895470383</v>
      </c>
      <c r="H44" s="311">
        <f>IF(H36=0,0,IF(H$43="CBD", cbd_vcr, non_cbd_vcr)*(1-(1/(1+H$30))))</f>
        <v>0</v>
      </c>
    </row>
    <row r="45" spans="1:16" x14ac:dyDescent="0.3">
      <c r="B45" s="281" t="s">
        <v>99</v>
      </c>
      <c r="E45" s="311">
        <f>IF(E37=0,0, IF(E$43="CBD", cbd_vcr, non_cbd_vcr)/(1+E$30))</f>
        <v>0</v>
      </c>
      <c r="F45" s="311">
        <f>IF(F37=0,0, IF(F$43="CBD", cbd_vcr, non_cbd_vcr)/(1+F$30))</f>
        <v>16742.459930313587</v>
      </c>
      <c r="G45" s="311">
        <f>IF(G37=0,0, IF(G$43="CBD", cbd_vcr, non_cbd_vcr)/(1+G$30))</f>
        <v>16742.459930313587</v>
      </c>
      <c r="H45" s="311">
        <f>IF(H37=0,0, IF(H$43="CBD", cbd_vcr, non_cbd_vcr)/(1+H$30))</f>
        <v>0</v>
      </c>
    </row>
    <row r="47" spans="1:16" ht="6" customHeight="1" x14ac:dyDescent="0.3">
      <c r="F47" s="311"/>
      <c r="G47" s="311"/>
      <c r="H47" s="297"/>
    </row>
    <row r="48" spans="1:16" ht="6" customHeight="1" x14ac:dyDescent="0.3">
      <c r="F48" s="312"/>
      <c r="G48" s="312"/>
      <c r="H48" s="297"/>
    </row>
    <row r="49" spans="1:16" x14ac:dyDescent="0.3">
      <c r="B49" s="292" t="s">
        <v>385</v>
      </c>
      <c r="C49" s="292"/>
      <c r="D49" s="292"/>
      <c r="E49" s="298" t="s">
        <v>92</v>
      </c>
      <c r="F49" s="298" t="s">
        <v>93</v>
      </c>
      <c r="G49" s="298" t="s">
        <v>379</v>
      </c>
      <c r="H49" s="298" t="s">
        <v>380</v>
      </c>
      <c r="I49" s="298" t="s">
        <v>386</v>
      </c>
    </row>
    <row r="50" spans="1:16" x14ac:dyDescent="0.3">
      <c r="B50" s="281" t="s">
        <v>387</v>
      </c>
      <c r="E50" s="313">
        <f>IF(E44=0,0,((E44*E$25)/(revenue*1000000))/mins_pa)</f>
        <v>0</v>
      </c>
      <c r="F50" s="324">
        <f>IF(F44=0,0,((F44*F$25)/(revenue*1000000))/mins_pa)*100</f>
        <v>9.1621752526845762E-2</v>
      </c>
      <c r="G50" s="324">
        <f>IF(G44=0,0,((G44*G$25)/(revenue*1000000))/mins_pa)*100</f>
        <v>8.6086105178971601E-3</v>
      </c>
      <c r="H50" s="314">
        <f>IF(H44=0,0,((H44*H$25)/(revenue*1000000))/mins_pa)</f>
        <v>0</v>
      </c>
      <c r="N50" s="315"/>
      <c r="O50" s="315"/>
      <c r="P50" s="315"/>
    </row>
    <row r="51" spans="1:16" x14ac:dyDescent="0.3">
      <c r="B51" s="281" t="s">
        <v>388</v>
      </c>
      <c r="E51" s="313">
        <f>IF(E45=0,0,((E45*E$25)/(revenue*1000000))/mins_pa*(E$36/E$37))</f>
        <v>0</v>
      </c>
      <c r="F51" s="324">
        <f>IF(F45=0,0,((F45*F$25)/(revenue*1000000))/mins_pa*(F$36/F$37))*100</f>
        <v>3.8479387178831121</v>
      </c>
      <c r="G51" s="324">
        <f>IF(G45=0,0,((G45*G$25)/(revenue*1000000))/mins_pa*(G$36/G$37))*100</f>
        <v>0.38851338516321771</v>
      </c>
      <c r="H51" s="313">
        <f>IF(H45=0,0,((H45*H$25)/(revenue*1000000))/mins_pa*(H$36/H$37))</f>
        <v>0</v>
      </c>
      <c r="N51" s="315"/>
      <c r="O51" s="315"/>
      <c r="P51" s="315"/>
    </row>
    <row r="52" spans="1:16" x14ac:dyDescent="0.3">
      <c r="B52" s="281" t="s">
        <v>389</v>
      </c>
      <c r="E52" s="313">
        <f>E51*maifi_perc</f>
        <v>0</v>
      </c>
      <c r="F52" s="324">
        <f>F51*maifi_perc</f>
        <v>0.30783509743064896</v>
      </c>
      <c r="G52" s="324">
        <f>G51*maifi_perc</f>
        <v>3.1081070813057419E-2</v>
      </c>
      <c r="H52" s="316">
        <f>H51*maifi_perc</f>
        <v>0</v>
      </c>
      <c r="N52" s="315"/>
      <c r="O52" s="315"/>
      <c r="P52" s="315"/>
    </row>
    <row r="53" spans="1:16" x14ac:dyDescent="0.3">
      <c r="B53" s="281" t="s">
        <v>101</v>
      </c>
      <c r="F53" s="317"/>
      <c r="G53" s="317"/>
      <c r="I53" s="318">
        <v>-4.0000000000000002E-4</v>
      </c>
      <c r="J53" s="288"/>
    </row>
    <row r="54" spans="1:16" x14ac:dyDescent="0.3">
      <c r="H54" s="297"/>
    </row>
    <row r="55" spans="1:16" s="56" customFormat="1" x14ac:dyDescent="0.3">
      <c r="A55" s="57" t="s">
        <v>103</v>
      </c>
      <c r="B55" s="58"/>
      <c r="C55" s="58"/>
      <c r="D55" s="58"/>
      <c r="E55" s="58"/>
      <c r="F55" s="58"/>
      <c r="G55" s="58"/>
      <c r="H55" s="58"/>
      <c r="I55" s="58"/>
      <c r="J55" s="58"/>
      <c r="K55" s="58"/>
      <c r="L55" s="58"/>
      <c r="M55" s="58"/>
      <c r="N55" s="58"/>
      <c r="O55" s="58"/>
      <c r="P55" s="58"/>
    </row>
    <row r="56" spans="1:16" s="56" customFormat="1" x14ac:dyDescent="0.3">
      <c r="B56" s="60" t="s">
        <v>105</v>
      </c>
      <c r="E56" s="61">
        <f>+F25/F20</f>
        <v>11.119629858780399</v>
      </c>
      <c r="F56" s="59" t="s">
        <v>102</v>
      </c>
    </row>
    <row r="57" spans="1:16" s="56" customFormat="1" x14ac:dyDescent="0.3">
      <c r="B57" s="60" t="s">
        <v>106</v>
      </c>
      <c r="E57" s="62">
        <f>F8/(F8-F36)*E56-E56</f>
        <v>9.737275058174788E-4</v>
      </c>
      <c r="F57" s="59" t="s">
        <v>102</v>
      </c>
    </row>
    <row r="58" spans="1:16" s="56" customFormat="1" x14ac:dyDescent="0.3">
      <c r="B58" s="60" t="s">
        <v>109</v>
      </c>
      <c r="E58" s="63">
        <f>E57*H15</f>
        <v>40.756484372983323</v>
      </c>
      <c r="F58" s="56" t="s">
        <v>108</v>
      </c>
    </row>
    <row r="59" spans="1:16" s="56" customFormat="1" x14ac:dyDescent="0.3"/>
    <row r="60" spans="1:16" s="56" customFormat="1" x14ac:dyDescent="0.3">
      <c r="A60" s="57" t="s">
        <v>104</v>
      </c>
      <c r="B60" s="58"/>
      <c r="C60" s="58"/>
      <c r="D60" s="58"/>
      <c r="E60" s="58"/>
      <c r="F60" s="58"/>
      <c r="G60" s="58"/>
      <c r="H60" s="58"/>
      <c r="I60" s="58"/>
      <c r="J60" s="58"/>
      <c r="K60" s="58"/>
      <c r="L60" s="58"/>
      <c r="M60" s="58"/>
      <c r="N60" s="58"/>
      <c r="O60" s="58"/>
      <c r="P60" s="58"/>
    </row>
    <row r="61" spans="1:16" s="56" customFormat="1" x14ac:dyDescent="0.3">
      <c r="B61" s="60" t="s">
        <v>105</v>
      </c>
      <c r="E61" s="61">
        <f>+G25/G20</f>
        <v>11.119629858780398</v>
      </c>
      <c r="F61" s="59" t="s">
        <v>102</v>
      </c>
    </row>
    <row r="62" spans="1:16" s="56" customFormat="1" x14ac:dyDescent="0.3">
      <c r="B62" s="60" t="s">
        <v>106</v>
      </c>
      <c r="E62" s="62">
        <f>F8/(F8-G36)*E61-E61</f>
        <v>2.9409674567162369E-3</v>
      </c>
      <c r="F62" s="59" t="s">
        <v>102</v>
      </c>
    </row>
    <row r="63" spans="1:16" s="56" customFormat="1" x14ac:dyDescent="0.3">
      <c r="B63" s="60" t="s">
        <v>109</v>
      </c>
      <c r="E63" s="63">
        <f>E62*H15</f>
        <v>123.09757450106964</v>
      </c>
      <c r="F63" s="56" t="s">
        <v>110</v>
      </c>
    </row>
    <row r="64" spans="1:16" s="56" customFormat="1" x14ac:dyDescent="0.3"/>
    <row r="65" spans="1:16" s="56" customFormat="1" x14ac:dyDescent="0.3">
      <c r="A65" s="57" t="s">
        <v>107</v>
      </c>
      <c r="B65" s="58"/>
      <c r="C65" s="58"/>
      <c r="D65" s="58"/>
      <c r="E65" s="58"/>
      <c r="F65" s="58"/>
      <c r="G65" s="58"/>
      <c r="H65" s="58"/>
      <c r="I65" s="58"/>
      <c r="J65" s="58"/>
      <c r="K65" s="58"/>
      <c r="L65" s="58"/>
      <c r="M65" s="58"/>
      <c r="N65" s="58"/>
      <c r="O65" s="58"/>
      <c r="P65" s="58"/>
    </row>
    <row r="66" spans="1:16" s="56" customFormat="1" x14ac:dyDescent="0.3">
      <c r="B66" s="60" t="s">
        <v>112</v>
      </c>
      <c r="E66" s="64">
        <f>+E58*F21+E63*G21</f>
        <v>47.828616539314339</v>
      </c>
      <c r="F66" s="56" t="s">
        <v>111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746B-E5E9-4B89-B1AE-BDF63BF27AA2}">
  <sheetPr>
    <tabColor rgb="FF92D050"/>
  </sheetPr>
  <dimension ref="A1"/>
  <sheetViews>
    <sheetView showGridLines="0" showRowColHeaders="0" showRuler="0" view="pageBreakPreview" zoomScale="80" zoomScaleNormal="100" zoomScaleSheetLayoutView="80" workbookViewId="0"/>
  </sheetViews>
  <sheetFormatPr defaultRowHeight="14.4" x14ac:dyDescent="0.3"/>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0D35-1D35-4A65-9C0E-BF6F8A3163D5}">
  <sheetPr>
    <tabColor rgb="FF92D050"/>
  </sheetPr>
  <dimension ref="A1:AA50"/>
  <sheetViews>
    <sheetView showGridLines="0" zoomScale="90" zoomScaleNormal="90" workbookViewId="0">
      <selection activeCell="A45" sqref="A45"/>
    </sheetView>
  </sheetViews>
  <sheetFormatPr defaultColWidth="8.77734375" defaultRowHeight="14.4" x14ac:dyDescent="0.3"/>
  <cols>
    <col min="1" max="1" width="40.44140625" customWidth="1"/>
    <col min="2" max="2" width="11" customWidth="1"/>
    <col min="3" max="5" width="11.109375" bestFit="1" customWidth="1"/>
    <col min="6" max="6" width="12.109375" bestFit="1" customWidth="1"/>
    <col min="7" max="27" width="11.109375" bestFit="1" customWidth="1"/>
  </cols>
  <sheetData>
    <row r="1" spans="1:27" ht="21" x14ac:dyDescent="0.4">
      <c r="A1" s="2" t="s">
        <v>0</v>
      </c>
    </row>
    <row r="2" spans="1:27" x14ac:dyDescent="0.3">
      <c r="A2" s="10" t="str">
        <f>+'Inputs &amp; Summary'!B5</f>
        <v>All values shown are costs, expressed in $000 as at June 2021 unless otherwise stated.</v>
      </c>
      <c r="B2" s="6"/>
      <c r="C2" s="6"/>
      <c r="G2" s="82" t="s">
        <v>131</v>
      </c>
      <c r="H2" s="83"/>
      <c r="I2" s="83"/>
      <c r="J2" s="83"/>
      <c r="K2" s="83"/>
      <c r="L2" s="83"/>
      <c r="M2" s="83"/>
      <c r="N2" s="83"/>
      <c r="O2" s="83"/>
      <c r="P2" s="83"/>
      <c r="Q2" s="83"/>
      <c r="R2" s="83"/>
      <c r="S2" s="83"/>
      <c r="T2" s="83"/>
      <c r="U2" s="84"/>
    </row>
    <row r="3" spans="1:27" x14ac:dyDescent="0.3">
      <c r="A3" s="4" t="s">
        <v>5</v>
      </c>
      <c r="B3" s="6" t="str">
        <f>'Inputs &amp; Summary'!B13</f>
        <v>Mornington</v>
      </c>
      <c r="C3" s="6"/>
      <c r="G3" s="85" t="s">
        <v>132</v>
      </c>
      <c r="H3" s="72"/>
      <c r="I3" s="72"/>
      <c r="J3" s="72"/>
      <c r="K3" s="72"/>
      <c r="L3" s="72"/>
      <c r="M3" s="72"/>
      <c r="N3" s="72"/>
      <c r="O3" s="72"/>
      <c r="P3" s="72"/>
      <c r="Q3" s="72"/>
      <c r="R3" s="72"/>
      <c r="S3" s="72"/>
      <c r="T3" s="72"/>
      <c r="U3" s="86"/>
    </row>
    <row r="4" spans="1:27" x14ac:dyDescent="0.3">
      <c r="A4" s="5" t="s">
        <v>6</v>
      </c>
      <c r="B4" s="106">
        <f>+'Inputs &amp; Summary'!E21</f>
        <v>2.75E-2</v>
      </c>
      <c r="C4" s="6" t="s">
        <v>2</v>
      </c>
    </row>
    <row r="5" spans="1:27" x14ac:dyDescent="0.3">
      <c r="A5" s="3" t="s">
        <v>3</v>
      </c>
      <c r="B5">
        <v>0</v>
      </c>
      <c r="C5">
        <f>+B5+1</f>
        <v>1</v>
      </c>
      <c r="D5">
        <f t="shared" ref="D5:AA5" si="0">+C5+1</f>
        <v>2</v>
      </c>
      <c r="E5">
        <f t="shared" si="0"/>
        <v>3</v>
      </c>
      <c r="F5">
        <f t="shared" si="0"/>
        <v>4</v>
      </c>
      <c r="G5">
        <f t="shared" si="0"/>
        <v>5</v>
      </c>
      <c r="H5">
        <f t="shared" si="0"/>
        <v>6</v>
      </c>
      <c r="I5">
        <f t="shared" si="0"/>
        <v>7</v>
      </c>
      <c r="J5">
        <f t="shared" si="0"/>
        <v>8</v>
      </c>
      <c r="K5">
        <f t="shared" si="0"/>
        <v>9</v>
      </c>
      <c r="L5">
        <f t="shared" si="0"/>
        <v>10</v>
      </c>
      <c r="M5">
        <f t="shared" si="0"/>
        <v>11</v>
      </c>
      <c r="N5">
        <f t="shared" si="0"/>
        <v>12</v>
      </c>
      <c r="O5">
        <f t="shared" si="0"/>
        <v>13</v>
      </c>
      <c r="P5">
        <f t="shared" si="0"/>
        <v>14</v>
      </c>
      <c r="Q5">
        <f t="shared" si="0"/>
        <v>15</v>
      </c>
      <c r="R5">
        <f t="shared" si="0"/>
        <v>16</v>
      </c>
      <c r="S5">
        <f t="shared" si="0"/>
        <v>17</v>
      </c>
      <c r="T5">
        <f t="shared" si="0"/>
        <v>18</v>
      </c>
      <c r="U5">
        <f t="shared" si="0"/>
        <v>19</v>
      </c>
      <c r="V5">
        <f t="shared" si="0"/>
        <v>20</v>
      </c>
      <c r="W5">
        <f t="shared" si="0"/>
        <v>21</v>
      </c>
      <c r="X5">
        <f t="shared" si="0"/>
        <v>22</v>
      </c>
      <c r="Y5">
        <f t="shared" si="0"/>
        <v>23</v>
      </c>
      <c r="Z5">
        <f t="shared" si="0"/>
        <v>24</v>
      </c>
      <c r="AA5">
        <f t="shared" si="0"/>
        <v>25</v>
      </c>
    </row>
    <row r="6" spans="1:27" x14ac:dyDescent="0.3">
      <c r="A6" s="7" t="s">
        <v>399</v>
      </c>
      <c r="B6" s="8">
        <v>2021</v>
      </c>
      <c r="C6" s="8">
        <f>+B6+1</f>
        <v>2022</v>
      </c>
      <c r="D6" s="8">
        <f t="shared" ref="D6:AA6" si="1">+C6+1</f>
        <v>2023</v>
      </c>
      <c r="E6" s="8">
        <f t="shared" si="1"/>
        <v>2024</v>
      </c>
      <c r="F6" s="8">
        <f t="shared" si="1"/>
        <v>2025</v>
      </c>
      <c r="G6" s="8">
        <f t="shared" si="1"/>
        <v>2026</v>
      </c>
      <c r="H6" s="8">
        <f t="shared" si="1"/>
        <v>2027</v>
      </c>
      <c r="I6" s="8">
        <f t="shared" si="1"/>
        <v>2028</v>
      </c>
      <c r="J6" s="8">
        <f t="shared" si="1"/>
        <v>2029</v>
      </c>
      <c r="K6" s="8">
        <f t="shared" si="1"/>
        <v>2030</v>
      </c>
      <c r="L6" s="8">
        <f t="shared" si="1"/>
        <v>2031</v>
      </c>
      <c r="M6" s="8">
        <f t="shared" si="1"/>
        <v>2032</v>
      </c>
      <c r="N6" s="8">
        <f t="shared" si="1"/>
        <v>2033</v>
      </c>
      <c r="O6" s="8">
        <f t="shared" si="1"/>
        <v>2034</v>
      </c>
      <c r="P6" s="8">
        <f t="shared" si="1"/>
        <v>2035</v>
      </c>
      <c r="Q6" s="8">
        <f t="shared" si="1"/>
        <v>2036</v>
      </c>
      <c r="R6" s="8">
        <f t="shared" si="1"/>
        <v>2037</v>
      </c>
      <c r="S6" s="8">
        <f t="shared" si="1"/>
        <v>2038</v>
      </c>
      <c r="T6" s="8">
        <f t="shared" si="1"/>
        <v>2039</v>
      </c>
      <c r="U6" s="8">
        <f t="shared" si="1"/>
        <v>2040</v>
      </c>
      <c r="V6" s="8">
        <f t="shared" si="1"/>
        <v>2041</v>
      </c>
      <c r="W6" s="8">
        <f t="shared" si="1"/>
        <v>2042</v>
      </c>
      <c r="X6" s="8">
        <f t="shared" si="1"/>
        <v>2043</v>
      </c>
      <c r="Y6" s="8">
        <f t="shared" si="1"/>
        <v>2044</v>
      </c>
      <c r="Z6" s="8">
        <f t="shared" si="1"/>
        <v>2045</v>
      </c>
      <c r="AA6" s="8">
        <f t="shared" si="1"/>
        <v>2046</v>
      </c>
    </row>
    <row r="7" spans="1:27" ht="5.25" customHeight="1" x14ac:dyDescent="0.3"/>
    <row r="8" spans="1:27" x14ac:dyDescent="0.3">
      <c r="A8" s="1" t="str">
        <f>'Inputs &amp; Summary'!B61</f>
        <v>Mornington: Do nothing</v>
      </c>
    </row>
    <row r="9" spans="1:27" ht="6" customHeight="1" x14ac:dyDescent="0.3">
      <c r="A9" s="1"/>
    </row>
    <row r="10" spans="1:27" x14ac:dyDescent="0.3">
      <c r="A10" s="13" t="s">
        <v>7</v>
      </c>
      <c r="B10" s="48">
        <f>+'M. Opt0'!B52</f>
        <v>201.06992458203445</v>
      </c>
      <c r="C10" s="48">
        <f>+'M. Opt0'!C52</f>
        <v>203.11582773735324</v>
      </c>
      <c r="D10" s="48">
        <f>+'M. Opt0'!D52</f>
        <v>205.18464500801159</v>
      </c>
      <c r="E10" s="48">
        <f>+'M. Opt0'!E52</f>
        <v>207.27663303210136</v>
      </c>
      <c r="F10" s="48">
        <f>+'M. Opt0'!F52</f>
        <v>209.39205132206092</v>
      </c>
      <c r="G10" s="48">
        <f>+'M. Opt0'!G52</f>
        <v>211.53116229686799</v>
      </c>
      <c r="H10" s="48">
        <f>+'M. Opt0'!H52</f>
        <v>213.69423131459294</v>
      </c>
      <c r="I10" s="48">
        <f>+'M. Opt0'!I52</f>
        <v>215.88152670531642</v>
      </c>
      <c r="J10" s="48">
        <f>+'M. Opt0'!J52</f>
        <v>218.09331980441596</v>
      </c>
      <c r="K10" s="48">
        <f>+'M. Opt0'!K52</f>
        <v>220.32988498622544</v>
      </c>
      <c r="L10" s="48">
        <f>+'M. Opt0'!L52</f>
        <v>222.59149969807117</v>
      </c>
      <c r="M10" s="48">
        <f>+'M. Opt0'!M52</f>
        <v>224.87844449468957</v>
      </c>
      <c r="N10" s="48">
        <f>+'M. Opt0'!N52</f>
        <v>227.19100307303009</v>
      </c>
      <c r="O10" s="48">
        <f>+'M. Opt0'!O52</f>
        <v>229.52946230744806</v>
      </c>
      <c r="P10" s="48">
        <f>+'M. Opt0'!P52</f>
        <v>231.8941122852915</v>
      </c>
      <c r="Q10" s="48">
        <f>+'M. Opt0'!Q52</f>
        <v>234.28524634288681</v>
      </c>
      <c r="R10" s="48">
        <f>+'M. Opt0'!R52</f>
        <v>236.70316110192712</v>
      </c>
      <c r="S10" s="48">
        <f>+'M. Opt0'!S52</f>
        <v>239.14815650626872</v>
      </c>
      <c r="T10" s="48">
        <f>+'M. Opt0'!T52</f>
        <v>241.62053585913895</v>
      </c>
      <c r="U10" s="48">
        <f>+'M. Opt0'!U52</f>
        <v>244.12060586076132</v>
      </c>
      <c r="V10" s="48">
        <f>+'M. Opt0'!V52</f>
        <v>246.64867664640187</v>
      </c>
      <c r="W10" s="48">
        <f>+'M. Opt0'!W52</f>
        <v>249.20506182484158</v>
      </c>
      <c r="X10" s="48">
        <f>+'M. Opt0'!X52</f>
        <v>251.79007851727982</v>
      </c>
      <c r="Y10" s="48">
        <f>+'M. Opt0'!Y52</f>
        <v>254.40404739667341</v>
      </c>
      <c r="Z10" s="48">
        <f>+'M. Opt0'!Z52</f>
        <v>257.04729272751609</v>
      </c>
      <c r="AA10" s="48">
        <f>+'M. Opt0'!AA52</f>
        <v>259.72014240606438</v>
      </c>
    </row>
    <row r="11" spans="1:27" x14ac:dyDescent="0.3">
      <c r="A11" s="13" t="s">
        <v>8</v>
      </c>
      <c r="B11" s="48">
        <f>+'M. Opt0'!B87</f>
        <v>302.74792458203444</v>
      </c>
      <c r="C11" s="48">
        <f>+'M. Opt0'!C87</f>
        <v>306.24130133735326</v>
      </c>
      <c r="D11" s="48">
        <f>+'M. Opt0'!D87</f>
        <v>309.77503511233158</v>
      </c>
      <c r="E11" s="48">
        <f>+'M. Opt0'!E87</f>
        <v>313.34959267998971</v>
      </c>
      <c r="F11" s="48">
        <f>+'M. Opt0'!F87</f>
        <v>316.96544621849841</v>
      </c>
      <c r="G11" s="48">
        <f>+'M. Opt0'!G87</f>
        <v>320.62307337384431</v>
      </c>
      <c r="H11" s="48">
        <f>+'M. Opt0'!H87</f>
        <v>324.32295732322245</v>
      </c>
      <c r="I11" s="48">
        <f>+'M. Opt0'!I87</f>
        <v>328.06558683916484</v>
      </c>
      <c r="J11" s="48">
        <f>+'M. Opt0'!J87</f>
        <v>331.85145635441273</v>
      </c>
      <c r="K11" s="48">
        <f>+'M. Opt0'!K87</f>
        <v>335.68106602754324</v>
      </c>
      <c r="L11" s="48">
        <f>+'M. Opt0'!L87</f>
        <v>339.5549218093563</v>
      </c>
      <c r="M11" s="48">
        <f>+'M. Opt0'!M87</f>
        <v>343.47353551003334</v>
      </c>
      <c r="N11" s="48">
        <f>+'M. Opt0'!N87</f>
        <v>347.43742486707492</v>
      </c>
      <c r="O11" s="48">
        <f>+'M. Opt0'!O87</f>
        <v>351.44711361402727</v>
      </c>
      <c r="P11" s="48">
        <f>+'M. Opt0'!P87</f>
        <v>355.5031315500068</v>
      </c>
      <c r="Q11" s="48">
        <f>+'M. Opt0'!Q87</f>
        <v>359.60601461003148</v>
      </c>
      <c r="R11" s="48">
        <f>+'M. Opt0'!R87</f>
        <v>363.75630493616819</v>
      </c>
      <c r="S11" s="48">
        <f>+'M. Opt0'!S87</f>
        <v>367.95455094950773</v>
      </c>
      <c r="T11" s="48">
        <f>+'M. Opt0'!T87</f>
        <v>372.2013074229734</v>
      </c>
      <c r="U11" s="48">
        <f>+'M. Opt0'!U87</f>
        <v>376.49713555497584</v>
      </c>
      <c r="V11" s="48">
        <f>+'M. Opt0'!V87</f>
        <v>380.84260304392308</v>
      </c>
      <c r="W11" s="48">
        <f>+'M. Opt0'!W87</f>
        <v>385.23828416359527</v>
      </c>
      <c r="X11" s="48">
        <f>+'M. Opt0'!X87</f>
        <v>389.68475983939476</v>
      </c>
      <c r="Y11" s="48">
        <f>+'M. Opt0'!Y87</f>
        <v>394.18261772548129</v>
      </c>
      <c r="Z11" s="48">
        <f>+'M. Opt0'!Z87</f>
        <v>398.73245228280257</v>
      </c>
      <c r="AA11" s="48">
        <f>+'M. Opt0'!AA87</f>
        <v>403.33486485803138</v>
      </c>
    </row>
    <row r="12" spans="1:27" x14ac:dyDescent="0.3">
      <c r="A12" s="13" t="s">
        <v>9</v>
      </c>
      <c r="B12" s="48">
        <f>+'M. Opt0'!B126</f>
        <v>245.21</v>
      </c>
      <c r="C12" s="48">
        <f>+'M. Opt0'!C126</f>
        <v>247.08500000000001</v>
      </c>
      <c r="D12" s="48">
        <f>+'M. Opt0'!D126</f>
        <v>249.00687500000001</v>
      </c>
      <c r="E12" s="48">
        <f>+'M. Opt0'!E126</f>
        <v>250.97679687499999</v>
      </c>
      <c r="F12" s="48">
        <f>+'M. Opt0'!F126</f>
        <v>352.995966796875</v>
      </c>
      <c r="G12" s="48">
        <f>+'M. Opt0'!G126</f>
        <v>255.06561596679686</v>
      </c>
      <c r="H12" s="48">
        <f>+'M. Opt0'!H126</f>
        <v>257.18700636596679</v>
      </c>
      <c r="I12" s="48">
        <f>+'M. Opt0'!I126</f>
        <v>259.36143152511596</v>
      </c>
      <c r="J12" s="48">
        <f>+'M. Opt0'!J126</f>
        <v>261.59021731324384</v>
      </c>
      <c r="K12" s="48">
        <f>+'M. Opt0'!K126</f>
        <v>263.87472274607489</v>
      </c>
      <c r="L12" s="48">
        <f>+'M. Opt0'!L126</f>
        <v>266.21634081472678</v>
      </c>
      <c r="M12" s="48">
        <f>+'M. Opt0'!M126</f>
        <v>268.61649933509494</v>
      </c>
      <c r="N12" s="48">
        <f>+'M. Opt0'!N126</f>
        <v>271.0766618184723</v>
      </c>
      <c r="O12" s="48">
        <f>+'M. Opt0'!O126</f>
        <v>273.59832836393412</v>
      </c>
      <c r="P12" s="48">
        <f>+'M. Opt0'!P126</f>
        <v>276.1830365730325</v>
      </c>
      <c r="Q12" s="48">
        <f>+'M. Opt0'!Q126</f>
        <v>278.8323624873583</v>
      </c>
      <c r="R12" s="48">
        <f>+'M. Opt0'!R126</f>
        <v>281.54792154954225</v>
      </c>
      <c r="S12" s="48">
        <f>+'M. Opt0'!S126</f>
        <v>284.33136958828078</v>
      </c>
      <c r="T12" s="48">
        <f>+'M. Opt0'!T126</f>
        <v>287.18440382798781</v>
      </c>
      <c r="U12" s="48">
        <f>+'M. Opt0'!U126</f>
        <v>290.10876392368749</v>
      </c>
      <c r="V12" s="48">
        <f>+'M. Opt0'!V126</f>
        <v>293.10623302177964</v>
      </c>
      <c r="W12" s="48">
        <f>+'M. Opt0'!W126</f>
        <v>296.17863884732412</v>
      </c>
      <c r="X12" s="48">
        <f>+'M. Opt0'!X126</f>
        <v>299.32785481850726</v>
      </c>
      <c r="Y12" s="48">
        <f>+'M. Opt0'!Y126</f>
        <v>302.55580118896995</v>
      </c>
      <c r="Z12" s="48">
        <f>+'M. Opt0'!Z126</f>
        <v>305.86444621869418</v>
      </c>
      <c r="AA12" s="48">
        <f>+'M. Opt0'!AA126</f>
        <v>309.25580737416152</v>
      </c>
    </row>
    <row r="13" spans="1:27" x14ac:dyDescent="0.3">
      <c r="A13" s="13" t="s">
        <v>439</v>
      </c>
      <c r="B13" s="48">
        <f>+'M. Opt0'!B150</f>
        <v>418.5</v>
      </c>
      <c r="C13" s="48">
        <f>+'M. Opt0'!C150</f>
        <v>423.52199999999993</v>
      </c>
      <c r="D13" s="48">
        <f>+'M. Opt0'!D150</f>
        <v>428.60426399999994</v>
      </c>
      <c r="E13" s="48">
        <f>+'M. Opt0'!E150</f>
        <v>433.74751516800001</v>
      </c>
      <c r="F13" s="48">
        <f>+'M. Opt0'!F150</f>
        <v>438.95248535001599</v>
      </c>
      <c r="G13" s="48">
        <f>+'M. Opt0'!G150</f>
        <v>444.21991517421623</v>
      </c>
      <c r="H13" s="48">
        <f>+'M. Opt0'!H150</f>
        <v>449.5505541563067</v>
      </c>
      <c r="I13" s="48">
        <f>+'M. Opt0'!I150</f>
        <v>454.94516080618246</v>
      </c>
      <c r="J13" s="48">
        <f>+'M. Opt0'!J150</f>
        <v>460.40450273585668</v>
      </c>
      <c r="K13" s="48">
        <f>+'M. Opt0'!K150</f>
        <v>465.92935676868689</v>
      </c>
      <c r="L13" s="48">
        <f>+'M. Opt0'!L150</f>
        <v>471.52050904991114</v>
      </c>
      <c r="M13" s="48">
        <f>+'M. Opt0'!M150</f>
        <v>477.17875515851006</v>
      </c>
      <c r="N13" s="48">
        <f>+'M. Opt0'!N150</f>
        <v>482.90490022041217</v>
      </c>
      <c r="O13" s="48">
        <f>+'M. Opt0'!O150</f>
        <v>488.69975902305708</v>
      </c>
      <c r="P13" s="48">
        <f>+'M. Opt0'!P150</f>
        <v>494.56415613133379</v>
      </c>
      <c r="Q13" s="48">
        <f>+'M. Opt0'!Q150</f>
        <v>500.49892600490989</v>
      </c>
      <c r="R13" s="48">
        <f>+'M. Opt0'!R150</f>
        <v>506.50491311696874</v>
      </c>
      <c r="S13" s="48">
        <f>+'M. Opt0'!S150</f>
        <v>512.58297207437249</v>
      </c>
      <c r="T13" s="48">
        <f>+'M. Opt0'!T150</f>
        <v>518.73396773926481</v>
      </c>
      <c r="U13" s="48">
        <f>+'M. Opt0'!U150</f>
        <v>524.95877535213606</v>
      </c>
      <c r="V13" s="48">
        <f>+'M. Opt0'!V150</f>
        <v>531.25828065636165</v>
      </c>
      <c r="W13" s="48">
        <f>+'M. Opt0'!W150</f>
        <v>537.63338002423802</v>
      </c>
      <c r="X13" s="48">
        <f>+'M. Opt0'!X150</f>
        <v>544.08498058452881</v>
      </c>
      <c r="Y13" s="48">
        <f>+'M. Opt0'!Y150</f>
        <v>550.61400035154327</v>
      </c>
      <c r="Z13" s="48">
        <f>+'M. Opt0'!Z150</f>
        <v>557.22136835576168</v>
      </c>
      <c r="AA13" s="48">
        <f>+'M. Opt0'!AA150</f>
        <v>563.90802477603074</v>
      </c>
    </row>
    <row r="14" spans="1:27" x14ac:dyDescent="0.3">
      <c r="A14" s="13" t="s">
        <v>10</v>
      </c>
      <c r="B14" s="48">
        <f>+'M. Opt0'!B176</f>
        <v>283.42</v>
      </c>
      <c r="C14" s="48">
        <f>+'M. Opt0'!C176</f>
        <v>283.42</v>
      </c>
      <c r="D14" s="48">
        <f>+'M. Opt0'!D176</f>
        <v>283.42</v>
      </c>
      <c r="E14" s="48">
        <f>+'M. Opt0'!E176</f>
        <v>283.42</v>
      </c>
      <c r="F14" s="48">
        <f>+'M. Opt0'!F176</f>
        <v>283.42</v>
      </c>
      <c r="G14" s="48">
        <f>+'M. Opt0'!G176</f>
        <v>283.42</v>
      </c>
      <c r="H14" s="48">
        <f>+'M. Opt0'!H176</f>
        <v>283.42</v>
      </c>
      <c r="I14" s="48">
        <f>+'M. Opt0'!I176</f>
        <v>283.42</v>
      </c>
      <c r="J14" s="48">
        <f>+'M. Opt0'!J176</f>
        <v>283.42</v>
      </c>
      <c r="K14" s="48">
        <f>+'M. Opt0'!K176</f>
        <v>283.42</v>
      </c>
      <c r="L14" s="48">
        <f>+'M. Opt0'!L176</f>
        <v>283.42</v>
      </c>
      <c r="M14" s="48">
        <f>+'M. Opt0'!M176</f>
        <v>283.42</v>
      </c>
      <c r="N14" s="48">
        <f>+'M. Opt0'!N176</f>
        <v>283.42</v>
      </c>
      <c r="O14" s="48">
        <f>+'M. Opt0'!O176</f>
        <v>283.42</v>
      </c>
      <c r="P14" s="48">
        <f>+'M. Opt0'!P176</f>
        <v>283.42</v>
      </c>
      <c r="Q14" s="48">
        <f>+'M. Opt0'!Q176</f>
        <v>283.42</v>
      </c>
      <c r="R14" s="48">
        <f>+'M. Opt0'!R176</f>
        <v>283.42</v>
      </c>
      <c r="S14" s="48">
        <f>+'M. Opt0'!S176</f>
        <v>283.42</v>
      </c>
      <c r="T14" s="48">
        <f>+'M. Opt0'!T176</f>
        <v>283.42</v>
      </c>
      <c r="U14" s="48">
        <f>+'M. Opt0'!U176</f>
        <v>283.42</v>
      </c>
      <c r="V14" s="48">
        <f>+'M. Opt0'!V176</f>
        <v>283.42</v>
      </c>
      <c r="W14" s="48">
        <f>+'M. Opt0'!W176</f>
        <v>283.42</v>
      </c>
      <c r="X14" s="48">
        <f>+'M. Opt0'!X176</f>
        <v>283.42</v>
      </c>
      <c r="Y14" s="48">
        <f>+'M. Opt0'!Y176</f>
        <v>283.42</v>
      </c>
      <c r="Z14" s="48">
        <f>+'M. Opt0'!Z176</f>
        <v>283.42</v>
      </c>
      <c r="AA14" s="48">
        <f>+'M. Opt0'!AA176</f>
        <v>283.42</v>
      </c>
    </row>
    <row r="15" spans="1:27" x14ac:dyDescent="0.3">
      <c r="A15" s="13" t="s">
        <v>35</v>
      </c>
      <c r="B15" s="48">
        <f>+'M. Opt0'!B197</f>
        <v>128.25</v>
      </c>
      <c r="C15" s="48">
        <f>+'M. Opt0'!C197</f>
        <v>129.78899999999999</v>
      </c>
      <c r="D15" s="48">
        <f>+'M. Opt0'!D197</f>
        <v>131.34646799999999</v>
      </c>
      <c r="E15" s="48">
        <f>+'M. Opt0'!E197</f>
        <v>132.922625616</v>
      </c>
      <c r="F15" s="48">
        <f>+'M. Opt0'!F197</f>
        <v>134.517697123392</v>
      </c>
      <c r="G15" s="48">
        <f>+'M. Opt0'!G197</f>
        <v>136.13190948887271</v>
      </c>
      <c r="H15" s="48">
        <f>+'M. Opt0'!H197</f>
        <v>137.76549240273914</v>
      </c>
      <c r="I15" s="48">
        <f>+'M. Opt0'!I197</f>
        <v>139.41867831157205</v>
      </c>
      <c r="J15" s="48">
        <f>+'M. Opt0'!J197</f>
        <v>141.09170245131091</v>
      </c>
      <c r="K15" s="48">
        <f>+'M. Opt0'!K197</f>
        <v>142.78480288072663</v>
      </c>
      <c r="L15" s="48">
        <f>+'M. Opt0'!L197</f>
        <v>144.49822051529534</v>
      </c>
      <c r="M15" s="48">
        <f>+'M. Opt0'!M197</f>
        <v>146.23219916147889</v>
      </c>
      <c r="N15" s="48">
        <f>+'M. Opt0'!N197</f>
        <v>147.98698555141664</v>
      </c>
      <c r="O15" s="48">
        <f>+'M. Opt0'!O197</f>
        <v>149.76282937803362</v>
      </c>
      <c r="P15" s="48">
        <f>+'M. Opt0'!P197</f>
        <v>151.55998333057002</v>
      </c>
      <c r="Q15" s="48">
        <f>+'M. Opt0'!Q197</f>
        <v>153.37870313053691</v>
      </c>
      <c r="R15" s="48">
        <f>+'M. Opt0'!R197</f>
        <v>155.21924756810333</v>
      </c>
      <c r="S15" s="48">
        <f>+'M. Opt0'!S197</f>
        <v>157.08187853892059</v>
      </c>
      <c r="T15" s="48">
        <f>+'M. Opt0'!T197</f>
        <v>158.96686108138761</v>
      </c>
      <c r="U15" s="48">
        <f>+'M. Opt0'!U197</f>
        <v>160.87446341436427</v>
      </c>
      <c r="V15" s="48">
        <f>+'M. Opt0'!V197</f>
        <v>162.80495697533664</v>
      </c>
      <c r="W15" s="48">
        <f>+'M. Opt0'!W197</f>
        <v>164.7586164590407</v>
      </c>
      <c r="X15" s="48">
        <f>+'M. Opt0'!X197</f>
        <v>166.73571985654914</v>
      </c>
      <c r="Y15" s="48">
        <f>+'M. Opt0'!Y197</f>
        <v>168.73654849482779</v>
      </c>
      <c r="Z15" s="48">
        <f>+'M. Opt0'!Z197</f>
        <v>170.76138707676569</v>
      </c>
      <c r="AA15" s="48">
        <f>+'M. Opt0'!AA197</f>
        <v>172.81052372168685</v>
      </c>
    </row>
    <row r="16" spans="1:27" x14ac:dyDescent="0.3">
      <c r="A16" s="1" t="s">
        <v>11</v>
      </c>
      <c r="B16" s="16">
        <f t="shared" ref="B16:AA16" si="2">+SUM(B10:B15)</f>
        <v>1579.1978491640689</v>
      </c>
      <c r="C16" s="16">
        <f t="shared" si="2"/>
        <v>1593.1731290747064</v>
      </c>
      <c r="D16" s="16">
        <f t="shared" si="2"/>
        <v>1607.337287120343</v>
      </c>
      <c r="E16" s="16">
        <f t="shared" si="2"/>
        <v>1621.6931633710913</v>
      </c>
      <c r="F16" s="16">
        <f t="shared" si="2"/>
        <v>1736.2436468108424</v>
      </c>
      <c r="G16" s="16">
        <f t="shared" si="2"/>
        <v>1650.9916763005981</v>
      </c>
      <c r="H16" s="16">
        <f t="shared" si="2"/>
        <v>1665.9402415628283</v>
      </c>
      <c r="I16" s="16">
        <f t="shared" si="2"/>
        <v>1681.0923841873516</v>
      </c>
      <c r="J16" s="16">
        <f t="shared" si="2"/>
        <v>1696.4511986592402</v>
      </c>
      <c r="K16" s="16">
        <f t="shared" si="2"/>
        <v>1712.0198334092572</v>
      </c>
      <c r="L16" s="16">
        <f t="shared" si="2"/>
        <v>1727.8014918873607</v>
      </c>
      <c r="M16" s="16">
        <f t="shared" si="2"/>
        <v>1743.7994336598067</v>
      </c>
      <c r="N16" s="16">
        <f t="shared" si="2"/>
        <v>1760.0169755304062</v>
      </c>
      <c r="O16" s="16">
        <f t="shared" si="2"/>
        <v>1776.4574926865002</v>
      </c>
      <c r="P16" s="16">
        <f t="shared" si="2"/>
        <v>1793.1244198702348</v>
      </c>
      <c r="Q16" s="16">
        <f t="shared" si="2"/>
        <v>1810.0212525757233</v>
      </c>
      <c r="R16" s="16">
        <f t="shared" si="2"/>
        <v>1827.1515482727098</v>
      </c>
      <c r="S16" s="16">
        <f t="shared" si="2"/>
        <v>1844.5189276573503</v>
      </c>
      <c r="T16" s="16">
        <f t="shared" si="2"/>
        <v>1862.1270759307527</v>
      </c>
      <c r="U16" s="16">
        <f t="shared" si="2"/>
        <v>1879.9797441059252</v>
      </c>
      <c r="V16" s="16">
        <f t="shared" si="2"/>
        <v>1898.0807503438029</v>
      </c>
      <c r="W16" s="16">
        <f t="shared" si="2"/>
        <v>1916.4339813190397</v>
      </c>
      <c r="X16" s="16">
        <f t="shared" si="2"/>
        <v>1935.0433936162599</v>
      </c>
      <c r="Y16" s="16">
        <f t="shared" si="2"/>
        <v>1953.9130151574959</v>
      </c>
      <c r="Z16" s="16">
        <f t="shared" si="2"/>
        <v>1973.0469466615402</v>
      </c>
      <c r="AA16" s="16">
        <f t="shared" si="2"/>
        <v>1992.4493631359751</v>
      </c>
    </row>
    <row r="17" spans="1:27" x14ac:dyDescent="0.3">
      <c r="A17" s="50" t="s">
        <v>74</v>
      </c>
      <c r="B17" s="51">
        <f>NPV(B4,C16:AA16)+B16</f>
        <v>33173.146478143295</v>
      </c>
      <c r="C17" s="364" t="s">
        <v>396</v>
      </c>
      <c r="D17" s="365">
        <f>SUM(B16:AA16)-SUM('M. Opt0'!B14:AA14)</f>
        <v>0</v>
      </c>
      <c r="E17" s="12"/>
      <c r="F17" s="12"/>
      <c r="G17" s="12"/>
      <c r="H17" s="12"/>
      <c r="I17" s="12"/>
      <c r="J17" s="12"/>
      <c r="K17" s="12"/>
      <c r="L17" s="12"/>
      <c r="M17" s="12"/>
      <c r="N17" s="12"/>
      <c r="O17" s="12"/>
      <c r="P17" s="12"/>
      <c r="Q17" s="12"/>
      <c r="R17" s="12"/>
      <c r="S17" s="12"/>
      <c r="T17" s="12"/>
      <c r="U17" s="12"/>
      <c r="V17" s="12"/>
      <c r="W17" s="12"/>
      <c r="X17" s="12"/>
      <c r="Y17" s="12"/>
      <c r="Z17" s="12"/>
      <c r="AA17" s="12"/>
    </row>
    <row r="18" spans="1:27" ht="5.25" customHeight="1" x14ac:dyDescent="0.3">
      <c r="A18" s="49"/>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x14ac:dyDescent="0.3">
      <c r="A19" s="1" t="str">
        <f>'Inputs &amp; Summary'!B62</f>
        <v>Mornington: Redevelop existing site</v>
      </c>
    </row>
    <row r="20" spans="1:27" x14ac:dyDescent="0.3">
      <c r="A20" s="13" t="s">
        <v>12</v>
      </c>
      <c r="B20" s="48">
        <f>+'M. Opt1'!B10</f>
        <v>0</v>
      </c>
      <c r="C20" s="48">
        <f>+'M. Opt1'!C10</f>
        <v>0</v>
      </c>
      <c r="D20" s="48">
        <f>+'M. Opt1'!D10</f>
        <v>0</v>
      </c>
      <c r="E20" s="48">
        <f>+'M. Opt1'!E10</f>
        <v>0</v>
      </c>
      <c r="F20" s="48">
        <f>+'M. Opt1'!F10</f>
        <v>4880</v>
      </c>
      <c r="G20" s="48">
        <f>+'M. Opt1'!G10</f>
        <v>7320</v>
      </c>
      <c r="H20" s="48">
        <f>+'M. Opt1'!H10</f>
        <v>0</v>
      </c>
      <c r="I20" s="48">
        <f>+'M. Opt1'!I10</f>
        <v>0</v>
      </c>
      <c r="J20" s="48">
        <f>+'M. Opt1'!J10</f>
        <v>0</v>
      </c>
      <c r="K20" s="48">
        <f>+'M. Opt1'!K10</f>
        <v>0</v>
      </c>
      <c r="L20" s="48">
        <f>+'M. Opt1'!L10</f>
        <v>0</v>
      </c>
      <c r="M20" s="48">
        <f>+'M. Opt1'!M10</f>
        <v>0</v>
      </c>
      <c r="N20" s="48">
        <f>+'M. Opt1'!N10</f>
        <v>0</v>
      </c>
      <c r="O20" s="48">
        <f>+'M. Opt1'!O10</f>
        <v>0</v>
      </c>
      <c r="P20" s="48">
        <f>+'M. Opt1'!P10</f>
        <v>0</v>
      </c>
      <c r="Q20" s="48">
        <f>+'M. Opt1'!Q10</f>
        <v>0</v>
      </c>
      <c r="R20" s="48">
        <f>+'M. Opt1'!R10</f>
        <v>0</v>
      </c>
      <c r="S20" s="48">
        <f>+'M. Opt1'!S10</f>
        <v>0</v>
      </c>
      <c r="T20" s="48">
        <f>+'M. Opt1'!T10</f>
        <v>0</v>
      </c>
      <c r="U20" s="48">
        <f>+'M. Opt1'!U10</f>
        <v>0</v>
      </c>
      <c r="V20" s="48">
        <f>+'M. Opt1'!V10</f>
        <v>0</v>
      </c>
      <c r="W20" s="48">
        <f>+'M. Opt1'!W10</f>
        <v>0</v>
      </c>
      <c r="X20" s="48">
        <f>+'M. Opt1'!X10</f>
        <v>0</v>
      </c>
      <c r="Y20" s="48">
        <f>+'M. Opt1'!Y10</f>
        <v>0</v>
      </c>
      <c r="Z20" s="48">
        <f>+'M. Opt1'!Z10</f>
        <v>0</v>
      </c>
      <c r="AA20" s="48">
        <f>+'M. Opt1'!AA10</f>
        <v>0</v>
      </c>
    </row>
    <row r="21" spans="1:27" x14ac:dyDescent="0.3">
      <c r="A21" t="s">
        <v>125</v>
      </c>
      <c r="B21" s="48">
        <f>+'M. Opt1'!B11</f>
        <v>1579.1978491640689</v>
      </c>
      <c r="C21" s="48">
        <f>+'M. Opt1'!C11</f>
        <v>1593.1731290747064</v>
      </c>
      <c r="D21" s="48">
        <f>+'M. Opt1'!D11</f>
        <v>1607.337287120343</v>
      </c>
      <c r="E21" s="48">
        <f>+'M. Opt1'!E11</f>
        <v>1621.6931633710913</v>
      </c>
      <c r="F21" s="48">
        <f>+'M. Opt1'!F11</f>
        <v>1636.2436468108424</v>
      </c>
      <c r="G21" s="48">
        <f>+'M. Opt1'!G11</f>
        <v>1650.9916763005981</v>
      </c>
      <c r="H21" s="48">
        <f>+'M. Opt1'!H11</f>
        <v>0</v>
      </c>
      <c r="I21" s="48">
        <f>+'M. Opt1'!I11</f>
        <v>0</v>
      </c>
      <c r="J21" s="48">
        <f>+'M. Opt1'!J11</f>
        <v>0</v>
      </c>
      <c r="K21" s="48">
        <f>+'M. Opt1'!K11</f>
        <v>0</v>
      </c>
      <c r="L21" s="48">
        <f>+'M. Opt1'!L11</f>
        <v>0</v>
      </c>
      <c r="M21" s="48">
        <f>+'M. Opt1'!M11</f>
        <v>0</v>
      </c>
      <c r="N21" s="48">
        <f>+'M. Opt1'!N11</f>
        <v>0</v>
      </c>
      <c r="O21" s="48">
        <f>+'M. Opt1'!O11</f>
        <v>0</v>
      </c>
      <c r="P21" s="48">
        <f>+'M. Opt1'!P11</f>
        <v>0</v>
      </c>
      <c r="Q21" s="48">
        <f>+'M. Opt1'!Q11</f>
        <v>0</v>
      </c>
      <c r="R21" s="48">
        <f>+'M. Opt1'!R11</f>
        <v>0</v>
      </c>
      <c r="S21" s="48">
        <f>+'M. Opt1'!S11</f>
        <v>0</v>
      </c>
      <c r="T21" s="48">
        <f>+'M. Opt1'!T11</f>
        <v>0</v>
      </c>
      <c r="U21" s="48">
        <f>+'M. Opt1'!U11</f>
        <v>0</v>
      </c>
      <c r="V21" s="48">
        <f>+'M. Opt1'!V11</f>
        <v>0</v>
      </c>
      <c r="W21" s="48">
        <f>+'M. Opt1'!W11</f>
        <v>0</v>
      </c>
      <c r="X21" s="48">
        <f>+'M. Opt1'!X11</f>
        <v>0</v>
      </c>
      <c r="Y21" s="48">
        <f>+'M. Opt1'!Y11</f>
        <v>0</v>
      </c>
      <c r="Z21" s="48">
        <f>+'M. Opt1'!Z11</f>
        <v>0</v>
      </c>
      <c r="AA21" s="48">
        <f>+'M. Opt1'!AA11</f>
        <v>0</v>
      </c>
    </row>
    <row r="22" spans="1:27" s="12" customFormat="1" x14ac:dyDescent="0.3">
      <c r="A22" s="78" t="s">
        <v>126</v>
      </c>
      <c r="B22" s="79">
        <f>+'M. Opt1'!B12</f>
        <v>0</v>
      </c>
      <c r="C22" s="79">
        <f>+'M. Opt1'!C12</f>
        <v>0</v>
      </c>
      <c r="D22" s="79">
        <f>+'M. Opt1'!D12</f>
        <v>0</v>
      </c>
      <c r="E22" s="79">
        <f>+'M. Opt1'!E12</f>
        <v>0</v>
      </c>
      <c r="F22" s="79">
        <f>+'M. Opt1'!F12</f>
        <v>0</v>
      </c>
      <c r="G22" s="79">
        <f>+'M. Opt1'!G12</f>
        <v>0</v>
      </c>
      <c r="H22" s="79">
        <f>+'M. Opt1'!H12</f>
        <v>667.38268104055453</v>
      </c>
      <c r="I22" s="79">
        <f>+'M. Opt1'!I12</f>
        <v>674.96579185605333</v>
      </c>
      <c r="J22" s="79">
        <f>+'M. Opt1'!J12</f>
        <v>682.63647861013953</v>
      </c>
      <c r="K22" s="79">
        <f>+'M. Opt1'!K12</f>
        <v>690.39575389449533</v>
      </c>
      <c r="L22" s="79">
        <f>+'M. Opt1'!L12</f>
        <v>698.24464202272281</v>
      </c>
      <c r="M22" s="79">
        <f>+'M. Opt1'!M12</f>
        <v>706.18417916620183</v>
      </c>
      <c r="N22" s="79">
        <f>+'M. Opt1'!N12</f>
        <v>714.21541349152164</v>
      </c>
      <c r="O22" s="79">
        <f>+'M. Opt1'!O12</f>
        <v>722.33940529950894</v>
      </c>
      <c r="P22" s="79">
        <f>+'M. Opt1'!P12</f>
        <v>730.55722716586831</v>
      </c>
      <c r="Q22" s="79">
        <f>+'M. Opt1'!Q12</f>
        <v>738.86996408345522</v>
      </c>
      <c r="R22" s="79">
        <f>+'M. Opt1'!R12</f>
        <v>747.27871360619861</v>
      </c>
      <c r="S22" s="79">
        <f>+'M. Opt1'!S12</f>
        <v>755.78458599469707</v>
      </c>
      <c r="T22" s="79">
        <f>+'M. Opt1'!T12</f>
        <v>764.38870436349998</v>
      </c>
      <c r="U22" s="79">
        <f>+'M. Opt1'!U12</f>
        <v>773.09220483010142</v>
      </c>
      <c r="V22" s="79">
        <f>+'M. Opt1'!V12</f>
        <v>781.89623666566149</v>
      </c>
      <c r="W22" s="79">
        <f>+'M. Opt1'!W12</f>
        <v>790.80196244747754</v>
      </c>
      <c r="X22" s="79">
        <f>+'M. Opt1'!X12</f>
        <v>799.81055821322377</v>
      </c>
      <c r="Y22" s="79">
        <f>+'M. Opt1'!Y12</f>
        <v>808.92321361698237</v>
      </c>
      <c r="Z22" s="79">
        <f>+'M. Opt1'!Z12</f>
        <v>818.14113208708432</v>
      </c>
      <c r="AA22" s="79">
        <f>+'M. Opt1'!AA12</f>
        <v>827.46553098578261</v>
      </c>
    </row>
    <row r="23" spans="1:27" x14ac:dyDescent="0.3">
      <c r="A23" s="1" t="s">
        <v>13</v>
      </c>
      <c r="B23" s="16">
        <f t="shared" ref="B23:AA23" si="3">+SUM(B20:B22)</f>
        <v>1579.1978491640689</v>
      </c>
      <c r="C23" s="16">
        <f t="shared" si="3"/>
        <v>1593.1731290747064</v>
      </c>
      <c r="D23" s="16">
        <f t="shared" si="3"/>
        <v>1607.337287120343</v>
      </c>
      <c r="E23" s="16">
        <f t="shared" si="3"/>
        <v>1621.6931633710913</v>
      </c>
      <c r="F23" s="16">
        <f t="shared" si="3"/>
        <v>6516.2436468108426</v>
      </c>
      <c r="G23" s="16">
        <f t="shared" si="3"/>
        <v>8970.9916763005986</v>
      </c>
      <c r="H23" s="16">
        <f t="shared" si="3"/>
        <v>667.38268104055453</v>
      </c>
      <c r="I23" s="16">
        <f t="shared" si="3"/>
        <v>674.96579185605333</v>
      </c>
      <c r="J23" s="16">
        <f t="shared" si="3"/>
        <v>682.63647861013953</v>
      </c>
      <c r="K23" s="16">
        <f t="shared" si="3"/>
        <v>690.39575389449533</v>
      </c>
      <c r="L23" s="16">
        <f t="shared" si="3"/>
        <v>698.24464202272281</v>
      </c>
      <c r="M23" s="16">
        <f t="shared" si="3"/>
        <v>706.18417916620183</v>
      </c>
      <c r="N23" s="16">
        <f t="shared" si="3"/>
        <v>714.21541349152164</v>
      </c>
      <c r="O23" s="16">
        <f t="shared" si="3"/>
        <v>722.33940529950894</v>
      </c>
      <c r="P23" s="16">
        <f t="shared" si="3"/>
        <v>730.55722716586831</v>
      </c>
      <c r="Q23" s="16">
        <f t="shared" si="3"/>
        <v>738.86996408345522</v>
      </c>
      <c r="R23" s="16">
        <f t="shared" si="3"/>
        <v>747.27871360619861</v>
      </c>
      <c r="S23" s="16">
        <f t="shared" si="3"/>
        <v>755.78458599469707</v>
      </c>
      <c r="T23" s="16">
        <f t="shared" si="3"/>
        <v>764.38870436349998</v>
      </c>
      <c r="U23" s="16">
        <f t="shared" si="3"/>
        <v>773.09220483010142</v>
      </c>
      <c r="V23" s="16">
        <f t="shared" si="3"/>
        <v>781.89623666566149</v>
      </c>
      <c r="W23" s="16">
        <f t="shared" si="3"/>
        <v>790.80196244747754</v>
      </c>
      <c r="X23" s="16">
        <f t="shared" si="3"/>
        <v>799.81055821322377</v>
      </c>
      <c r="Y23" s="16">
        <f t="shared" si="3"/>
        <v>808.92321361698237</v>
      </c>
      <c r="Z23" s="16">
        <f t="shared" si="3"/>
        <v>818.14113208708432</v>
      </c>
      <c r="AA23" s="16">
        <f t="shared" si="3"/>
        <v>827.46553098578261</v>
      </c>
    </row>
    <row r="24" spans="1:27" x14ac:dyDescent="0.3">
      <c r="A24" s="4" t="s">
        <v>73</v>
      </c>
      <c r="B24" s="51">
        <f>NPV(B4,C23:AA23)+B23</f>
        <v>29626.967058806647</v>
      </c>
      <c r="C24" s="364" t="s">
        <v>396</v>
      </c>
      <c r="D24" s="365">
        <f>SUM(B23:AA23)-SUM('M. Opt1'!B13:AA13)</f>
        <v>0</v>
      </c>
    </row>
    <row r="25" spans="1:27" ht="5.25" customHeight="1" x14ac:dyDescent="0.3">
      <c r="A25" s="49"/>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x14ac:dyDescent="0.3">
      <c r="A26" s="1" t="str">
        <f>'Inputs &amp; Summary'!B63</f>
        <v>Mornington: Purchase greenfield site</v>
      </c>
      <c r="B26" s="6"/>
      <c r="C26" s="6"/>
    </row>
    <row r="27" spans="1:27" x14ac:dyDescent="0.3">
      <c r="A27" s="13" t="s">
        <v>12</v>
      </c>
      <c r="B27" s="48">
        <f>+'M. Opt2'!B11</f>
        <v>0</v>
      </c>
      <c r="C27" s="48">
        <f>+'M. Opt2'!C11</f>
        <v>0</v>
      </c>
      <c r="D27" s="48">
        <f>+'M. Opt2'!D11</f>
        <v>0</v>
      </c>
      <c r="E27" s="48">
        <f>+'M. Opt2'!E11</f>
        <v>0</v>
      </c>
      <c r="F27" s="48">
        <f>+'M. Opt2'!F11</f>
        <v>6400</v>
      </c>
      <c r="G27" s="48">
        <f>+'M. Opt2'!G11</f>
        <v>9100</v>
      </c>
      <c r="H27" s="48">
        <f>+'M. Opt2'!H11</f>
        <v>0</v>
      </c>
      <c r="I27" s="48">
        <f>+'M. Opt2'!I11</f>
        <v>0</v>
      </c>
      <c r="J27" s="48">
        <f>+'M. Opt2'!J11</f>
        <v>0</v>
      </c>
      <c r="K27" s="48">
        <f>+'M. Opt2'!K11</f>
        <v>0</v>
      </c>
      <c r="L27" s="48">
        <f>+'M. Opt2'!L11</f>
        <v>0</v>
      </c>
      <c r="M27" s="48">
        <f>+'M. Opt2'!M11</f>
        <v>0</v>
      </c>
      <c r="N27" s="48">
        <f>+'M. Opt2'!N11</f>
        <v>0</v>
      </c>
      <c r="O27" s="48">
        <f>+'M. Opt2'!O11</f>
        <v>0</v>
      </c>
      <c r="P27" s="48">
        <f>+'M. Opt2'!P11</f>
        <v>0</v>
      </c>
      <c r="Q27" s="48">
        <f>+'M. Opt2'!Q11</f>
        <v>0</v>
      </c>
      <c r="R27" s="48">
        <f>+'M. Opt2'!R11</f>
        <v>0</v>
      </c>
      <c r="S27" s="48">
        <f>+'M. Opt2'!S11</f>
        <v>0</v>
      </c>
      <c r="T27" s="48">
        <f>+'M. Opt2'!T11</f>
        <v>0</v>
      </c>
      <c r="U27" s="48">
        <f>+'M. Opt2'!U11</f>
        <v>0</v>
      </c>
      <c r="V27" s="48">
        <f>+'M. Opt2'!V11</f>
        <v>0</v>
      </c>
      <c r="W27" s="48">
        <f>+'M. Opt2'!W11</f>
        <v>0</v>
      </c>
      <c r="X27" s="48">
        <f>+'M. Opt2'!X11</f>
        <v>0</v>
      </c>
      <c r="Y27" s="48">
        <f>+'M. Opt2'!Y11</f>
        <v>0</v>
      </c>
      <c r="Z27" s="48">
        <f>+'M. Opt2'!Z11</f>
        <v>0</v>
      </c>
      <c r="AA27" s="48">
        <f>+'M. Opt2'!AA11</f>
        <v>0</v>
      </c>
    </row>
    <row r="28" spans="1:27" x14ac:dyDescent="0.3">
      <c r="A28" t="s">
        <v>128</v>
      </c>
      <c r="B28" s="48">
        <f>+'M. Opt2'!B12</f>
        <v>1579.1978491640689</v>
      </c>
      <c r="C28" s="48">
        <f>+'M. Opt2'!C12</f>
        <v>1593.1731290747064</v>
      </c>
      <c r="D28" s="48">
        <f>+'M. Opt2'!D12</f>
        <v>1607.337287120343</v>
      </c>
      <c r="E28" s="48">
        <f>+'M. Opt2'!E12</f>
        <v>1621.6931633710913</v>
      </c>
      <c r="F28" s="48">
        <f>+'M. Opt2'!F12</f>
        <v>1636.2436468108424</v>
      </c>
      <c r="G28" s="48">
        <f>+'M. Opt2'!G12</f>
        <v>1650.9916763005981</v>
      </c>
      <c r="H28" s="48">
        <f>+'M. Opt2'!H12</f>
        <v>0</v>
      </c>
      <c r="I28" s="48">
        <f>+'M. Opt2'!I12</f>
        <v>0</v>
      </c>
      <c r="J28" s="48">
        <f>+'M. Opt2'!J12</f>
        <v>0</v>
      </c>
      <c r="K28" s="48">
        <f>+'M. Opt2'!K12</f>
        <v>0</v>
      </c>
      <c r="L28" s="48">
        <f>+'M. Opt2'!L12</f>
        <v>0</v>
      </c>
      <c r="M28" s="48">
        <f>+'M. Opt2'!M12</f>
        <v>0</v>
      </c>
      <c r="N28" s="48">
        <f>+'M. Opt2'!N12</f>
        <v>0</v>
      </c>
      <c r="O28" s="48">
        <f>+'M. Opt2'!O12</f>
        <v>0</v>
      </c>
      <c r="P28" s="48">
        <f>+'M. Opt2'!P12</f>
        <v>0</v>
      </c>
      <c r="Q28" s="48">
        <f>+'M. Opt2'!Q12</f>
        <v>0</v>
      </c>
      <c r="R28" s="48">
        <f>+'M. Opt2'!R12</f>
        <v>0</v>
      </c>
      <c r="S28" s="48">
        <f>+'M. Opt2'!S12</f>
        <v>0</v>
      </c>
      <c r="T28" s="48">
        <f>+'M. Opt2'!T12</f>
        <v>0</v>
      </c>
      <c r="U28" s="48">
        <f>+'M. Opt2'!U12</f>
        <v>0</v>
      </c>
      <c r="V28" s="48">
        <f>+'M. Opt2'!V12</f>
        <v>0</v>
      </c>
      <c r="W28" s="48">
        <f>+'M. Opt2'!W12</f>
        <v>0</v>
      </c>
      <c r="X28" s="48">
        <f>+'M. Opt2'!X12</f>
        <v>0</v>
      </c>
      <c r="Y28" s="48">
        <f>+'M. Opt2'!Y12</f>
        <v>0</v>
      </c>
      <c r="Z28" s="48">
        <f>+'M. Opt2'!Z12</f>
        <v>0</v>
      </c>
      <c r="AA28" s="48">
        <f>+'M. Opt2'!AA12</f>
        <v>0</v>
      </c>
    </row>
    <row r="29" spans="1:27" x14ac:dyDescent="0.3">
      <c r="A29" s="78" t="s">
        <v>129</v>
      </c>
      <c r="B29" s="48">
        <f>+'M. Opt2'!B13</f>
        <v>0</v>
      </c>
      <c r="C29" s="48">
        <f>+'M. Opt2'!C13</f>
        <v>0</v>
      </c>
      <c r="D29" s="48">
        <f>+'M. Opt2'!D13</f>
        <v>0</v>
      </c>
      <c r="E29" s="48">
        <f>+'M. Opt2'!E13</f>
        <v>0</v>
      </c>
      <c r="F29" s="48">
        <f>+'M. Opt2'!F13</f>
        <v>0</v>
      </c>
      <c r="G29" s="48">
        <f>+'M. Opt2'!G13</f>
        <v>0</v>
      </c>
      <c r="H29" s="48">
        <f>+'M. Opt2'!H13</f>
        <v>0</v>
      </c>
      <c r="I29" s="48">
        <f>+'M. Opt2'!I13</f>
        <v>0</v>
      </c>
      <c r="J29" s="48">
        <f>+'M. Opt2'!J13</f>
        <v>0</v>
      </c>
      <c r="K29" s="48">
        <f>+'M. Opt2'!K13</f>
        <v>0</v>
      </c>
      <c r="L29" s="48">
        <f>+'M. Opt2'!L13</f>
        <v>0</v>
      </c>
      <c r="M29" s="48">
        <f>+'M. Opt2'!M13</f>
        <v>0</v>
      </c>
      <c r="N29" s="48">
        <f>+'M. Opt2'!N13</f>
        <v>0</v>
      </c>
      <c r="O29" s="48">
        <f>+'M. Opt2'!O13</f>
        <v>0</v>
      </c>
      <c r="P29" s="48">
        <f>+'M. Opt2'!P13</f>
        <v>0</v>
      </c>
      <c r="Q29" s="48">
        <f>+'M. Opt2'!Q13</f>
        <v>0</v>
      </c>
      <c r="R29" s="48">
        <f>+'M. Opt2'!R13</f>
        <v>0</v>
      </c>
      <c r="S29" s="48">
        <f>+'M. Opt2'!S13</f>
        <v>0</v>
      </c>
      <c r="T29" s="48">
        <f>+'M. Opt2'!T13</f>
        <v>0</v>
      </c>
      <c r="U29" s="48">
        <f>+'M. Opt2'!U13</f>
        <v>0</v>
      </c>
      <c r="V29" s="48">
        <f>+'M. Opt2'!V13</f>
        <v>0</v>
      </c>
      <c r="W29" s="48">
        <f>+'M. Opt2'!W13</f>
        <v>0</v>
      </c>
      <c r="X29" s="48">
        <f>+'M. Opt2'!X13</f>
        <v>0</v>
      </c>
      <c r="Y29" s="48">
        <f>+'M. Opt2'!Y13</f>
        <v>0</v>
      </c>
      <c r="Z29" s="48">
        <f>+'M. Opt2'!Z13</f>
        <v>0</v>
      </c>
      <c r="AA29" s="48">
        <f>+'M. Opt2'!AA13</f>
        <v>0</v>
      </c>
    </row>
    <row r="30" spans="1:27" x14ac:dyDescent="0.3">
      <c r="A30" s="1" t="s">
        <v>14</v>
      </c>
      <c r="B30" s="21">
        <f>SUM(B27:B29)</f>
        <v>1579.1978491640689</v>
      </c>
      <c r="C30" s="21">
        <f t="shared" ref="C30:AA30" si="4">SUM(C27:C29)</f>
        <v>1593.1731290747064</v>
      </c>
      <c r="D30" s="21">
        <f t="shared" si="4"/>
        <v>1607.337287120343</v>
      </c>
      <c r="E30" s="21">
        <f t="shared" si="4"/>
        <v>1621.6931633710913</v>
      </c>
      <c r="F30" s="21">
        <f t="shared" si="4"/>
        <v>8036.2436468108426</v>
      </c>
      <c r="G30" s="21">
        <f t="shared" si="4"/>
        <v>10750.991676300599</v>
      </c>
      <c r="H30" s="21">
        <f t="shared" si="4"/>
        <v>0</v>
      </c>
      <c r="I30" s="21">
        <f t="shared" si="4"/>
        <v>0</v>
      </c>
      <c r="J30" s="21">
        <f t="shared" si="4"/>
        <v>0</v>
      </c>
      <c r="K30" s="21">
        <f t="shared" si="4"/>
        <v>0</v>
      </c>
      <c r="L30" s="21">
        <f t="shared" si="4"/>
        <v>0</v>
      </c>
      <c r="M30" s="21">
        <f t="shared" si="4"/>
        <v>0</v>
      </c>
      <c r="N30" s="21">
        <f t="shared" si="4"/>
        <v>0</v>
      </c>
      <c r="O30" s="21">
        <f t="shared" si="4"/>
        <v>0</v>
      </c>
      <c r="P30" s="21">
        <f t="shared" si="4"/>
        <v>0</v>
      </c>
      <c r="Q30" s="21">
        <f t="shared" si="4"/>
        <v>0</v>
      </c>
      <c r="R30" s="21">
        <f t="shared" si="4"/>
        <v>0</v>
      </c>
      <c r="S30" s="21">
        <f t="shared" si="4"/>
        <v>0</v>
      </c>
      <c r="T30" s="21">
        <f t="shared" si="4"/>
        <v>0</v>
      </c>
      <c r="U30" s="21">
        <f t="shared" si="4"/>
        <v>0</v>
      </c>
      <c r="V30" s="21">
        <f t="shared" si="4"/>
        <v>0</v>
      </c>
      <c r="W30" s="21">
        <f t="shared" si="4"/>
        <v>0</v>
      </c>
      <c r="X30" s="21">
        <f t="shared" si="4"/>
        <v>0</v>
      </c>
      <c r="Y30" s="21">
        <f t="shared" si="4"/>
        <v>0</v>
      </c>
      <c r="Z30" s="21">
        <f t="shared" si="4"/>
        <v>0</v>
      </c>
      <c r="AA30" s="21">
        <f t="shared" si="4"/>
        <v>0</v>
      </c>
    </row>
    <row r="31" spans="1:27" x14ac:dyDescent="0.3">
      <c r="A31" s="4" t="s">
        <v>75</v>
      </c>
      <c r="B31" s="51">
        <f>NPV(B4,C30:AA30)+B30</f>
        <v>22744.234274005234</v>
      </c>
      <c r="C31" s="364" t="s">
        <v>396</v>
      </c>
      <c r="D31" s="365">
        <f>SUM(B30:AA30)-SUM('M. Opt2'!B14:AA14)</f>
        <v>0</v>
      </c>
    </row>
    <row r="32" spans="1:27" ht="5.25" customHeight="1" x14ac:dyDescent="0.3">
      <c r="A32" s="49"/>
      <c r="B32" s="9"/>
      <c r="C32" s="9"/>
      <c r="D32" s="9"/>
      <c r="E32" s="9"/>
      <c r="F32" s="9"/>
      <c r="G32" s="9"/>
      <c r="H32" s="9"/>
      <c r="I32" s="9"/>
      <c r="J32" s="9"/>
      <c r="K32" s="9"/>
      <c r="L32" s="9"/>
      <c r="M32" s="9"/>
      <c r="N32" s="9"/>
      <c r="O32" s="9"/>
      <c r="P32" s="9"/>
      <c r="Q32" s="9"/>
      <c r="R32" s="9"/>
      <c r="S32" s="9"/>
      <c r="T32" s="9"/>
      <c r="U32" s="9"/>
      <c r="V32" s="9"/>
      <c r="W32" s="9"/>
      <c r="X32" s="9"/>
      <c r="Y32" s="9"/>
      <c r="Z32" s="9"/>
      <c r="AA32" s="9"/>
    </row>
    <row r="33" spans="1:27" x14ac:dyDescent="0.3">
      <c r="A33" s="1" t="str">
        <f>'Inputs &amp; Summary'!B64</f>
        <v>Mornington: Purchase brownfield site</v>
      </c>
    </row>
    <row r="34" spans="1:27" x14ac:dyDescent="0.3">
      <c r="A34" s="13" t="s">
        <v>12</v>
      </c>
      <c r="B34" s="48">
        <f>+'M. Opt3'!B11</f>
        <v>0</v>
      </c>
      <c r="C34" s="48">
        <f>+'M. Opt3'!C11</f>
        <v>0</v>
      </c>
      <c r="D34" s="48">
        <f>+'M. Opt3'!D11</f>
        <v>0</v>
      </c>
      <c r="E34" s="48">
        <f>+'M. Opt3'!E11</f>
        <v>0</v>
      </c>
      <c r="F34" s="48">
        <f>+'M. Opt3'!F11</f>
        <v>16000</v>
      </c>
      <c r="G34" s="48">
        <f>+'M. Opt3'!G11</f>
        <v>0</v>
      </c>
      <c r="H34" s="48">
        <f>+'M. Opt3'!H11</f>
        <v>0</v>
      </c>
      <c r="I34" s="48">
        <f>+'M. Opt3'!I11</f>
        <v>0</v>
      </c>
      <c r="J34" s="48">
        <f>+'M. Opt3'!J11</f>
        <v>0</v>
      </c>
      <c r="K34" s="48">
        <f>+'M. Opt3'!K11</f>
        <v>0</v>
      </c>
      <c r="L34" s="48">
        <f>+'M. Opt3'!L11</f>
        <v>0</v>
      </c>
      <c r="M34" s="48">
        <f>+'M. Opt3'!M11</f>
        <v>0</v>
      </c>
      <c r="N34" s="48">
        <f>+'M. Opt3'!N11</f>
        <v>0</v>
      </c>
      <c r="O34" s="48">
        <f>+'M. Opt3'!O11</f>
        <v>0</v>
      </c>
      <c r="P34" s="48">
        <f>+'M. Opt3'!P11</f>
        <v>0</v>
      </c>
      <c r="Q34" s="48">
        <f>+'M. Opt3'!Q11</f>
        <v>0</v>
      </c>
      <c r="R34" s="48">
        <f>+'M. Opt3'!R11</f>
        <v>0</v>
      </c>
      <c r="S34" s="48">
        <f>+'M. Opt3'!S11</f>
        <v>0</v>
      </c>
      <c r="T34" s="48">
        <f>+'M. Opt3'!T11</f>
        <v>0</v>
      </c>
      <c r="U34" s="48">
        <f>+'M. Opt3'!U11</f>
        <v>0</v>
      </c>
      <c r="V34" s="48">
        <f>+'M. Opt3'!V11</f>
        <v>0</v>
      </c>
      <c r="W34" s="48">
        <f>+'M. Opt3'!W11</f>
        <v>0</v>
      </c>
      <c r="X34" s="48">
        <f>+'M. Opt3'!X11</f>
        <v>0</v>
      </c>
      <c r="Y34" s="48">
        <f>+'M. Opt3'!Y11</f>
        <v>0</v>
      </c>
      <c r="Z34" s="48">
        <f>+'M. Opt3'!Z11</f>
        <v>0</v>
      </c>
      <c r="AA34" s="48">
        <f>+'M. Opt3'!AA11</f>
        <v>0</v>
      </c>
    </row>
    <row r="35" spans="1:27" x14ac:dyDescent="0.3">
      <c r="A35" t="s">
        <v>128</v>
      </c>
      <c r="B35" s="48">
        <f>+'M. Opt3'!B12</f>
        <v>1579.1978491640689</v>
      </c>
      <c r="C35" s="48">
        <f>+'M. Opt3'!C12</f>
        <v>1593.1731290747064</v>
      </c>
      <c r="D35" s="48">
        <f>+'M. Opt3'!D12</f>
        <v>1607.337287120343</v>
      </c>
      <c r="E35" s="48">
        <f>+'M. Opt3'!E12</f>
        <v>1621.6931633710913</v>
      </c>
      <c r="F35" s="48">
        <f>+'M. Opt3'!F12</f>
        <v>1636.2436468108424</v>
      </c>
      <c r="G35" s="48">
        <f>+'M. Opt3'!G12</f>
        <v>0</v>
      </c>
      <c r="H35" s="48">
        <f>+'M. Opt3'!H12</f>
        <v>0</v>
      </c>
      <c r="I35" s="48">
        <f>+'M. Opt3'!I12</f>
        <v>0</v>
      </c>
      <c r="J35" s="48">
        <f>+'M. Opt3'!J12</f>
        <v>0</v>
      </c>
      <c r="K35" s="48">
        <f>+'M. Opt3'!K12</f>
        <v>0</v>
      </c>
      <c r="L35" s="48">
        <f>+'M. Opt3'!L12</f>
        <v>0</v>
      </c>
      <c r="M35" s="48">
        <f>+'M. Opt3'!M12</f>
        <v>0</v>
      </c>
      <c r="N35" s="48">
        <f>+'M. Opt3'!N12</f>
        <v>0</v>
      </c>
      <c r="O35" s="48">
        <f>+'M. Opt3'!O12</f>
        <v>0</v>
      </c>
      <c r="P35" s="48">
        <f>+'M. Opt3'!P12</f>
        <v>0</v>
      </c>
      <c r="Q35" s="48">
        <f>+'M. Opt3'!Q12</f>
        <v>0</v>
      </c>
      <c r="R35" s="48">
        <f>+'M. Opt3'!R12</f>
        <v>0</v>
      </c>
      <c r="S35" s="48">
        <f>+'M. Opt3'!S12</f>
        <v>0</v>
      </c>
      <c r="T35" s="48">
        <f>+'M. Opt3'!T12</f>
        <v>0</v>
      </c>
      <c r="U35" s="48">
        <f>+'M. Opt3'!U12</f>
        <v>0</v>
      </c>
      <c r="V35" s="48">
        <f>+'M. Opt3'!V12</f>
        <v>0</v>
      </c>
      <c r="W35" s="48">
        <f>+'M. Opt3'!W12</f>
        <v>0</v>
      </c>
      <c r="X35" s="48">
        <f>+'M. Opt3'!X12</f>
        <v>0</v>
      </c>
      <c r="Y35" s="48">
        <f>+'M. Opt3'!Y12</f>
        <v>0</v>
      </c>
      <c r="Z35" s="48">
        <f>+'M. Opt3'!Z12</f>
        <v>0</v>
      </c>
      <c r="AA35" s="48">
        <f>+'M. Opt3'!AA12</f>
        <v>0</v>
      </c>
    </row>
    <row r="36" spans="1:27" x14ac:dyDescent="0.3">
      <c r="A36" s="78" t="s">
        <v>129</v>
      </c>
      <c r="B36" s="48">
        <f>+'M. Opt3'!B13</f>
        <v>0</v>
      </c>
      <c r="C36" s="48">
        <f>+'M. Opt3'!C13</f>
        <v>0</v>
      </c>
      <c r="D36" s="48">
        <f>+'M. Opt3'!D13</f>
        <v>0</v>
      </c>
      <c r="E36" s="48">
        <f>+'M. Opt3'!E13</f>
        <v>0</v>
      </c>
      <c r="F36" s="48">
        <f>+'M. Opt3'!F13</f>
        <v>0</v>
      </c>
      <c r="G36" s="48">
        <f>+'M. Opt3'!G13</f>
        <v>136.13190948887271</v>
      </c>
      <c r="H36" s="48">
        <f>+'M. Opt3'!H13</f>
        <v>137.76549240273914</v>
      </c>
      <c r="I36" s="48">
        <f>+'M. Opt3'!I13</f>
        <v>139.41867831157205</v>
      </c>
      <c r="J36" s="48">
        <f>+'M. Opt3'!J13</f>
        <v>141.09170245131091</v>
      </c>
      <c r="K36" s="48">
        <f>+'M. Opt3'!K13</f>
        <v>142.78480288072663</v>
      </c>
      <c r="L36" s="48">
        <f>+'M. Opt3'!L13</f>
        <v>144.49822051529534</v>
      </c>
      <c r="M36" s="48">
        <f>+'M. Opt3'!M13</f>
        <v>146.23219916147889</v>
      </c>
      <c r="N36" s="48">
        <f>+'M. Opt3'!N13</f>
        <v>147.98698555141664</v>
      </c>
      <c r="O36" s="48">
        <f>+'M. Opt3'!O13</f>
        <v>149.76282937803362</v>
      </c>
      <c r="P36" s="48">
        <f>+'M. Opt3'!P13</f>
        <v>151.55998333057002</v>
      </c>
      <c r="Q36" s="48">
        <f>+'M. Opt3'!Q13</f>
        <v>153.37870313053691</v>
      </c>
      <c r="R36" s="48">
        <f>+'M. Opt3'!R13</f>
        <v>155.21924756810333</v>
      </c>
      <c r="S36" s="48">
        <f>+'M. Opt3'!S13</f>
        <v>157.08187853892059</v>
      </c>
      <c r="T36" s="48">
        <f>+'M. Opt3'!T13</f>
        <v>158.96686108138761</v>
      </c>
      <c r="U36" s="48">
        <f>+'M. Opt3'!U13</f>
        <v>160.87446341436427</v>
      </c>
      <c r="V36" s="48">
        <f>+'M. Opt3'!V13</f>
        <v>162.80495697533664</v>
      </c>
      <c r="W36" s="48">
        <f>+'M. Opt3'!W13</f>
        <v>164.7586164590407</v>
      </c>
      <c r="X36" s="48">
        <f>+'M. Opt3'!X13</f>
        <v>166.73571985654914</v>
      </c>
      <c r="Y36" s="48">
        <f>+'M. Opt3'!Y13</f>
        <v>168.73654849482779</v>
      </c>
      <c r="Z36" s="48">
        <f>+'M. Opt3'!Z13</f>
        <v>170.76138707676569</v>
      </c>
      <c r="AA36" s="48">
        <f>+'M. Opt3'!AA13</f>
        <v>172.81052372168685</v>
      </c>
    </row>
    <row r="37" spans="1:27" x14ac:dyDescent="0.3">
      <c r="A37" s="1" t="s">
        <v>15</v>
      </c>
      <c r="B37" s="25">
        <f t="shared" ref="B37:AA37" si="5">+SUM(B34:B36)</f>
        <v>1579.1978491640689</v>
      </c>
      <c r="C37" s="25">
        <f t="shared" si="5"/>
        <v>1593.1731290747064</v>
      </c>
      <c r="D37" s="25">
        <f t="shared" si="5"/>
        <v>1607.337287120343</v>
      </c>
      <c r="E37" s="25">
        <f t="shared" si="5"/>
        <v>1621.6931633710913</v>
      </c>
      <c r="F37" s="25">
        <f t="shared" si="5"/>
        <v>17636.243646810843</v>
      </c>
      <c r="G37" s="25">
        <f t="shared" si="5"/>
        <v>136.13190948887271</v>
      </c>
      <c r="H37" s="25">
        <f t="shared" si="5"/>
        <v>137.76549240273914</v>
      </c>
      <c r="I37" s="25">
        <f t="shared" si="5"/>
        <v>139.41867831157205</v>
      </c>
      <c r="J37" s="25">
        <f t="shared" si="5"/>
        <v>141.09170245131091</v>
      </c>
      <c r="K37" s="25">
        <f t="shared" si="5"/>
        <v>142.78480288072663</v>
      </c>
      <c r="L37" s="25">
        <f t="shared" si="5"/>
        <v>144.49822051529534</v>
      </c>
      <c r="M37" s="25">
        <f t="shared" si="5"/>
        <v>146.23219916147889</v>
      </c>
      <c r="N37" s="25">
        <f t="shared" si="5"/>
        <v>147.98698555141664</v>
      </c>
      <c r="O37" s="25">
        <f t="shared" si="5"/>
        <v>149.76282937803362</v>
      </c>
      <c r="P37" s="25">
        <f t="shared" si="5"/>
        <v>151.55998333057002</v>
      </c>
      <c r="Q37" s="25">
        <f t="shared" si="5"/>
        <v>153.37870313053691</v>
      </c>
      <c r="R37" s="25">
        <f t="shared" si="5"/>
        <v>155.21924756810333</v>
      </c>
      <c r="S37" s="25">
        <f t="shared" si="5"/>
        <v>157.08187853892059</v>
      </c>
      <c r="T37" s="25">
        <f t="shared" si="5"/>
        <v>158.96686108138761</v>
      </c>
      <c r="U37" s="25">
        <f t="shared" si="5"/>
        <v>160.87446341436427</v>
      </c>
      <c r="V37" s="25">
        <f t="shared" si="5"/>
        <v>162.80495697533664</v>
      </c>
      <c r="W37" s="25">
        <f t="shared" si="5"/>
        <v>164.7586164590407</v>
      </c>
      <c r="X37" s="25">
        <f t="shared" si="5"/>
        <v>166.73571985654914</v>
      </c>
      <c r="Y37" s="25">
        <f t="shared" si="5"/>
        <v>168.73654849482779</v>
      </c>
      <c r="Z37" s="25">
        <f t="shared" si="5"/>
        <v>170.76138707676569</v>
      </c>
      <c r="AA37" s="25">
        <f t="shared" si="5"/>
        <v>172.81052372168685</v>
      </c>
    </row>
    <row r="38" spans="1:27" x14ac:dyDescent="0.3">
      <c r="A38" s="4" t="s">
        <v>76</v>
      </c>
      <c r="B38" s="51">
        <f>NPV(B4,C37:AA37)+B37</f>
        <v>24123.006215642483</v>
      </c>
      <c r="C38" s="364" t="s">
        <v>396</v>
      </c>
      <c r="D38" s="365">
        <f>SUM(B37:AA37)-SUM('M. Opt3'!B14:AA14)</f>
        <v>0</v>
      </c>
    </row>
    <row r="39" spans="1:27" ht="5.25" customHeight="1" x14ac:dyDescent="0.3">
      <c r="A39" s="49"/>
      <c r="B39" s="9"/>
      <c r="C39" s="9"/>
      <c r="D39" s="9"/>
      <c r="E39" s="9"/>
      <c r="F39" s="9"/>
      <c r="G39" s="9"/>
      <c r="H39" s="9"/>
      <c r="I39" s="9"/>
      <c r="J39" s="9"/>
      <c r="K39" s="9"/>
      <c r="L39" s="9"/>
      <c r="M39" s="9"/>
      <c r="N39" s="9"/>
      <c r="O39" s="9"/>
      <c r="P39" s="9"/>
      <c r="Q39" s="9"/>
      <c r="R39" s="9"/>
      <c r="S39" s="9"/>
      <c r="T39" s="9"/>
      <c r="U39" s="9"/>
      <c r="V39" s="9"/>
      <c r="W39" s="9"/>
      <c r="X39" s="9"/>
      <c r="Y39" s="9"/>
      <c r="Z39" s="9"/>
      <c r="AA39" s="9"/>
    </row>
    <row r="40" spans="1:27" x14ac:dyDescent="0.3">
      <c r="A40" s="14" t="str">
        <f>'Inputs &amp; Summary'!B65</f>
        <v>Mornington: Minimum spend</v>
      </c>
    </row>
    <row r="41" spans="1:27" x14ac:dyDescent="0.3">
      <c r="A41" s="13" t="s">
        <v>7</v>
      </c>
      <c r="B41" s="48">
        <f>+'M. Opt4'!B51</f>
        <v>201.06992458203445</v>
      </c>
      <c r="C41" s="48">
        <f>+'M. Opt4'!C51</f>
        <v>203.11582773735324</v>
      </c>
      <c r="D41" s="48">
        <f>+'M. Opt4'!D51</f>
        <v>205.18464500801159</v>
      </c>
      <c r="E41" s="48">
        <f>+'M. Opt4'!E51</f>
        <v>207.27663303210136</v>
      </c>
      <c r="F41" s="48">
        <f>+'M. Opt4'!F51</f>
        <v>209.39205132206092</v>
      </c>
      <c r="G41" s="48">
        <f>+'M. Opt4'!G51</f>
        <v>211.53116229686799</v>
      </c>
      <c r="H41" s="48">
        <f>+'M. Opt4'!H51</f>
        <v>213.69423131459294</v>
      </c>
      <c r="I41" s="48">
        <f>+'M. Opt4'!I51</f>
        <v>215.88152670531642</v>
      </c>
      <c r="J41" s="48">
        <f>+'M. Opt4'!J51</f>
        <v>218.09331980441596</v>
      </c>
      <c r="K41" s="48">
        <f>+'M. Opt4'!K51</f>
        <v>220.32988498622544</v>
      </c>
      <c r="L41" s="48">
        <f>+'M. Opt4'!L51</f>
        <v>222.59149969807117</v>
      </c>
      <c r="M41" s="48">
        <f>+'M. Opt4'!M51</f>
        <v>224.87844449468957</v>
      </c>
      <c r="N41" s="48">
        <f>+'M. Opt4'!N51</f>
        <v>227.19100307303009</v>
      </c>
      <c r="O41" s="48">
        <f>+'M. Opt4'!O51</f>
        <v>229.52946230744806</v>
      </c>
      <c r="P41" s="48">
        <f>+'M. Opt4'!P51</f>
        <v>231.8941122852915</v>
      </c>
      <c r="Q41" s="48">
        <f>+'M. Opt4'!Q51</f>
        <v>234.28524634288681</v>
      </c>
      <c r="R41" s="48">
        <f>+'M. Opt4'!R51</f>
        <v>236.70316110192712</v>
      </c>
      <c r="S41" s="48">
        <f>+'M. Opt4'!S51</f>
        <v>239.14815650626872</v>
      </c>
      <c r="T41" s="48">
        <f>+'M. Opt4'!T51</f>
        <v>241.62053585913895</v>
      </c>
      <c r="U41" s="48">
        <f>+'M. Opt4'!U51</f>
        <v>244.12060586076132</v>
      </c>
      <c r="V41" s="48">
        <f>+'M. Opt4'!V51</f>
        <v>246.64867664640187</v>
      </c>
      <c r="W41" s="48">
        <f>+'M. Opt4'!W51</f>
        <v>249.20506182484158</v>
      </c>
      <c r="X41" s="48">
        <f>+'M. Opt4'!X51</f>
        <v>251.79007851727982</v>
      </c>
      <c r="Y41" s="48">
        <f>+'M. Opt4'!Y51</f>
        <v>254.40404739667341</v>
      </c>
      <c r="Z41" s="48">
        <f>+'M. Opt4'!Z51</f>
        <v>257.04729272751609</v>
      </c>
      <c r="AA41" s="48">
        <f>+'M. Opt4'!AA51</f>
        <v>259.72014240606438</v>
      </c>
    </row>
    <row r="42" spans="1:27" x14ac:dyDescent="0.3">
      <c r="A42" s="13" t="s">
        <v>8</v>
      </c>
      <c r="B42" s="48">
        <f>+'M. Opt4'!B86</f>
        <v>302.74792458203444</v>
      </c>
      <c r="C42" s="48">
        <f>+'M. Opt4'!C86</f>
        <v>306.24130133735326</v>
      </c>
      <c r="D42" s="48">
        <f>+'M. Opt4'!D86</f>
        <v>309.77503511233164</v>
      </c>
      <c r="E42" s="48">
        <f>+'M. Opt4'!E86</f>
        <v>313.34959267998977</v>
      </c>
      <c r="F42" s="48">
        <f>+'M. Opt4'!F86</f>
        <v>316.96544621849847</v>
      </c>
      <c r="G42" s="48">
        <f>+'M. Opt4'!G86</f>
        <v>320.62307337384436</v>
      </c>
      <c r="H42" s="48">
        <f>+'M. Opt4'!H86</f>
        <v>324.32295732322257</v>
      </c>
      <c r="I42" s="48">
        <f>+'M. Opt4'!I86</f>
        <v>328.06558683916495</v>
      </c>
      <c r="J42" s="48">
        <f>+'M. Opt4'!J86</f>
        <v>331.85145635441285</v>
      </c>
      <c r="K42" s="48">
        <f>+'M. Opt4'!K86</f>
        <v>335.68106602754335</v>
      </c>
      <c r="L42" s="48">
        <f>+'M. Opt4'!L86</f>
        <v>339.55492180935641</v>
      </c>
      <c r="M42" s="48">
        <f>+'M. Opt4'!M86</f>
        <v>343.47353551003346</v>
      </c>
      <c r="N42" s="48">
        <f>+'M. Opt4'!N86</f>
        <v>347.43742486707504</v>
      </c>
      <c r="O42" s="48">
        <f>+'M. Opt4'!O86</f>
        <v>351.44711361402739</v>
      </c>
      <c r="P42" s="48">
        <f>+'M. Opt4'!P86</f>
        <v>355.50313155000697</v>
      </c>
      <c r="Q42" s="48">
        <f>+'M. Opt4'!Q86</f>
        <v>359.60601461003159</v>
      </c>
      <c r="R42" s="48">
        <f>+'M. Opt4'!R86</f>
        <v>363.75630493616831</v>
      </c>
      <c r="S42" s="48">
        <f>+'M. Opt4'!S86</f>
        <v>367.9545509495079</v>
      </c>
      <c r="T42" s="48">
        <f>+'M. Opt4'!T86</f>
        <v>372.20130742297351</v>
      </c>
      <c r="U42" s="48">
        <f>+'M. Opt4'!U86</f>
        <v>376.49713555497596</v>
      </c>
      <c r="V42" s="48">
        <f>+'M. Opt4'!V86</f>
        <v>380.84260304392319</v>
      </c>
      <c r="W42" s="48">
        <f>+'M. Opt4'!W86</f>
        <v>385.23828416359549</v>
      </c>
      <c r="X42" s="48">
        <f>+'M. Opt4'!X86</f>
        <v>389.68475983939493</v>
      </c>
      <c r="Y42" s="48">
        <f>+'M. Opt4'!Y86</f>
        <v>394.18261772548146</v>
      </c>
      <c r="Z42" s="48">
        <f>+'M. Opt4'!Z86</f>
        <v>398.73245228280268</v>
      </c>
      <c r="AA42" s="48">
        <f>+'M. Opt4'!AA86</f>
        <v>403.33486485803155</v>
      </c>
    </row>
    <row r="43" spans="1:27" s="193" customFormat="1" x14ac:dyDescent="0.3">
      <c r="A43" s="13" t="s">
        <v>294</v>
      </c>
      <c r="B43" s="48">
        <f>+'M. Opt4'!B121-B44</f>
        <v>2500</v>
      </c>
      <c r="C43" s="48">
        <f>+'M. Opt4'!C121-C44</f>
        <v>0</v>
      </c>
      <c r="D43" s="48">
        <f>+'M. Opt4'!D121-D44</f>
        <v>0</v>
      </c>
      <c r="E43" s="48">
        <f>+'M. Opt4'!E121-E44</f>
        <v>0</v>
      </c>
      <c r="F43" s="48">
        <f>+'M. Opt4'!F121-F44</f>
        <v>8950</v>
      </c>
      <c r="G43" s="48">
        <f>+'M. Opt4'!G121-G44</f>
        <v>0</v>
      </c>
      <c r="H43" s="48">
        <f>+'M. Opt4'!H121-H44</f>
        <v>0</v>
      </c>
      <c r="I43" s="48">
        <f>+'M. Opt4'!I121-I44</f>
        <v>0</v>
      </c>
      <c r="J43" s="48">
        <f>+'M. Opt4'!J121-J44</f>
        <v>0</v>
      </c>
      <c r="K43" s="48">
        <f>+'M. Opt4'!K121-K44</f>
        <v>0</v>
      </c>
      <c r="L43" s="48">
        <f>+'M. Opt4'!L121-L44</f>
        <v>0</v>
      </c>
      <c r="M43" s="48">
        <f>+'M. Opt4'!M121-M44</f>
        <v>0</v>
      </c>
      <c r="N43" s="48">
        <f>+'M. Opt4'!N121-N44</f>
        <v>0</v>
      </c>
      <c r="O43" s="48">
        <f>+'M. Opt4'!O121-O44</f>
        <v>0</v>
      </c>
      <c r="P43" s="48">
        <f>+'M. Opt4'!P121-P44</f>
        <v>0</v>
      </c>
      <c r="Q43" s="48">
        <f>+'M. Opt4'!Q121-Q44</f>
        <v>0</v>
      </c>
      <c r="R43" s="48">
        <f>+'M. Opt4'!R121-R44</f>
        <v>0</v>
      </c>
      <c r="S43" s="48">
        <f>+'M. Opt4'!S121-S44</f>
        <v>0</v>
      </c>
      <c r="T43" s="48">
        <f>+'M. Opt4'!T121-T44</f>
        <v>0</v>
      </c>
      <c r="U43" s="48">
        <f>+'M. Opt4'!U121-U44</f>
        <v>0</v>
      </c>
      <c r="V43" s="48">
        <f>+'M. Opt4'!V121-V44</f>
        <v>0</v>
      </c>
      <c r="W43" s="48">
        <f>+'M. Opt4'!W121-W44</f>
        <v>0</v>
      </c>
      <c r="X43" s="48">
        <f>+'M. Opt4'!X121-X44</f>
        <v>0</v>
      </c>
      <c r="Y43" s="48">
        <f>+'M. Opt4'!Y121-Y44</f>
        <v>0</v>
      </c>
      <c r="Z43" s="48">
        <f>+'M. Opt4'!Z121-Z44</f>
        <v>0</v>
      </c>
      <c r="AA43" s="48">
        <f>+'M. Opt4'!AA121-AA44</f>
        <v>0</v>
      </c>
    </row>
    <row r="44" spans="1:27" x14ac:dyDescent="0.3">
      <c r="A44" s="13" t="s">
        <v>172</v>
      </c>
      <c r="B44" s="328">
        <f>'M. Opt4'!B117</f>
        <v>219.21</v>
      </c>
      <c r="C44" s="328">
        <f>'M. Opt4'!C117</f>
        <v>221.08500000000001</v>
      </c>
      <c r="D44" s="328">
        <f>'M. Opt4'!D117</f>
        <v>223.00687500000001</v>
      </c>
      <c r="E44" s="328">
        <f>'M. Opt4'!E117</f>
        <v>224.97679687499999</v>
      </c>
      <c r="F44" s="328">
        <f>'M. Opt4'!F117</f>
        <v>0</v>
      </c>
      <c r="G44" s="328">
        <f>'M. Opt4'!G117</f>
        <v>0</v>
      </c>
      <c r="H44" s="328">
        <f>'M. Opt4'!H117</f>
        <v>0</v>
      </c>
      <c r="I44" s="328">
        <f>'M. Opt4'!I117</f>
        <v>0</v>
      </c>
      <c r="J44" s="328">
        <f>'M. Opt4'!J117</f>
        <v>0</v>
      </c>
      <c r="K44" s="328">
        <f>'M. Opt4'!K117</f>
        <v>0</v>
      </c>
      <c r="L44" s="328">
        <f>'M. Opt4'!L117</f>
        <v>0</v>
      </c>
      <c r="M44" s="328">
        <f>'M. Opt4'!M117</f>
        <v>0</v>
      </c>
      <c r="N44" s="328">
        <f>'M. Opt4'!N117</f>
        <v>0</v>
      </c>
      <c r="O44" s="328">
        <f>'M. Opt4'!O117</f>
        <v>0</v>
      </c>
      <c r="P44" s="328">
        <f>'M. Opt4'!P117</f>
        <v>0</v>
      </c>
      <c r="Q44" s="328">
        <f>'M. Opt4'!Q117</f>
        <v>0</v>
      </c>
      <c r="R44" s="328">
        <f>'M. Opt4'!R117</f>
        <v>0</v>
      </c>
      <c r="S44" s="328">
        <f>'M. Opt4'!S117</f>
        <v>0</v>
      </c>
      <c r="T44" s="328">
        <f>'M. Opt4'!T117</f>
        <v>0</v>
      </c>
      <c r="U44" s="328">
        <f>'M. Opt4'!U117</f>
        <v>0</v>
      </c>
      <c r="V44" s="328">
        <f>'M. Opt4'!V117</f>
        <v>0</v>
      </c>
      <c r="W44" s="328">
        <f>'M. Opt4'!W117</f>
        <v>0</v>
      </c>
      <c r="X44" s="328">
        <f>'M. Opt4'!X117</f>
        <v>0</v>
      </c>
      <c r="Y44" s="328">
        <f>'M. Opt4'!Y117</f>
        <v>0</v>
      </c>
      <c r="Z44" s="328">
        <f>'M. Opt4'!Z117</f>
        <v>0</v>
      </c>
      <c r="AA44" s="328">
        <f>'M. Opt4'!AA117</f>
        <v>0</v>
      </c>
    </row>
    <row r="45" spans="1:27" x14ac:dyDescent="0.3">
      <c r="A45" s="13" t="s">
        <v>439</v>
      </c>
      <c r="B45" s="48">
        <f>+'M. Opt4'!B146</f>
        <v>326.70000000000005</v>
      </c>
      <c r="C45" s="48">
        <f>+'M. Opt4'!C146</f>
        <v>330.62040000000002</v>
      </c>
      <c r="D45" s="48">
        <f>+'M. Opt4'!D146</f>
        <v>334.58784479999997</v>
      </c>
      <c r="E45" s="48">
        <f>+'M. Opt4'!E146</f>
        <v>338.6028989376</v>
      </c>
      <c r="F45" s="48">
        <f>+'M. Opt4'!F146</f>
        <v>342.66613372485119</v>
      </c>
      <c r="G45" s="48">
        <f>+'M. Opt4'!G146</f>
        <v>346.77812732954942</v>
      </c>
      <c r="H45" s="48">
        <f>+'M. Opt4'!H146</f>
        <v>350.93946485750394</v>
      </c>
      <c r="I45" s="48">
        <f>+'M. Opt4'!I146</f>
        <v>355.1507384357941</v>
      </c>
      <c r="J45" s="48">
        <f>+'M. Opt4'!J146</f>
        <v>359.41254729702359</v>
      </c>
      <c r="K45" s="48">
        <f>+'M. Opt4'!K146</f>
        <v>363.72549786458785</v>
      </c>
      <c r="L45" s="48">
        <f>+'M. Opt4'!L146</f>
        <v>368.09020383896291</v>
      </c>
      <c r="M45" s="48">
        <f>+'M. Opt4'!M146</f>
        <v>372.50728628503043</v>
      </c>
      <c r="N45" s="48">
        <f>+'M. Opt4'!N146</f>
        <v>376.97737372045083</v>
      </c>
      <c r="O45" s="48">
        <f>+'M. Opt4'!O146</f>
        <v>381.50110220509623</v>
      </c>
      <c r="P45" s="48">
        <f>+'M. Opt4'!P146</f>
        <v>386.0791154315574</v>
      </c>
      <c r="Q45" s="48">
        <f>+'M. Opt4'!Q146</f>
        <v>390.71206481673613</v>
      </c>
      <c r="R45" s="48">
        <f>+'M. Opt4'!R146</f>
        <v>395.40060959453695</v>
      </c>
      <c r="S45" s="48">
        <f>+'M. Opt4'!S146</f>
        <v>400.14541690967144</v>
      </c>
      <c r="T45" s="48">
        <f>+'M. Opt4'!T146</f>
        <v>404.94716191258738</v>
      </c>
      <c r="U45" s="48">
        <f>+'M. Opt4'!U146</f>
        <v>409.80652785553849</v>
      </c>
      <c r="V45" s="48">
        <f>+'M. Opt4'!V146</f>
        <v>414.72420618980487</v>
      </c>
      <c r="W45" s="48">
        <f>+'M. Opt4'!W146</f>
        <v>419.70089666408262</v>
      </c>
      <c r="X45" s="48">
        <f>+'M. Opt4'!X146</f>
        <v>424.73730742405155</v>
      </c>
      <c r="Y45" s="48">
        <f>+'M. Opt4'!Y146</f>
        <v>429.83415511314024</v>
      </c>
      <c r="Z45" s="48">
        <f>+'M. Opt4'!Z146</f>
        <v>434.99216497449788</v>
      </c>
      <c r="AA45" s="48">
        <f>+'M. Opt4'!AA146</f>
        <v>440.21207095419186</v>
      </c>
    </row>
    <row r="46" spans="1:27" x14ac:dyDescent="0.3">
      <c r="A46" s="13" t="s">
        <v>171</v>
      </c>
      <c r="B46" s="48">
        <f>+'M. Opt4'!B159</f>
        <v>283.42</v>
      </c>
      <c r="C46" s="48">
        <f>+'M. Opt4'!C159</f>
        <v>283.42</v>
      </c>
      <c r="D46" s="48">
        <f>+'M. Opt4'!D159</f>
        <v>283.42</v>
      </c>
      <c r="E46" s="48">
        <f>+'M. Opt4'!E159</f>
        <v>283.42</v>
      </c>
      <c r="F46" s="48">
        <f>+'M. Opt4'!F159</f>
        <v>283.42</v>
      </c>
      <c r="G46" s="48">
        <f>+'M. Opt4'!G159</f>
        <v>141.71</v>
      </c>
      <c r="H46" s="48">
        <f>+'M. Opt4'!H159</f>
        <v>141.71</v>
      </c>
      <c r="I46" s="48">
        <f>+'M. Opt4'!I159</f>
        <v>141.71</v>
      </c>
      <c r="J46" s="48">
        <f>+'M. Opt4'!J159</f>
        <v>141.71</v>
      </c>
      <c r="K46" s="48">
        <f>+'M. Opt4'!K159</f>
        <v>141.71</v>
      </c>
      <c r="L46" s="48">
        <f>+'M. Opt4'!L159</f>
        <v>141.71</v>
      </c>
      <c r="M46" s="48">
        <f>+'M. Opt4'!M159</f>
        <v>141.71</v>
      </c>
      <c r="N46" s="48">
        <f>+'M. Opt4'!N159</f>
        <v>141.71</v>
      </c>
      <c r="O46" s="48">
        <f>+'M. Opt4'!O159</f>
        <v>141.71</v>
      </c>
      <c r="P46" s="48">
        <f>+'M. Opt4'!P159</f>
        <v>141.71</v>
      </c>
      <c r="Q46" s="48">
        <f>+'M. Opt4'!Q159</f>
        <v>141.71</v>
      </c>
      <c r="R46" s="48">
        <f>+'M. Opt4'!R159</f>
        <v>141.71</v>
      </c>
      <c r="S46" s="48">
        <f>+'M. Opt4'!S159</f>
        <v>141.71</v>
      </c>
      <c r="T46" s="48">
        <f>+'M. Opt4'!T159</f>
        <v>141.71</v>
      </c>
      <c r="U46" s="48">
        <f>+'M. Opt4'!U159</f>
        <v>141.71</v>
      </c>
      <c r="V46" s="48">
        <f>+'M. Opt4'!V159</f>
        <v>141.71</v>
      </c>
      <c r="W46" s="48">
        <f>+'M. Opt4'!W159</f>
        <v>141.71</v>
      </c>
      <c r="X46" s="48">
        <f>+'M. Opt4'!X159</f>
        <v>141.71</v>
      </c>
      <c r="Y46" s="48">
        <f>+'M. Opt4'!Y159</f>
        <v>141.71</v>
      </c>
      <c r="Z46" s="48">
        <f>+'M. Opt4'!Z159</f>
        <v>141.71</v>
      </c>
      <c r="AA46" s="48">
        <f>+'M. Opt4'!AA159</f>
        <v>141.71</v>
      </c>
    </row>
    <row r="47" spans="1:27" x14ac:dyDescent="0.3">
      <c r="A47" s="13" t="s">
        <v>35</v>
      </c>
      <c r="B47" s="48">
        <f>+'M. Opt4'!B171</f>
        <v>128.25</v>
      </c>
      <c r="C47" s="48">
        <f>+'M. Opt4'!C171</f>
        <v>129.78899999999999</v>
      </c>
      <c r="D47" s="48">
        <f>+'M. Opt4'!D171</f>
        <v>131.34646799999999</v>
      </c>
      <c r="E47" s="48">
        <f>+'M. Opt4'!E171</f>
        <v>132.922625616</v>
      </c>
      <c r="F47" s="48">
        <f>+'M. Opt4'!F171</f>
        <v>134.517697123392</v>
      </c>
      <c r="G47" s="48">
        <f>+'M. Opt4'!G171</f>
        <v>136.13190948887271</v>
      </c>
      <c r="H47" s="48">
        <f>+'M. Opt4'!H171</f>
        <v>137.76549240273914</v>
      </c>
      <c r="I47" s="48">
        <f>+'M. Opt4'!I171</f>
        <v>139.41867831157205</v>
      </c>
      <c r="J47" s="48">
        <f>+'M. Opt4'!J171</f>
        <v>141.09170245131091</v>
      </c>
      <c r="K47" s="48">
        <f>+'M. Opt4'!K171</f>
        <v>142.78480288072663</v>
      </c>
      <c r="L47" s="48">
        <f>+'M. Opt4'!L171</f>
        <v>144.49822051529534</v>
      </c>
      <c r="M47" s="48">
        <f>+'M. Opt4'!M171</f>
        <v>146.23219916147889</v>
      </c>
      <c r="N47" s="48">
        <f>+'M. Opt4'!N171</f>
        <v>147.98698555141664</v>
      </c>
      <c r="O47" s="48">
        <f>+'M. Opt4'!O171</f>
        <v>149.76282937803362</v>
      </c>
      <c r="P47" s="48">
        <f>+'M. Opt4'!P171</f>
        <v>151.55998333057002</v>
      </c>
      <c r="Q47" s="48">
        <f>+'M. Opt4'!Q171</f>
        <v>153.37870313053691</v>
      </c>
      <c r="R47" s="48">
        <f>+'M. Opt4'!R171</f>
        <v>155.21924756810333</v>
      </c>
      <c r="S47" s="48">
        <f>+'M. Opt4'!S171</f>
        <v>157.08187853892059</v>
      </c>
      <c r="T47" s="48">
        <f>+'M. Opt4'!T171</f>
        <v>158.96686108138761</v>
      </c>
      <c r="U47" s="48">
        <f>+'M. Opt4'!U171</f>
        <v>160.87446341436427</v>
      </c>
      <c r="V47" s="48">
        <f>+'M. Opt4'!V171</f>
        <v>162.80495697533664</v>
      </c>
      <c r="W47" s="48">
        <f>+'M. Opt4'!W171</f>
        <v>164.7586164590407</v>
      </c>
      <c r="X47" s="48">
        <f>+'M. Opt4'!X171</f>
        <v>166.73571985654914</v>
      </c>
      <c r="Y47" s="48">
        <f>+'M. Opt4'!Y171</f>
        <v>168.73654849482779</v>
      </c>
      <c r="Z47" s="48">
        <f>+'M. Opt4'!Z171</f>
        <v>170.76138707676569</v>
      </c>
      <c r="AA47" s="48">
        <f>+'M. Opt4'!AA171</f>
        <v>172.81052372168685</v>
      </c>
    </row>
    <row r="48" spans="1:27" x14ac:dyDescent="0.3">
      <c r="A48" s="1" t="s">
        <v>17</v>
      </c>
      <c r="B48" s="16">
        <f>+SUM(B41:B47)</f>
        <v>3961.3978491640692</v>
      </c>
      <c r="C48" s="16">
        <f t="shared" ref="C48:AA48" si="6">+SUM(C41:C47)</f>
        <v>1474.2715290747067</v>
      </c>
      <c r="D48" s="16">
        <f t="shared" si="6"/>
        <v>1487.3208679203433</v>
      </c>
      <c r="E48" s="16">
        <f t="shared" si="6"/>
        <v>1500.5485471406912</v>
      </c>
      <c r="F48" s="16">
        <f t="shared" si="6"/>
        <v>10236.961328388803</v>
      </c>
      <c r="G48" s="16">
        <f t="shared" si="6"/>
        <v>1156.7742724891345</v>
      </c>
      <c r="H48" s="16">
        <f t="shared" si="6"/>
        <v>1168.4321458980585</v>
      </c>
      <c r="I48" s="16">
        <f t="shared" si="6"/>
        <v>1180.2265302918474</v>
      </c>
      <c r="J48" s="16">
        <f t="shared" si="6"/>
        <v>1192.1590259071634</v>
      </c>
      <c r="K48" s="16">
        <f t="shared" si="6"/>
        <v>1204.2312517590833</v>
      </c>
      <c r="L48" s="16">
        <f t="shared" si="6"/>
        <v>1216.4448458616857</v>
      </c>
      <c r="M48" s="16">
        <f t="shared" si="6"/>
        <v>1228.8014654512322</v>
      </c>
      <c r="N48" s="16">
        <f t="shared" si="6"/>
        <v>1241.3027872119726</v>
      </c>
      <c r="O48" s="16">
        <f t="shared" si="6"/>
        <v>1253.9505075046052</v>
      </c>
      <c r="P48" s="16">
        <f t="shared" si="6"/>
        <v>1266.7463425974258</v>
      </c>
      <c r="Q48" s="16">
        <f t="shared" si="6"/>
        <v>1279.6920289001914</v>
      </c>
      <c r="R48" s="16">
        <f t="shared" si="6"/>
        <v>1292.7893232007357</v>
      </c>
      <c r="S48" s="16">
        <f t="shared" si="6"/>
        <v>1306.0400029043687</v>
      </c>
      <c r="T48" s="16">
        <f t="shared" si="6"/>
        <v>1319.4458662760874</v>
      </c>
      <c r="U48" s="16">
        <f t="shared" si="6"/>
        <v>1333.0087326856401</v>
      </c>
      <c r="V48" s="16">
        <f t="shared" si="6"/>
        <v>1346.7304428554667</v>
      </c>
      <c r="W48" s="16">
        <f t="shared" si="6"/>
        <v>1360.6128591115603</v>
      </c>
      <c r="X48" s="16">
        <f t="shared" si="6"/>
        <v>1374.6578656372756</v>
      </c>
      <c r="Y48" s="16">
        <f t="shared" si="6"/>
        <v>1388.867368730123</v>
      </c>
      <c r="Z48" s="16">
        <f t="shared" si="6"/>
        <v>1403.2432970615823</v>
      </c>
      <c r="AA48" s="16">
        <f t="shared" si="6"/>
        <v>1417.7876019399746</v>
      </c>
    </row>
    <row r="49" spans="1:27" x14ac:dyDescent="0.3">
      <c r="A49" s="4" t="s">
        <v>79</v>
      </c>
      <c r="B49" s="51">
        <f>NPV(B4,C48:AA48)+B48</f>
        <v>35361.338211188013</v>
      </c>
      <c r="C49" s="364" t="s">
        <v>396</v>
      </c>
      <c r="D49" s="365">
        <f>SUM(B48:AA48)-SUM('M. Opt4'!B15:AA15)</f>
        <v>0</v>
      </c>
    </row>
    <row r="50" spans="1:27" ht="5.25" customHeight="1" x14ac:dyDescent="0.3">
      <c r="A50" s="9"/>
      <c r="B50" s="9"/>
      <c r="C50" s="9"/>
      <c r="D50" s="9"/>
      <c r="E50" s="9"/>
      <c r="F50" s="9"/>
      <c r="G50" s="9"/>
      <c r="H50" s="9"/>
      <c r="I50" s="9"/>
      <c r="J50" s="9"/>
      <c r="K50" s="9"/>
      <c r="L50" s="9"/>
      <c r="M50" s="9"/>
      <c r="N50" s="9"/>
      <c r="O50" s="9"/>
      <c r="P50" s="9"/>
      <c r="Q50" s="9"/>
      <c r="R50" s="9"/>
      <c r="S50" s="9"/>
      <c r="T50" s="9"/>
      <c r="U50" s="9"/>
      <c r="V50" s="9"/>
      <c r="W50" s="9"/>
      <c r="X50" s="9"/>
      <c r="Y50" s="9"/>
      <c r="Z50" s="9"/>
      <c r="AA50" s="9"/>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7422-3C54-4DE4-A472-2F9355F7AA9F}">
  <sheetPr>
    <tabColor rgb="FF92D050"/>
  </sheetPr>
  <dimension ref="A1:AG197"/>
  <sheetViews>
    <sheetView showGridLines="0" zoomScale="80" zoomScaleNormal="80" workbookViewId="0">
      <selection activeCell="F183" sqref="F183"/>
    </sheetView>
  </sheetViews>
  <sheetFormatPr defaultColWidth="8.77734375" defaultRowHeight="14.4" x14ac:dyDescent="0.3"/>
  <cols>
    <col min="1" max="1" width="44.109375" customWidth="1"/>
    <col min="2" max="2" width="9.44140625" customWidth="1"/>
  </cols>
  <sheetData>
    <row r="1" spans="1:28" ht="21" x14ac:dyDescent="0.4">
      <c r="A1" s="2" t="str">
        <f>'Inputs &amp; Summary'!B61</f>
        <v>Mornington: Do nothing</v>
      </c>
    </row>
    <row r="2" spans="1:28" s="20" customFormat="1" x14ac:dyDescent="0.3">
      <c r="A2" s="10" t="str">
        <f>+'Inputs &amp; Summary'!B5</f>
        <v>All values shown are costs, expressed in $000 as at June 2021 unless otherwise stated.</v>
      </c>
      <c r="B2" s="36"/>
      <c r="C2" s="14"/>
      <c r="D2" s="14"/>
      <c r="E2" s="14"/>
      <c r="F2" s="93" t="s">
        <v>134</v>
      </c>
      <c r="G2" s="96"/>
      <c r="H2" s="96"/>
      <c r="I2" s="96"/>
      <c r="J2" s="96"/>
      <c r="K2" s="96"/>
      <c r="L2" s="96"/>
      <c r="M2" s="96"/>
      <c r="N2" s="96"/>
      <c r="O2" s="96"/>
      <c r="P2" s="97"/>
      <c r="Q2" s="14"/>
      <c r="R2" s="14"/>
      <c r="S2" s="14"/>
      <c r="T2" s="14"/>
      <c r="U2" s="14"/>
      <c r="V2" s="14"/>
      <c r="W2" s="14"/>
      <c r="X2" s="14"/>
      <c r="Y2" s="14"/>
      <c r="Z2" s="14"/>
      <c r="AA2" s="14"/>
      <c r="AB2" s="14"/>
    </row>
    <row r="3" spans="1:28" s="20" customFormat="1" x14ac:dyDescent="0.3">
      <c r="A3" s="10"/>
      <c r="B3" s="36"/>
      <c r="C3" s="14"/>
      <c r="D3" s="14"/>
      <c r="E3" s="14"/>
      <c r="F3" s="85" t="s">
        <v>135</v>
      </c>
      <c r="G3" s="71"/>
      <c r="H3" s="71"/>
      <c r="I3" s="71"/>
      <c r="J3" s="71"/>
      <c r="K3" s="71"/>
      <c r="L3" s="71"/>
      <c r="M3" s="71"/>
      <c r="N3" s="71"/>
      <c r="O3" s="71"/>
      <c r="P3" s="98"/>
      <c r="Q3" s="14"/>
      <c r="R3" s="14"/>
      <c r="S3" s="14"/>
      <c r="T3" s="14"/>
      <c r="U3" s="14"/>
      <c r="V3" s="14"/>
      <c r="W3" s="14"/>
      <c r="X3" s="14"/>
      <c r="Y3" s="14"/>
      <c r="Z3" s="14"/>
      <c r="AA3" s="14"/>
      <c r="AB3" s="14"/>
    </row>
    <row r="5" spans="1:28" ht="18" x14ac:dyDescent="0.35">
      <c r="A5" s="94" t="s">
        <v>117</v>
      </c>
      <c r="B5" s="95"/>
      <c r="C5" s="95"/>
      <c r="D5" s="95"/>
      <c r="E5" s="95"/>
      <c r="F5" s="95"/>
      <c r="G5" s="95"/>
      <c r="H5" s="95"/>
      <c r="I5" s="95"/>
      <c r="J5" s="95"/>
      <c r="K5" s="95"/>
      <c r="L5" s="95"/>
      <c r="M5" s="95"/>
      <c r="N5" s="95"/>
      <c r="O5" s="95"/>
      <c r="P5" s="95"/>
      <c r="Q5" s="95"/>
      <c r="R5" s="95"/>
      <c r="S5" s="95"/>
      <c r="T5" s="95"/>
      <c r="U5" s="95"/>
      <c r="V5" s="95"/>
      <c r="W5" s="95"/>
      <c r="X5" s="95"/>
      <c r="Y5" s="95"/>
      <c r="Z5" s="95"/>
      <c r="AA5" s="95"/>
    </row>
    <row r="6" spans="1:28" x14ac:dyDescent="0.3">
      <c r="A6" s="37" t="s">
        <v>3</v>
      </c>
      <c r="B6" s="6">
        <v>0</v>
      </c>
      <c r="C6" s="6">
        <f t="shared" ref="C6:F7" si="0">+B6+1</f>
        <v>1</v>
      </c>
      <c r="D6" s="6">
        <f t="shared" si="0"/>
        <v>2</v>
      </c>
      <c r="E6" s="6">
        <f t="shared" si="0"/>
        <v>3</v>
      </c>
      <c r="F6" s="6">
        <f t="shared" si="0"/>
        <v>4</v>
      </c>
      <c r="G6" s="6">
        <f t="shared" ref="G6:G7" si="1">+F6+1</f>
        <v>5</v>
      </c>
      <c r="H6" s="6">
        <f t="shared" ref="H6:H7" si="2">+G6+1</f>
        <v>6</v>
      </c>
      <c r="I6" s="6">
        <f t="shared" ref="I6:I7" si="3">+H6+1</f>
        <v>7</v>
      </c>
      <c r="J6" s="6">
        <f t="shared" ref="J6:J7" si="4">+I6+1</f>
        <v>8</v>
      </c>
      <c r="K6" s="6">
        <f t="shared" ref="K6:K7" si="5">+J6+1</f>
        <v>9</v>
      </c>
      <c r="L6" s="6">
        <f t="shared" ref="L6:L7" si="6">+K6+1</f>
        <v>10</v>
      </c>
      <c r="M6" s="6">
        <f t="shared" ref="M6:M7" si="7">+L6+1</f>
        <v>11</v>
      </c>
      <c r="N6" s="6">
        <f t="shared" ref="N6:N7" si="8">+M6+1</f>
        <v>12</v>
      </c>
      <c r="O6" s="6">
        <f t="shared" ref="O6:O7" si="9">+N6+1</f>
        <v>13</v>
      </c>
      <c r="P6" s="6">
        <f t="shared" ref="P6:P7" si="10">+O6+1</f>
        <v>14</v>
      </c>
      <c r="Q6" s="6">
        <f t="shared" ref="Q6:Q7" si="11">+P6+1</f>
        <v>15</v>
      </c>
      <c r="R6" s="6">
        <f t="shared" ref="R6:R7" si="12">+Q6+1</f>
        <v>16</v>
      </c>
      <c r="S6" s="6">
        <f t="shared" ref="S6:S7" si="13">+R6+1</f>
        <v>17</v>
      </c>
      <c r="T6" s="6">
        <f t="shared" ref="T6:T7" si="14">+S6+1</f>
        <v>18</v>
      </c>
      <c r="U6" s="6">
        <f t="shared" ref="U6:U7" si="15">+T6+1</f>
        <v>19</v>
      </c>
      <c r="V6" s="6">
        <f t="shared" ref="V6:V7" si="16">+U6+1</f>
        <v>20</v>
      </c>
      <c r="W6" s="6">
        <f t="shared" ref="W6:W7" si="17">+V6+1</f>
        <v>21</v>
      </c>
      <c r="X6" s="6">
        <f t="shared" ref="X6:X7" si="18">+W6+1</f>
        <v>22</v>
      </c>
      <c r="Y6" s="6">
        <f t="shared" ref="Y6:Y7" si="19">+X6+1</f>
        <v>23</v>
      </c>
      <c r="Z6" s="6">
        <f t="shared" ref="Z6:Z7" si="20">+Y6+1</f>
        <v>24</v>
      </c>
      <c r="AA6" s="6">
        <f t="shared" ref="AA6:AA7" si="21">+Z6+1</f>
        <v>25</v>
      </c>
    </row>
    <row r="7" spans="1:28" x14ac:dyDescent="0.3">
      <c r="A7" s="18" t="s">
        <v>400</v>
      </c>
      <c r="B7" s="19">
        <v>2021</v>
      </c>
      <c r="C7" s="19">
        <f t="shared" si="0"/>
        <v>2022</v>
      </c>
      <c r="D7" s="19">
        <f t="shared" si="0"/>
        <v>2023</v>
      </c>
      <c r="E7" s="19">
        <f t="shared" si="0"/>
        <v>2024</v>
      </c>
      <c r="F7" s="19">
        <f t="shared" si="0"/>
        <v>2025</v>
      </c>
      <c r="G7" s="19">
        <f t="shared" si="1"/>
        <v>2026</v>
      </c>
      <c r="H7" s="19">
        <f t="shared" si="2"/>
        <v>2027</v>
      </c>
      <c r="I7" s="19">
        <f t="shared" si="3"/>
        <v>2028</v>
      </c>
      <c r="J7" s="19">
        <f t="shared" si="4"/>
        <v>2029</v>
      </c>
      <c r="K7" s="19">
        <f t="shared" si="5"/>
        <v>2030</v>
      </c>
      <c r="L7" s="19">
        <f t="shared" si="6"/>
        <v>2031</v>
      </c>
      <c r="M7" s="19">
        <f t="shared" si="7"/>
        <v>2032</v>
      </c>
      <c r="N7" s="19">
        <f t="shared" si="8"/>
        <v>2033</v>
      </c>
      <c r="O7" s="19">
        <f t="shared" si="9"/>
        <v>2034</v>
      </c>
      <c r="P7" s="19">
        <f t="shared" si="10"/>
        <v>2035</v>
      </c>
      <c r="Q7" s="19">
        <f t="shared" si="11"/>
        <v>2036</v>
      </c>
      <c r="R7" s="19">
        <f t="shared" si="12"/>
        <v>2037</v>
      </c>
      <c r="S7" s="19">
        <f t="shared" si="13"/>
        <v>2038</v>
      </c>
      <c r="T7" s="19">
        <f t="shared" si="14"/>
        <v>2039</v>
      </c>
      <c r="U7" s="19">
        <f t="shared" si="15"/>
        <v>2040</v>
      </c>
      <c r="V7" s="19">
        <f t="shared" si="16"/>
        <v>2041</v>
      </c>
      <c r="W7" s="19">
        <f t="shared" si="17"/>
        <v>2042</v>
      </c>
      <c r="X7" s="19">
        <f t="shared" si="18"/>
        <v>2043</v>
      </c>
      <c r="Y7" s="19">
        <f t="shared" si="19"/>
        <v>2044</v>
      </c>
      <c r="Z7" s="19">
        <f t="shared" si="20"/>
        <v>2045</v>
      </c>
      <c r="AA7" s="19">
        <f t="shared" si="21"/>
        <v>2046</v>
      </c>
    </row>
    <row r="8" spans="1:28" x14ac:dyDescent="0.3">
      <c r="A8" s="13" t="str">
        <f>+A20</f>
        <v>(A) Cost of inadequate depot capacity</v>
      </c>
      <c r="B8" s="73">
        <f>+B52</f>
        <v>201.06992458203445</v>
      </c>
      <c r="C8" s="73">
        <f t="shared" ref="C8:AA8" si="22">+C52</f>
        <v>203.11582773735324</v>
      </c>
      <c r="D8" s="73">
        <f t="shared" si="22"/>
        <v>205.18464500801159</v>
      </c>
      <c r="E8" s="73">
        <f t="shared" si="22"/>
        <v>207.27663303210136</v>
      </c>
      <c r="F8" s="73">
        <f t="shared" si="22"/>
        <v>209.39205132206092</v>
      </c>
      <c r="G8" s="73">
        <f t="shared" si="22"/>
        <v>211.53116229686799</v>
      </c>
      <c r="H8" s="73">
        <f t="shared" si="22"/>
        <v>213.69423131459294</v>
      </c>
      <c r="I8" s="73">
        <f t="shared" si="22"/>
        <v>215.88152670531642</v>
      </c>
      <c r="J8" s="73">
        <f t="shared" si="22"/>
        <v>218.09331980441596</v>
      </c>
      <c r="K8" s="73">
        <f t="shared" si="22"/>
        <v>220.32988498622544</v>
      </c>
      <c r="L8" s="73">
        <f t="shared" si="22"/>
        <v>222.59149969807117</v>
      </c>
      <c r="M8" s="73">
        <f t="shared" si="22"/>
        <v>224.87844449468957</v>
      </c>
      <c r="N8" s="73">
        <f t="shared" si="22"/>
        <v>227.19100307303009</v>
      </c>
      <c r="O8" s="73">
        <f t="shared" si="22"/>
        <v>229.52946230744806</v>
      </c>
      <c r="P8" s="73">
        <f t="shared" si="22"/>
        <v>231.8941122852915</v>
      </c>
      <c r="Q8" s="73">
        <f t="shared" si="22"/>
        <v>234.28524634288681</v>
      </c>
      <c r="R8" s="73">
        <f t="shared" si="22"/>
        <v>236.70316110192712</v>
      </c>
      <c r="S8" s="73">
        <f t="shared" si="22"/>
        <v>239.14815650626872</v>
      </c>
      <c r="T8" s="73">
        <f t="shared" si="22"/>
        <v>241.62053585913895</v>
      </c>
      <c r="U8" s="73">
        <f t="shared" si="22"/>
        <v>244.12060586076132</v>
      </c>
      <c r="V8" s="73">
        <f t="shared" si="22"/>
        <v>246.64867664640187</v>
      </c>
      <c r="W8" s="73">
        <f t="shared" si="22"/>
        <v>249.20506182484158</v>
      </c>
      <c r="X8" s="73">
        <f t="shared" si="22"/>
        <v>251.79007851727982</v>
      </c>
      <c r="Y8" s="73">
        <f t="shared" si="22"/>
        <v>254.40404739667341</v>
      </c>
      <c r="Z8" s="73">
        <f t="shared" si="22"/>
        <v>257.04729272751609</v>
      </c>
      <c r="AA8" s="73">
        <f t="shared" si="22"/>
        <v>259.72014240606438</v>
      </c>
    </row>
    <row r="9" spans="1:28" x14ac:dyDescent="0.3">
      <c r="A9" t="str">
        <f>+A54</f>
        <v>(B) Cost of inadequate storage</v>
      </c>
      <c r="B9" s="73">
        <f>+B87</f>
        <v>302.74792458203444</v>
      </c>
      <c r="C9" s="73">
        <f t="shared" ref="C9:AA9" si="23">+C87</f>
        <v>306.24130133735326</v>
      </c>
      <c r="D9" s="73">
        <f t="shared" si="23"/>
        <v>309.77503511233158</v>
      </c>
      <c r="E9" s="73">
        <f t="shared" si="23"/>
        <v>313.34959267998971</v>
      </c>
      <c r="F9" s="73">
        <f t="shared" si="23"/>
        <v>316.96544621849841</v>
      </c>
      <c r="G9" s="73">
        <f t="shared" si="23"/>
        <v>320.62307337384431</v>
      </c>
      <c r="H9" s="73">
        <f t="shared" si="23"/>
        <v>324.32295732322245</v>
      </c>
      <c r="I9" s="73">
        <f t="shared" si="23"/>
        <v>328.06558683916484</v>
      </c>
      <c r="J9" s="73">
        <f t="shared" si="23"/>
        <v>331.85145635441273</v>
      </c>
      <c r="K9" s="73">
        <f t="shared" si="23"/>
        <v>335.68106602754324</v>
      </c>
      <c r="L9" s="73">
        <f t="shared" si="23"/>
        <v>339.5549218093563</v>
      </c>
      <c r="M9" s="73">
        <f t="shared" si="23"/>
        <v>343.47353551003334</v>
      </c>
      <c r="N9" s="73">
        <f t="shared" si="23"/>
        <v>347.43742486707492</v>
      </c>
      <c r="O9" s="73">
        <f t="shared" si="23"/>
        <v>351.44711361402727</v>
      </c>
      <c r="P9" s="73">
        <f t="shared" si="23"/>
        <v>355.5031315500068</v>
      </c>
      <c r="Q9" s="73">
        <f t="shared" si="23"/>
        <v>359.60601461003148</v>
      </c>
      <c r="R9" s="73">
        <f t="shared" si="23"/>
        <v>363.75630493616819</v>
      </c>
      <c r="S9" s="73">
        <f t="shared" si="23"/>
        <v>367.95455094950773</v>
      </c>
      <c r="T9" s="73">
        <f t="shared" si="23"/>
        <v>372.2013074229734</v>
      </c>
      <c r="U9" s="73">
        <f t="shared" si="23"/>
        <v>376.49713555497584</v>
      </c>
      <c r="V9" s="73">
        <f t="shared" si="23"/>
        <v>380.84260304392308</v>
      </c>
      <c r="W9" s="73">
        <f t="shared" si="23"/>
        <v>385.23828416359527</v>
      </c>
      <c r="X9" s="73">
        <f t="shared" si="23"/>
        <v>389.68475983939476</v>
      </c>
      <c r="Y9" s="73">
        <f t="shared" si="23"/>
        <v>394.18261772548129</v>
      </c>
      <c r="Z9" s="73">
        <f t="shared" si="23"/>
        <v>398.73245228280257</v>
      </c>
      <c r="AA9" s="73">
        <f t="shared" si="23"/>
        <v>403.33486485803138</v>
      </c>
    </row>
    <row r="10" spans="1:28" x14ac:dyDescent="0.3">
      <c r="A10" t="str">
        <f>+A89</f>
        <v xml:space="preserve">(C) Cost of not addressing structural issues </v>
      </c>
      <c r="B10" s="73">
        <f>+B126</f>
        <v>245.21</v>
      </c>
      <c r="C10" s="73">
        <f t="shared" ref="C10:AA10" si="24">+C126</f>
        <v>247.08500000000001</v>
      </c>
      <c r="D10" s="73">
        <f t="shared" si="24"/>
        <v>249.00687500000001</v>
      </c>
      <c r="E10" s="73">
        <f t="shared" si="24"/>
        <v>250.97679687499999</v>
      </c>
      <c r="F10" s="73">
        <f t="shared" si="24"/>
        <v>352.995966796875</v>
      </c>
      <c r="G10" s="73">
        <f t="shared" si="24"/>
        <v>255.06561596679686</v>
      </c>
      <c r="H10" s="73">
        <f t="shared" si="24"/>
        <v>257.18700636596679</v>
      </c>
      <c r="I10" s="73">
        <f t="shared" si="24"/>
        <v>259.36143152511596</v>
      </c>
      <c r="J10" s="73">
        <f t="shared" si="24"/>
        <v>261.59021731324384</v>
      </c>
      <c r="K10" s="73">
        <f t="shared" si="24"/>
        <v>263.87472274607489</v>
      </c>
      <c r="L10" s="73">
        <f t="shared" si="24"/>
        <v>266.21634081472678</v>
      </c>
      <c r="M10" s="73">
        <f t="shared" si="24"/>
        <v>268.61649933509494</v>
      </c>
      <c r="N10" s="73">
        <f t="shared" si="24"/>
        <v>271.0766618184723</v>
      </c>
      <c r="O10" s="73">
        <f t="shared" si="24"/>
        <v>273.59832836393412</v>
      </c>
      <c r="P10" s="73">
        <f t="shared" si="24"/>
        <v>276.1830365730325</v>
      </c>
      <c r="Q10" s="73">
        <f t="shared" si="24"/>
        <v>278.8323624873583</v>
      </c>
      <c r="R10" s="73">
        <f t="shared" si="24"/>
        <v>281.54792154954225</v>
      </c>
      <c r="S10" s="73">
        <f t="shared" si="24"/>
        <v>284.33136958828078</v>
      </c>
      <c r="T10" s="73">
        <f t="shared" si="24"/>
        <v>287.18440382798781</v>
      </c>
      <c r="U10" s="73">
        <f t="shared" si="24"/>
        <v>290.10876392368749</v>
      </c>
      <c r="V10" s="73">
        <f t="shared" si="24"/>
        <v>293.10623302177964</v>
      </c>
      <c r="W10" s="73">
        <f t="shared" si="24"/>
        <v>296.17863884732412</v>
      </c>
      <c r="X10" s="73">
        <f t="shared" si="24"/>
        <v>299.32785481850726</v>
      </c>
      <c r="Y10" s="73">
        <f t="shared" si="24"/>
        <v>302.55580118896995</v>
      </c>
      <c r="Z10" s="73">
        <f t="shared" si="24"/>
        <v>305.86444621869418</v>
      </c>
      <c r="AA10" s="73">
        <f t="shared" si="24"/>
        <v>309.25580737416152</v>
      </c>
    </row>
    <row r="11" spans="1:28" x14ac:dyDescent="0.3">
      <c r="A11" t="str">
        <f>+A128</f>
        <v>(D) Costs of outdated facilities</v>
      </c>
      <c r="B11" s="73">
        <f>+B150</f>
        <v>418.5</v>
      </c>
      <c r="C11" s="73">
        <f t="shared" ref="C11:AA11" si="25">+C150</f>
        <v>423.52199999999993</v>
      </c>
      <c r="D11" s="73">
        <f t="shared" si="25"/>
        <v>428.60426399999994</v>
      </c>
      <c r="E11" s="73">
        <f t="shared" si="25"/>
        <v>433.74751516800001</v>
      </c>
      <c r="F11" s="73">
        <f t="shared" si="25"/>
        <v>438.95248535001599</v>
      </c>
      <c r="G11" s="73">
        <f t="shared" si="25"/>
        <v>444.21991517421623</v>
      </c>
      <c r="H11" s="73">
        <f t="shared" si="25"/>
        <v>449.5505541563067</v>
      </c>
      <c r="I11" s="73">
        <f t="shared" si="25"/>
        <v>454.94516080618246</v>
      </c>
      <c r="J11" s="73">
        <f t="shared" si="25"/>
        <v>460.40450273585668</v>
      </c>
      <c r="K11" s="73">
        <f t="shared" si="25"/>
        <v>465.92935676868689</v>
      </c>
      <c r="L11" s="73">
        <f t="shared" si="25"/>
        <v>471.52050904991114</v>
      </c>
      <c r="M11" s="73">
        <f t="shared" si="25"/>
        <v>477.17875515851006</v>
      </c>
      <c r="N11" s="73">
        <f t="shared" si="25"/>
        <v>482.90490022041217</v>
      </c>
      <c r="O11" s="73">
        <f t="shared" si="25"/>
        <v>488.69975902305708</v>
      </c>
      <c r="P11" s="73">
        <f t="shared" si="25"/>
        <v>494.56415613133379</v>
      </c>
      <c r="Q11" s="73">
        <f t="shared" si="25"/>
        <v>500.49892600490989</v>
      </c>
      <c r="R11" s="73">
        <f t="shared" si="25"/>
        <v>506.50491311696874</v>
      </c>
      <c r="S11" s="73">
        <f t="shared" si="25"/>
        <v>512.58297207437249</v>
      </c>
      <c r="T11" s="73">
        <f t="shared" si="25"/>
        <v>518.73396773926481</v>
      </c>
      <c r="U11" s="73">
        <f t="shared" si="25"/>
        <v>524.95877535213606</v>
      </c>
      <c r="V11" s="73">
        <f t="shared" si="25"/>
        <v>531.25828065636165</v>
      </c>
      <c r="W11" s="73">
        <f t="shared" si="25"/>
        <v>537.63338002423802</v>
      </c>
      <c r="X11" s="73">
        <f t="shared" si="25"/>
        <v>544.08498058452881</v>
      </c>
      <c r="Y11" s="73">
        <f t="shared" si="25"/>
        <v>550.61400035154327</v>
      </c>
      <c r="Z11" s="73">
        <f t="shared" si="25"/>
        <v>557.22136835576168</v>
      </c>
      <c r="AA11" s="73">
        <f t="shared" si="25"/>
        <v>563.90802477603074</v>
      </c>
    </row>
    <row r="12" spans="1:28" x14ac:dyDescent="0.3">
      <c r="A12" t="str">
        <f>+A152</f>
        <v>(E) Costs of not addressing safety risks</v>
      </c>
      <c r="B12" s="73">
        <f>+B176</f>
        <v>283.42</v>
      </c>
      <c r="C12" s="73">
        <f t="shared" ref="C12:AA12" si="26">+C176</f>
        <v>283.42</v>
      </c>
      <c r="D12" s="73">
        <f t="shared" si="26"/>
        <v>283.42</v>
      </c>
      <c r="E12" s="73">
        <f t="shared" si="26"/>
        <v>283.42</v>
      </c>
      <c r="F12" s="73">
        <f t="shared" si="26"/>
        <v>283.42</v>
      </c>
      <c r="G12" s="73">
        <f t="shared" si="26"/>
        <v>283.42</v>
      </c>
      <c r="H12" s="73">
        <f t="shared" si="26"/>
        <v>283.42</v>
      </c>
      <c r="I12" s="73">
        <f t="shared" si="26"/>
        <v>283.42</v>
      </c>
      <c r="J12" s="73">
        <f t="shared" si="26"/>
        <v>283.42</v>
      </c>
      <c r="K12" s="73">
        <f t="shared" si="26"/>
        <v>283.42</v>
      </c>
      <c r="L12" s="73">
        <f t="shared" si="26"/>
        <v>283.42</v>
      </c>
      <c r="M12" s="73">
        <f t="shared" si="26"/>
        <v>283.42</v>
      </c>
      <c r="N12" s="73">
        <f t="shared" si="26"/>
        <v>283.42</v>
      </c>
      <c r="O12" s="73">
        <f t="shared" si="26"/>
        <v>283.42</v>
      </c>
      <c r="P12" s="73">
        <f t="shared" si="26"/>
        <v>283.42</v>
      </c>
      <c r="Q12" s="73">
        <f t="shared" si="26"/>
        <v>283.42</v>
      </c>
      <c r="R12" s="73">
        <f t="shared" si="26"/>
        <v>283.42</v>
      </c>
      <c r="S12" s="73">
        <f t="shared" si="26"/>
        <v>283.42</v>
      </c>
      <c r="T12" s="73">
        <f t="shared" si="26"/>
        <v>283.42</v>
      </c>
      <c r="U12" s="73">
        <f t="shared" si="26"/>
        <v>283.42</v>
      </c>
      <c r="V12" s="73">
        <f t="shared" si="26"/>
        <v>283.42</v>
      </c>
      <c r="W12" s="73">
        <f t="shared" si="26"/>
        <v>283.42</v>
      </c>
      <c r="X12" s="73">
        <f t="shared" si="26"/>
        <v>283.42</v>
      </c>
      <c r="Y12" s="73">
        <f t="shared" si="26"/>
        <v>283.42</v>
      </c>
      <c r="Z12" s="73">
        <f t="shared" si="26"/>
        <v>283.42</v>
      </c>
      <c r="AA12" s="73">
        <f t="shared" si="26"/>
        <v>283.42</v>
      </c>
    </row>
    <row r="13" spans="1:28" x14ac:dyDescent="0.3">
      <c r="A13" s="9" t="str">
        <f>+A178</f>
        <v>(F) Costs of suboptimal depot location</v>
      </c>
      <c r="B13" s="74">
        <f>+B197</f>
        <v>128.25</v>
      </c>
      <c r="C13" s="74">
        <f t="shared" ref="C13:AA13" si="27">+C197</f>
        <v>129.78899999999999</v>
      </c>
      <c r="D13" s="74">
        <f t="shared" si="27"/>
        <v>131.34646799999999</v>
      </c>
      <c r="E13" s="74">
        <f t="shared" si="27"/>
        <v>132.922625616</v>
      </c>
      <c r="F13" s="74">
        <f t="shared" si="27"/>
        <v>134.517697123392</v>
      </c>
      <c r="G13" s="74">
        <f t="shared" si="27"/>
        <v>136.13190948887271</v>
      </c>
      <c r="H13" s="74">
        <f t="shared" si="27"/>
        <v>137.76549240273914</v>
      </c>
      <c r="I13" s="74">
        <f t="shared" si="27"/>
        <v>139.41867831157205</v>
      </c>
      <c r="J13" s="74">
        <f t="shared" si="27"/>
        <v>141.09170245131091</v>
      </c>
      <c r="K13" s="74">
        <f t="shared" si="27"/>
        <v>142.78480288072663</v>
      </c>
      <c r="L13" s="74">
        <f t="shared" si="27"/>
        <v>144.49822051529534</v>
      </c>
      <c r="M13" s="74">
        <f t="shared" si="27"/>
        <v>146.23219916147889</v>
      </c>
      <c r="N13" s="74">
        <f t="shared" si="27"/>
        <v>147.98698555141664</v>
      </c>
      <c r="O13" s="74">
        <f t="shared" si="27"/>
        <v>149.76282937803362</v>
      </c>
      <c r="P13" s="74">
        <f t="shared" si="27"/>
        <v>151.55998333057002</v>
      </c>
      <c r="Q13" s="74">
        <f t="shared" si="27"/>
        <v>153.37870313053691</v>
      </c>
      <c r="R13" s="74">
        <f t="shared" si="27"/>
        <v>155.21924756810333</v>
      </c>
      <c r="S13" s="74">
        <f t="shared" si="27"/>
        <v>157.08187853892059</v>
      </c>
      <c r="T13" s="74">
        <f t="shared" si="27"/>
        <v>158.96686108138761</v>
      </c>
      <c r="U13" s="74">
        <f t="shared" si="27"/>
        <v>160.87446341436427</v>
      </c>
      <c r="V13" s="74">
        <f t="shared" si="27"/>
        <v>162.80495697533664</v>
      </c>
      <c r="W13" s="74">
        <f t="shared" si="27"/>
        <v>164.7586164590407</v>
      </c>
      <c r="X13" s="74">
        <f t="shared" si="27"/>
        <v>166.73571985654914</v>
      </c>
      <c r="Y13" s="74">
        <f t="shared" si="27"/>
        <v>168.73654849482779</v>
      </c>
      <c r="Z13" s="74">
        <f t="shared" si="27"/>
        <v>170.76138707676569</v>
      </c>
      <c r="AA13" s="74">
        <f t="shared" si="27"/>
        <v>172.81052372168685</v>
      </c>
    </row>
    <row r="14" spans="1:28" ht="15" thickBot="1" x14ac:dyDescent="0.35">
      <c r="A14" s="69" t="s">
        <v>124</v>
      </c>
      <c r="B14" s="70">
        <f t="shared" ref="B14:AA14" si="28">+SUM(B8:B13)</f>
        <v>1579.1978491640689</v>
      </c>
      <c r="C14" s="70">
        <f t="shared" si="28"/>
        <v>1593.1731290747064</v>
      </c>
      <c r="D14" s="70">
        <f t="shared" si="28"/>
        <v>1607.337287120343</v>
      </c>
      <c r="E14" s="70">
        <f t="shared" si="28"/>
        <v>1621.6931633710913</v>
      </c>
      <c r="F14" s="164">
        <f t="shared" si="28"/>
        <v>1736.2436468108424</v>
      </c>
      <c r="G14" s="70">
        <f t="shared" si="28"/>
        <v>1650.9916763005981</v>
      </c>
      <c r="H14" s="70">
        <f t="shared" si="28"/>
        <v>1665.9402415628283</v>
      </c>
      <c r="I14" s="70">
        <f t="shared" si="28"/>
        <v>1681.0923841873516</v>
      </c>
      <c r="J14" s="70">
        <f t="shared" si="28"/>
        <v>1696.4511986592402</v>
      </c>
      <c r="K14" s="70">
        <f t="shared" si="28"/>
        <v>1712.0198334092572</v>
      </c>
      <c r="L14" s="70">
        <f t="shared" si="28"/>
        <v>1727.8014918873607</v>
      </c>
      <c r="M14" s="70">
        <f t="shared" si="28"/>
        <v>1743.7994336598067</v>
      </c>
      <c r="N14" s="70">
        <f t="shared" si="28"/>
        <v>1760.0169755304062</v>
      </c>
      <c r="O14" s="70">
        <f t="shared" si="28"/>
        <v>1776.4574926865002</v>
      </c>
      <c r="P14" s="70">
        <f t="shared" si="28"/>
        <v>1793.1244198702348</v>
      </c>
      <c r="Q14" s="70">
        <f t="shared" si="28"/>
        <v>1810.0212525757233</v>
      </c>
      <c r="R14" s="70">
        <f t="shared" si="28"/>
        <v>1827.1515482727098</v>
      </c>
      <c r="S14" s="70">
        <f t="shared" si="28"/>
        <v>1844.5189276573503</v>
      </c>
      <c r="T14" s="70">
        <f t="shared" si="28"/>
        <v>1862.1270759307527</v>
      </c>
      <c r="U14" s="70">
        <f t="shared" si="28"/>
        <v>1879.9797441059252</v>
      </c>
      <c r="V14" s="70">
        <f t="shared" si="28"/>
        <v>1898.0807503438029</v>
      </c>
      <c r="W14" s="70">
        <f t="shared" si="28"/>
        <v>1916.4339813190397</v>
      </c>
      <c r="X14" s="70">
        <f t="shared" si="28"/>
        <v>1935.0433936162599</v>
      </c>
      <c r="Y14" s="70">
        <f t="shared" si="28"/>
        <v>1953.9130151574959</v>
      </c>
      <c r="Z14" s="70">
        <f t="shared" si="28"/>
        <v>1973.0469466615402</v>
      </c>
      <c r="AA14" s="70">
        <f t="shared" si="28"/>
        <v>1992.4493631359751</v>
      </c>
    </row>
    <row r="16" spans="1:28" ht="18" x14ac:dyDescent="0.35">
      <c r="A16" s="94" t="s">
        <v>118</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8" spans="1:27" x14ac:dyDescent="0.3">
      <c r="A18" s="53" t="str">
        <f>+'Inputs &amp; Summary'!B6</f>
        <v>Yellow shaded cells are input cells</v>
      </c>
      <c r="C18" s="364" t="s">
        <v>396</v>
      </c>
      <c r="D18" s="365">
        <f>ROUND(SUM(B14:AA14)-SUM(B29:AA29,B40:AA40,B48:AA48,B63:AA63,B73:AA73,B84:AA84,B96:AA96,B111:AA111,B123:AA123,B137:AA137,B147:AA147,B161:AA161,B173:AA173,B187:AA187),2)</f>
        <v>0</v>
      </c>
    </row>
    <row r="20" spans="1:27" ht="18" x14ac:dyDescent="0.35">
      <c r="A20" s="108" t="s">
        <v>161</v>
      </c>
    </row>
    <row r="21" spans="1:27" x14ac:dyDescent="0.3">
      <c r="A21" s="45" t="s">
        <v>19</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row>
    <row r="22" spans="1:27" x14ac:dyDescent="0.3">
      <c r="C22" s="46" t="s">
        <v>176</v>
      </c>
    </row>
    <row r="23" spans="1:27" x14ac:dyDescent="0.3">
      <c r="A23" s="13" t="s">
        <v>18</v>
      </c>
      <c r="B23" s="156">
        <f>'Inputs &amp; Summary'!O86</f>
        <v>2043</v>
      </c>
      <c r="C23" s="1" t="s">
        <v>184</v>
      </c>
    </row>
    <row r="24" spans="1:27" x14ac:dyDescent="0.3">
      <c r="A24" s="13" t="s">
        <v>44</v>
      </c>
      <c r="B24" s="54">
        <f>'Inputs &amp; Summary'!O85</f>
        <v>1.12E-2</v>
      </c>
      <c r="C24" s="1" t="s">
        <v>184</v>
      </c>
      <c r="F24" s="93" t="s">
        <v>137</v>
      </c>
      <c r="G24" s="83"/>
      <c r="H24" s="83"/>
      <c r="I24" s="83"/>
      <c r="J24" s="83"/>
      <c r="K24" s="83"/>
      <c r="L24" s="83"/>
      <c r="M24" s="83"/>
      <c r="N24" s="83"/>
      <c r="O24" s="83"/>
      <c r="P24" s="83"/>
      <c r="Q24" s="83"/>
      <c r="R24" s="83"/>
      <c r="S24" s="83"/>
      <c r="T24" s="83"/>
      <c r="U24" s="84"/>
    </row>
    <row r="25" spans="1:27" x14ac:dyDescent="0.3">
      <c r="A25" s="13" t="s">
        <v>53</v>
      </c>
      <c r="B25" s="157">
        <f>'Inputs &amp; Summary'!O108</f>
        <v>0.05</v>
      </c>
      <c r="C25" s="1" t="s">
        <v>185</v>
      </c>
      <c r="F25" s="85" t="s">
        <v>136</v>
      </c>
      <c r="G25" s="72"/>
      <c r="H25" s="72"/>
      <c r="I25" s="72"/>
      <c r="J25" s="72"/>
      <c r="K25" s="72"/>
      <c r="L25" s="72"/>
      <c r="M25" s="72"/>
      <c r="N25" s="72"/>
      <c r="O25" s="72"/>
      <c r="P25" s="72"/>
      <c r="Q25" s="72"/>
      <c r="R25" s="72"/>
      <c r="S25" s="72"/>
      <c r="T25" s="72"/>
      <c r="U25" s="86"/>
    </row>
    <row r="26" spans="1:27" x14ac:dyDescent="0.3">
      <c r="A26" s="13" t="s">
        <v>54</v>
      </c>
      <c r="B26" s="65">
        <f>'Inputs &amp; Summary'!O109</f>
        <v>80</v>
      </c>
      <c r="C26" s="1" t="s">
        <v>186</v>
      </c>
    </row>
    <row r="27" spans="1:27" s="6" customFormat="1" x14ac:dyDescent="0.3">
      <c r="A27" s="37" t="s">
        <v>3</v>
      </c>
      <c r="B27" s="6">
        <v>0</v>
      </c>
      <c r="C27" s="6">
        <f t="shared" ref="C27:S27" si="29">+B27+1</f>
        <v>1</v>
      </c>
      <c r="D27" s="6">
        <f t="shared" si="29"/>
        <v>2</v>
      </c>
      <c r="E27" s="6">
        <f t="shared" si="29"/>
        <v>3</v>
      </c>
      <c r="F27" s="6">
        <f t="shared" si="29"/>
        <v>4</v>
      </c>
      <c r="G27" s="6">
        <f t="shared" si="29"/>
        <v>5</v>
      </c>
      <c r="H27" s="6">
        <f t="shared" si="29"/>
        <v>6</v>
      </c>
      <c r="I27" s="6">
        <f t="shared" si="29"/>
        <v>7</v>
      </c>
      <c r="J27" s="6">
        <f t="shared" si="29"/>
        <v>8</v>
      </c>
      <c r="K27" s="6">
        <f t="shared" si="29"/>
        <v>9</v>
      </c>
      <c r="L27" s="6">
        <f t="shared" si="29"/>
        <v>10</v>
      </c>
      <c r="M27" s="6">
        <f t="shared" si="29"/>
        <v>11</v>
      </c>
      <c r="N27" s="6">
        <f t="shared" si="29"/>
        <v>12</v>
      </c>
      <c r="O27" s="6">
        <f t="shared" si="29"/>
        <v>13</v>
      </c>
      <c r="P27" s="6">
        <f t="shared" si="29"/>
        <v>14</v>
      </c>
      <c r="Q27" s="6">
        <f t="shared" si="29"/>
        <v>15</v>
      </c>
      <c r="R27" s="6">
        <f t="shared" si="29"/>
        <v>16</v>
      </c>
      <c r="S27" s="6">
        <f t="shared" si="29"/>
        <v>17</v>
      </c>
      <c r="T27" s="6">
        <f t="shared" ref="T27:AA28" si="30">+S27+1</f>
        <v>18</v>
      </c>
      <c r="U27" s="6">
        <f t="shared" si="30"/>
        <v>19</v>
      </c>
      <c r="V27" s="6">
        <f t="shared" si="30"/>
        <v>20</v>
      </c>
      <c r="W27" s="6">
        <f t="shared" si="30"/>
        <v>21</v>
      </c>
      <c r="X27" s="6">
        <f t="shared" si="30"/>
        <v>22</v>
      </c>
      <c r="Y27" s="6">
        <f t="shared" si="30"/>
        <v>23</v>
      </c>
      <c r="Z27" s="6">
        <f t="shared" si="30"/>
        <v>24</v>
      </c>
      <c r="AA27" s="6">
        <f t="shared" si="30"/>
        <v>25</v>
      </c>
    </row>
    <row r="28" spans="1:27" s="20" customFormat="1" x14ac:dyDescent="0.3">
      <c r="A28" s="18" t="s">
        <v>400</v>
      </c>
      <c r="B28" s="19">
        <v>2021</v>
      </c>
      <c r="C28" s="19">
        <f t="shared" ref="C28:S28" si="31">+B28+1</f>
        <v>2022</v>
      </c>
      <c r="D28" s="19">
        <f t="shared" si="31"/>
        <v>2023</v>
      </c>
      <c r="E28" s="19">
        <f t="shared" si="31"/>
        <v>2024</v>
      </c>
      <c r="F28" s="19">
        <f t="shared" si="31"/>
        <v>2025</v>
      </c>
      <c r="G28" s="19">
        <f t="shared" si="31"/>
        <v>2026</v>
      </c>
      <c r="H28" s="19">
        <f t="shared" si="31"/>
        <v>2027</v>
      </c>
      <c r="I28" s="19">
        <f t="shared" si="31"/>
        <v>2028</v>
      </c>
      <c r="J28" s="19">
        <f t="shared" si="31"/>
        <v>2029</v>
      </c>
      <c r="K28" s="19">
        <f t="shared" si="31"/>
        <v>2030</v>
      </c>
      <c r="L28" s="19">
        <f t="shared" si="31"/>
        <v>2031</v>
      </c>
      <c r="M28" s="19">
        <f t="shared" si="31"/>
        <v>2032</v>
      </c>
      <c r="N28" s="19">
        <f t="shared" si="31"/>
        <v>2033</v>
      </c>
      <c r="O28" s="19">
        <f t="shared" si="31"/>
        <v>2034</v>
      </c>
      <c r="P28" s="19">
        <f t="shared" si="31"/>
        <v>2035</v>
      </c>
      <c r="Q28" s="19">
        <f t="shared" si="31"/>
        <v>2036</v>
      </c>
      <c r="R28" s="19">
        <f t="shared" si="31"/>
        <v>2037</v>
      </c>
      <c r="S28" s="19">
        <f t="shared" si="31"/>
        <v>2038</v>
      </c>
      <c r="T28" s="19">
        <f t="shared" si="30"/>
        <v>2039</v>
      </c>
      <c r="U28" s="19">
        <f t="shared" si="30"/>
        <v>2040</v>
      </c>
      <c r="V28" s="19">
        <f t="shared" si="30"/>
        <v>2041</v>
      </c>
      <c r="W28" s="19">
        <f t="shared" si="30"/>
        <v>2042</v>
      </c>
      <c r="X28" s="19">
        <f t="shared" si="30"/>
        <v>2043</v>
      </c>
      <c r="Y28" s="19">
        <f t="shared" si="30"/>
        <v>2044</v>
      </c>
      <c r="Z28" s="19">
        <f t="shared" si="30"/>
        <v>2045</v>
      </c>
      <c r="AA28" s="19">
        <f t="shared" si="30"/>
        <v>2046</v>
      </c>
    </row>
    <row r="29" spans="1:27" s="23" customFormat="1" x14ac:dyDescent="0.3">
      <c r="A29" s="14" t="s">
        <v>57</v>
      </c>
      <c r="B29" s="44">
        <f>+B23*B25*B26/1000</f>
        <v>8.1720000000000006</v>
      </c>
      <c r="C29" s="44">
        <f t="shared" ref="C29:AA29" si="32">+B29*(1+$B$24)</f>
        <v>8.2635264000000017</v>
      </c>
      <c r="D29" s="44">
        <f t="shared" si="32"/>
        <v>8.3560778956800021</v>
      </c>
      <c r="E29" s="44">
        <f t="shared" si="32"/>
        <v>8.4496659681116189</v>
      </c>
      <c r="F29" s="44">
        <f t="shared" si="32"/>
        <v>8.5443022269544695</v>
      </c>
      <c r="G29" s="44">
        <f t="shared" si="32"/>
        <v>8.6399984118963609</v>
      </c>
      <c r="H29" s="44">
        <f t="shared" si="32"/>
        <v>8.7367663941096012</v>
      </c>
      <c r="I29" s="44">
        <f t="shared" si="32"/>
        <v>8.8346181777236303</v>
      </c>
      <c r="J29" s="44">
        <f t="shared" si="32"/>
        <v>8.933565901314136</v>
      </c>
      <c r="K29" s="44">
        <f t="shared" si="32"/>
        <v>9.0336218394088554</v>
      </c>
      <c r="L29" s="44">
        <f t="shared" si="32"/>
        <v>9.134798404010235</v>
      </c>
      <c r="M29" s="44">
        <f t="shared" si="32"/>
        <v>9.2371081461351512</v>
      </c>
      <c r="N29" s="44">
        <f t="shared" si="32"/>
        <v>9.3405637573718661</v>
      </c>
      <c r="O29" s="44">
        <f t="shared" si="32"/>
        <v>9.445178071454432</v>
      </c>
      <c r="P29" s="44">
        <f t="shared" si="32"/>
        <v>9.550964065854723</v>
      </c>
      <c r="Q29" s="44">
        <f t="shared" si="32"/>
        <v>9.6579348633922972</v>
      </c>
      <c r="R29" s="44">
        <f t="shared" si="32"/>
        <v>9.7661037338622911</v>
      </c>
      <c r="S29" s="44">
        <f t="shared" si="32"/>
        <v>9.8754840956815499</v>
      </c>
      <c r="T29" s="44">
        <f t="shared" si="32"/>
        <v>9.9860895175531841</v>
      </c>
      <c r="U29" s="44">
        <f t="shared" si="32"/>
        <v>10.097933720149781</v>
      </c>
      <c r="V29" s="44">
        <f t="shared" si="32"/>
        <v>10.211030577815459</v>
      </c>
      <c r="W29" s="44">
        <f t="shared" si="32"/>
        <v>10.325394120286992</v>
      </c>
      <c r="X29" s="44">
        <f t="shared" si="32"/>
        <v>10.441038534434208</v>
      </c>
      <c r="Y29" s="44">
        <f t="shared" si="32"/>
        <v>10.557978166019872</v>
      </c>
      <c r="Z29" s="44">
        <f t="shared" si="32"/>
        <v>10.676227521479296</v>
      </c>
      <c r="AA29" s="44">
        <f t="shared" si="32"/>
        <v>10.795801269719865</v>
      </c>
    </row>
    <row r="31" spans="1:27" x14ac:dyDescent="0.3">
      <c r="A31" s="45" t="s">
        <v>20</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row>
    <row r="32" spans="1:27" x14ac:dyDescent="0.3">
      <c r="C32" s="46" t="s">
        <v>176</v>
      </c>
      <c r="D32" s="6"/>
      <c r="E32" s="6"/>
      <c r="F32" s="6"/>
    </row>
    <row r="33" spans="1:27" x14ac:dyDescent="0.3">
      <c r="A33" s="6" t="s">
        <v>113</v>
      </c>
      <c r="B33" s="65">
        <f>'Inputs &amp; Summary'!O81</f>
        <v>47.828616539314339</v>
      </c>
      <c r="C33" s="1" t="s">
        <v>187</v>
      </c>
      <c r="D33" s="6"/>
      <c r="E33" s="6"/>
      <c r="F33" s="6"/>
    </row>
    <row r="34" spans="1:27" x14ac:dyDescent="0.3">
      <c r="A34" s="6" t="s">
        <v>114</v>
      </c>
      <c r="B34" s="32">
        <f>'Inputs &amp; Summary'!E84</f>
        <v>182420</v>
      </c>
      <c r="C34" s="1" t="s">
        <v>184</v>
      </c>
      <c r="D34" s="6"/>
      <c r="E34" s="6"/>
      <c r="F34" s="82" t="s">
        <v>140</v>
      </c>
      <c r="G34" s="83"/>
      <c r="H34" s="83"/>
      <c r="I34" s="83"/>
      <c r="J34" s="83"/>
      <c r="K34" s="83"/>
      <c r="L34" s="83"/>
      <c r="M34" s="83"/>
      <c r="N34" s="83"/>
      <c r="O34" s="83"/>
      <c r="P34" s="83"/>
      <c r="Q34" s="83"/>
      <c r="R34" s="83"/>
      <c r="S34" s="83"/>
      <c r="T34" s="83"/>
      <c r="U34" s="84"/>
    </row>
    <row r="35" spans="1:27" x14ac:dyDescent="0.3">
      <c r="A35" s="13" t="s">
        <v>44</v>
      </c>
      <c r="B35" s="54">
        <f>'Inputs &amp; Summary'!O85</f>
        <v>1.12E-2</v>
      </c>
      <c r="C35" s="1" t="s">
        <v>184</v>
      </c>
      <c r="D35" s="6"/>
      <c r="E35" s="6"/>
      <c r="F35" s="87" t="s">
        <v>138</v>
      </c>
      <c r="G35" s="88"/>
      <c r="H35" s="88"/>
      <c r="I35" s="88"/>
      <c r="J35" s="88"/>
      <c r="K35" s="88"/>
      <c r="L35" s="88"/>
      <c r="M35" s="88"/>
      <c r="N35" s="88"/>
      <c r="O35" s="88"/>
      <c r="P35" s="88"/>
      <c r="Q35" s="88"/>
      <c r="R35" s="88"/>
      <c r="S35" s="88"/>
      <c r="T35" s="88"/>
      <c r="U35" s="89"/>
    </row>
    <row r="36" spans="1:27" x14ac:dyDescent="0.3">
      <c r="A36" s="20" t="s">
        <v>115</v>
      </c>
      <c r="B36" s="158">
        <f>'Inputs &amp; Summary'!O111</f>
        <v>0.02</v>
      </c>
      <c r="C36" s="1" t="s">
        <v>185</v>
      </c>
      <c r="D36" s="6"/>
      <c r="E36" s="6"/>
      <c r="F36" s="85" t="s">
        <v>139</v>
      </c>
      <c r="G36" s="72"/>
      <c r="H36" s="72"/>
      <c r="I36" s="72"/>
      <c r="J36" s="72"/>
      <c r="K36" s="72"/>
      <c r="L36" s="72"/>
      <c r="M36" s="72"/>
      <c r="N36" s="72"/>
      <c r="O36" s="72"/>
      <c r="P36" s="72"/>
      <c r="Q36" s="72"/>
      <c r="R36" s="72"/>
      <c r="S36" s="72"/>
      <c r="T36" s="72"/>
      <c r="U36" s="86"/>
    </row>
    <row r="37" spans="1:27" x14ac:dyDescent="0.3">
      <c r="A37" s="20" t="s">
        <v>116</v>
      </c>
      <c r="B37" s="67">
        <f>+B33*B34*B36/1000</f>
        <v>174.49792458203444</v>
      </c>
      <c r="C37" s="1" t="s">
        <v>188</v>
      </c>
      <c r="D37" s="6"/>
      <c r="E37" s="6"/>
      <c r="F37" s="6"/>
    </row>
    <row r="38" spans="1:27" x14ac:dyDescent="0.3">
      <c r="A38" s="3" t="s">
        <v>3</v>
      </c>
      <c r="B38">
        <v>0</v>
      </c>
      <c r="C38">
        <f t="shared" ref="C38:S38" si="33">+B38+1</f>
        <v>1</v>
      </c>
      <c r="D38">
        <f t="shared" si="33"/>
        <v>2</v>
      </c>
      <c r="E38">
        <f t="shared" si="33"/>
        <v>3</v>
      </c>
      <c r="F38">
        <f t="shared" si="33"/>
        <v>4</v>
      </c>
      <c r="G38">
        <f t="shared" si="33"/>
        <v>5</v>
      </c>
      <c r="H38">
        <f t="shared" si="33"/>
        <v>6</v>
      </c>
      <c r="I38">
        <f t="shared" si="33"/>
        <v>7</v>
      </c>
      <c r="J38">
        <f t="shared" si="33"/>
        <v>8</v>
      </c>
      <c r="K38">
        <f t="shared" si="33"/>
        <v>9</v>
      </c>
      <c r="L38">
        <f t="shared" si="33"/>
        <v>10</v>
      </c>
      <c r="M38">
        <f t="shared" si="33"/>
        <v>11</v>
      </c>
      <c r="N38">
        <f t="shared" si="33"/>
        <v>12</v>
      </c>
      <c r="O38">
        <f t="shared" si="33"/>
        <v>13</v>
      </c>
      <c r="P38">
        <f t="shared" si="33"/>
        <v>14</v>
      </c>
      <c r="Q38">
        <f t="shared" si="33"/>
        <v>15</v>
      </c>
      <c r="R38">
        <f t="shared" si="33"/>
        <v>16</v>
      </c>
      <c r="S38">
        <f t="shared" si="33"/>
        <v>17</v>
      </c>
      <c r="T38">
        <f t="shared" ref="T38:AA39" si="34">+S38+1</f>
        <v>18</v>
      </c>
      <c r="U38">
        <f t="shared" si="34"/>
        <v>19</v>
      </c>
      <c r="V38">
        <f t="shared" si="34"/>
        <v>20</v>
      </c>
      <c r="W38">
        <f t="shared" si="34"/>
        <v>21</v>
      </c>
      <c r="X38">
        <f t="shared" si="34"/>
        <v>22</v>
      </c>
      <c r="Y38">
        <f t="shared" si="34"/>
        <v>23</v>
      </c>
      <c r="Z38">
        <f t="shared" si="34"/>
        <v>24</v>
      </c>
      <c r="AA38">
        <f t="shared" si="34"/>
        <v>25</v>
      </c>
    </row>
    <row r="39" spans="1:27" x14ac:dyDescent="0.3">
      <c r="A39" s="18" t="s">
        <v>400</v>
      </c>
      <c r="B39" s="19">
        <v>2021</v>
      </c>
      <c r="C39" s="19">
        <f t="shared" ref="C39:S39" si="35">+B39+1</f>
        <v>2022</v>
      </c>
      <c r="D39" s="19">
        <f t="shared" si="35"/>
        <v>2023</v>
      </c>
      <c r="E39" s="19">
        <f t="shared" si="35"/>
        <v>2024</v>
      </c>
      <c r="F39" s="19">
        <f t="shared" si="35"/>
        <v>2025</v>
      </c>
      <c r="G39" s="19">
        <f t="shared" si="35"/>
        <v>2026</v>
      </c>
      <c r="H39" s="19">
        <f t="shared" si="35"/>
        <v>2027</v>
      </c>
      <c r="I39" s="19">
        <f t="shared" si="35"/>
        <v>2028</v>
      </c>
      <c r="J39" s="19">
        <f t="shared" si="35"/>
        <v>2029</v>
      </c>
      <c r="K39" s="19">
        <f t="shared" si="35"/>
        <v>2030</v>
      </c>
      <c r="L39" s="19">
        <f t="shared" si="35"/>
        <v>2031</v>
      </c>
      <c r="M39" s="19">
        <f t="shared" si="35"/>
        <v>2032</v>
      </c>
      <c r="N39" s="19">
        <f t="shared" si="35"/>
        <v>2033</v>
      </c>
      <c r="O39" s="19">
        <f t="shared" si="35"/>
        <v>2034</v>
      </c>
      <c r="P39" s="19">
        <f t="shared" si="35"/>
        <v>2035</v>
      </c>
      <c r="Q39" s="19">
        <f t="shared" si="35"/>
        <v>2036</v>
      </c>
      <c r="R39" s="19">
        <f t="shared" si="35"/>
        <v>2037</v>
      </c>
      <c r="S39" s="19">
        <f t="shared" si="35"/>
        <v>2038</v>
      </c>
      <c r="T39" s="19">
        <f t="shared" si="34"/>
        <v>2039</v>
      </c>
      <c r="U39" s="19">
        <f t="shared" si="34"/>
        <v>2040</v>
      </c>
      <c r="V39" s="19">
        <f t="shared" si="34"/>
        <v>2041</v>
      </c>
      <c r="W39" s="19">
        <f t="shared" si="34"/>
        <v>2042</v>
      </c>
      <c r="X39" s="19">
        <f t="shared" si="34"/>
        <v>2043</v>
      </c>
      <c r="Y39" s="19">
        <f t="shared" si="34"/>
        <v>2044</v>
      </c>
      <c r="Z39" s="19">
        <f t="shared" si="34"/>
        <v>2045</v>
      </c>
      <c r="AA39" s="19">
        <f t="shared" si="34"/>
        <v>2046</v>
      </c>
    </row>
    <row r="40" spans="1:27" s="12" customFormat="1" x14ac:dyDescent="0.3">
      <c r="A40" s="40" t="s">
        <v>58</v>
      </c>
      <c r="B40" s="68">
        <f>+B37</f>
        <v>174.49792458203444</v>
      </c>
      <c r="C40" s="68">
        <f t="shared" ref="C40:AA40" si="36">+$B$40*(1+$B$35)^C38</f>
        <v>176.45230133735325</v>
      </c>
      <c r="D40" s="68">
        <f t="shared" si="36"/>
        <v>178.42856711233159</v>
      </c>
      <c r="E40" s="68">
        <f t="shared" si="36"/>
        <v>180.42696706398974</v>
      </c>
      <c r="F40" s="68">
        <f t="shared" si="36"/>
        <v>182.44774909510645</v>
      </c>
      <c r="G40" s="68">
        <f t="shared" si="36"/>
        <v>184.49116388497163</v>
      </c>
      <c r="H40" s="68">
        <f t="shared" si="36"/>
        <v>186.55746492048334</v>
      </c>
      <c r="I40" s="68">
        <f t="shared" si="36"/>
        <v>188.64690852759279</v>
      </c>
      <c r="J40" s="68">
        <f t="shared" si="36"/>
        <v>190.75975390310182</v>
      </c>
      <c r="K40" s="68">
        <f t="shared" si="36"/>
        <v>192.89626314681658</v>
      </c>
      <c r="L40" s="68">
        <f t="shared" si="36"/>
        <v>195.05670129406093</v>
      </c>
      <c r="M40" s="68">
        <f t="shared" si="36"/>
        <v>197.24133634855443</v>
      </c>
      <c r="N40" s="68">
        <f t="shared" si="36"/>
        <v>199.45043931565823</v>
      </c>
      <c r="O40" s="68">
        <f t="shared" si="36"/>
        <v>201.68428423599363</v>
      </c>
      <c r="P40" s="68">
        <f t="shared" si="36"/>
        <v>203.94314821943678</v>
      </c>
      <c r="Q40" s="68">
        <f t="shared" si="36"/>
        <v>206.22731147949452</v>
      </c>
      <c r="R40" s="68">
        <f t="shared" si="36"/>
        <v>208.53705736806484</v>
      </c>
      <c r="S40" s="68">
        <f t="shared" si="36"/>
        <v>210.87267241058717</v>
      </c>
      <c r="T40" s="68">
        <f t="shared" si="36"/>
        <v>213.23444634158577</v>
      </c>
      <c r="U40" s="68">
        <f t="shared" si="36"/>
        <v>215.62267214061154</v>
      </c>
      <c r="V40" s="68">
        <f t="shared" si="36"/>
        <v>218.03764606858641</v>
      </c>
      <c r="W40" s="68">
        <f t="shared" si="36"/>
        <v>220.47966770455457</v>
      </c>
      <c r="X40" s="68">
        <f t="shared" si="36"/>
        <v>222.94903998284562</v>
      </c>
      <c r="Y40" s="68">
        <f t="shared" si="36"/>
        <v>225.44606923065353</v>
      </c>
      <c r="Z40" s="68">
        <f t="shared" si="36"/>
        <v>227.97106520603683</v>
      </c>
      <c r="AA40" s="68">
        <f t="shared" si="36"/>
        <v>230.5243411363445</v>
      </c>
    </row>
    <row r="41" spans="1:27" s="12" customFormat="1" x14ac:dyDescent="0.3">
      <c r="A41" s="14"/>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row>
    <row r="42" spans="1:27" s="12" customFormat="1" x14ac:dyDescent="0.3">
      <c r="A42" s="45" t="s">
        <v>149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s="12" customFormat="1" x14ac:dyDescent="0.3">
      <c r="A43" s="1"/>
      <c r="B43"/>
      <c r="C43" s="46" t="s">
        <v>181</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row>
    <row r="44" spans="1:27" s="12" customFormat="1" x14ac:dyDescent="0.3">
      <c r="A44" s="1" t="s">
        <v>182</v>
      </c>
      <c r="B44" s="6">
        <f>'Inputs &amp; Summary'!O113</f>
        <v>18.399999999999999</v>
      </c>
      <c r="C44" s="1"/>
      <c r="D44" s="115"/>
      <c r="E44" s="115"/>
      <c r="U44" s="115"/>
      <c r="V44" s="115"/>
      <c r="W44" s="115"/>
      <c r="X44" s="115"/>
      <c r="Y44" s="115"/>
      <c r="Z44" s="115"/>
      <c r="AA44" s="115"/>
    </row>
    <row r="45" spans="1:27" s="12" customFormat="1" x14ac:dyDescent="0.3">
      <c r="D45" s="115"/>
      <c r="E45" s="115"/>
      <c r="F45" s="90" t="s">
        <v>150</v>
      </c>
      <c r="G45" s="91"/>
      <c r="H45" s="91"/>
      <c r="I45" s="91"/>
      <c r="J45" s="91"/>
      <c r="K45" s="91"/>
      <c r="L45" s="91"/>
      <c r="M45" s="91"/>
      <c r="N45" s="91"/>
      <c r="O45" s="91"/>
      <c r="P45" s="91"/>
      <c r="Q45" s="91"/>
      <c r="R45" s="91"/>
      <c r="S45" s="91"/>
      <c r="T45" s="92"/>
      <c r="U45" s="115"/>
      <c r="V45" s="115"/>
      <c r="W45" s="115"/>
      <c r="X45" s="115"/>
      <c r="Y45" s="115"/>
      <c r="Z45" s="115"/>
      <c r="AA45" s="115"/>
    </row>
    <row r="46" spans="1:27" s="12" customFormat="1" x14ac:dyDescent="0.3">
      <c r="A46" s="1"/>
      <c r="B46"/>
      <c r="C46"/>
      <c r="D46"/>
      <c r="E46"/>
      <c r="U46"/>
      <c r="V46"/>
      <c r="W46"/>
      <c r="X46"/>
      <c r="Y46"/>
      <c r="Z46"/>
      <c r="AA46"/>
    </row>
    <row r="47" spans="1:27" s="12" customFormat="1" x14ac:dyDescent="0.3">
      <c r="A47" s="18" t="s">
        <v>400</v>
      </c>
      <c r="B47" s="19">
        <v>2021</v>
      </c>
      <c r="C47" s="19">
        <f>+B47+1</f>
        <v>2022</v>
      </c>
      <c r="D47" s="19">
        <f t="shared" ref="D47:AA47" si="37">+C47+1</f>
        <v>2023</v>
      </c>
      <c r="E47" s="19">
        <f t="shared" si="37"/>
        <v>2024</v>
      </c>
      <c r="F47" s="19">
        <f t="shared" si="37"/>
        <v>2025</v>
      </c>
      <c r="G47" s="19">
        <f t="shared" si="37"/>
        <v>2026</v>
      </c>
      <c r="H47" s="19">
        <f t="shared" si="37"/>
        <v>2027</v>
      </c>
      <c r="I47" s="19">
        <f t="shared" si="37"/>
        <v>2028</v>
      </c>
      <c r="J47" s="19">
        <f t="shared" si="37"/>
        <v>2029</v>
      </c>
      <c r="K47" s="19">
        <f t="shared" si="37"/>
        <v>2030</v>
      </c>
      <c r="L47" s="19">
        <f t="shared" si="37"/>
        <v>2031</v>
      </c>
      <c r="M47" s="19">
        <f t="shared" si="37"/>
        <v>2032</v>
      </c>
      <c r="N47" s="19">
        <f t="shared" si="37"/>
        <v>2033</v>
      </c>
      <c r="O47" s="19">
        <f t="shared" si="37"/>
        <v>2034</v>
      </c>
      <c r="P47" s="19">
        <f t="shared" si="37"/>
        <v>2035</v>
      </c>
      <c r="Q47" s="19">
        <f t="shared" si="37"/>
        <v>2036</v>
      </c>
      <c r="R47" s="19">
        <f t="shared" si="37"/>
        <v>2037</v>
      </c>
      <c r="S47" s="19">
        <f t="shared" si="37"/>
        <v>2038</v>
      </c>
      <c r="T47" s="19">
        <f t="shared" si="37"/>
        <v>2039</v>
      </c>
      <c r="U47" s="19">
        <f t="shared" si="37"/>
        <v>2040</v>
      </c>
      <c r="V47" s="19">
        <f t="shared" si="37"/>
        <v>2041</v>
      </c>
      <c r="W47" s="19">
        <f t="shared" si="37"/>
        <v>2042</v>
      </c>
      <c r="X47" s="19">
        <f t="shared" si="37"/>
        <v>2043</v>
      </c>
      <c r="Y47" s="19">
        <f t="shared" si="37"/>
        <v>2044</v>
      </c>
      <c r="Z47" s="19">
        <f t="shared" si="37"/>
        <v>2045</v>
      </c>
      <c r="AA47" s="19">
        <f t="shared" si="37"/>
        <v>2046</v>
      </c>
    </row>
    <row r="48" spans="1:27" s="12" customFormat="1" x14ac:dyDescent="0.3">
      <c r="A48" s="30" t="s">
        <v>59</v>
      </c>
      <c r="B48" s="35">
        <f>B44</f>
        <v>18.399999999999999</v>
      </c>
      <c r="C48" s="25">
        <f>+B48</f>
        <v>18.399999999999999</v>
      </c>
      <c r="D48" s="25">
        <f t="shared" ref="D48:AA48" si="38">+C48</f>
        <v>18.399999999999999</v>
      </c>
      <c r="E48" s="25">
        <f t="shared" si="38"/>
        <v>18.399999999999999</v>
      </c>
      <c r="F48" s="25">
        <f t="shared" si="38"/>
        <v>18.399999999999999</v>
      </c>
      <c r="G48" s="25">
        <f t="shared" si="38"/>
        <v>18.399999999999999</v>
      </c>
      <c r="H48" s="25">
        <f t="shared" si="38"/>
        <v>18.399999999999999</v>
      </c>
      <c r="I48" s="25">
        <f t="shared" si="38"/>
        <v>18.399999999999999</v>
      </c>
      <c r="J48" s="25">
        <f t="shared" si="38"/>
        <v>18.399999999999999</v>
      </c>
      <c r="K48" s="25">
        <f t="shared" si="38"/>
        <v>18.399999999999999</v>
      </c>
      <c r="L48" s="25">
        <f t="shared" si="38"/>
        <v>18.399999999999999</v>
      </c>
      <c r="M48" s="25">
        <f t="shared" si="38"/>
        <v>18.399999999999999</v>
      </c>
      <c r="N48" s="25">
        <f t="shared" si="38"/>
        <v>18.399999999999999</v>
      </c>
      <c r="O48" s="25">
        <f t="shared" si="38"/>
        <v>18.399999999999999</v>
      </c>
      <c r="P48" s="25">
        <f t="shared" si="38"/>
        <v>18.399999999999999</v>
      </c>
      <c r="Q48" s="25">
        <f t="shared" si="38"/>
        <v>18.399999999999999</v>
      </c>
      <c r="R48" s="25">
        <f t="shared" si="38"/>
        <v>18.399999999999999</v>
      </c>
      <c r="S48" s="25">
        <f t="shared" si="38"/>
        <v>18.399999999999999</v>
      </c>
      <c r="T48" s="25">
        <f t="shared" si="38"/>
        <v>18.399999999999999</v>
      </c>
      <c r="U48" s="25">
        <f t="shared" si="38"/>
        <v>18.399999999999999</v>
      </c>
      <c r="V48" s="25">
        <f t="shared" si="38"/>
        <v>18.399999999999999</v>
      </c>
      <c r="W48" s="25">
        <f t="shared" si="38"/>
        <v>18.399999999999999</v>
      </c>
      <c r="X48" s="25">
        <f t="shared" si="38"/>
        <v>18.399999999999999</v>
      </c>
      <c r="Y48" s="25">
        <f t="shared" si="38"/>
        <v>18.399999999999999</v>
      </c>
      <c r="Z48" s="25">
        <f t="shared" si="38"/>
        <v>18.399999999999999</v>
      </c>
      <c r="AA48" s="25">
        <f t="shared" si="38"/>
        <v>18.399999999999999</v>
      </c>
    </row>
    <row r="49" spans="1:27" s="12" customFormat="1" x14ac:dyDescent="0.3">
      <c r="A49" s="14"/>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row>
    <row r="51" spans="1:27" x14ac:dyDescent="0.3">
      <c r="A51" s="17" t="s">
        <v>68</v>
      </c>
      <c r="B51" s="17">
        <f t="shared" ref="B51:AA51" si="39">+B28</f>
        <v>2021</v>
      </c>
      <c r="C51" s="17">
        <f t="shared" si="39"/>
        <v>2022</v>
      </c>
      <c r="D51" s="17">
        <f t="shared" si="39"/>
        <v>2023</v>
      </c>
      <c r="E51" s="17">
        <f t="shared" si="39"/>
        <v>2024</v>
      </c>
      <c r="F51" s="17">
        <f t="shared" si="39"/>
        <v>2025</v>
      </c>
      <c r="G51" s="17">
        <f t="shared" si="39"/>
        <v>2026</v>
      </c>
      <c r="H51" s="17">
        <f t="shared" si="39"/>
        <v>2027</v>
      </c>
      <c r="I51" s="17">
        <f t="shared" si="39"/>
        <v>2028</v>
      </c>
      <c r="J51" s="17">
        <f t="shared" si="39"/>
        <v>2029</v>
      </c>
      <c r="K51" s="17">
        <f t="shared" si="39"/>
        <v>2030</v>
      </c>
      <c r="L51" s="17">
        <f t="shared" si="39"/>
        <v>2031</v>
      </c>
      <c r="M51" s="17">
        <f t="shared" si="39"/>
        <v>2032</v>
      </c>
      <c r="N51" s="17">
        <f t="shared" si="39"/>
        <v>2033</v>
      </c>
      <c r="O51" s="17">
        <f t="shared" si="39"/>
        <v>2034</v>
      </c>
      <c r="P51" s="17">
        <f t="shared" si="39"/>
        <v>2035</v>
      </c>
      <c r="Q51" s="17">
        <f t="shared" si="39"/>
        <v>2036</v>
      </c>
      <c r="R51" s="17">
        <f t="shared" si="39"/>
        <v>2037</v>
      </c>
      <c r="S51" s="17">
        <f t="shared" si="39"/>
        <v>2038</v>
      </c>
      <c r="T51" s="17">
        <f t="shared" si="39"/>
        <v>2039</v>
      </c>
      <c r="U51" s="17">
        <f t="shared" si="39"/>
        <v>2040</v>
      </c>
      <c r="V51" s="17">
        <f t="shared" si="39"/>
        <v>2041</v>
      </c>
      <c r="W51" s="17">
        <f t="shared" si="39"/>
        <v>2042</v>
      </c>
      <c r="X51" s="17">
        <f t="shared" si="39"/>
        <v>2043</v>
      </c>
      <c r="Y51" s="17">
        <f t="shared" si="39"/>
        <v>2044</v>
      </c>
      <c r="Z51" s="17">
        <f t="shared" si="39"/>
        <v>2045</v>
      </c>
      <c r="AA51" s="17">
        <f t="shared" si="39"/>
        <v>2046</v>
      </c>
    </row>
    <row r="52" spans="1:27" s="1" customFormat="1" ht="15" thickBot="1" x14ac:dyDescent="0.35">
      <c r="A52" s="38" t="s">
        <v>55</v>
      </c>
      <c r="B52" s="39">
        <f t="shared" ref="B52:AA52" si="40">+B40+B29+B48</f>
        <v>201.06992458203445</v>
      </c>
      <c r="C52" s="39">
        <f t="shared" si="40"/>
        <v>203.11582773735324</v>
      </c>
      <c r="D52" s="39">
        <f t="shared" si="40"/>
        <v>205.18464500801159</v>
      </c>
      <c r="E52" s="39">
        <f t="shared" si="40"/>
        <v>207.27663303210136</v>
      </c>
      <c r="F52" s="39">
        <f t="shared" si="40"/>
        <v>209.39205132206092</v>
      </c>
      <c r="G52" s="39">
        <f t="shared" si="40"/>
        <v>211.53116229686799</v>
      </c>
      <c r="H52" s="39">
        <f t="shared" si="40"/>
        <v>213.69423131459294</v>
      </c>
      <c r="I52" s="39">
        <f t="shared" si="40"/>
        <v>215.88152670531642</v>
      </c>
      <c r="J52" s="39">
        <f t="shared" si="40"/>
        <v>218.09331980441596</v>
      </c>
      <c r="K52" s="39">
        <f t="shared" si="40"/>
        <v>220.32988498622544</v>
      </c>
      <c r="L52" s="39">
        <f t="shared" si="40"/>
        <v>222.59149969807117</v>
      </c>
      <c r="M52" s="39">
        <f t="shared" si="40"/>
        <v>224.87844449468957</v>
      </c>
      <c r="N52" s="39">
        <f t="shared" si="40"/>
        <v>227.19100307303009</v>
      </c>
      <c r="O52" s="39">
        <f t="shared" si="40"/>
        <v>229.52946230744806</v>
      </c>
      <c r="P52" s="39">
        <f t="shared" si="40"/>
        <v>231.8941122852915</v>
      </c>
      <c r="Q52" s="39">
        <f t="shared" si="40"/>
        <v>234.28524634288681</v>
      </c>
      <c r="R52" s="39">
        <f t="shared" si="40"/>
        <v>236.70316110192712</v>
      </c>
      <c r="S52" s="39">
        <f t="shared" si="40"/>
        <v>239.14815650626872</v>
      </c>
      <c r="T52" s="39">
        <f t="shared" si="40"/>
        <v>241.62053585913895</v>
      </c>
      <c r="U52" s="39">
        <f t="shared" si="40"/>
        <v>244.12060586076132</v>
      </c>
      <c r="V52" s="39">
        <f t="shared" si="40"/>
        <v>246.64867664640187</v>
      </c>
      <c r="W52" s="39">
        <f t="shared" si="40"/>
        <v>249.20506182484158</v>
      </c>
      <c r="X52" s="39">
        <f t="shared" si="40"/>
        <v>251.79007851727982</v>
      </c>
      <c r="Y52" s="39">
        <f t="shared" si="40"/>
        <v>254.40404739667341</v>
      </c>
      <c r="Z52" s="39">
        <f t="shared" si="40"/>
        <v>257.04729272751609</v>
      </c>
      <c r="AA52" s="39">
        <f t="shared" si="40"/>
        <v>259.72014240606438</v>
      </c>
    </row>
    <row r="54" spans="1:27" ht="18" x14ac:dyDescent="0.35">
      <c r="A54" s="108" t="s">
        <v>162</v>
      </c>
    </row>
    <row r="55" spans="1:27" x14ac:dyDescent="0.3">
      <c r="A55" s="45" t="s">
        <v>51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3">
      <c r="A56" s="6"/>
      <c r="C56" s="46" t="s">
        <v>181</v>
      </c>
    </row>
    <row r="57" spans="1:27" x14ac:dyDescent="0.3">
      <c r="A57" t="s">
        <v>40</v>
      </c>
      <c r="B57" s="156">
        <f>'Inputs &amp; Summary'!E95</f>
        <v>38</v>
      </c>
      <c r="C57" s="1" t="s">
        <v>184</v>
      </c>
      <c r="F57" s="82" t="s">
        <v>141</v>
      </c>
      <c r="G57" s="83"/>
      <c r="H57" s="83"/>
      <c r="I57" s="83"/>
      <c r="J57" s="83"/>
      <c r="K57" s="83"/>
      <c r="L57" s="83"/>
      <c r="M57" s="83"/>
      <c r="N57" s="83"/>
      <c r="O57" s="83"/>
      <c r="P57" s="84"/>
    </row>
    <row r="58" spans="1:27" x14ac:dyDescent="0.3">
      <c r="A58" t="s">
        <v>56</v>
      </c>
      <c r="B58" s="156">
        <f>'Inputs &amp; Summary'!E96</f>
        <v>135</v>
      </c>
      <c r="C58" s="1" t="s">
        <v>184</v>
      </c>
      <c r="F58" s="85" t="s">
        <v>142</v>
      </c>
      <c r="G58" s="72"/>
      <c r="H58" s="72"/>
      <c r="I58" s="72"/>
      <c r="J58" s="72"/>
      <c r="K58" s="72"/>
      <c r="L58" s="72"/>
      <c r="M58" s="72"/>
      <c r="N58" s="72"/>
      <c r="O58" s="72"/>
      <c r="P58" s="86"/>
    </row>
    <row r="59" spans="1:27" x14ac:dyDescent="0.3">
      <c r="A59" t="s">
        <v>38</v>
      </c>
      <c r="B59" s="158">
        <f>'Inputs &amp; Summary'!O117</f>
        <v>0.01</v>
      </c>
      <c r="C59" s="1" t="s">
        <v>185</v>
      </c>
    </row>
    <row r="60" spans="1:27" x14ac:dyDescent="0.3">
      <c r="A60" t="s">
        <v>39</v>
      </c>
      <c r="B60" s="158">
        <f>'Inputs &amp; Summary'!O118</f>
        <v>1.2E-2</v>
      </c>
      <c r="C60" s="1" t="s">
        <v>194</v>
      </c>
    </row>
    <row r="61" spans="1:27" x14ac:dyDescent="0.3">
      <c r="A61" s="3" t="s">
        <v>3</v>
      </c>
      <c r="B61">
        <v>0</v>
      </c>
      <c r="C61">
        <f>+B61+1</f>
        <v>1</v>
      </c>
      <c r="D61">
        <f t="shared" ref="D61:S62" si="41">+C61+1</f>
        <v>2</v>
      </c>
      <c r="E61">
        <f t="shared" si="41"/>
        <v>3</v>
      </c>
      <c r="F61">
        <f t="shared" si="41"/>
        <v>4</v>
      </c>
      <c r="G61">
        <f t="shared" si="41"/>
        <v>5</v>
      </c>
      <c r="H61">
        <f t="shared" si="41"/>
        <v>6</v>
      </c>
      <c r="I61">
        <f t="shared" si="41"/>
        <v>7</v>
      </c>
      <c r="J61">
        <f t="shared" si="41"/>
        <v>8</v>
      </c>
      <c r="K61">
        <f t="shared" si="41"/>
        <v>9</v>
      </c>
      <c r="L61">
        <f t="shared" si="41"/>
        <v>10</v>
      </c>
      <c r="M61">
        <f t="shared" si="41"/>
        <v>11</v>
      </c>
      <c r="N61">
        <f t="shared" si="41"/>
        <v>12</v>
      </c>
      <c r="O61">
        <f t="shared" si="41"/>
        <v>13</v>
      </c>
      <c r="P61">
        <f t="shared" si="41"/>
        <v>14</v>
      </c>
      <c r="Q61">
        <f t="shared" si="41"/>
        <v>15</v>
      </c>
      <c r="R61">
        <f t="shared" si="41"/>
        <v>16</v>
      </c>
      <c r="S61">
        <f t="shared" si="41"/>
        <v>17</v>
      </c>
      <c r="T61">
        <f t="shared" ref="T61:AA62" si="42">+S61+1</f>
        <v>18</v>
      </c>
      <c r="U61">
        <f t="shared" si="42"/>
        <v>19</v>
      </c>
      <c r="V61">
        <f t="shared" si="42"/>
        <v>20</v>
      </c>
      <c r="W61">
        <f t="shared" si="42"/>
        <v>21</v>
      </c>
      <c r="X61">
        <f t="shared" si="42"/>
        <v>22</v>
      </c>
      <c r="Y61">
        <f t="shared" si="42"/>
        <v>23</v>
      </c>
      <c r="Z61">
        <f t="shared" si="42"/>
        <v>24</v>
      </c>
      <c r="AA61">
        <f t="shared" si="42"/>
        <v>25</v>
      </c>
    </row>
    <row r="62" spans="1:27" x14ac:dyDescent="0.3">
      <c r="A62" s="18" t="s">
        <v>400</v>
      </c>
      <c r="B62" s="19">
        <v>2021</v>
      </c>
      <c r="C62" s="19">
        <f>+B62+1</f>
        <v>2022</v>
      </c>
      <c r="D62" s="19">
        <f t="shared" si="41"/>
        <v>2023</v>
      </c>
      <c r="E62" s="19">
        <f t="shared" si="41"/>
        <v>2024</v>
      </c>
      <c r="F62" s="19">
        <f t="shared" si="41"/>
        <v>2025</v>
      </c>
      <c r="G62" s="19">
        <f t="shared" si="41"/>
        <v>2026</v>
      </c>
      <c r="H62" s="19">
        <f t="shared" si="41"/>
        <v>2027</v>
      </c>
      <c r="I62" s="19">
        <f t="shared" si="41"/>
        <v>2028</v>
      </c>
      <c r="J62" s="19">
        <f t="shared" si="41"/>
        <v>2029</v>
      </c>
      <c r="K62" s="19">
        <f t="shared" si="41"/>
        <v>2030</v>
      </c>
      <c r="L62" s="19">
        <f t="shared" si="41"/>
        <v>2031</v>
      </c>
      <c r="M62" s="19">
        <f t="shared" si="41"/>
        <v>2032</v>
      </c>
      <c r="N62" s="19">
        <f t="shared" si="41"/>
        <v>2033</v>
      </c>
      <c r="O62" s="19">
        <f t="shared" si="41"/>
        <v>2034</v>
      </c>
      <c r="P62" s="19">
        <f t="shared" si="41"/>
        <v>2035</v>
      </c>
      <c r="Q62" s="19">
        <f t="shared" si="41"/>
        <v>2036</v>
      </c>
      <c r="R62" s="19">
        <f t="shared" si="41"/>
        <v>2037</v>
      </c>
      <c r="S62" s="19">
        <f t="shared" si="41"/>
        <v>2038</v>
      </c>
      <c r="T62" s="19">
        <f t="shared" si="42"/>
        <v>2039</v>
      </c>
      <c r="U62" s="19">
        <f t="shared" si="42"/>
        <v>2040</v>
      </c>
      <c r="V62" s="19">
        <f t="shared" si="42"/>
        <v>2041</v>
      </c>
      <c r="W62" s="19">
        <f t="shared" si="42"/>
        <v>2042</v>
      </c>
      <c r="X62" s="19">
        <f t="shared" si="42"/>
        <v>2043</v>
      </c>
      <c r="Y62" s="19">
        <f t="shared" si="42"/>
        <v>2044</v>
      </c>
      <c r="Z62" s="19">
        <f t="shared" si="42"/>
        <v>2045</v>
      </c>
      <c r="AA62" s="19">
        <f t="shared" si="42"/>
        <v>2046</v>
      </c>
    </row>
    <row r="63" spans="1:27" s="43" customFormat="1" x14ac:dyDescent="0.3">
      <c r="A63" s="14" t="s">
        <v>57</v>
      </c>
      <c r="B63" s="24">
        <f>+(B57*B58*B59)</f>
        <v>51.300000000000004</v>
      </c>
      <c r="C63" s="24">
        <f>$B63*(1+$B60)^C61</f>
        <v>51.915600000000005</v>
      </c>
      <c r="D63" s="24">
        <f t="shared" ref="D63:AA63" si="43">$B63*(1+$B60)^D61</f>
        <v>52.538587200000002</v>
      </c>
      <c r="E63" s="24">
        <f t="shared" si="43"/>
        <v>53.169050246400005</v>
      </c>
      <c r="F63" s="24">
        <f t="shared" si="43"/>
        <v>53.807078849356806</v>
      </c>
      <c r="G63" s="24">
        <f t="shared" si="43"/>
        <v>54.452763795549082</v>
      </c>
      <c r="H63" s="24">
        <f t="shared" si="43"/>
        <v>55.106196961095662</v>
      </c>
      <c r="I63" s="24">
        <f>$B63*(1+$B60)^I61</f>
        <v>55.767471324628822</v>
      </c>
      <c r="J63" s="24">
        <f t="shared" si="43"/>
        <v>56.436680980524365</v>
      </c>
      <c r="K63" s="24">
        <f t="shared" si="43"/>
        <v>57.113921152290658</v>
      </c>
      <c r="L63" s="24">
        <f t="shared" si="43"/>
        <v>57.799288206118149</v>
      </c>
      <c r="M63" s="24">
        <f t="shared" si="43"/>
        <v>58.492879664591563</v>
      </c>
      <c r="N63" s="24">
        <f t="shared" si="43"/>
        <v>59.194794220566656</v>
      </c>
      <c r="O63" s="24">
        <f>$B63*(1+$B60)^O61</f>
        <v>59.905131751213453</v>
      </c>
      <c r="P63" s="24">
        <f t="shared" si="43"/>
        <v>60.623993332228018</v>
      </c>
      <c r="Q63" s="24">
        <f t="shared" si="43"/>
        <v>61.351481252214768</v>
      </c>
      <c r="R63" s="24">
        <f t="shared" si="43"/>
        <v>62.087699027241342</v>
      </c>
      <c r="S63" s="24">
        <f t="shared" si="43"/>
        <v>62.832751415568239</v>
      </c>
      <c r="T63" s="24">
        <f t="shared" si="43"/>
        <v>63.586744432555051</v>
      </c>
      <c r="U63" s="24">
        <f>$B63*(1+$B60)^U61</f>
        <v>64.349785365745717</v>
      </c>
      <c r="V63" s="24">
        <f t="shared" si="43"/>
        <v>65.121982790134652</v>
      </c>
      <c r="W63" s="24">
        <f>$B63*(1+$B60)^W61</f>
        <v>65.903446583616287</v>
      </c>
      <c r="X63" s="24">
        <f t="shared" si="43"/>
        <v>66.694287942619667</v>
      </c>
      <c r="Y63" s="24">
        <f t="shared" si="43"/>
        <v>67.494619397931118</v>
      </c>
      <c r="Z63" s="24">
        <f t="shared" si="43"/>
        <v>68.30455483070628</v>
      </c>
      <c r="AA63" s="24">
        <f t="shared" si="43"/>
        <v>69.124209488674751</v>
      </c>
    </row>
    <row r="65" spans="1:27" x14ac:dyDescent="0.3">
      <c r="A65" s="45" t="s">
        <v>50</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spans="1:27" x14ac:dyDescent="0.3">
      <c r="A66" s="6"/>
      <c r="C66" s="46" t="s">
        <v>181</v>
      </c>
    </row>
    <row r="67" spans="1:27" x14ac:dyDescent="0.3">
      <c r="A67" t="s">
        <v>40</v>
      </c>
      <c r="B67" s="156">
        <f>'Inputs &amp; Summary'!E95</f>
        <v>38</v>
      </c>
      <c r="C67" s="1" t="s">
        <v>184</v>
      </c>
    </row>
    <row r="68" spans="1:27" x14ac:dyDescent="0.3">
      <c r="A68" t="s">
        <v>56</v>
      </c>
      <c r="B68" s="156">
        <f>'Inputs &amp; Summary'!E96</f>
        <v>135</v>
      </c>
      <c r="C68" s="1" t="s">
        <v>184</v>
      </c>
      <c r="F68" s="82" t="s">
        <v>143</v>
      </c>
      <c r="G68" s="83"/>
      <c r="H68" s="83"/>
      <c r="I68" s="83"/>
      <c r="J68" s="83"/>
      <c r="K68" s="83"/>
      <c r="L68" s="83"/>
      <c r="M68" s="83"/>
      <c r="N68" s="83"/>
      <c r="O68" s="83"/>
      <c r="P68" s="83"/>
      <c r="Q68" s="83"/>
      <c r="R68" s="83"/>
      <c r="S68" s="83"/>
      <c r="T68" s="83"/>
      <c r="U68" s="84"/>
    </row>
    <row r="69" spans="1:27" x14ac:dyDescent="0.3">
      <c r="A69" t="s">
        <v>38</v>
      </c>
      <c r="B69" s="158">
        <f>'Inputs &amp; Summary'!O121</f>
        <v>1.4999999999999999E-2</v>
      </c>
      <c r="C69" s="1" t="s">
        <v>185</v>
      </c>
      <c r="F69" s="85" t="s">
        <v>142</v>
      </c>
      <c r="G69" s="72"/>
      <c r="H69" s="72"/>
      <c r="I69" s="72"/>
      <c r="J69" s="72"/>
      <c r="K69" s="72"/>
      <c r="L69" s="72"/>
      <c r="M69" s="72"/>
      <c r="N69" s="72"/>
      <c r="O69" s="72"/>
      <c r="P69" s="72"/>
      <c r="Q69" s="72"/>
      <c r="R69" s="72"/>
      <c r="S69" s="72"/>
      <c r="T69" s="72"/>
      <c r="U69" s="86"/>
    </row>
    <row r="70" spans="1:27" x14ac:dyDescent="0.3">
      <c r="A70" t="s">
        <v>39</v>
      </c>
      <c r="B70" s="158">
        <f>'Inputs &amp; Summary'!O122</f>
        <v>1.2E-2</v>
      </c>
      <c r="C70" s="1" t="s">
        <v>194</v>
      </c>
    </row>
    <row r="71" spans="1:27" x14ac:dyDescent="0.3">
      <c r="A71" s="3" t="s">
        <v>3</v>
      </c>
      <c r="B71">
        <v>0</v>
      </c>
      <c r="C71">
        <f>+B71+1</f>
        <v>1</v>
      </c>
      <c r="D71">
        <f t="shared" ref="D71:S72" si="44">+C71+1</f>
        <v>2</v>
      </c>
      <c r="E71">
        <f t="shared" si="44"/>
        <v>3</v>
      </c>
      <c r="F71">
        <f t="shared" si="44"/>
        <v>4</v>
      </c>
      <c r="G71">
        <f t="shared" si="44"/>
        <v>5</v>
      </c>
      <c r="H71">
        <f t="shared" si="44"/>
        <v>6</v>
      </c>
      <c r="I71">
        <f t="shared" si="44"/>
        <v>7</v>
      </c>
      <c r="J71">
        <f t="shared" si="44"/>
        <v>8</v>
      </c>
      <c r="K71">
        <f t="shared" si="44"/>
        <v>9</v>
      </c>
      <c r="L71">
        <f t="shared" si="44"/>
        <v>10</v>
      </c>
      <c r="M71">
        <f t="shared" si="44"/>
        <v>11</v>
      </c>
      <c r="N71">
        <f t="shared" si="44"/>
        <v>12</v>
      </c>
      <c r="O71">
        <f t="shared" si="44"/>
        <v>13</v>
      </c>
      <c r="P71">
        <f t="shared" si="44"/>
        <v>14</v>
      </c>
      <c r="Q71">
        <f t="shared" si="44"/>
        <v>15</v>
      </c>
      <c r="R71">
        <f t="shared" si="44"/>
        <v>16</v>
      </c>
      <c r="S71">
        <f t="shared" si="44"/>
        <v>17</v>
      </c>
      <c r="T71">
        <f t="shared" ref="T71:AA72" si="45">+S71+1</f>
        <v>18</v>
      </c>
      <c r="U71">
        <f t="shared" si="45"/>
        <v>19</v>
      </c>
      <c r="V71">
        <f t="shared" si="45"/>
        <v>20</v>
      </c>
      <c r="W71">
        <f t="shared" si="45"/>
        <v>21</v>
      </c>
      <c r="X71">
        <f t="shared" si="45"/>
        <v>22</v>
      </c>
      <c r="Y71">
        <f t="shared" si="45"/>
        <v>23</v>
      </c>
      <c r="Z71">
        <f t="shared" si="45"/>
        <v>24</v>
      </c>
      <c r="AA71">
        <f t="shared" si="45"/>
        <v>25</v>
      </c>
    </row>
    <row r="72" spans="1:27" x14ac:dyDescent="0.3">
      <c r="A72" s="18" t="s">
        <v>400</v>
      </c>
      <c r="B72" s="19">
        <v>2021</v>
      </c>
      <c r="C72" s="19">
        <f>+B72+1</f>
        <v>2022</v>
      </c>
      <c r="D72" s="19">
        <f t="shared" si="44"/>
        <v>2023</v>
      </c>
      <c r="E72" s="19">
        <f t="shared" si="44"/>
        <v>2024</v>
      </c>
      <c r="F72" s="19">
        <f t="shared" si="44"/>
        <v>2025</v>
      </c>
      <c r="G72" s="19">
        <f t="shared" si="44"/>
        <v>2026</v>
      </c>
      <c r="H72" s="19">
        <f t="shared" si="44"/>
        <v>2027</v>
      </c>
      <c r="I72" s="19">
        <f t="shared" si="44"/>
        <v>2028</v>
      </c>
      <c r="J72" s="19">
        <f t="shared" si="44"/>
        <v>2029</v>
      </c>
      <c r="K72" s="19">
        <f t="shared" si="44"/>
        <v>2030</v>
      </c>
      <c r="L72" s="19">
        <f t="shared" si="44"/>
        <v>2031</v>
      </c>
      <c r="M72" s="19">
        <f t="shared" si="44"/>
        <v>2032</v>
      </c>
      <c r="N72" s="19">
        <f t="shared" si="44"/>
        <v>2033</v>
      </c>
      <c r="O72" s="19">
        <f t="shared" si="44"/>
        <v>2034</v>
      </c>
      <c r="P72" s="19">
        <f t="shared" si="44"/>
        <v>2035</v>
      </c>
      <c r="Q72" s="19">
        <f t="shared" si="44"/>
        <v>2036</v>
      </c>
      <c r="R72" s="19">
        <f t="shared" si="44"/>
        <v>2037</v>
      </c>
      <c r="S72" s="19">
        <f t="shared" si="44"/>
        <v>2038</v>
      </c>
      <c r="T72" s="19">
        <f t="shared" si="45"/>
        <v>2039</v>
      </c>
      <c r="U72" s="19">
        <f t="shared" si="45"/>
        <v>2040</v>
      </c>
      <c r="V72" s="19">
        <f t="shared" si="45"/>
        <v>2041</v>
      </c>
      <c r="W72" s="19">
        <f t="shared" si="45"/>
        <v>2042</v>
      </c>
      <c r="X72" s="19">
        <f t="shared" si="45"/>
        <v>2043</v>
      </c>
      <c r="Y72" s="19">
        <f t="shared" si="45"/>
        <v>2044</v>
      </c>
      <c r="Z72" s="19">
        <f t="shared" si="45"/>
        <v>2045</v>
      </c>
      <c r="AA72" s="19">
        <f t="shared" si="45"/>
        <v>2046</v>
      </c>
    </row>
    <row r="73" spans="1:27" s="6" customFormat="1" x14ac:dyDescent="0.3">
      <c r="A73" s="30" t="s">
        <v>58</v>
      </c>
      <c r="B73" s="24">
        <f>+(B67*B68*B69)</f>
        <v>76.95</v>
      </c>
      <c r="C73" s="24">
        <f>+$B$73*(1+$B$70)^C71</f>
        <v>77.873400000000004</v>
      </c>
      <c r="D73" s="24">
        <f t="shared" ref="D73:AA73" si="46">+$B$73*(1+$B$70)^D71</f>
        <v>78.807880799999992</v>
      </c>
      <c r="E73" s="24">
        <f t="shared" si="46"/>
        <v>79.7535753696</v>
      </c>
      <c r="F73" s="24">
        <f t="shared" si="46"/>
        <v>80.710618274035198</v>
      </c>
      <c r="G73" s="24">
        <f t="shared" si="46"/>
        <v>81.679145693323619</v>
      </c>
      <c r="H73" s="24">
        <f t="shared" si="46"/>
        <v>82.659295441643494</v>
      </c>
      <c r="I73" s="24">
        <f t="shared" si="46"/>
        <v>83.651206986943237</v>
      </c>
      <c r="J73" s="24">
        <f t="shared" si="46"/>
        <v>84.655021470786551</v>
      </c>
      <c r="K73" s="24">
        <f t="shared" si="46"/>
        <v>85.670881728435987</v>
      </c>
      <c r="L73" s="24">
        <f t="shared" si="46"/>
        <v>86.698932309177209</v>
      </c>
      <c r="M73" s="24">
        <f t="shared" si="46"/>
        <v>87.739319496887333</v>
      </c>
      <c r="N73" s="24">
        <f t="shared" si="46"/>
        <v>88.792191330849988</v>
      </c>
      <c r="O73" s="24">
        <f t="shared" si="46"/>
        <v>89.857697626820183</v>
      </c>
      <c r="P73" s="24">
        <f t="shared" si="46"/>
        <v>90.935989998342023</v>
      </c>
      <c r="Q73" s="24">
        <f t="shared" si="46"/>
        <v>92.027221878322152</v>
      </c>
      <c r="R73" s="24">
        <f t="shared" si="46"/>
        <v>93.131548540861999</v>
      </c>
      <c r="S73" s="24">
        <f t="shared" si="46"/>
        <v>94.249127123352352</v>
      </c>
      <c r="T73" s="24">
        <f t="shared" si="46"/>
        <v>95.380116648832569</v>
      </c>
      <c r="U73" s="24">
        <f t="shared" si="46"/>
        <v>96.524678048618568</v>
      </c>
      <c r="V73" s="24">
        <f t="shared" si="46"/>
        <v>97.682974185201985</v>
      </c>
      <c r="W73" s="24">
        <f t="shared" si="46"/>
        <v>98.855169875424423</v>
      </c>
      <c r="X73" s="24">
        <f t="shared" si="46"/>
        <v>100.04143191392949</v>
      </c>
      <c r="Y73" s="24">
        <f t="shared" si="46"/>
        <v>101.24192909689667</v>
      </c>
      <c r="Z73" s="24">
        <f t="shared" si="46"/>
        <v>102.45683224605942</v>
      </c>
      <c r="AA73" s="24">
        <f t="shared" si="46"/>
        <v>103.68631423301213</v>
      </c>
    </row>
    <row r="75" spans="1:27" x14ac:dyDescent="0.3">
      <c r="A75" s="45" t="s">
        <v>21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row>
    <row r="76" spans="1:27" s="6" customFormat="1" x14ac:dyDescent="0.3">
      <c r="C76" s="46" t="s">
        <v>181</v>
      </c>
    </row>
    <row r="77" spans="1:27" s="6" customFormat="1" x14ac:dyDescent="0.3">
      <c r="A77" s="6" t="s">
        <v>113</v>
      </c>
      <c r="B77" s="65">
        <f>'Inputs &amp; Summary'!O81</f>
        <v>47.828616539314339</v>
      </c>
      <c r="C77" s="1" t="s">
        <v>187</v>
      </c>
    </row>
    <row r="78" spans="1:27" s="6" customFormat="1" x14ac:dyDescent="0.3">
      <c r="A78" s="6" t="s">
        <v>114</v>
      </c>
      <c r="B78" s="32">
        <f>'Inputs &amp; Summary'!E84</f>
        <v>182420</v>
      </c>
      <c r="C78" s="1" t="s">
        <v>184</v>
      </c>
      <c r="F78" s="82" t="s">
        <v>145</v>
      </c>
      <c r="G78" s="83"/>
      <c r="H78" s="83"/>
      <c r="I78" s="83"/>
      <c r="J78" s="83"/>
      <c r="K78" s="83"/>
      <c r="L78" s="83"/>
      <c r="M78" s="83"/>
      <c r="N78" s="83"/>
      <c r="O78" s="83"/>
      <c r="P78" s="83"/>
      <c r="Q78" s="83"/>
      <c r="R78" s="83"/>
      <c r="S78" s="83"/>
      <c r="T78" s="84"/>
    </row>
    <row r="79" spans="1:27" s="6" customFormat="1" x14ac:dyDescent="0.3">
      <c r="A79" s="13" t="s">
        <v>44</v>
      </c>
      <c r="B79" s="54">
        <f>'Inputs &amp; Summary'!O85</f>
        <v>1.12E-2</v>
      </c>
      <c r="C79" s="1" t="s">
        <v>184</v>
      </c>
      <c r="F79" s="87" t="s">
        <v>138</v>
      </c>
      <c r="G79" s="88"/>
      <c r="H79" s="88"/>
      <c r="I79" s="88"/>
      <c r="J79" s="88"/>
      <c r="K79" s="88"/>
      <c r="L79" s="88"/>
      <c r="M79" s="88"/>
      <c r="N79" s="88"/>
      <c r="O79" s="88"/>
      <c r="P79" s="88"/>
      <c r="Q79" s="88"/>
      <c r="R79" s="88"/>
      <c r="S79" s="88"/>
      <c r="T79" s="89"/>
    </row>
    <row r="80" spans="1:27" s="6" customFormat="1" x14ac:dyDescent="0.3">
      <c r="A80" s="20" t="s">
        <v>115</v>
      </c>
      <c r="B80" s="158">
        <f>'Inputs &amp; Summary'!O124</f>
        <v>0.02</v>
      </c>
      <c r="C80" s="1" t="s">
        <v>185</v>
      </c>
      <c r="F80" s="85" t="s">
        <v>144</v>
      </c>
      <c r="G80" s="72"/>
      <c r="H80" s="72"/>
      <c r="I80" s="72"/>
      <c r="J80" s="72"/>
      <c r="K80" s="72"/>
      <c r="L80" s="72"/>
      <c r="M80" s="72"/>
      <c r="N80" s="72"/>
      <c r="O80" s="72"/>
      <c r="P80" s="72"/>
      <c r="Q80" s="72"/>
      <c r="R80" s="72"/>
      <c r="S80" s="72"/>
      <c r="T80" s="86"/>
    </row>
    <row r="81" spans="1:27" s="6" customFormat="1" x14ac:dyDescent="0.3">
      <c r="A81" s="20" t="s">
        <v>116</v>
      </c>
      <c r="B81" s="67">
        <f>+B77*B78*B80/1000</f>
        <v>174.49792458203444</v>
      </c>
      <c r="C81" s="1" t="s">
        <v>188</v>
      </c>
    </row>
    <row r="82" spans="1:27" x14ac:dyDescent="0.3">
      <c r="A82" s="3" t="s">
        <v>3</v>
      </c>
      <c r="B82">
        <v>0</v>
      </c>
      <c r="C82">
        <f>+B82+1</f>
        <v>1</v>
      </c>
      <c r="D82">
        <f t="shared" ref="D82:S83" si="47">+C82+1</f>
        <v>2</v>
      </c>
      <c r="E82">
        <f t="shared" si="47"/>
        <v>3</v>
      </c>
      <c r="F82">
        <f t="shared" si="47"/>
        <v>4</v>
      </c>
      <c r="G82">
        <f t="shared" si="47"/>
        <v>5</v>
      </c>
      <c r="H82">
        <f t="shared" si="47"/>
        <v>6</v>
      </c>
      <c r="I82">
        <f t="shared" si="47"/>
        <v>7</v>
      </c>
      <c r="J82">
        <f t="shared" si="47"/>
        <v>8</v>
      </c>
      <c r="K82">
        <f t="shared" si="47"/>
        <v>9</v>
      </c>
      <c r="L82">
        <f t="shared" si="47"/>
        <v>10</v>
      </c>
      <c r="M82">
        <f t="shared" si="47"/>
        <v>11</v>
      </c>
      <c r="N82">
        <f t="shared" si="47"/>
        <v>12</v>
      </c>
      <c r="O82">
        <f t="shared" si="47"/>
        <v>13</v>
      </c>
      <c r="P82">
        <f t="shared" si="47"/>
        <v>14</v>
      </c>
      <c r="Q82">
        <f t="shared" si="47"/>
        <v>15</v>
      </c>
      <c r="R82">
        <f t="shared" si="47"/>
        <v>16</v>
      </c>
      <c r="S82">
        <f t="shared" si="47"/>
        <v>17</v>
      </c>
      <c r="T82">
        <f t="shared" ref="T82:AA83" si="48">+S82+1</f>
        <v>18</v>
      </c>
      <c r="U82">
        <f t="shared" si="48"/>
        <v>19</v>
      </c>
      <c r="V82">
        <f t="shared" si="48"/>
        <v>20</v>
      </c>
      <c r="W82">
        <f t="shared" si="48"/>
        <v>21</v>
      </c>
      <c r="X82">
        <f t="shared" si="48"/>
        <v>22</v>
      </c>
      <c r="Y82">
        <f t="shared" si="48"/>
        <v>23</v>
      </c>
      <c r="Z82">
        <f t="shared" si="48"/>
        <v>24</v>
      </c>
      <c r="AA82">
        <f t="shared" si="48"/>
        <v>25</v>
      </c>
    </row>
    <row r="83" spans="1:27" x14ac:dyDescent="0.3">
      <c r="A83" s="18" t="s">
        <v>400</v>
      </c>
      <c r="B83" s="19">
        <v>2021</v>
      </c>
      <c r="C83" s="19">
        <f>+B83+1</f>
        <v>2022</v>
      </c>
      <c r="D83" s="19">
        <f t="shared" si="47"/>
        <v>2023</v>
      </c>
      <c r="E83" s="19">
        <f t="shared" si="47"/>
        <v>2024</v>
      </c>
      <c r="F83" s="19">
        <f t="shared" si="47"/>
        <v>2025</v>
      </c>
      <c r="G83" s="19">
        <f t="shared" si="47"/>
        <v>2026</v>
      </c>
      <c r="H83" s="19">
        <f t="shared" si="47"/>
        <v>2027</v>
      </c>
      <c r="I83" s="19">
        <f t="shared" si="47"/>
        <v>2028</v>
      </c>
      <c r="J83" s="19">
        <f t="shared" si="47"/>
        <v>2029</v>
      </c>
      <c r="K83" s="19">
        <f t="shared" si="47"/>
        <v>2030</v>
      </c>
      <c r="L83" s="19">
        <f t="shared" si="47"/>
        <v>2031</v>
      </c>
      <c r="M83" s="19">
        <f t="shared" si="47"/>
        <v>2032</v>
      </c>
      <c r="N83" s="19">
        <f t="shared" si="47"/>
        <v>2033</v>
      </c>
      <c r="O83" s="19">
        <f t="shared" si="47"/>
        <v>2034</v>
      </c>
      <c r="P83" s="19">
        <f t="shared" si="47"/>
        <v>2035</v>
      </c>
      <c r="Q83" s="19">
        <f t="shared" si="47"/>
        <v>2036</v>
      </c>
      <c r="R83" s="19">
        <f t="shared" si="47"/>
        <v>2037</v>
      </c>
      <c r="S83" s="19">
        <f t="shared" si="47"/>
        <v>2038</v>
      </c>
      <c r="T83" s="19">
        <f t="shared" si="48"/>
        <v>2039</v>
      </c>
      <c r="U83" s="19">
        <f t="shared" si="48"/>
        <v>2040</v>
      </c>
      <c r="V83" s="19">
        <f t="shared" si="48"/>
        <v>2041</v>
      </c>
      <c r="W83" s="19">
        <f t="shared" si="48"/>
        <v>2042</v>
      </c>
      <c r="X83" s="19">
        <f t="shared" si="48"/>
        <v>2043</v>
      </c>
      <c r="Y83" s="19">
        <f t="shared" si="48"/>
        <v>2044</v>
      </c>
      <c r="Z83" s="19">
        <f t="shared" si="48"/>
        <v>2045</v>
      </c>
      <c r="AA83" s="19">
        <f t="shared" si="48"/>
        <v>2046</v>
      </c>
    </row>
    <row r="84" spans="1:27" x14ac:dyDescent="0.3">
      <c r="A84" s="30" t="s">
        <v>59</v>
      </c>
      <c r="B84" s="24">
        <f>+B81</f>
        <v>174.49792458203444</v>
      </c>
      <c r="C84" s="24">
        <f>+$B$84*(1+$B$79)^C82</f>
        <v>176.45230133735325</v>
      </c>
      <c r="D84" s="24">
        <f t="shared" ref="D84:AA84" si="49">+$B$84*(1+$B$79)^D82</f>
        <v>178.42856711233159</v>
      </c>
      <c r="E84" s="24">
        <f t="shared" si="49"/>
        <v>180.42696706398974</v>
      </c>
      <c r="F84" s="24">
        <f t="shared" si="49"/>
        <v>182.44774909510645</v>
      </c>
      <c r="G84" s="24">
        <f t="shared" si="49"/>
        <v>184.49116388497163</v>
      </c>
      <c r="H84" s="24">
        <f t="shared" si="49"/>
        <v>186.55746492048334</v>
      </c>
      <c r="I84" s="24">
        <f t="shared" si="49"/>
        <v>188.64690852759279</v>
      </c>
      <c r="J84" s="24">
        <f t="shared" si="49"/>
        <v>190.75975390310182</v>
      </c>
      <c r="K84" s="24">
        <f t="shared" si="49"/>
        <v>192.89626314681658</v>
      </c>
      <c r="L84" s="24">
        <f t="shared" si="49"/>
        <v>195.05670129406093</v>
      </c>
      <c r="M84" s="24">
        <f t="shared" si="49"/>
        <v>197.24133634855443</v>
      </c>
      <c r="N84" s="24">
        <f t="shared" si="49"/>
        <v>199.45043931565823</v>
      </c>
      <c r="O84" s="24">
        <f t="shared" si="49"/>
        <v>201.68428423599363</v>
      </c>
      <c r="P84" s="24">
        <f t="shared" si="49"/>
        <v>203.94314821943678</v>
      </c>
      <c r="Q84" s="24">
        <f t="shared" si="49"/>
        <v>206.22731147949452</v>
      </c>
      <c r="R84" s="24">
        <f t="shared" si="49"/>
        <v>208.53705736806484</v>
      </c>
      <c r="S84" s="24">
        <f t="shared" si="49"/>
        <v>210.87267241058717</v>
      </c>
      <c r="T84" s="24">
        <f t="shared" si="49"/>
        <v>213.23444634158577</v>
      </c>
      <c r="U84" s="24">
        <f t="shared" si="49"/>
        <v>215.62267214061154</v>
      </c>
      <c r="V84" s="24">
        <f t="shared" si="49"/>
        <v>218.03764606858641</v>
      </c>
      <c r="W84" s="24">
        <f t="shared" si="49"/>
        <v>220.47966770455457</v>
      </c>
      <c r="X84" s="24">
        <f t="shared" si="49"/>
        <v>222.94903998284562</v>
      </c>
      <c r="Y84" s="24">
        <f t="shared" si="49"/>
        <v>225.44606923065353</v>
      </c>
      <c r="Z84" s="24">
        <f t="shared" si="49"/>
        <v>227.97106520603683</v>
      </c>
      <c r="AA84" s="24">
        <f t="shared" si="49"/>
        <v>230.5243411363445</v>
      </c>
    </row>
    <row r="86" spans="1:27" x14ac:dyDescent="0.3">
      <c r="A86" s="17" t="s">
        <v>69</v>
      </c>
      <c r="B86" s="17">
        <f t="shared" ref="B86:AA86" si="50">+B62</f>
        <v>2021</v>
      </c>
      <c r="C86" s="17">
        <f t="shared" si="50"/>
        <v>2022</v>
      </c>
      <c r="D86" s="17">
        <f t="shared" si="50"/>
        <v>2023</v>
      </c>
      <c r="E86" s="17">
        <f t="shared" si="50"/>
        <v>2024</v>
      </c>
      <c r="F86" s="17">
        <f t="shared" si="50"/>
        <v>2025</v>
      </c>
      <c r="G86" s="17">
        <f t="shared" si="50"/>
        <v>2026</v>
      </c>
      <c r="H86" s="17">
        <f t="shared" si="50"/>
        <v>2027</v>
      </c>
      <c r="I86" s="17">
        <f t="shared" si="50"/>
        <v>2028</v>
      </c>
      <c r="J86" s="17">
        <f t="shared" si="50"/>
        <v>2029</v>
      </c>
      <c r="K86" s="17">
        <f t="shared" si="50"/>
        <v>2030</v>
      </c>
      <c r="L86" s="17">
        <f t="shared" si="50"/>
        <v>2031</v>
      </c>
      <c r="M86" s="17">
        <f t="shared" si="50"/>
        <v>2032</v>
      </c>
      <c r="N86" s="17">
        <f t="shared" si="50"/>
        <v>2033</v>
      </c>
      <c r="O86" s="17">
        <f t="shared" si="50"/>
        <v>2034</v>
      </c>
      <c r="P86" s="17">
        <f t="shared" si="50"/>
        <v>2035</v>
      </c>
      <c r="Q86" s="17">
        <f t="shared" si="50"/>
        <v>2036</v>
      </c>
      <c r="R86" s="17">
        <f t="shared" si="50"/>
        <v>2037</v>
      </c>
      <c r="S86" s="17">
        <f t="shared" si="50"/>
        <v>2038</v>
      </c>
      <c r="T86" s="17">
        <f t="shared" si="50"/>
        <v>2039</v>
      </c>
      <c r="U86" s="17">
        <f t="shared" si="50"/>
        <v>2040</v>
      </c>
      <c r="V86" s="17">
        <f t="shared" si="50"/>
        <v>2041</v>
      </c>
      <c r="W86" s="17">
        <f t="shared" si="50"/>
        <v>2042</v>
      </c>
      <c r="X86" s="17">
        <f t="shared" si="50"/>
        <v>2043</v>
      </c>
      <c r="Y86" s="17">
        <f t="shared" si="50"/>
        <v>2044</v>
      </c>
      <c r="Z86" s="17">
        <f t="shared" si="50"/>
        <v>2045</v>
      </c>
      <c r="AA86" s="17">
        <f t="shared" si="50"/>
        <v>2046</v>
      </c>
    </row>
    <row r="87" spans="1:27" s="1" customFormat="1" ht="15" thickBot="1" x14ac:dyDescent="0.35">
      <c r="A87" s="38" t="s">
        <v>55</v>
      </c>
      <c r="B87" s="39">
        <f t="shared" ref="B87:AA87" si="51">+B84+B73+B63</f>
        <v>302.74792458203444</v>
      </c>
      <c r="C87" s="39">
        <f t="shared" si="51"/>
        <v>306.24130133735326</v>
      </c>
      <c r="D87" s="39">
        <f t="shared" si="51"/>
        <v>309.77503511233158</v>
      </c>
      <c r="E87" s="39">
        <f t="shared" si="51"/>
        <v>313.34959267998971</v>
      </c>
      <c r="F87" s="39">
        <f t="shared" si="51"/>
        <v>316.96544621849841</v>
      </c>
      <c r="G87" s="39">
        <f t="shared" si="51"/>
        <v>320.62307337384431</v>
      </c>
      <c r="H87" s="39">
        <f t="shared" si="51"/>
        <v>324.32295732322245</v>
      </c>
      <c r="I87" s="39">
        <f t="shared" si="51"/>
        <v>328.06558683916484</v>
      </c>
      <c r="J87" s="39">
        <f t="shared" si="51"/>
        <v>331.85145635441273</v>
      </c>
      <c r="K87" s="39">
        <f t="shared" si="51"/>
        <v>335.68106602754324</v>
      </c>
      <c r="L87" s="39">
        <f t="shared" si="51"/>
        <v>339.5549218093563</v>
      </c>
      <c r="M87" s="39">
        <f t="shared" si="51"/>
        <v>343.47353551003334</v>
      </c>
      <c r="N87" s="39">
        <f t="shared" si="51"/>
        <v>347.43742486707492</v>
      </c>
      <c r="O87" s="39">
        <f t="shared" si="51"/>
        <v>351.44711361402727</v>
      </c>
      <c r="P87" s="39">
        <f t="shared" si="51"/>
        <v>355.5031315500068</v>
      </c>
      <c r="Q87" s="39">
        <f t="shared" si="51"/>
        <v>359.60601461003148</v>
      </c>
      <c r="R87" s="39">
        <f t="shared" si="51"/>
        <v>363.75630493616819</v>
      </c>
      <c r="S87" s="39">
        <f t="shared" si="51"/>
        <v>367.95455094950773</v>
      </c>
      <c r="T87" s="39">
        <f t="shared" si="51"/>
        <v>372.2013074229734</v>
      </c>
      <c r="U87" s="39">
        <f t="shared" si="51"/>
        <v>376.49713555497584</v>
      </c>
      <c r="V87" s="39">
        <f t="shared" si="51"/>
        <v>380.84260304392308</v>
      </c>
      <c r="W87" s="39">
        <f t="shared" si="51"/>
        <v>385.23828416359527</v>
      </c>
      <c r="X87" s="39">
        <f t="shared" si="51"/>
        <v>389.68475983939476</v>
      </c>
      <c r="Y87" s="39">
        <f t="shared" si="51"/>
        <v>394.18261772548129</v>
      </c>
      <c r="Z87" s="39">
        <f t="shared" si="51"/>
        <v>398.73245228280257</v>
      </c>
      <c r="AA87" s="39">
        <f t="shared" si="51"/>
        <v>403.33486485803138</v>
      </c>
    </row>
    <row r="88" spans="1:27"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8" x14ac:dyDescent="0.35">
      <c r="A89" s="108" t="s">
        <v>163</v>
      </c>
    </row>
    <row r="90" spans="1:27" ht="15" customHeight="1" x14ac:dyDescent="0.3">
      <c r="A90" s="13" t="s">
        <v>61</v>
      </c>
    </row>
    <row r="91" spans="1:27" x14ac:dyDescent="0.3">
      <c r="A91" s="45" t="s">
        <v>22</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row>
    <row r="92" spans="1:27" x14ac:dyDescent="0.3">
      <c r="C92" s="46" t="s">
        <v>181</v>
      </c>
    </row>
    <row r="93" spans="1:27" x14ac:dyDescent="0.3">
      <c r="C93" s="1" t="s">
        <v>183</v>
      </c>
      <c r="F93" s="90" t="s">
        <v>440</v>
      </c>
      <c r="G93" s="91"/>
      <c r="H93" s="91"/>
      <c r="I93" s="91"/>
      <c r="J93" s="91"/>
      <c r="K93" s="91"/>
      <c r="L93" s="91"/>
      <c r="M93" s="91"/>
      <c r="N93" s="91"/>
      <c r="O93" s="91"/>
      <c r="P93" s="91"/>
      <c r="Q93" s="91"/>
      <c r="R93" s="91"/>
      <c r="S93" s="92"/>
    </row>
    <row r="94" spans="1:27" x14ac:dyDescent="0.3">
      <c r="A94" s="3" t="s">
        <v>3</v>
      </c>
      <c r="B94">
        <v>0</v>
      </c>
      <c r="C94">
        <f>+B94+1</f>
        <v>1</v>
      </c>
      <c r="D94">
        <f t="shared" ref="D94:S95" si="52">+C94+1</f>
        <v>2</v>
      </c>
      <c r="E94">
        <f t="shared" si="52"/>
        <v>3</v>
      </c>
      <c r="F94">
        <f t="shared" si="52"/>
        <v>4</v>
      </c>
      <c r="G94">
        <f t="shared" si="52"/>
        <v>5</v>
      </c>
      <c r="H94">
        <f t="shared" si="52"/>
        <v>6</v>
      </c>
      <c r="I94">
        <f t="shared" si="52"/>
        <v>7</v>
      </c>
      <c r="J94">
        <f t="shared" si="52"/>
        <v>8</v>
      </c>
      <c r="K94">
        <f t="shared" si="52"/>
        <v>9</v>
      </c>
      <c r="L94">
        <f t="shared" si="52"/>
        <v>10</v>
      </c>
      <c r="M94">
        <f t="shared" si="52"/>
        <v>11</v>
      </c>
      <c r="N94">
        <f t="shared" si="52"/>
        <v>12</v>
      </c>
      <c r="O94">
        <f t="shared" si="52"/>
        <v>13</v>
      </c>
      <c r="P94">
        <f t="shared" si="52"/>
        <v>14</v>
      </c>
      <c r="Q94">
        <f t="shared" si="52"/>
        <v>15</v>
      </c>
      <c r="R94">
        <f t="shared" si="52"/>
        <v>16</v>
      </c>
      <c r="S94">
        <f t="shared" si="52"/>
        <v>17</v>
      </c>
      <c r="T94">
        <f t="shared" ref="T94:AA95" si="53">+S94+1</f>
        <v>18</v>
      </c>
      <c r="U94">
        <f t="shared" si="53"/>
        <v>19</v>
      </c>
      <c r="V94">
        <f t="shared" si="53"/>
        <v>20</v>
      </c>
      <c r="W94">
        <f t="shared" si="53"/>
        <v>21</v>
      </c>
      <c r="X94">
        <f t="shared" si="53"/>
        <v>22</v>
      </c>
      <c r="Y94">
        <f t="shared" si="53"/>
        <v>23</v>
      </c>
      <c r="Z94">
        <f t="shared" si="53"/>
        <v>24</v>
      </c>
      <c r="AA94">
        <f t="shared" si="53"/>
        <v>25</v>
      </c>
    </row>
    <row r="95" spans="1:27" x14ac:dyDescent="0.3">
      <c r="A95" s="18" t="s">
        <v>400</v>
      </c>
      <c r="B95" s="19">
        <v>2021</v>
      </c>
      <c r="C95" s="19">
        <f>+B95+1</f>
        <v>2022</v>
      </c>
      <c r="D95" s="19">
        <f t="shared" si="52"/>
        <v>2023</v>
      </c>
      <c r="E95" s="19">
        <f t="shared" si="52"/>
        <v>2024</v>
      </c>
      <c r="F95" s="19">
        <f t="shared" si="52"/>
        <v>2025</v>
      </c>
      <c r="G95" s="19">
        <f t="shared" si="52"/>
        <v>2026</v>
      </c>
      <c r="H95" s="19">
        <f t="shared" si="52"/>
        <v>2027</v>
      </c>
      <c r="I95" s="19">
        <f t="shared" si="52"/>
        <v>2028</v>
      </c>
      <c r="J95" s="19">
        <f t="shared" si="52"/>
        <v>2029</v>
      </c>
      <c r="K95" s="19">
        <f t="shared" si="52"/>
        <v>2030</v>
      </c>
      <c r="L95" s="19">
        <f t="shared" si="52"/>
        <v>2031</v>
      </c>
      <c r="M95" s="19">
        <f t="shared" si="52"/>
        <v>2032</v>
      </c>
      <c r="N95" s="19">
        <f t="shared" si="52"/>
        <v>2033</v>
      </c>
      <c r="O95" s="19">
        <f t="shared" si="52"/>
        <v>2034</v>
      </c>
      <c r="P95" s="19">
        <f t="shared" si="52"/>
        <v>2035</v>
      </c>
      <c r="Q95" s="19">
        <f t="shared" si="52"/>
        <v>2036</v>
      </c>
      <c r="R95" s="19">
        <f t="shared" si="52"/>
        <v>2037</v>
      </c>
      <c r="S95" s="19">
        <f t="shared" si="52"/>
        <v>2038</v>
      </c>
      <c r="T95" s="19">
        <f t="shared" si="53"/>
        <v>2039</v>
      </c>
      <c r="U95" s="19">
        <f t="shared" si="53"/>
        <v>2040</v>
      </c>
      <c r="V95" s="19">
        <f t="shared" si="53"/>
        <v>2041</v>
      </c>
      <c r="W95" s="19">
        <f t="shared" si="53"/>
        <v>2042</v>
      </c>
      <c r="X95" s="19">
        <f t="shared" si="53"/>
        <v>2043</v>
      </c>
      <c r="Y95" s="19">
        <f t="shared" si="53"/>
        <v>2044</v>
      </c>
      <c r="Z95" s="19">
        <f t="shared" si="53"/>
        <v>2045</v>
      </c>
      <c r="AA95" s="19">
        <f t="shared" si="53"/>
        <v>2046</v>
      </c>
    </row>
    <row r="96" spans="1:27" x14ac:dyDescent="0.3">
      <c r="A96" s="30" t="s">
        <v>57</v>
      </c>
      <c r="B96" s="165"/>
      <c r="C96" s="165"/>
      <c r="D96" s="165"/>
      <c r="E96" s="165"/>
      <c r="F96" s="24">
        <f>'Inputs &amp; Summary'!$O$128</f>
        <v>100</v>
      </c>
      <c r="G96" s="165"/>
      <c r="H96" s="165"/>
      <c r="I96" s="165"/>
      <c r="J96" s="165"/>
      <c r="K96" s="165"/>
      <c r="L96" s="165"/>
      <c r="M96" s="165"/>
      <c r="N96" s="165"/>
      <c r="O96" s="165"/>
      <c r="P96" s="165"/>
      <c r="Q96" s="165"/>
      <c r="R96" s="165"/>
      <c r="S96" s="165"/>
      <c r="T96" s="165"/>
      <c r="U96" s="165"/>
      <c r="V96" s="165"/>
      <c r="W96" s="165"/>
      <c r="X96" s="165"/>
      <c r="Y96" s="165"/>
      <c r="Z96" s="165"/>
      <c r="AA96" s="165"/>
    </row>
    <row r="97" spans="1:27" s="12" customFormat="1" x14ac:dyDescent="0.3">
      <c r="A97" s="23"/>
    </row>
    <row r="98" spans="1:27" x14ac:dyDescent="0.3">
      <c r="A98" s="45" t="s">
        <v>52</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row>
    <row r="99" spans="1:27" x14ac:dyDescent="0.3">
      <c r="C99" s="46" t="s">
        <v>181</v>
      </c>
    </row>
    <row r="100" spans="1:27" x14ac:dyDescent="0.3">
      <c r="A100" t="s">
        <v>23</v>
      </c>
      <c r="B100" s="6">
        <f>'Inputs &amp; Summary'!O130</f>
        <v>1</v>
      </c>
      <c r="C100" s="1" t="s">
        <v>183</v>
      </c>
    </row>
    <row r="101" spans="1:27" x14ac:dyDescent="0.3">
      <c r="A101" t="s">
        <v>30</v>
      </c>
      <c r="B101" s="6">
        <f>'Inputs &amp; Summary'!O131</f>
        <v>12</v>
      </c>
      <c r="C101" s="1" t="s">
        <v>183</v>
      </c>
      <c r="F101" s="90" t="s">
        <v>441</v>
      </c>
      <c r="G101" s="91"/>
      <c r="H101" s="91"/>
      <c r="I101" s="91"/>
      <c r="J101" s="91"/>
      <c r="K101" s="91"/>
      <c r="L101" s="91"/>
      <c r="M101" s="91"/>
      <c r="N101" s="91"/>
      <c r="O101" s="92"/>
      <c r="P101" s="91"/>
      <c r="Q101" s="92"/>
    </row>
    <row r="102" spans="1:27" x14ac:dyDescent="0.3">
      <c r="A102" t="s">
        <v>24</v>
      </c>
      <c r="B102" s="6">
        <f>'Inputs &amp; Summary'!O132</f>
        <v>50</v>
      </c>
      <c r="C102" s="1" t="s">
        <v>183</v>
      </c>
    </row>
    <row r="103" spans="1:27" x14ac:dyDescent="0.3">
      <c r="A103" t="s">
        <v>25</v>
      </c>
      <c r="B103" s="6">
        <f>'Inputs &amp; Summary'!O133</f>
        <v>25</v>
      </c>
      <c r="C103" s="1" t="s">
        <v>183</v>
      </c>
    </row>
    <row r="104" spans="1:27" x14ac:dyDescent="0.3">
      <c r="A104" t="s">
        <v>31</v>
      </c>
      <c r="B104">
        <f>+B100*B101*B102*B103/1000</f>
        <v>15</v>
      </c>
    </row>
    <row r="106" spans="1:27" x14ac:dyDescent="0.3">
      <c r="A106" s="3" t="s">
        <v>3</v>
      </c>
      <c r="B106">
        <v>0</v>
      </c>
      <c r="C106">
        <f>+B106+1</f>
        <v>1</v>
      </c>
      <c r="D106">
        <f t="shared" ref="D106:S107" si="54">+C106+1</f>
        <v>2</v>
      </c>
      <c r="E106">
        <f t="shared" si="54"/>
        <v>3</v>
      </c>
      <c r="F106">
        <f t="shared" si="54"/>
        <v>4</v>
      </c>
      <c r="G106">
        <f t="shared" si="54"/>
        <v>5</v>
      </c>
      <c r="H106">
        <f t="shared" si="54"/>
        <v>6</v>
      </c>
      <c r="I106">
        <f t="shared" si="54"/>
        <v>7</v>
      </c>
      <c r="J106">
        <f t="shared" si="54"/>
        <v>8</v>
      </c>
      <c r="K106">
        <f t="shared" si="54"/>
        <v>9</v>
      </c>
      <c r="L106">
        <f t="shared" si="54"/>
        <v>10</v>
      </c>
      <c r="M106">
        <f t="shared" si="54"/>
        <v>11</v>
      </c>
      <c r="N106">
        <f t="shared" si="54"/>
        <v>12</v>
      </c>
      <c r="O106">
        <f t="shared" si="54"/>
        <v>13</v>
      </c>
      <c r="P106">
        <f t="shared" si="54"/>
        <v>14</v>
      </c>
      <c r="Q106">
        <f t="shared" si="54"/>
        <v>15</v>
      </c>
      <c r="R106">
        <f t="shared" si="54"/>
        <v>16</v>
      </c>
      <c r="S106">
        <f t="shared" si="54"/>
        <v>17</v>
      </c>
      <c r="T106">
        <f t="shared" ref="T106:AA107" si="55">+S106+1</f>
        <v>18</v>
      </c>
      <c r="U106">
        <f t="shared" si="55"/>
        <v>19</v>
      </c>
      <c r="V106">
        <f t="shared" si="55"/>
        <v>20</v>
      </c>
      <c r="W106">
        <f t="shared" si="55"/>
        <v>21</v>
      </c>
      <c r="X106">
        <f t="shared" si="55"/>
        <v>22</v>
      </c>
      <c r="Y106">
        <f t="shared" si="55"/>
        <v>23</v>
      </c>
      <c r="Z106">
        <f t="shared" si="55"/>
        <v>24</v>
      </c>
      <c r="AA106">
        <f t="shared" si="55"/>
        <v>25</v>
      </c>
    </row>
    <row r="107" spans="1:27" x14ac:dyDescent="0.3">
      <c r="A107" s="18" t="s">
        <v>400</v>
      </c>
      <c r="B107" s="19">
        <v>2021</v>
      </c>
      <c r="C107" s="19">
        <f>+B107+1</f>
        <v>2022</v>
      </c>
      <c r="D107" s="19">
        <f t="shared" si="54"/>
        <v>2023</v>
      </c>
      <c r="E107" s="19">
        <f t="shared" si="54"/>
        <v>2024</v>
      </c>
      <c r="F107" s="19">
        <f t="shared" si="54"/>
        <v>2025</v>
      </c>
      <c r="G107" s="19">
        <f t="shared" si="54"/>
        <v>2026</v>
      </c>
      <c r="H107" s="19">
        <f t="shared" si="54"/>
        <v>2027</v>
      </c>
      <c r="I107" s="19">
        <f t="shared" si="54"/>
        <v>2028</v>
      </c>
      <c r="J107" s="19">
        <f t="shared" si="54"/>
        <v>2029</v>
      </c>
      <c r="K107" s="19">
        <f t="shared" si="54"/>
        <v>2030</v>
      </c>
      <c r="L107" s="19">
        <f t="shared" si="54"/>
        <v>2031</v>
      </c>
      <c r="M107" s="19">
        <f t="shared" si="54"/>
        <v>2032</v>
      </c>
      <c r="N107" s="19">
        <f t="shared" si="54"/>
        <v>2033</v>
      </c>
      <c r="O107" s="19">
        <f t="shared" si="54"/>
        <v>2034</v>
      </c>
      <c r="P107" s="19">
        <f t="shared" si="54"/>
        <v>2035</v>
      </c>
      <c r="Q107" s="19">
        <f t="shared" si="54"/>
        <v>2036</v>
      </c>
      <c r="R107" s="19">
        <f t="shared" si="54"/>
        <v>2037</v>
      </c>
      <c r="S107" s="19">
        <f t="shared" si="54"/>
        <v>2038</v>
      </c>
      <c r="T107" s="19">
        <f t="shared" si="55"/>
        <v>2039</v>
      </c>
      <c r="U107" s="19">
        <f t="shared" si="55"/>
        <v>2040</v>
      </c>
      <c r="V107" s="19">
        <f t="shared" si="55"/>
        <v>2041</v>
      </c>
      <c r="W107" s="19">
        <f t="shared" si="55"/>
        <v>2042</v>
      </c>
      <c r="X107" s="19">
        <f t="shared" si="55"/>
        <v>2043</v>
      </c>
      <c r="Y107" s="19">
        <f t="shared" si="55"/>
        <v>2044</v>
      </c>
      <c r="Z107" s="19">
        <f t="shared" si="55"/>
        <v>2045</v>
      </c>
      <c r="AA107" s="19">
        <f t="shared" si="55"/>
        <v>2046</v>
      </c>
    </row>
    <row r="108" spans="1:27" s="6" customFormat="1" x14ac:dyDescent="0.3">
      <c r="A108" s="33" t="s">
        <v>26</v>
      </c>
      <c r="B108" s="24">
        <f>+$B$104</f>
        <v>15</v>
      </c>
      <c r="C108" s="24">
        <f t="shared" ref="C108:AA108" si="56">+$B$104</f>
        <v>15</v>
      </c>
      <c r="D108" s="24">
        <f t="shared" si="56"/>
        <v>15</v>
      </c>
      <c r="E108" s="24">
        <f t="shared" si="56"/>
        <v>15</v>
      </c>
      <c r="F108" s="24">
        <f t="shared" si="56"/>
        <v>15</v>
      </c>
      <c r="G108" s="24">
        <f t="shared" si="56"/>
        <v>15</v>
      </c>
      <c r="H108" s="24">
        <f t="shared" si="56"/>
        <v>15</v>
      </c>
      <c r="I108" s="24">
        <f t="shared" si="56"/>
        <v>15</v>
      </c>
      <c r="J108" s="24">
        <f t="shared" si="56"/>
        <v>15</v>
      </c>
      <c r="K108" s="24">
        <f t="shared" si="56"/>
        <v>15</v>
      </c>
      <c r="L108" s="24">
        <f t="shared" si="56"/>
        <v>15</v>
      </c>
      <c r="M108" s="24">
        <f t="shared" si="56"/>
        <v>15</v>
      </c>
      <c r="N108" s="24">
        <f t="shared" si="56"/>
        <v>15</v>
      </c>
      <c r="O108" s="24">
        <f t="shared" si="56"/>
        <v>15</v>
      </c>
      <c r="P108" s="24">
        <f t="shared" si="56"/>
        <v>15</v>
      </c>
      <c r="Q108" s="24">
        <f t="shared" si="56"/>
        <v>15</v>
      </c>
      <c r="R108" s="24">
        <f t="shared" si="56"/>
        <v>15</v>
      </c>
      <c r="S108" s="24">
        <f t="shared" si="56"/>
        <v>15</v>
      </c>
      <c r="T108" s="24">
        <f t="shared" si="56"/>
        <v>15</v>
      </c>
      <c r="U108" s="24">
        <f t="shared" si="56"/>
        <v>15</v>
      </c>
      <c r="V108" s="24">
        <f t="shared" si="56"/>
        <v>15</v>
      </c>
      <c r="W108" s="24">
        <f t="shared" si="56"/>
        <v>15</v>
      </c>
      <c r="X108" s="24">
        <f t="shared" si="56"/>
        <v>15</v>
      </c>
      <c r="Y108" s="24">
        <f t="shared" si="56"/>
        <v>15</v>
      </c>
      <c r="Z108" s="24">
        <f t="shared" si="56"/>
        <v>15</v>
      </c>
      <c r="AA108" s="24">
        <f t="shared" si="56"/>
        <v>15</v>
      </c>
    </row>
    <row r="109" spans="1:27" s="6" customFormat="1" x14ac:dyDescent="0.3">
      <c r="A109" s="34" t="s">
        <v>77</v>
      </c>
      <c r="B109" s="32">
        <f>'Inputs &amp; Summary'!$O$134</f>
        <v>1</v>
      </c>
      <c r="C109" s="32">
        <f>'Inputs &amp; Summary'!$O$134</f>
        <v>1</v>
      </c>
      <c r="D109" s="32">
        <f>'Inputs &amp; Summary'!$O$134</f>
        <v>1</v>
      </c>
      <c r="E109" s="32">
        <f>'Inputs &amp; Summary'!$O$134</f>
        <v>1</v>
      </c>
      <c r="F109" s="32">
        <f>'Inputs &amp; Summary'!$O$134</f>
        <v>1</v>
      </c>
      <c r="G109" s="32">
        <f>'Inputs &amp; Summary'!$O$134</f>
        <v>1</v>
      </c>
      <c r="H109" s="32">
        <f>'Inputs &amp; Summary'!$O$134</f>
        <v>1</v>
      </c>
      <c r="I109" s="32">
        <f>'Inputs &amp; Summary'!$O$134</f>
        <v>1</v>
      </c>
      <c r="J109" s="32">
        <f>'Inputs &amp; Summary'!$O$134</f>
        <v>1</v>
      </c>
      <c r="K109" s="32">
        <f>'Inputs &amp; Summary'!$O$134</f>
        <v>1</v>
      </c>
      <c r="L109" s="32">
        <f>'Inputs &amp; Summary'!$O$134</f>
        <v>1</v>
      </c>
      <c r="M109" s="32">
        <f>'Inputs &amp; Summary'!$O$134</f>
        <v>1</v>
      </c>
      <c r="N109" s="32">
        <f>'Inputs &amp; Summary'!$O$134</f>
        <v>1</v>
      </c>
      <c r="O109" s="32">
        <f>'Inputs &amp; Summary'!$O$134</f>
        <v>1</v>
      </c>
      <c r="P109" s="32">
        <f>'Inputs &amp; Summary'!$O$134</f>
        <v>1</v>
      </c>
      <c r="Q109" s="32">
        <f>'Inputs &amp; Summary'!$O$134</f>
        <v>1</v>
      </c>
      <c r="R109" s="32">
        <f>'Inputs &amp; Summary'!$O$134</f>
        <v>1</v>
      </c>
      <c r="S109" s="32">
        <f>'Inputs &amp; Summary'!$O$134</f>
        <v>1</v>
      </c>
      <c r="T109" s="32">
        <f>'Inputs &amp; Summary'!$O$134</f>
        <v>1</v>
      </c>
      <c r="U109" s="32">
        <f>'Inputs &amp; Summary'!$O$134</f>
        <v>1</v>
      </c>
      <c r="V109" s="32">
        <f>'Inputs &amp; Summary'!$O$134</f>
        <v>1</v>
      </c>
      <c r="W109" s="32">
        <f>'Inputs &amp; Summary'!$O$134</f>
        <v>1</v>
      </c>
      <c r="X109" s="32">
        <f>'Inputs &amp; Summary'!$O$134</f>
        <v>1</v>
      </c>
      <c r="Y109" s="32">
        <f>'Inputs &amp; Summary'!$O$134</f>
        <v>1</v>
      </c>
      <c r="Z109" s="32">
        <f>'Inputs &amp; Summary'!$O$134</f>
        <v>1</v>
      </c>
      <c r="AA109" s="32">
        <f>'Inputs &amp; Summary'!$O$134</f>
        <v>1</v>
      </c>
    </row>
    <row r="110" spans="1:27" s="6" customFormat="1" x14ac:dyDescent="0.3">
      <c r="A110" s="34" t="s">
        <v>78</v>
      </c>
      <c r="B110" s="32">
        <f>'Inputs &amp; Summary'!$O$135</f>
        <v>10</v>
      </c>
      <c r="C110" s="32">
        <f>'Inputs &amp; Summary'!$O$135</f>
        <v>10</v>
      </c>
      <c r="D110" s="32">
        <f>'Inputs &amp; Summary'!$O$135</f>
        <v>10</v>
      </c>
      <c r="E110" s="32">
        <f>'Inputs &amp; Summary'!$O$135</f>
        <v>10</v>
      </c>
      <c r="F110" s="32">
        <f>'Inputs &amp; Summary'!$O$135</f>
        <v>10</v>
      </c>
      <c r="G110" s="32">
        <f>'Inputs &amp; Summary'!$O$135</f>
        <v>10</v>
      </c>
      <c r="H110" s="32">
        <f>'Inputs &amp; Summary'!$O$135</f>
        <v>10</v>
      </c>
      <c r="I110" s="32">
        <f>'Inputs &amp; Summary'!$O$135</f>
        <v>10</v>
      </c>
      <c r="J110" s="32">
        <f>'Inputs &amp; Summary'!$O$135</f>
        <v>10</v>
      </c>
      <c r="K110" s="32">
        <f>'Inputs &amp; Summary'!$O$135</f>
        <v>10</v>
      </c>
      <c r="L110" s="32">
        <f>'Inputs &amp; Summary'!$O$135</f>
        <v>10</v>
      </c>
      <c r="M110" s="32">
        <f>'Inputs &amp; Summary'!$O$135</f>
        <v>10</v>
      </c>
      <c r="N110" s="32">
        <f>'Inputs &amp; Summary'!$O$135</f>
        <v>10</v>
      </c>
      <c r="O110" s="32">
        <f>'Inputs &amp; Summary'!$O$135</f>
        <v>10</v>
      </c>
      <c r="P110" s="32">
        <f>'Inputs &amp; Summary'!$O$135</f>
        <v>10</v>
      </c>
      <c r="Q110" s="32">
        <f>'Inputs &amp; Summary'!$O$135</f>
        <v>10</v>
      </c>
      <c r="R110" s="32">
        <f>'Inputs &amp; Summary'!$O$135</f>
        <v>10</v>
      </c>
      <c r="S110" s="32">
        <f>'Inputs &amp; Summary'!$O$135</f>
        <v>10</v>
      </c>
      <c r="T110" s="32">
        <f>'Inputs &amp; Summary'!$O$135</f>
        <v>10</v>
      </c>
      <c r="U110" s="32">
        <f>'Inputs &amp; Summary'!$O$135</f>
        <v>10</v>
      </c>
      <c r="V110" s="32">
        <f>'Inputs &amp; Summary'!$O$135</f>
        <v>10</v>
      </c>
      <c r="W110" s="32">
        <f>'Inputs &amp; Summary'!$O$135</f>
        <v>10</v>
      </c>
      <c r="X110" s="32">
        <f>'Inputs &amp; Summary'!$O$135</f>
        <v>10</v>
      </c>
      <c r="Y110" s="32">
        <f>'Inputs &amp; Summary'!$O$135</f>
        <v>10</v>
      </c>
      <c r="Z110" s="32">
        <f>'Inputs &amp; Summary'!$O$135</f>
        <v>10</v>
      </c>
      <c r="AA110" s="32">
        <f>'Inputs &amp; Summary'!$O$135</f>
        <v>10</v>
      </c>
    </row>
    <row r="111" spans="1:27" x14ac:dyDescent="0.3">
      <c r="A111" s="30" t="s">
        <v>58</v>
      </c>
      <c r="B111" s="21">
        <f>+SUM(B108:B110)</f>
        <v>26</v>
      </c>
      <c r="C111" s="21">
        <f t="shared" ref="C111:AA111" si="57">+SUM(C108:C110)</f>
        <v>26</v>
      </c>
      <c r="D111" s="21">
        <f t="shared" si="57"/>
        <v>26</v>
      </c>
      <c r="E111" s="21">
        <f t="shared" si="57"/>
        <v>26</v>
      </c>
      <c r="F111" s="21">
        <f t="shared" si="57"/>
        <v>26</v>
      </c>
      <c r="G111" s="21">
        <f t="shared" si="57"/>
        <v>26</v>
      </c>
      <c r="H111" s="21">
        <f t="shared" si="57"/>
        <v>26</v>
      </c>
      <c r="I111" s="21">
        <f t="shared" si="57"/>
        <v>26</v>
      </c>
      <c r="J111" s="21">
        <f t="shared" si="57"/>
        <v>26</v>
      </c>
      <c r="K111" s="21">
        <f t="shared" si="57"/>
        <v>26</v>
      </c>
      <c r="L111" s="21">
        <f t="shared" si="57"/>
        <v>26</v>
      </c>
      <c r="M111" s="21">
        <f t="shared" si="57"/>
        <v>26</v>
      </c>
      <c r="N111" s="21">
        <f t="shared" si="57"/>
        <v>26</v>
      </c>
      <c r="O111" s="21">
        <f t="shared" si="57"/>
        <v>26</v>
      </c>
      <c r="P111" s="21">
        <f t="shared" si="57"/>
        <v>26</v>
      </c>
      <c r="Q111" s="21">
        <f t="shared" si="57"/>
        <v>26</v>
      </c>
      <c r="R111" s="21">
        <f t="shared" si="57"/>
        <v>26</v>
      </c>
      <c r="S111" s="21">
        <f t="shared" si="57"/>
        <v>26</v>
      </c>
      <c r="T111" s="21">
        <f t="shared" si="57"/>
        <v>26</v>
      </c>
      <c r="U111" s="21">
        <f t="shared" si="57"/>
        <v>26</v>
      </c>
      <c r="V111" s="21">
        <f t="shared" si="57"/>
        <v>26</v>
      </c>
      <c r="W111" s="21">
        <f t="shared" si="57"/>
        <v>26</v>
      </c>
      <c r="X111" s="21">
        <f t="shared" si="57"/>
        <v>26</v>
      </c>
      <c r="Y111" s="21">
        <f t="shared" si="57"/>
        <v>26</v>
      </c>
      <c r="Z111" s="21">
        <f t="shared" si="57"/>
        <v>26</v>
      </c>
      <c r="AA111" s="21">
        <f t="shared" si="57"/>
        <v>26</v>
      </c>
    </row>
    <row r="112" spans="1:27" ht="15" customHeight="1" x14ac:dyDescent="0.3">
      <c r="A112" s="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row>
    <row r="113" spans="1:27" x14ac:dyDescent="0.3">
      <c r="A113" s="45" t="s">
        <v>27</v>
      </c>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row>
    <row r="114" spans="1:27" x14ac:dyDescent="0.3">
      <c r="A114" s="1"/>
      <c r="C114" s="46" t="s">
        <v>181</v>
      </c>
    </row>
    <row r="115" spans="1:27" x14ac:dyDescent="0.3">
      <c r="A115" s="13" t="s">
        <v>28</v>
      </c>
      <c r="B115" s="32">
        <f>'Inputs &amp; Summary'!E98</f>
        <v>4557</v>
      </c>
      <c r="C115" s="1" t="s">
        <v>184</v>
      </c>
    </row>
    <row r="116" spans="1:27" x14ac:dyDescent="0.3">
      <c r="A116" s="13" t="s">
        <v>29</v>
      </c>
      <c r="B116" s="32">
        <f>'Inputs &amp; Summary'!O99</f>
        <v>3</v>
      </c>
      <c r="C116" s="1" t="s">
        <v>184</v>
      </c>
      <c r="F116" s="82" t="s">
        <v>148</v>
      </c>
      <c r="G116" s="83"/>
      <c r="H116" s="83"/>
      <c r="I116" s="83"/>
      <c r="J116" s="83"/>
      <c r="K116" s="83"/>
      <c r="L116" s="83"/>
      <c r="M116" s="83"/>
      <c r="N116" s="83"/>
      <c r="O116" s="83"/>
      <c r="P116" s="83"/>
      <c r="Q116" s="84"/>
    </row>
    <row r="117" spans="1:27" x14ac:dyDescent="0.3">
      <c r="A117" s="13" t="s">
        <v>34</v>
      </c>
      <c r="B117" s="159">
        <f>'Inputs &amp; Summary'!O137</f>
        <v>0.01</v>
      </c>
      <c r="C117" s="1" t="s">
        <v>189</v>
      </c>
      <c r="D117" s="31"/>
      <c r="F117" s="85" t="s">
        <v>147</v>
      </c>
      <c r="G117" s="72"/>
      <c r="H117" s="72"/>
      <c r="I117" s="72"/>
      <c r="J117" s="72"/>
      <c r="K117" s="72"/>
      <c r="L117" s="72"/>
      <c r="M117" s="72"/>
      <c r="N117" s="72"/>
      <c r="O117" s="72"/>
      <c r="P117" s="72"/>
      <c r="Q117" s="86"/>
    </row>
    <row r="118" spans="1:27" x14ac:dyDescent="0.3">
      <c r="A118" s="13" t="s">
        <v>33</v>
      </c>
      <c r="B118" s="6">
        <f>'Inputs &amp; Summary'!O138</f>
        <v>750</v>
      </c>
      <c r="C118" s="1" t="s">
        <v>190</v>
      </c>
    </row>
    <row r="119" spans="1:27" x14ac:dyDescent="0.3">
      <c r="A119" s="13" t="s">
        <v>32</v>
      </c>
      <c r="B119" s="6">
        <f>'Inputs &amp; Summary'!O139</f>
        <v>75</v>
      </c>
      <c r="C119" s="1" t="s">
        <v>190</v>
      </c>
      <c r="I119">
        <f>B119</f>
        <v>75</v>
      </c>
    </row>
    <row r="120" spans="1:27" x14ac:dyDescent="0.3">
      <c r="A120" s="13" t="s">
        <v>62</v>
      </c>
      <c r="B120" s="54">
        <f>'Inputs &amp; Summary'!O140</f>
        <v>2.5000000000000001E-2</v>
      </c>
      <c r="C120" s="1" t="s">
        <v>191</v>
      </c>
    </row>
    <row r="121" spans="1:27" x14ac:dyDescent="0.3">
      <c r="A121" s="3" t="s">
        <v>3</v>
      </c>
      <c r="B121">
        <v>0</v>
      </c>
      <c r="C121">
        <f>+B121+1</f>
        <v>1</v>
      </c>
      <c r="D121">
        <f t="shared" ref="D121:S122" si="58">+C121+1</f>
        <v>2</v>
      </c>
      <c r="E121">
        <f t="shared" si="58"/>
        <v>3</v>
      </c>
      <c r="F121">
        <f t="shared" si="58"/>
        <v>4</v>
      </c>
      <c r="G121">
        <f t="shared" si="58"/>
        <v>5</v>
      </c>
      <c r="H121">
        <f t="shared" si="58"/>
        <v>6</v>
      </c>
      <c r="I121">
        <f t="shared" si="58"/>
        <v>7</v>
      </c>
      <c r="J121">
        <f t="shared" si="58"/>
        <v>8</v>
      </c>
      <c r="K121">
        <f t="shared" si="58"/>
        <v>9</v>
      </c>
      <c r="L121">
        <f t="shared" si="58"/>
        <v>10</v>
      </c>
      <c r="M121">
        <f t="shared" si="58"/>
        <v>11</v>
      </c>
      <c r="N121">
        <f t="shared" si="58"/>
        <v>12</v>
      </c>
      <c r="O121">
        <f t="shared" si="58"/>
        <v>13</v>
      </c>
      <c r="P121">
        <f t="shared" si="58"/>
        <v>14</v>
      </c>
      <c r="Q121">
        <f t="shared" si="58"/>
        <v>15</v>
      </c>
      <c r="R121">
        <f t="shared" si="58"/>
        <v>16</v>
      </c>
      <c r="S121">
        <f t="shared" si="58"/>
        <v>17</v>
      </c>
      <c r="T121">
        <f t="shared" ref="T121:AA122" si="59">+S121+1</f>
        <v>18</v>
      </c>
      <c r="U121">
        <f t="shared" si="59"/>
        <v>19</v>
      </c>
      <c r="V121">
        <f t="shared" si="59"/>
        <v>20</v>
      </c>
      <c r="W121">
        <f t="shared" si="59"/>
        <v>21</v>
      </c>
      <c r="X121">
        <f t="shared" si="59"/>
        <v>22</v>
      </c>
      <c r="Y121">
        <f t="shared" si="59"/>
        <v>23</v>
      </c>
      <c r="Z121">
        <f t="shared" si="59"/>
        <v>24</v>
      </c>
      <c r="AA121">
        <f t="shared" si="59"/>
        <v>25</v>
      </c>
    </row>
    <row r="122" spans="1:27" x14ac:dyDescent="0.3">
      <c r="A122" s="18" t="s">
        <v>400</v>
      </c>
      <c r="B122" s="19">
        <v>2021</v>
      </c>
      <c r="C122" s="19">
        <f>+B122+1</f>
        <v>2022</v>
      </c>
      <c r="D122" s="19">
        <f t="shared" si="58"/>
        <v>2023</v>
      </c>
      <c r="E122" s="19">
        <f t="shared" si="58"/>
        <v>2024</v>
      </c>
      <c r="F122" s="19">
        <f t="shared" si="58"/>
        <v>2025</v>
      </c>
      <c r="G122" s="19">
        <f t="shared" si="58"/>
        <v>2026</v>
      </c>
      <c r="H122" s="19">
        <f t="shared" si="58"/>
        <v>2027</v>
      </c>
      <c r="I122" s="19">
        <f t="shared" si="58"/>
        <v>2028</v>
      </c>
      <c r="J122" s="19">
        <f t="shared" si="58"/>
        <v>2029</v>
      </c>
      <c r="K122" s="19">
        <f t="shared" si="58"/>
        <v>2030</v>
      </c>
      <c r="L122" s="19">
        <f t="shared" si="58"/>
        <v>2031</v>
      </c>
      <c r="M122" s="19">
        <f t="shared" si="58"/>
        <v>2032</v>
      </c>
      <c r="N122" s="19">
        <f t="shared" si="58"/>
        <v>2033</v>
      </c>
      <c r="O122" s="19">
        <f t="shared" si="58"/>
        <v>2034</v>
      </c>
      <c r="P122" s="19">
        <f t="shared" si="58"/>
        <v>2035</v>
      </c>
      <c r="Q122" s="19">
        <f t="shared" si="58"/>
        <v>2036</v>
      </c>
      <c r="R122" s="19">
        <f t="shared" si="58"/>
        <v>2037</v>
      </c>
      <c r="S122" s="19">
        <f t="shared" si="58"/>
        <v>2038</v>
      </c>
      <c r="T122" s="19">
        <f t="shared" si="59"/>
        <v>2039</v>
      </c>
      <c r="U122" s="19">
        <f t="shared" si="59"/>
        <v>2040</v>
      </c>
      <c r="V122" s="19">
        <f t="shared" si="59"/>
        <v>2041</v>
      </c>
      <c r="W122" s="19">
        <f t="shared" si="59"/>
        <v>2042</v>
      </c>
      <c r="X122" s="19">
        <f t="shared" si="59"/>
        <v>2043</v>
      </c>
      <c r="Y122" s="19">
        <f t="shared" si="59"/>
        <v>2044</v>
      </c>
      <c r="Z122" s="19">
        <f t="shared" si="59"/>
        <v>2045</v>
      </c>
      <c r="AA122" s="19">
        <f t="shared" si="59"/>
        <v>2046</v>
      </c>
    </row>
    <row r="123" spans="1:27" s="6" customFormat="1" x14ac:dyDescent="0.3">
      <c r="A123" s="30" t="s">
        <v>59</v>
      </c>
      <c r="B123" s="35">
        <f>+($B$115*$B$116*$B$117)+($B$118*$B$117)+($B$119*(1+$B$120)^B121)</f>
        <v>219.21</v>
      </c>
      <c r="C123" s="35">
        <f t="shared" ref="C123:AA123" si="60">+($B$115*$B$116*$B$117)+($B$118*$B$117)+($B$119*(1+$B$120)^C121)</f>
        <v>221.08500000000001</v>
      </c>
      <c r="D123" s="35">
        <f t="shared" si="60"/>
        <v>223.00687500000001</v>
      </c>
      <c r="E123" s="35">
        <f t="shared" si="60"/>
        <v>224.97679687499999</v>
      </c>
      <c r="F123" s="35">
        <f t="shared" si="60"/>
        <v>226.995966796875</v>
      </c>
      <c r="G123" s="35">
        <f t="shared" si="60"/>
        <v>229.06561596679686</v>
      </c>
      <c r="H123" s="35">
        <f t="shared" si="60"/>
        <v>231.18700636596677</v>
      </c>
      <c r="I123" s="35">
        <f t="shared" si="60"/>
        <v>233.36143152511596</v>
      </c>
      <c r="J123" s="35">
        <f t="shared" si="60"/>
        <v>235.59021731324384</v>
      </c>
      <c r="K123" s="35">
        <f t="shared" si="60"/>
        <v>237.87472274607489</v>
      </c>
      <c r="L123" s="35">
        <f t="shared" si="60"/>
        <v>240.21634081472678</v>
      </c>
      <c r="M123" s="35">
        <f t="shared" si="60"/>
        <v>242.61649933509494</v>
      </c>
      <c r="N123" s="35">
        <f t="shared" si="60"/>
        <v>245.0766618184723</v>
      </c>
      <c r="O123" s="35">
        <f t="shared" si="60"/>
        <v>247.59832836393412</v>
      </c>
      <c r="P123" s="35">
        <f t="shared" si="60"/>
        <v>250.18303657303247</v>
      </c>
      <c r="Q123" s="35">
        <f t="shared" si="60"/>
        <v>252.8323624873583</v>
      </c>
      <c r="R123" s="35">
        <f t="shared" si="60"/>
        <v>255.54792154954225</v>
      </c>
      <c r="S123" s="35">
        <f t="shared" si="60"/>
        <v>258.33136958828078</v>
      </c>
      <c r="T123" s="35">
        <f t="shared" si="60"/>
        <v>261.18440382798781</v>
      </c>
      <c r="U123" s="35">
        <f t="shared" si="60"/>
        <v>264.10876392368749</v>
      </c>
      <c r="V123" s="35">
        <f t="shared" si="60"/>
        <v>267.10623302177964</v>
      </c>
      <c r="W123" s="35">
        <f t="shared" si="60"/>
        <v>270.17863884732412</v>
      </c>
      <c r="X123" s="35">
        <f t="shared" si="60"/>
        <v>273.32785481850726</v>
      </c>
      <c r="Y123" s="35">
        <f t="shared" si="60"/>
        <v>276.55580118896995</v>
      </c>
      <c r="Z123" s="35">
        <f t="shared" si="60"/>
        <v>279.86444621869418</v>
      </c>
      <c r="AA123" s="35">
        <f t="shared" si="60"/>
        <v>283.25580737416152</v>
      </c>
    </row>
    <row r="124" spans="1:27" x14ac:dyDescent="0.3">
      <c r="A124" s="23"/>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1:27" x14ac:dyDescent="0.3">
      <c r="A125" s="17" t="s">
        <v>70</v>
      </c>
      <c r="B125" s="17">
        <f t="shared" ref="B125:AA125" si="61">+B95</f>
        <v>2021</v>
      </c>
      <c r="C125" s="17">
        <f t="shared" si="61"/>
        <v>2022</v>
      </c>
      <c r="D125" s="17">
        <f t="shared" si="61"/>
        <v>2023</v>
      </c>
      <c r="E125" s="17">
        <f t="shared" si="61"/>
        <v>2024</v>
      </c>
      <c r="F125" s="17">
        <f t="shared" si="61"/>
        <v>2025</v>
      </c>
      <c r="G125" s="17">
        <f t="shared" si="61"/>
        <v>2026</v>
      </c>
      <c r="H125" s="17">
        <f t="shared" si="61"/>
        <v>2027</v>
      </c>
      <c r="I125" s="17">
        <f t="shared" si="61"/>
        <v>2028</v>
      </c>
      <c r="J125" s="17">
        <f t="shared" si="61"/>
        <v>2029</v>
      </c>
      <c r="K125" s="17">
        <f t="shared" si="61"/>
        <v>2030</v>
      </c>
      <c r="L125" s="17">
        <f t="shared" si="61"/>
        <v>2031</v>
      </c>
      <c r="M125" s="17">
        <f t="shared" si="61"/>
        <v>2032</v>
      </c>
      <c r="N125" s="17">
        <f t="shared" si="61"/>
        <v>2033</v>
      </c>
      <c r="O125" s="17">
        <f t="shared" si="61"/>
        <v>2034</v>
      </c>
      <c r="P125" s="17">
        <f t="shared" si="61"/>
        <v>2035</v>
      </c>
      <c r="Q125" s="17">
        <f t="shared" si="61"/>
        <v>2036</v>
      </c>
      <c r="R125" s="17">
        <f t="shared" si="61"/>
        <v>2037</v>
      </c>
      <c r="S125" s="17">
        <f t="shared" si="61"/>
        <v>2038</v>
      </c>
      <c r="T125" s="17">
        <f t="shared" si="61"/>
        <v>2039</v>
      </c>
      <c r="U125" s="17">
        <f t="shared" si="61"/>
        <v>2040</v>
      </c>
      <c r="V125" s="17">
        <f t="shared" si="61"/>
        <v>2041</v>
      </c>
      <c r="W125" s="17">
        <f t="shared" si="61"/>
        <v>2042</v>
      </c>
      <c r="X125" s="17">
        <f t="shared" si="61"/>
        <v>2043</v>
      </c>
      <c r="Y125" s="17">
        <f t="shared" si="61"/>
        <v>2044</v>
      </c>
      <c r="Z125" s="17">
        <f t="shared" si="61"/>
        <v>2045</v>
      </c>
      <c r="AA125" s="17">
        <f t="shared" si="61"/>
        <v>2046</v>
      </c>
    </row>
    <row r="126" spans="1:27" s="1" customFormat="1" ht="15" thickBot="1" x14ac:dyDescent="0.35">
      <c r="A126" s="38" t="s">
        <v>55</v>
      </c>
      <c r="B126" s="39">
        <f t="shared" ref="B126:AA126" si="62">+B123+B111+B96</f>
        <v>245.21</v>
      </c>
      <c r="C126" s="39">
        <f t="shared" si="62"/>
        <v>247.08500000000001</v>
      </c>
      <c r="D126" s="39">
        <f t="shared" si="62"/>
        <v>249.00687500000001</v>
      </c>
      <c r="E126" s="39">
        <f t="shared" si="62"/>
        <v>250.97679687499999</v>
      </c>
      <c r="F126" s="39">
        <f t="shared" si="62"/>
        <v>352.995966796875</v>
      </c>
      <c r="G126" s="39">
        <f t="shared" si="62"/>
        <v>255.06561596679686</v>
      </c>
      <c r="H126" s="39">
        <f t="shared" si="62"/>
        <v>257.18700636596679</v>
      </c>
      <c r="I126" s="39">
        <f t="shared" si="62"/>
        <v>259.36143152511596</v>
      </c>
      <c r="J126" s="39">
        <f t="shared" si="62"/>
        <v>261.59021731324384</v>
      </c>
      <c r="K126" s="39">
        <f t="shared" si="62"/>
        <v>263.87472274607489</v>
      </c>
      <c r="L126" s="39">
        <f t="shared" si="62"/>
        <v>266.21634081472678</v>
      </c>
      <c r="M126" s="39">
        <f t="shared" si="62"/>
        <v>268.61649933509494</v>
      </c>
      <c r="N126" s="39">
        <f t="shared" si="62"/>
        <v>271.0766618184723</v>
      </c>
      <c r="O126" s="39">
        <f t="shared" si="62"/>
        <v>273.59832836393412</v>
      </c>
      <c r="P126" s="39">
        <f t="shared" si="62"/>
        <v>276.1830365730325</v>
      </c>
      <c r="Q126" s="39">
        <f t="shared" si="62"/>
        <v>278.8323624873583</v>
      </c>
      <c r="R126" s="39">
        <f t="shared" si="62"/>
        <v>281.54792154954225</v>
      </c>
      <c r="S126" s="39">
        <f t="shared" si="62"/>
        <v>284.33136958828078</v>
      </c>
      <c r="T126" s="39">
        <f t="shared" si="62"/>
        <v>287.18440382798781</v>
      </c>
      <c r="U126" s="39">
        <f t="shared" si="62"/>
        <v>290.10876392368749</v>
      </c>
      <c r="V126" s="39">
        <f t="shared" si="62"/>
        <v>293.10623302177964</v>
      </c>
      <c r="W126" s="39">
        <f t="shared" si="62"/>
        <v>296.17863884732412</v>
      </c>
      <c r="X126" s="39">
        <f t="shared" si="62"/>
        <v>299.32785481850726</v>
      </c>
      <c r="Y126" s="39">
        <f t="shared" si="62"/>
        <v>302.55580118896995</v>
      </c>
      <c r="Z126" s="39">
        <f t="shared" si="62"/>
        <v>305.86444621869418</v>
      </c>
      <c r="AA126" s="39">
        <f t="shared" si="62"/>
        <v>309.25580737416152</v>
      </c>
    </row>
    <row r="127" spans="1:27" x14ac:dyDescent="0.3">
      <c r="A127" s="11"/>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8" x14ac:dyDescent="0.35">
      <c r="A128" s="108" t="s">
        <v>164</v>
      </c>
    </row>
    <row r="129" spans="1:33" x14ac:dyDescent="0.3">
      <c r="A129" s="45" t="s">
        <v>42</v>
      </c>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row>
    <row r="130" spans="1:33" x14ac:dyDescent="0.3">
      <c r="C130" s="46" t="s">
        <v>181</v>
      </c>
      <c r="AD130" s="272"/>
      <c r="AE130" s="272"/>
      <c r="AF130" s="272"/>
      <c r="AG130" s="272"/>
    </row>
    <row r="131" spans="1:33" x14ac:dyDescent="0.3">
      <c r="A131" t="s">
        <v>36</v>
      </c>
      <c r="B131" s="156">
        <f>'Inputs &amp; Summary'!E90</f>
        <v>24</v>
      </c>
      <c r="C131" s="1" t="s">
        <v>184</v>
      </c>
      <c r="AD131" s="272"/>
      <c r="AE131" s="272"/>
      <c r="AF131" s="272"/>
      <c r="AG131" s="272"/>
    </row>
    <row r="132" spans="1:33" x14ac:dyDescent="0.3">
      <c r="A132" t="s">
        <v>37</v>
      </c>
      <c r="B132" s="156">
        <f>'Inputs &amp; Summary'!E91</f>
        <v>135</v>
      </c>
      <c r="C132" s="1" t="s">
        <v>184</v>
      </c>
      <c r="F132" s="82" t="s">
        <v>151</v>
      </c>
      <c r="G132" s="83"/>
      <c r="H132" s="83"/>
      <c r="I132" s="83"/>
      <c r="J132" s="83"/>
      <c r="K132" s="83"/>
      <c r="L132" s="83"/>
      <c r="M132" s="83"/>
      <c r="N132" s="83"/>
      <c r="O132" s="83"/>
      <c r="P132" s="83"/>
      <c r="Q132" s="84"/>
      <c r="AD132" s="272"/>
      <c r="AE132" s="272"/>
      <c r="AF132" s="272"/>
      <c r="AG132" s="272"/>
    </row>
    <row r="133" spans="1:33" x14ac:dyDescent="0.3">
      <c r="A133" t="s">
        <v>203</v>
      </c>
      <c r="B133" s="157">
        <f>'Inputs &amp; Summary'!O144</f>
        <v>0.05</v>
      </c>
      <c r="C133" s="1" t="s">
        <v>185</v>
      </c>
      <c r="D133" s="6"/>
      <c r="E133" s="6"/>
      <c r="F133" s="107"/>
      <c r="G133" s="72"/>
      <c r="H133" s="72"/>
      <c r="I133" s="72"/>
      <c r="J133" s="72"/>
      <c r="K133" s="72"/>
      <c r="L133" s="72"/>
      <c r="M133" s="72"/>
      <c r="N133" s="72"/>
      <c r="O133" s="72"/>
      <c r="P133" s="72"/>
      <c r="Q133" s="86"/>
      <c r="AD133" s="272"/>
      <c r="AE133" s="272"/>
      <c r="AF133" s="272"/>
      <c r="AG133" s="272"/>
    </row>
    <row r="134" spans="1:33" x14ac:dyDescent="0.3">
      <c r="A134" t="s">
        <v>39</v>
      </c>
      <c r="B134" s="160">
        <f>'Inputs &amp; Summary'!O145</f>
        <v>1.2E-2</v>
      </c>
      <c r="C134" s="1" t="s">
        <v>183</v>
      </c>
      <c r="AD134" s="272"/>
      <c r="AE134" s="272"/>
      <c r="AF134" s="272"/>
      <c r="AG134" s="272"/>
    </row>
    <row r="135" spans="1:33" x14ac:dyDescent="0.3">
      <c r="A135" s="3" t="s">
        <v>3</v>
      </c>
      <c r="B135">
        <v>0</v>
      </c>
      <c r="C135">
        <f>+B135+1</f>
        <v>1</v>
      </c>
      <c r="D135">
        <f t="shared" ref="D135:S136" si="63">+C135+1</f>
        <v>2</v>
      </c>
      <c r="E135">
        <f t="shared" si="63"/>
        <v>3</v>
      </c>
      <c r="F135">
        <f t="shared" si="63"/>
        <v>4</v>
      </c>
      <c r="G135">
        <f t="shared" si="63"/>
        <v>5</v>
      </c>
      <c r="H135">
        <f t="shared" si="63"/>
        <v>6</v>
      </c>
      <c r="I135">
        <f t="shared" si="63"/>
        <v>7</v>
      </c>
      <c r="J135">
        <f t="shared" si="63"/>
        <v>8</v>
      </c>
      <c r="K135">
        <f t="shared" si="63"/>
        <v>9</v>
      </c>
      <c r="L135">
        <f t="shared" si="63"/>
        <v>10</v>
      </c>
      <c r="M135">
        <f t="shared" si="63"/>
        <v>11</v>
      </c>
      <c r="N135">
        <f t="shared" si="63"/>
        <v>12</v>
      </c>
      <c r="O135">
        <f t="shared" si="63"/>
        <v>13</v>
      </c>
      <c r="P135">
        <f t="shared" si="63"/>
        <v>14</v>
      </c>
      <c r="Q135">
        <f t="shared" si="63"/>
        <v>15</v>
      </c>
      <c r="R135">
        <f t="shared" si="63"/>
        <v>16</v>
      </c>
      <c r="S135">
        <f t="shared" si="63"/>
        <v>17</v>
      </c>
      <c r="T135">
        <f t="shared" ref="T135:AA136" si="64">+S135+1</f>
        <v>18</v>
      </c>
      <c r="U135">
        <f t="shared" si="64"/>
        <v>19</v>
      </c>
      <c r="V135">
        <f t="shared" si="64"/>
        <v>20</v>
      </c>
      <c r="W135">
        <f t="shared" si="64"/>
        <v>21</v>
      </c>
      <c r="X135">
        <f t="shared" si="64"/>
        <v>22</v>
      </c>
      <c r="Y135">
        <f t="shared" si="64"/>
        <v>23</v>
      </c>
      <c r="Z135">
        <f t="shared" si="64"/>
        <v>24</v>
      </c>
      <c r="AA135">
        <f t="shared" si="64"/>
        <v>25</v>
      </c>
      <c r="AD135" s="272"/>
      <c r="AE135" s="272"/>
      <c r="AF135" s="272"/>
      <c r="AG135" s="272"/>
    </row>
    <row r="136" spans="1:33" x14ac:dyDescent="0.3">
      <c r="A136" s="18" t="s">
        <v>400</v>
      </c>
      <c r="B136" s="19">
        <v>2021</v>
      </c>
      <c r="C136" s="19">
        <f>+B136+1</f>
        <v>2022</v>
      </c>
      <c r="D136" s="19">
        <f t="shared" si="63"/>
        <v>2023</v>
      </c>
      <c r="E136" s="19">
        <f t="shared" si="63"/>
        <v>2024</v>
      </c>
      <c r="F136" s="19">
        <f t="shared" si="63"/>
        <v>2025</v>
      </c>
      <c r="G136" s="19">
        <f t="shared" si="63"/>
        <v>2026</v>
      </c>
      <c r="H136" s="19">
        <f t="shared" si="63"/>
        <v>2027</v>
      </c>
      <c r="I136" s="19">
        <f t="shared" si="63"/>
        <v>2028</v>
      </c>
      <c r="J136" s="19">
        <f t="shared" si="63"/>
        <v>2029</v>
      </c>
      <c r="K136" s="19">
        <f t="shared" si="63"/>
        <v>2030</v>
      </c>
      <c r="L136" s="19">
        <f t="shared" si="63"/>
        <v>2031</v>
      </c>
      <c r="M136" s="19">
        <f t="shared" si="63"/>
        <v>2032</v>
      </c>
      <c r="N136" s="19">
        <f t="shared" si="63"/>
        <v>2033</v>
      </c>
      <c r="O136" s="19">
        <f t="shared" si="63"/>
        <v>2034</v>
      </c>
      <c r="P136" s="19">
        <f t="shared" si="63"/>
        <v>2035</v>
      </c>
      <c r="Q136" s="19">
        <f t="shared" si="63"/>
        <v>2036</v>
      </c>
      <c r="R136" s="19">
        <f t="shared" si="63"/>
        <v>2037</v>
      </c>
      <c r="S136" s="19">
        <f t="shared" si="63"/>
        <v>2038</v>
      </c>
      <c r="T136" s="19">
        <f t="shared" si="64"/>
        <v>2039</v>
      </c>
      <c r="U136" s="19">
        <f t="shared" si="64"/>
        <v>2040</v>
      </c>
      <c r="V136" s="19">
        <f t="shared" si="64"/>
        <v>2041</v>
      </c>
      <c r="W136" s="19">
        <f t="shared" si="64"/>
        <v>2042</v>
      </c>
      <c r="X136" s="19">
        <f t="shared" si="64"/>
        <v>2043</v>
      </c>
      <c r="Y136" s="19">
        <f t="shared" si="64"/>
        <v>2044</v>
      </c>
      <c r="Z136" s="19">
        <f t="shared" si="64"/>
        <v>2045</v>
      </c>
      <c r="AA136" s="19">
        <f t="shared" si="64"/>
        <v>2046</v>
      </c>
      <c r="AD136" s="272"/>
      <c r="AE136" s="272"/>
      <c r="AF136" s="272"/>
      <c r="AG136" s="272"/>
    </row>
    <row r="137" spans="1:33" s="6" customFormat="1" x14ac:dyDescent="0.3">
      <c r="A137" s="30" t="s">
        <v>57</v>
      </c>
      <c r="B137" s="24">
        <f>+B131*B132*B133</f>
        <v>162</v>
      </c>
      <c r="C137" s="24">
        <f>+$B$137*(1+$B$134)^C135</f>
        <v>163.94399999999999</v>
      </c>
      <c r="D137" s="24">
        <f t="shared" ref="D137:AA137" si="65">+$B$137*(1+$B$134)^D135</f>
        <v>165.911328</v>
      </c>
      <c r="E137" s="24">
        <f t="shared" si="65"/>
        <v>167.902263936</v>
      </c>
      <c r="F137" s="24">
        <f t="shared" si="65"/>
        <v>169.917091103232</v>
      </c>
      <c r="G137" s="24">
        <f t="shared" si="65"/>
        <v>171.95609619647078</v>
      </c>
      <c r="H137" s="24">
        <f t="shared" si="65"/>
        <v>174.01956935082839</v>
      </c>
      <c r="I137" s="24">
        <f t="shared" si="65"/>
        <v>176.10780418303838</v>
      </c>
      <c r="J137" s="24">
        <f t="shared" si="65"/>
        <v>178.22109783323484</v>
      </c>
      <c r="K137" s="24">
        <f t="shared" si="65"/>
        <v>180.35975100723363</v>
      </c>
      <c r="L137" s="24">
        <f t="shared" si="65"/>
        <v>182.52406801932045</v>
      </c>
      <c r="M137" s="24">
        <f t="shared" si="65"/>
        <v>184.71435683555228</v>
      </c>
      <c r="N137" s="24">
        <f t="shared" si="65"/>
        <v>186.9309291175789</v>
      </c>
      <c r="O137" s="24">
        <f t="shared" si="65"/>
        <v>189.17410026698985</v>
      </c>
      <c r="P137" s="24">
        <f t="shared" si="65"/>
        <v>191.44418947019372</v>
      </c>
      <c r="Q137" s="24">
        <f t="shared" si="65"/>
        <v>193.74151974383608</v>
      </c>
      <c r="R137" s="24">
        <f t="shared" si="65"/>
        <v>196.06641798076211</v>
      </c>
      <c r="S137" s="24">
        <f t="shared" si="65"/>
        <v>198.41921499653128</v>
      </c>
      <c r="T137" s="24">
        <f t="shared" si="65"/>
        <v>200.8002455764896</v>
      </c>
      <c r="U137" s="24">
        <f t="shared" si="65"/>
        <v>203.20984852340752</v>
      </c>
      <c r="V137" s="24">
        <f t="shared" si="65"/>
        <v>205.64836670568837</v>
      </c>
      <c r="W137" s="24">
        <f t="shared" si="65"/>
        <v>208.11614710615666</v>
      </c>
      <c r="X137" s="24">
        <f t="shared" si="65"/>
        <v>210.6135408714305</v>
      </c>
      <c r="Y137" s="24">
        <f t="shared" si="65"/>
        <v>213.14090336188772</v>
      </c>
      <c r="Z137" s="24">
        <f t="shared" si="65"/>
        <v>215.69859420223034</v>
      </c>
      <c r="AA137" s="24">
        <f t="shared" si="65"/>
        <v>218.2869773326571</v>
      </c>
      <c r="AD137" s="272"/>
      <c r="AE137" s="272"/>
      <c r="AF137" s="272"/>
      <c r="AG137" s="272"/>
    </row>
    <row r="138" spans="1:33" s="6" customFormat="1" x14ac:dyDescent="0.3">
      <c r="A138" s="30"/>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D138" s="272"/>
      <c r="AE138" s="272"/>
      <c r="AF138" s="272"/>
      <c r="AG138" s="272"/>
    </row>
    <row r="139" spans="1:33" x14ac:dyDescent="0.3">
      <c r="A139" s="45" t="s">
        <v>43</v>
      </c>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D139" s="272"/>
      <c r="AE139" s="272"/>
      <c r="AF139" s="272"/>
      <c r="AG139" s="272"/>
    </row>
    <row r="140" spans="1:33" x14ac:dyDescent="0.3">
      <c r="C140" s="46" t="s">
        <v>181</v>
      </c>
      <c r="AD140" s="272"/>
      <c r="AE140" s="272"/>
      <c r="AF140" s="272"/>
      <c r="AG140" s="272"/>
    </row>
    <row r="141" spans="1:33" x14ac:dyDescent="0.3">
      <c r="A141" t="s">
        <v>40</v>
      </c>
      <c r="B141" s="156">
        <f>'Inputs &amp; Summary'!E95</f>
        <v>38</v>
      </c>
      <c r="C141" s="1" t="s">
        <v>184</v>
      </c>
    </row>
    <row r="142" spans="1:33" x14ac:dyDescent="0.3">
      <c r="A142" t="s">
        <v>41</v>
      </c>
      <c r="B142" s="6">
        <f>'Inputs &amp; Summary'!E96</f>
        <v>135</v>
      </c>
      <c r="C142" s="1" t="s">
        <v>184</v>
      </c>
      <c r="F142" s="82" t="s">
        <v>151</v>
      </c>
      <c r="G142" s="83"/>
      <c r="H142" s="83"/>
      <c r="I142" s="83"/>
      <c r="J142" s="83"/>
      <c r="K142" s="83"/>
      <c r="L142" s="83"/>
      <c r="M142" s="83"/>
      <c r="N142" s="83"/>
      <c r="O142" s="83"/>
      <c r="P142" s="83"/>
      <c r="Q142" s="84"/>
    </row>
    <row r="143" spans="1:33" x14ac:dyDescent="0.3">
      <c r="A143" t="s">
        <v>204</v>
      </c>
      <c r="B143" s="158">
        <f>'Inputs &amp; Summary'!O147</f>
        <v>0.05</v>
      </c>
      <c r="C143" s="1" t="s">
        <v>185</v>
      </c>
      <c r="F143" s="107"/>
      <c r="G143" s="72"/>
      <c r="H143" s="72"/>
      <c r="I143" s="72"/>
      <c r="J143" s="72"/>
      <c r="K143" s="72"/>
      <c r="L143" s="72"/>
      <c r="M143" s="72"/>
      <c r="N143" s="72"/>
      <c r="O143" s="72"/>
      <c r="P143" s="72"/>
      <c r="Q143" s="86"/>
    </row>
    <row r="144" spans="1:33" x14ac:dyDescent="0.3">
      <c r="A144" t="s">
        <v>39</v>
      </c>
      <c r="B144" s="160">
        <f>'Inputs &amp; Summary'!O148</f>
        <v>1.2E-2</v>
      </c>
      <c r="C144" s="1" t="s">
        <v>183</v>
      </c>
    </row>
    <row r="145" spans="1:27" x14ac:dyDescent="0.3">
      <c r="A145" s="3" t="s">
        <v>3</v>
      </c>
      <c r="B145">
        <v>0</v>
      </c>
      <c r="C145">
        <f>+B145+1</f>
        <v>1</v>
      </c>
      <c r="D145">
        <f t="shared" ref="D145:S146" si="66">+C145+1</f>
        <v>2</v>
      </c>
      <c r="E145">
        <f t="shared" si="66"/>
        <v>3</v>
      </c>
      <c r="F145">
        <f t="shared" si="66"/>
        <v>4</v>
      </c>
      <c r="G145">
        <f t="shared" si="66"/>
        <v>5</v>
      </c>
      <c r="H145">
        <f t="shared" si="66"/>
        <v>6</v>
      </c>
      <c r="I145">
        <f t="shared" si="66"/>
        <v>7</v>
      </c>
      <c r="J145">
        <f t="shared" si="66"/>
        <v>8</v>
      </c>
      <c r="K145">
        <f t="shared" si="66"/>
        <v>9</v>
      </c>
      <c r="L145">
        <f t="shared" si="66"/>
        <v>10</v>
      </c>
      <c r="M145">
        <f t="shared" si="66"/>
        <v>11</v>
      </c>
      <c r="N145">
        <f t="shared" si="66"/>
        <v>12</v>
      </c>
      <c r="O145">
        <f t="shared" si="66"/>
        <v>13</v>
      </c>
      <c r="P145">
        <f t="shared" si="66"/>
        <v>14</v>
      </c>
      <c r="Q145">
        <f t="shared" si="66"/>
        <v>15</v>
      </c>
      <c r="R145">
        <f t="shared" si="66"/>
        <v>16</v>
      </c>
      <c r="S145">
        <f t="shared" si="66"/>
        <v>17</v>
      </c>
      <c r="T145">
        <f t="shared" ref="T145:AA146" si="67">+S145+1</f>
        <v>18</v>
      </c>
      <c r="U145">
        <f t="shared" si="67"/>
        <v>19</v>
      </c>
      <c r="V145">
        <f t="shared" si="67"/>
        <v>20</v>
      </c>
      <c r="W145">
        <f t="shared" si="67"/>
        <v>21</v>
      </c>
      <c r="X145">
        <f t="shared" si="67"/>
        <v>22</v>
      </c>
      <c r="Y145">
        <f t="shared" si="67"/>
        <v>23</v>
      </c>
      <c r="Z145">
        <f t="shared" si="67"/>
        <v>24</v>
      </c>
      <c r="AA145">
        <f t="shared" si="67"/>
        <v>25</v>
      </c>
    </row>
    <row r="146" spans="1:27" x14ac:dyDescent="0.3">
      <c r="A146" s="18" t="s">
        <v>400</v>
      </c>
      <c r="B146" s="19">
        <v>2021</v>
      </c>
      <c r="C146" s="19">
        <f>+B146+1</f>
        <v>2022</v>
      </c>
      <c r="D146" s="19">
        <f t="shared" si="66"/>
        <v>2023</v>
      </c>
      <c r="E146" s="19">
        <f t="shared" si="66"/>
        <v>2024</v>
      </c>
      <c r="F146" s="19">
        <f t="shared" si="66"/>
        <v>2025</v>
      </c>
      <c r="G146" s="19">
        <f t="shared" si="66"/>
        <v>2026</v>
      </c>
      <c r="H146" s="19">
        <f t="shared" si="66"/>
        <v>2027</v>
      </c>
      <c r="I146" s="19">
        <f t="shared" si="66"/>
        <v>2028</v>
      </c>
      <c r="J146" s="19">
        <f t="shared" si="66"/>
        <v>2029</v>
      </c>
      <c r="K146" s="19">
        <f t="shared" si="66"/>
        <v>2030</v>
      </c>
      <c r="L146" s="19">
        <f t="shared" si="66"/>
        <v>2031</v>
      </c>
      <c r="M146" s="19">
        <f t="shared" si="66"/>
        <v>2032</v>
      </c>
      <c r="N146" s="19">
        <f t="shared" si="66"/>
        <v>2033</v>
      </c>
      <c r="O146" s="19">
        <f t="shared" si="66"/>
        <v>2034</v>
      </c>
      <c r="P146" s="19">
        <f t="shared" si="66"/>
        <v>2035</v>
      </c>
      <c r="Q146" s="19">
        <f t="shared" si="66"/>
        <v>2036</v>
      </c>
      <c r="R146" s="19">
        <f t="shared" si="66"/>
        <v>2037</v>
      </c>
      <c r="S146" s="19">
        <f t="shared" si="66"/>
        <v>2038</v>
      </c>
      <c r="T146" s="19">
        <f t="shared" si="67"/>
        <v>2039</v>
      </c>
      <c r="U146" s="19">
        <f t="shared" si="67"/>
        <v>2040</v>
      </c>
      <c r="V146" s="19">
        <f t="shared" si="67"/>
        <v>2041</v>
      </c>
      <c r="W146" s="19">
        <f t="shared" si="67"/>
        <v>2042</v>
      </c>
      <c r="X146" s="19">
        <f t="shared" si="67"/>
        <v>2043</v>
      </c>
      <c r="Y146" s="19">
        <f t="shared" si="67"/>
        <v>2044</v>
      </c>
      <c r="Z146" s="19">
        <f t="shared" si="67"/>
        <v>2045</v>
      </c>
      <c r="AA146" s="19">
        <f t="shared" si="67"/>
        <v>2046</v>
      </c>
    </row>
    <row r="147" spans="1:27" s="6" customFormat="1" x14ac:dyDescent="0.3">
      <c r="A147" s="30" t="s">
        <v>58</v>
      </c>
      <c r="B147" s="24">
        <f>+(B141*B142*B143)</f>
        <v>256.5</v>
      </c>
      <c r="C147" s="24">
        <f>+$B$147*(1+$B$144)^C145</f>
        <v>259.57799999999997</v>
      </c>
      <c r="D147" s="24">
        <f t="shared" ref="D147:AA147" si="68">+$B$147*(1+$B$144)^D145</f>
        <v>262.69293599999997</v>
      </c>
      <c r="E147" s="24">
        <f t="shared" si="68"/>
        <v>265.84525123200001</v>
      </c>
      <c r="F147" s="24">
        <f t="shared" si="68"/>
        <v>269.03539424678399</v>
      </c>
      <c r="G147" s="24">
        <f t="shared" si="68"/>
        <v>272.26381897774542</v>
      </c>
      <c r="H147" s="24">
        <f t="shared" si="68"/>
        <v>275.53098480547828</v>
      </c>
      <c r="I147" s="24">
        <f t="shared" si="68"/>
        <v>278.8373566231441</v>
      </c>
      <c r="J147" s="24">
        <f t="shared" si="68"/>
        <v>282.18340490262182</v>
      </c>
      <c r="K147" s="24">
        <f t="shared" si="68"/>
        <v>285.56960576145326</v>
      </c>
      <c r="L147" s="24">
        <f t="shared" si="68"/>
        <v>288.99644103059069</v>
      </c>
      <c r="M147" s="24">
        <f t="shared" si="68"/>
        <v>292.46439832295778</v>
      </c>
      <c r="N147" s="24">
        <f t="shared" si="68"/>
        <v>295.97397110283327</v>
      </c>
      <c r="O147" s="24">
        <f t="shared" si="68"/>
        <v>299.52565875606723</v>
      </c>
      <c r="P147" s="24">
        <f t="shared" si="68"/>
        <v>303.11996666114004</v>
      </c>
      <c r="Q147" s="24">
        <f t="shared" si="68"/>
        <v>306.75740626107381</v>
      </c>
      <c r="R147" s="24">
        <f t="shared" si="68"/>
        <v>310.43849513620665</v>
      </c>
      <c r="S147" s="24">
        <f t="shared" si="68"/>
        <v>314.16375707784118</v>
      </c>
      <c r="T147" s="24">
        <f t="shared" si="68"/>
        <v>317.93372216277521</v>
      </c>
      <c r="U147" s="24">
        <f t="shared" si="68"/>
        <v>321.74892682872854</v>
      </c>
      <c r="V147" s="24">
        <f t="shared" si="68"/>
        <v>325.60991395067327</v>
      </c>
      <c r="W147" s="24">
        <f t="shared" si="68"/>
        <v>329.51723291808139</v>
      </c>
      <c r="X147" s="24">
        <f t="shared" si="68"/>
        <v>333.47143971309828</v>
      </c>
      <c r="Y147" s="24">
        <f t="shared" si="68"/>
        <v>337.47309698965557</v>
      </c>
      <c r="Z147" s="24">
        <f t="shared" si="68"/>
        <v>341.52277415353137</v>
      </c>
      <c r="AA147" s="24">
        <f t="shared" si="68"/>
        <v>345.6210474433737</v>
      </c>
    </row>
    <row r="148" spans="1:27"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x14ac:dyDescent="0.3">
      <c r="A149" s="17" t="s">
        <v>173</v>
      </c>
      <c r="B149" s="17">
        <f t="shared" ref="B149:AA149" si="69">+B136</f>
        <v>2021</v>
      </c>
      <c r="C149" s="17">
        <f t="shared" si="69"/>
        <v>2022</v>
      </c>
      <c r="D149" s="17">
        <f t="shared" si="69"/>
        <v>2023</v>
      </c>
      <c r="E149" s="17">
        <f t="shared" si="69"/>
        <v>2024</v>
      </c>
      <c r="F149" s="17">
        <f t="shared" si="69"/>
        <v>2025</v>
      </c>
      <c r="G149" s="17">
        <f t="shared" si="69"/>
        <v>2026</v>
      </c>
      <c r="H149" s="17">
        <f t="shared" si="69"/>
        <v>2027</v>
      </c>
      <c r="I149" s="17">
        <f t="shared" si="69"/>
        <v>2028</v>
      </c>
      <c r="J149" s="17">
        <f t="shared" si="69"/>
        <v>2029</v>
      </c>
      <c r="K149" s="17">
        <f t="shared" si="69"/>
        <v>2030</v>
      </c>
      <c r="L149" s="17">
        <f t="shared" si="69"/>
        <v>2031</v>
      </c>
      <c r="M149" s="17">
        <f t="shared" si="69"/>
        <v>2032</v>
      </c>
      <c r="N149" s="17">
        <f t="shared" si="69"/>
        <v>2033</v>
      </c>
      <c r="O149" s="17">
        <f t="shared" si="69"/>
        <v>2034</v>
      </c>
      <c r="P149" s="17">
        <f t="shared" si="69"/>
        <v>2035</v>
      </c>
      <c r="Q149" s="17">
        <f t="shared" si="69"/>
        <v>2036</v>
      </c>
      <c r="R149" s="17">
        <f t="shared" si="69"/>
        <v>2037</v>
      </c>
      <c r="S149" s="17">
        <f t="shared" si="69"/>
        <v>2038</v>
      </c>
      <c r="T149" s="17">
        <f t="shared" si="69"/>
        <v>2039</v>
      </c>
      <c r="U149" s="17">
        <f t="shared" si="69"/>
        <v>2040</v>
      </c>
      <c r="V149" s="17">
        <f t="shared" si="69"/>
        <v>2041</v>
      </c>
      <c r="W149" s="17">
        <f t="shared" si="69"/>
        <v>2042</v>
      </c>
      <c r="X149" s="17">
        <f t="shared" si="69"/>
        <v>2043</v>
      </c>
      <c r="Y149" s="17">
        <f t="shared" si="69"/>
        <v>2044</v>
      </c>
      <c r="Z149" s="17">
        <f t="shared" si="69"/>
        <v>2045</v>
      </c>
      <c r="AA149" s="17">
        <f t="shared" si="69"/>
        <v>2046</v>
      </c>
    </row>
    <row r="150" spans="1:27" s="1" customFormat="1" ht="15" thickBot="1" x14ac:dyDescent="0.35">
      <c r="A150" s="38" t="s">
        <v>55</v>
      </c>
      <c r="B150" s="39">
        <f t="shared" ref="B150:AA150" si="70">+B147+B137</f>
        <v>418.5</v>
      </c>
      <c r="C150" s="39">
        <f t="shared" si="70"/>
        <v>423.52199999999993</v>
      </c>
      <c r="D150" s="39">
        <f t="shared" si="70"/>
        <v>428.60426399999994</v>
      </c>
      <c r="E150" s="39">
        <f t="shared" si="70"/>
        <v>433.74751516800001</v>
      </c>
      <c r="F150" s="39">
        <f t="shared" si="70"/>
        <v>438.95248535001599</v>
      </c>
      <c r="G150" s="39">
        <f t="shared" si="70"/>
        <v>444.21991517421623</v>
      </c>
      <c r="H150" s="39">
        <f t="shared" si="70"/>
        <v>449.5505541563067</v>
      </c>
      <c r="I150" s="39">
        <f t="shared" si="70"/>
        <v>454.94516080618246</v>
      </c>
      <c r="J150" s="39">
        <f t="shared" si="70"/>
        <v>460.40450273585668</v>
      </c>
      <c r="K150" s="39">
        <f t="shared" si="70"/>
        <v>465.92935676868689</v>
      </c>
      <c r="L150" s="39">
        <f t="shared" si="70"/>
        <v>471.52050904991114</v>
      </c>
      <c r="M150" s="39">
        <f t="shared" si="70"/>
        <v>477.17875515851006</v>
      </c>
      <c r="N150" s="39">
        <f t="shared" si="70"/>
        <v>482.90490022041217</v>
      </c>
      <c r="O150" s="39">
        <f t="shared" si="70"/>
        <v>488.69975902305708</v>
      </c>
      <c r="P150" s="39">
        <f t="shared" si="70"/>
        <v>494.56415613133379</v>
      </c>
      <c r="Q150" s="39">
        <f t="shared" si="70"/>
        <v>500.49892600490989</v>
      </c>
      <c r="R150" s="39">
        <f t="shared" si="70"/>
        <v>506.50491311696874</v>
      </c>
      <c r="S150" s="39">
        <f t="shared" si="70"/>
        <v>512.58297207437249</v>
      </c>
      <c r="T150" s="39">
        <f t="shared" si="70"/>
        <v>518.73396773926481</v>
      </c>
      <c r="U150" s="39">
        <f t="shared" si="70"/>
        <v>524.95877535213606</v>
      </c>
      <c r="V150" s="39">
        <f t="shared" si="70"/>
        <v>531.25828065636165</v>
      </c>
      <c r="W150" s="39">
        <f t="shared" si="70"/>
        <v>537.63338002423802</v>
      </c>
      <c r="X150" s="39">
        <f t="shared" si="70"/>
        <v>544.08498058452881</v>
      </c>
      <c r="Y150" s="39">
        <f t="shared" si="70"/>
        <v>550.61400035154327</v>
      </c>
      <c r="Z150" s="39">
        <f t="shared" si="70"/>
        <v>557.22136835576168</v>
      </c>
      <c r="AA150" s="39">
        <f t="shared" si="70"/>
        <v>563.90802477603074</v>
      </c>
    </row>
    <row r="152" spans="1:27" ht="18" x14ac:dyDescent="0.35">
      <c r="A152" s="109" t="s">
        <v>199</v>
      </c>
    </row>
    <row r="153" spans="1:27" x14ac:dyDescent="0.3">
      <c r="A153" s="45" t="s">
        <v>46</v>
      </c>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row>
    <row r="154" spans="1:27" x14ac:dyDescent="0.3">
      <c r="C154" s="46" t="s">
        <v>181</v>
      </c>
    </row>
    <row r="155" spans="1:27" x14ac:dyDescent="0.3">
      <c r="A155" s="13" t="s">
        <v>48</v>
      </c>
      <c r="B155" s="32">
        <f>'Inputs &amp; Summary'!E98</f>
        <v>4557</v>
      </c>
      <c r="C155" s="1" t="s">
        <v>184</v>
      </c>
    </row>
    <row r="156" spans="1:27" x14ac:dyDescent="0.3">
      <c r="A156" s="13" t="s">
        <v>29</v>
      </c>
      <c r="B156" s="6">
        <f>'Inputs &amp; Summary'!O99</f>
        <v>3</v>
      </c>
      <c r="C156" s="1" t="s">
        <v>184</v>
      </c>
      <c r="F156" s="82" t="s">
        <v>192</v>
      </c>
      <c r="G156" s="83"/>
      <c r="H156" s="83"/>
      <c r="I156" s="83"/>
      <c r="J156" s="83"/>
      <c r="K156" s="83"/>
      <c r="L156" s="83"/>
      <c r="M156" s="83"/>
      <c r="N156" s="83"/>
      <c r="O156" s="84"/>
    </row>
    <row r="157" spans="1:27" x14ac:dyDescent="0.3">
      <c r="A157" s="13" t="s">
        <v>206</v>
      </c>
      <c r="B157" s="161">
        <f>'Inputs &amp; Summary'!O152</f>
        <v>0.01</v>
      </c>
      <c r="C157" s="1" t="s">
        <v>183</v>
      </c>
      <c r="F157" s="85" t="s">
        <v>152</v>
      </c>
      <c r="G157" s="72"/>
      <c r="H157" s="72"/>
      <c r="I157" s="72"/>
      <c r="J157" s="72"/>
      <c r="K157" s="72"/>
      <c r="L157" s="72"/>
      <c r="M157" s="72"/>
      <c r="N157" s="72"/>
      <c r="O157" s="86"/>
    </row>
    <row r="158" spans="1:27" x14ac:dyDescent="0.3">
      <c r="A158" s="13" t="s">
        <v>45</v>
      </c>
      <c r="B158" s="6">
        <f>'Inputs &amp; Summary'!O153</f>
        <v>500</v>
      </c>
      <c r="C158" s="1" t="s">
        <v>183</v>
      </c>
    </row>
    <row r="159" spans="1:27" x14ac:dyDescent="0.3">
      <c r="A159" s="3" t="s">
        <v>3</v>
      </c>
      <c r="B159">
        <v>0</v>
      </c>
      <c r="C159">
        <f>+B159+1</f>
        <v>1</v>
      </c>
      <c r="D159">
        <f t="shared" ref="D159:S160" si="71">+C159+1</f>
        <v>2</v>
      </c>
      <c r="E159">
        <f t="shared" si="71"/>
        <v>3</v>
      </c>
      <c r="F159">
        <f t="shared" si="71"/>
        <v>4</v>
      </c>
      <c r="G159">
        <f t="shared" si="71"/>
        <v>5</v>
      </c>
      <c r="H159">
        <f t="shared" si="71"/>
        <v>6</v>
      </c>
      <c r="I159">
        <f t="shared" si="71"/>
        <v>7</v>
      </c>
      <c r="J159">
        <f t="shared" si="71"/>
        <v>8</v>
      </c>
      <c r="K159">
        <f t="shared" si="71"/>
        <v>9</v>
      </c>
      <c r="L159">
        <f t="shared" si="71"/>
        <v>10</v>
      </c>
      <c r="M159">
        <f t="shared" si="71"/>
        <v>11</v>
      </c>
      <c r="N159">
        <f t="shared" si="71"/>
        <v>12</v>
      </c>
      <c r="O159">
        <f t="shared" si="71"/>
        <v>13</v>
      </c>
      <c r="P159">
        <f t="shared" si="71"/>
        <v>14</v>
      </c>
      <c r="Q159">
        <f t="shared" si="71"/>
        <v>15</v>
      </c>
      <c r="R159">
        <f t="shared" si="71"/>
        <v>16</v>
      </c>
      <c r="S159">
        <f t="shared" si="71"/>
        <v>17</v>
      </c>
      <c r="T159">
        <f t="shared" ref="T159:AA160" si="72">+S159+1</f>
        <v>18</v>
      </c>
      <c r="U159">
        <f t="shared" si="72"/>
        <v>19</v>
      </c>
      <c r="V159">
        <f t="shared" si="72"/>
        <v>20</v>
      </c>
      <c r="W159">
        <f t="shared" si="72"/>
        <v>21</v>
      </c>
      <c r="X159">
        <f t="shared" si="72"/>
        <v>22</v>
      </c>
      <c r="Y159">
        <f t="shared" si="72"/>
        <v>23</v>
      </c>
      <c r="Z159">
        <f t="shared" si="72"/>
        <v>24</v>
      </c>
      <c r="AA159">
        <f t="shared" si="72"/>
        <v>25</v>
      </c>
    </row>
    <row r="160" spans="1:27" x14ac:dyDescent="0.3">
      <c r="A160" s="18" t="s">
        <v>400</v>
      </c>
      <c r="B160" s="19">
        <v>2021</v>
      </c>
      <c r="C160" s="19">
        <f>+B160+1</f>
        <v>2022</v>
      </c>
      <c r="D160" s="19">
        <f t="shared" si="71"/>
        <v>2023</v>
      </c>
      <c r="E160" s="19">
        <f t="shared" si="71"/>
        <v>2024</v>
      </c>
      <c r="F160" s="19">
        <f t="shared" si="71"/>
        <v>2025</v>
      </c>
      <c r="G160" s="19">
        <f t="shared" si="71"/>
        <v>2026</v>
      </c>
      <c r="H160" s="19">
        <f t="shared" si="71"/>
        <v>2027</v>
      </c>
      <c r="I160" s="19">
        <f t="shared" si="71"/>
        <v>2028</v>
      </c>
      <c r="J160" s="19">
        <f t="shared" si="71"/>
        <v>2029</v>
      </c>
      <c r="K160" s="19">
        <f t="shared" si="71"/>
        <v>2030</v>
      </c>
      <c r="L160" s="19">
        <f t="shared" si="71"/>
        <v>2031</v>
      </c>
      <c r="M160" s="19">
        <f t="shared" si="71"/>
        <v>2032</v>
      </c>
      <c r="N160" s="19">
        <f t="shared" si="71"/>
        <v>2033</v>
      </c>
      <c r="O160" s="19">
        <f t="shared" si="71"/>
        <v>2034</v>
      </c>
      <c r="P160" s="19">
        <f t="shared" si="71"/>
        <v>2035</v>
      </c>
      <c r="Q160" s="19">
        <f t="shared" si="71"/>
        <v>2036</v>
      </c>
      <c r="R160" s="19">
        <f t="shared" si="71"/>
        <v>2037</v>
      </c>
      <c r="S160" s="19">
        <f t="shared" si="71"/>
        <v>2038</v>
      </c>
      <c r="T160" s="19">
        <f t="shared" si="72"/>
        <v>2039</v>
      </c>
      <c r="U160" s="19">
        <f t="shared" si="72"/>
        <v>2040</v>
      </c>
      <c r="V160" s="19">
        <f t="shared" si="72"/>
        <v>2041</v>
      </c>
      <c r="W160" s="19">
        <f t="shared" si="72"/>
        <v>2042</v>
      </c>
      <c r="X160" s="19">
        <f t="shared" si="72"/>
        <v>2043</v>
      </c>
      <c r="Y160" s="19">
        <f t="shared" si="72"/>
        <v>2044</v>
      </c>
      <c r="Z160" s="19">
        <f t="shared" si="72"/>
        <v>2045</v>
      </c>
      <c r="AA160" s="19">
        <f t="shared" si="72"/>
        <v>2046</v>
      </c>
    </row>
    <row r="161" spans="1:27" x14ac:dyDescent="0.3">
      <c r="A161" s="30" t="s">
        <v>57</v>
      </c>
      <c r="B161" s="25">
        <f>+(B155*B156*B157)+(B157*B158)</f>
        <v>141.71</v>
      </c>
      <c r="C161" s="25">
        <f>+B161</f>
        <v>141.71</v>
      </c>
      <c r="D161" s="25">
        <f t="shared" ref="D161:AA161" si="73">+C161</f>
        <v>141.71</v>
      </c>
      <c r="E161" s="25">
        <f t="shared" si="73"/>
        <v>141.71</v>
      </c>
      <c r="F161" s="25">
        <f t="shared" si="73"/>
        <v>141.71</v>
      </c>
      <c r="G161" s="25">
        <f t="shared" si="73"/>
        <v>141.71</v>
      </c>
      <c r="H161" s="25">
        <f t="shared" si="73"/>
        <v>141.71</v>
      </c>
      <c r="I161" s="25">
        <f t="shared" si="73"/>
        <v>141.71</v>
      </c>
      <c r="J161" s="25">
        <f t="shared" si="73"/>
        <v>141.71</v>
      </c>
      <c r="K161" s="25">
        <f t="shared" si="73"/>
        <v>141.71</v>
      </c>
      <c r="L161" s="25">
        <f t="shared" si="73"/>
        <v>141.71</v>
      </c>
      <c r="M161" s="25">
        <f t="shared" si="73"/>
        <v>141.71</v>
      </c>
      <c r="N161" s="25">
        <f t="shared" si="73"/>
        <v>141.71</v>
      </c>
      <c r="O161" s="25">
        <f t="shared" si="73"/>
        <v>141.71</v>
      </c>
      <c r="P161" s="25">
        <f t="shared" si="73"/>
        <v>141.71</v>
      </c>
      <c r="Q161" s="25">
        <f t="shared" si="73"/>
        <v>141.71</v>
      </c>
      <c r="R161" s="25">
        <f t="shared" si="73"/>
        <v>141.71</v>
      </c>
      <c r="S161" s="25">
        <f t="shared" si="73"/>
        <v>141.71</v>
      </c>
      <c r="T161" s="25">
        <f t="shared" si="73"/>
        <v>141.71</v>
      </c>
      <c r="U161" s="25">
        <f t="shared" si="73"/>
        <v>141.71</v>
      </c>
      <c r="V161" s="25">
        <f t="shared" si="73"/>
        <v>141.71</v>
      </c>
      <c r="W161" s="25">
        <f t="shared" si="73"/>
        <v>141.71</v>
      </c>
      <c r="X161" s="25">
        <f t="shared" si="73"/>
        <v>141.71</v>
      </c>
      <c r="Y161" s="25">
        <f t="shared" si="73"/>
        <v>141.71</v>
      </c>
      <c r="Z161" s="25">
        <f t="shared" si="73"/>
        <v>141.71</v>
      </c>
      <c r="AA161" s="25">
        <f t="shared" si="73"/>
        <v>141.71</v>
      </c>
    </row>
    <row r="163" spans="1:27" x14ac:dyDescent="0.3">
      <c r="A163" s="45" t="s">
        <v>153</v>
      </c>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row>
    <row r="164" spans="1:27" x14ac:dyDescent="0.3">
      <c r="C164" s="46" t="s">
        <v>181</v>
      </c>
    </row>
    <row r="165" spans="1:27" x14ac:dyDescent="0.3">
      <c r="A165" s="13" t="s">
        <v>48</v>
      </c>
      <c r="B165" s="32">
        <f>'Inputs &amp; Summary'!E98</f>
        <v>4557</v>
      </c>
      <c r="C165" s="1" t="s">
        <v>184</v>
      </c>
    </row>
    <row r="166" spans="1:27" x14ac:dyDescent="0.3">
      <c r="A166" s="13" t="s">
        <v>29</v>
      </c>
      <c r="B166" s="6">
        <f>'Inputs &amp; Summary'!O99</f>
        <v>3</v>
      </c>
      <c r="C166" s="1" t="s">
        <v>184</v>
      </c>
      <c r="F166" s="82" t="s">
        <v>160</v>
      </c>
      <c r="G166" s="83"/>
      <c r="H166" s="83"/>
      <c r="I166" s="83"/>
      <c r="J166" s="83"/>
      <c r="K166" s="83"/>
      <c r="L166" s="83"/>
      <c r="M166" s="83"/>
      <c r="N166" s="83"/>
      <c r="O166" s="83"/>
      <c r="P166" s="84"/>
    </row>
    <row r="167" spans="1:27" x14ac:dyDescent="0.3">
      <c r="A167" s="13" t="s">
        <v>205</v>
      </c>
      <c r="B167" s="161">
        <f>'Inputs &amp; Summary'!O155</f>
        <v>0.01</v>
      </c>
      <c r="C167" s="1" t="s">
        <v>183</v>
      </c>
      <c r="F167" s="87" t="s">
        <v>152</v>
      </c>
      <c r="G167" s="88"/>
      <c r="H167" s="88"/>
      <c r="I167" s="88"/>
      <c r="J167" s="88"/>
      <c r="K167" s="88"/>
      <c r="L167" s="88"/>
      <c r="M167" s="88"/>
      <c r="N167" s="88"/>
      <c r="O167" s="88"/>
      <c r="P167" s="89"/>
    </row>
    <row r="168" spans="1:27" x14ac:dyDescent="0.3">
      <c r="A168" s="20" t="s">
        <v>47</v>
      </c>
      <c r="B168" s="6">
        <f>'Inputs &amp; Summary'!O156</f>
        <v>5</v>
      </c>
      <c r="C168" s="1" t="s">
        <v>183</v>
      </c>
      <c r="F168" s="85" t="s">
        <v>154</v>
      </c>
      <c r="G168" s="72"/>
      <c r="H168" s="72"/>
      <c r="I168" s="72"/>
      <c r="J168" s="72"/>
      <c r="K168" s="72"/>
      <c r="L168" s="72"/>
      <c r="M168" s="72"/>
      <c r="N168" s="72"/>
      <c r="O168" s="72"/>
      <c r="P168" s="86"/>
    </row>
    <row r="169" spans="1:27" x14ac:dyDescent="0.3">
      <c r="A169" s="3" t="s">
        <v>3</v>
      </c>
      <c r="B169">
        <v>0</v>
      </c>
      <c r="C169">
        <f>+B169+1</f>
        <v>1</v>
      </c>
      <c r="D169">
        <f t="shared" ref="D169:S170" si="74">+C169+1</f>
        <v>2</v>
      </c>
      <c r="E169">
        <f t="shared" si="74"/>
        <v>3</v>
      </c>
      <c r="F169">
        <f t="shared" si="74"/>
        <v>4</v>
      </c>
      <c r="G169">
        <f t="shared" si="74"/>
        <v>5</v>
      </c>
      <c r="H169">
        <f t="shared" si="74"/>
        <v>6</v>
      </c>
      <c r="I169">
        <f t="shared" si="74"/>
        <v>7</v>
      </c>
      <c r="J169">
        <f t="shared" si="74"/>
        <v>8</v>
      </c>
      <c r="K169">
        <f t="shared" si="74"/>
        <v>9</v>
      </c>
      <c r="L169">
        <f t="shared" si="74"/>
        <v>10</v>
      </c>
      <c r="M169">
        <f t="shared" si="74"/>
        <v>11</v>
      </c>
      <c r="N169">
        <f t="shared" si="74"/>
        <v>12</v>
      </c>
      <c r="O169">
        <f t="shared" si="74"/>
        <v>13</v>
      </c>
      <c r="P169">
        <f t="shared" si="74"/>
        <v>14</v>
      </c>
      <c r="Q169">
        <f t="shared" si="74"/>
        <v>15</v>
      </c>
      <c r="R169">
        <f t="shared" si="74"/>
        <v>16</v>
      </c>
      <c r="S169">
        <f t="shared" si="74"/>
        <v>17</v>
      </c>
      <c r="T169">
        <f t="shared" ref="T169:AA170" si="75">+S169+1</f>
        <v>18</v>
      </c>
      <c r="U169">
        <f t="shared" si="75"/>
        <v>19</v>
      </c>
      <c r="V169">
        <f t="shared" si="75"/>
        <v>20</v>
      </c>
      <c r="W169">
        <f t="shared" si="75"/>
        <v>21</v>
      </c>
      <c r="X169">
        <f t="shared" si="75"/>
        <v>22</v>
      </c>
      <c r="Y169">
        <f t="shared" si="75"/>
        <v>23</v>
      </c>
      <c r="Z169">
        <f t="shared" si="75"/>
        <v>24</v>
      </c>
      <c r="AA169">
        <f t="shared" si="75"/>
        <v>25</v>
      </c>
    </row>
    <row r="170" spans="1:27" x14ac:dyDescent="0.3">
      <c r="A170" s="18" t="s">
        <v>400</v>
      </c>
      <c r="B170" s="19">
        <v>2021</v>
      </c>
      <c r="C170" s="19">
        <f>+B170+1</f>
        <v>2022</v>
      </c>
      <c r="D170" s="19">
        <f t="shared" si="74"/>
        <v>2023</v>
      </c>
      <c r="E170" s="19">
        <f t="shared" si="74"/>
        <v>2024</v>
      </c>
      <c r="F170" s="19">
        <f t="shared" si="74"/>
        <v>2025</v>
      </c>
      <c r="G170" s="19">
        <f t="shared" si="74"/>
        <v>2026</v>
      </c>
      <c r="H170" s="19">
        <f t="shared" si="74"/>
        <v>2027</v>
      </c>
      <c r="I170" s="19">
        <f t="shared" si="74"/>
        <v>2028</v>
      </c>
      <c r="J170" s="19">
        <f t="shared" si="74"/>
        <v>2029</v>
      </c>
      <c r="K170" s="19">
        <f t="shared" si="74"/>
        <v>2030</v>
      </c>
      <c r="L170" s="19">
        <f t="shared" si="74"/>
        <v>2031</v>
      </c>
      <c r="M170" s="19">
        <f t="shared" si="74"/>
        <v>2032</v>
      </c>
      <c r="N170" s="19">
        <f t="shared" si="74"/>
        <v>2033</v>
      </c>
      <c r="O170" s="19">
        <f t="shared" si="74"/>
        <v>2034</v>
      </c>
      <c r="P170" s="19">
        <f t="shared" si="74"/>
        <v>2035</v>
      </c>
      <c r="Q170" s="19">
        <f t="shared" si="74"/>
        <v>2036</v>
      </c>
      <c r="R170" s="19">
        <f t="shared" si="74"/>
        <v>2037</v>
      </c>
      <c r="S170" s="19">
        <f t="shared" si="74"/>
        <v>2038</v>
      </c>
      <c r="T170" s="19">
        <f t="shared" si="75"/>
        <v>2039</v>
      </c>
      <c r="U170" s="19">
        <f t="shared" si="75"/>
        <v>2040</v>
      </c>
      <c r="V170" s="19">
        <f t="shared" si="75"/>
        <v>2041</v>
      </c>
      <c r="W170" s="19">
        <f t="shared" si="75"/>
        <v>2042</v>
      </c>
      <c r="X170" s="19">
        <f t="shared" si="75"/>
        <v>2043</v>
      </c>
      <c r="Y170" s="19">
        <f t="shared" si="75"/>
        <v>2044</v>
      </c>
      <c r="Z170" s="19">
        <f t="shared" si="75"/>
        <v>2045</v>
      </c>
      <c r="AA170" s="19">
        <f t="shared" si="75"/>
        <v>2046</v>
      </c>
    </row>
    <row r="171" spans="1:27" s="13" customFormat="1" x14ac:dyDescent="0.3">
      <c r="A171" s="13" t="s">
        <v>65</v>
      </c>
      <c r="B171" s="27">
        <f>+B165*B166*B167</f>
        <v>136.71</v>
      </c>
      <c r="C171" s="27">
        <f>+B171</f>
        <v>136.71</v>
      </c>
      <c r="D171" s="27">
        <f t="shared" ref="D171:AA172" si="76">+C171</f>
        <v>136.71</v>
      </c>
      <c r="E171" s="27">
        <f t="shared" si="76"/>
        <v>136.71</v>
      </c>
      <c r="F171" s="27">
        <f t="shared" si="76"/>
        <v>136.71</v>
      </c>
      <c r="G171" s="27">
        <f t="shared" si="76"/>
        <v>136.71</v>
      </c>
      <c r="H171" s="27">
        <f t="shared" si="76"/>
        <v>136.71</v>
      </c>
      <c r="I171" s="27">
        <f t="shared" si="76"/>
        <v>136.71</v>
      </c>
      <c r="J171" s="27">
        <f t="shared" si="76"/>
        <v>136.71</v>
      </c>
      <c r="K171" s="27">
        <f t="shared" si="76"/>
        <v>136.71</v>
      </c>
      <c r="L171" s="27">
        <f t="shared" si="76"/>
        <v>136.71</v>
      </c>
      <c r="M171" s="27">
        <f t="shared" si="76"/>
        <v>136.71</v>
      </c>
      <c r="N171" s="27">
        <f t="shared" si="76"/>
        <v>136.71</v>
      </c>
      <c r="O171" s="27">
        <f t="shared" si="76"/>
        <v>136.71</v>
      </c>
      <c r="P171" s="27">
        <f t="shared" si="76"/>
        <v>136.71</v>
      </c>
      <c r="Q171" s="27">
        <f t="shared" si="76"/>
        <v>136.71</v>
      </c>
      <c r="R171" s="27">
        <f t="shared" si="76"/>
        <v>136.71</v>
      </c>
      <c r="S171" s="27">
        <f t="shared" si="76"/>
        <v>136.71</v>
      </c>
      <c r="T171" s="27">
        <f t="shared" si="76"/>
        <v>136.71</v>
      </c>
      <c r="U171" s="27">
        <f t="shared" si="76"/>
        <v>136.71</v>
      </c>
      <c r="V171" s="27">
        <f t="shared" si="76"/>
        <v>136.71</v>
      </c>
      <c r="W171" s="27">
        <f t="shared" si="76"/>
        <v>136.71</v>
      </c>
      <c r="X171" s="27">
        <f t="shared" si="76"/>
        <v>136.71</v>
      </c>
      <c r="Y171" s="27">
        <f t="shared" si="76"/>
        <v>136.71</v>
      </c>
      <c r="Z171" s="27">
        <f t="shared" si="76"/>
        <v>136.71</v>
      </c>
      <c r="AA171" s="27">
        <f t="shared" si="76"/>
        <v>136.71</v>
      </c>
    </row>
    <row r="172" spans="1:27" x14ac:dyDescent="0.3">
      <c r="A172" t="s">
        <v>66</v>
      </c>
      <c r="B172">
        <f>+B168</f>
        <v>5</v>
      </c>
      <c r="C172">
        <f>+B172</f>
        <v>5</v>
      </c>
      <c r="D172">
        <f t="shared" si="76"/>
        <v>5</v>
      </c>
      <c r="E172">
        <f t="shared" si="76"/>
        <v>5</v>
      </c>
      <c r="F172">
        <f t="shared" si="76"/>
        <v>5</v>
      </c>
      <c r="G172">
        <f t="shared" si="76"/>
        <v>5</v>
      </c>
      <c r="H172">
        <f t="shared" si="76"/>
        <v>5</v>
      </c>
      <c r="I172">
        <f t="shared" si="76"/>
        <v>5</v>
      </c>
      <c r="J172">
        <f t="shared" si="76"/>
        <v>5</v>
      </c>
      <c r="K172">
        <f t="shared" si="76"/>
        <v>5</v>
      </c>
      <c r="L172">
        <f t="shared" si="76"/>
        <v>5</v>
      </c>
      <c r="M172">
        <f t="shared" si="76"/>
        <v>5</v>
      </c>
      <c r="N172">
        <f t="shared" si="76"/>
        <v>5</v>
      </c>
      <c r="O172">
        <f t="shared" si="76"/>
        <v>5</v>
      </c>
      <c r="P172">
        <f t="shared" si="76"/>
        <v>5</v>
      </c>
      <c r="Q172">
        <f t="shared" si="76"/>
        <v>5</v>
      </c>
      <c r="R172">
        <f t="shared" si="76"/>
        <v>5</v>
      </c>
      <c r="S172">
        <f t="shared" si="76"/>
        <v>5</v>
      </c>
      <c r="T172">
        <f t="shared" si="76"/>
        <v>5</v>
      </c>
      <c r="U172">
        <f t="shared" si="76"/>
        <v>5</v>
      </c>
      <c r="V172">
        <f t="shared" si="76"/>
        <v>5</v>
      </c>
      <c r="W172">
        <f t="shared" si="76"/>
        <v>5</v>
      </c>
      <c r="X172">
        <f t="shared" si="76"/>
        <v>5</v>
      </c>
      <c r="Y172">
        <f t="shared" si="76"/>
        <v>5</v>
      </c>
      <c r="Z172">
        <f t="shared" si="76"/>
        <v>5</v>
      </c>
      <c r="AA172">
        <f t="shared" si="76"/>
        <v>5</v>
      </c>
    </row>
    <row r="173" spans="1:27" x14ac:dyDescent="0.3">
      <c r="A173" s="30" t="s">
        <v>58</v>
      </c>
      <c r="B173" s="25">
        <f>+B172+B171</f>
        <v>141.71</v>
      </c>
      <c r="C173" s="25">
        <f t="shared" ref="C173:AA173" si="77">+C172+C171</f>
        <v>141.71</v>
      </c>
      <c r="D173" s="25">
        <f t="shared" si="77"/>
        <v>141.71</v>
      </c>
      <c r="E173" s="25">
        <f t="shared" si="77"/>
        <v>141.71</v>
      </c>
      <c r="F173" s="25">
        <f t="shared" si="77"/>
        <v>141.71</v>
      </c>
      <c r="G173" s="25">
        <f t="shared" si="77"/>
        <v>141.71</v>
      </c>
      <c r="H173" s="25">
        <f t="shared" si="77"/>
        <v>141.71</v>
      </c>
      <c r="I173" s="25">
        <f t="shared" si="77"/>
        <v>141.71</v>
      </c>
      <c r="J173" s="25">
        <f t="shared" si="77"/>
        <v>141.71</v>
      </c>
      <c r="K173" s="25">
        <f t="shared" si="77"/>
        <v>141.71</v>
      </c>
      <c r="L173" s="25">
        <f t="shared" si="77"/>
        <v>141.71</v>
      </c>
      <c r="M173" s="25">
        <f t="shared" si="77"/>
        <v>141.71</v>
      </c>
      <c r="N173" s="25">
        <f t="shared" si="77"/>
        <v>141.71</v>
      </c>
      <c r="O173" s="25">
        <f t="shared" si="77"/>
        <v>141.71</v>
      </c>
      <c r="P173" s="25">
        <f t="shared" si="77"/>
        <v>141.71</v>
      </c>
      <c r="Q173" s="25">
        <f t="shared" si="77"/>
        <v>141.71</v>
      </c>
      <c r="R173" s="25">
        <f t="shared" si="77"/>
        <v>141.71</v>
      </c>
      <c r="S173" s="25">
        <f t="shared" si="77"/>
        <v>141.71</v>
      </c>
      <c r="T173" s="25">
        <f t="shared" si="77"/>
        <v>141.71</v>
      </c>
      <c r="U173" s="25">
        <f t="shared" si="77"/>
        <v>141.71</v>
      </c>
      <c r="V173" s="25">
        <f t="shared" si="77"/>
        <v>141.71</v>
      </c>
      <c r="W173" s="25">
        <f t="shared" si="77"/>
        <v>141.71</v>
      </c>
      <c r="X173" s="25">
        <f t="shared" si="77"/>
        <v>141.71</v>
      </c>
      <c r="Y173" s="25">
        <f t="shared" si="77"/>
        <v>141.71</v>
      </c>
      <c r="Z173" s="25">
        <f t="shared" si="77"/>
        <v>141.71</v>
      </c>
      <c r="AA173" s="25">
        <f t="shared" si="77"/>
        <v>141.71</v>
      </c>
    </row>
    <row r="174" spans="1:27"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x14ac:dyDescent="0.3">
      <c r="A175" s="17" t="s">
        <v>71</v>
      </c>
      <c r="B175" s="17">
        <f t="shared" ref="B175:AA175" si="78">+B160</f>
        <v>2021</v>
      </c>
      <c r="C175" s="17">
        <f t="shared" si="78"/>
        <v>2022</v>
      </c>
      <c r="D175" s="17">
        <f t="shared" si="78"/>
        <v>2023</v>
      </c>
      <c r="E175" s="17">
        <f t="shared" si="78"/>
        <v>2024</v>
      </c>
      <c r="F175" s="17">
        <f t="shared" si="78"/>
        <v>2025</v>
      </c>
      <c r="G175" s="17">
        <f t="shared" si="78"/>
        <v>2026</v>
      </c>
      <c r="H175" s="17">
        <f t="shared" si="78"/>
        <v>2027</v>
      </c>
      <c r="I175" s="17">
        <f t="shared" si="78"/>
        <v>2028</v>
      </c>
      <c r="J175" s="17">
        <f t="shared" si="78"/>
        <v>2029</v>
      </c>
      <c r="K175" s="17">
        <f t="shared" si="78"/>
        <v>2030</v>
      </c>
      <c r="L175" s="17">
        <f t="shared" si="78"/>
        <v>2031</v>
      </c>
      <c r="M175" s="17">
        <f t="shared" si="78"/>
        <v>2032</v>
      </c>
      <c r="N175" s="17">
        <f t="shared" si="78"/>
        <v>2033</v>
      </c>
      <c r="O175" s="17">
        <f t="shared" si="78"/>
        <v>2034</v>
      </c>
      <c r="P175" s="17">
        <f t="shared" si="78"/>
        <v>2035</v>
      </c>
      <c r="Q175" s="17">
        <f t="shared" si="78"/>
        <v>2036</v>
      </c>
      <c r="R175" s="17">
        <f t="shared" si="78"/>
        <v>2037</v>
      </c>
      <c r="S175" s="17">
        <f t="shared" si="78"/>
        <v>2038</v>
      </c>
      <c r="T175" s="17">
        <f t="shared" si="78"/>
        <v>2039</v>
      </c>
      <c r="U175" s="17">
        <f t="shared" si="78"/>
        <v>2040</v>
      </c>
      <c r="V175" s="17">
        <f t="shared" si="78"/>
        <v>2041</v>
      </c>
      <c r="W175" s="17">
        <f t="shared" si="78"/>
        <v>2042</v>
      </c>
      <c r="X175" s="17">
        <f t="shared" si="78"/>
        <v>2043</v>
      </c>
      <c r="Y175" s="17">
        <f t="shared" si="78"/>
        <v>2044</v>
      </c>
      <c r="Z175" s="17">
        <f t="shared" si="78"/>
        <v>2045</v>
      </c>
      <c r="AA175" s="17">
        <f t="shared" si="78"/>
        <v>2046</v>
      </c>
    </row>
    <row r="176" spans="1:27" s="1" customFormat="1" ht="15" thickBot="1" x14ac:dyDescent="0.35">
      <c r="A176" s="38" t="s">
        <v>55</v>
      </c>
      <c r="B176" s="39">
        <f t="shared" ref="B176:AA176" si="79">+B173+B161</f>
        <v>283.42</v>
      </c>
      <c r="C176" s="39">
        <f t="shared" si="79"/>
        <v>283.42</v>
      </c>
      <c r="D176" s="39">
        <f t="shared" si="79"/>
        <v>283.42</v>
      </c>
      <c r="E176" s="39">
        <f t="shared" si="79"/>
        <v>283.42</v>
      </c>
      <c r="F176" s="39">
        <f t="shared" si="79"/>
        <v>283.42</v>
      </c>
      <c r="G176" s="39">
        <f t="shared" si="79"/>
        <v>283.42</v>
      </c>
      <c r="H176" s="39">
        <f t="shared" si="79"/>
        <v>283.42</v>
      </c>
      <c r="I176" s="39">
        <f t="shared" si="79"/>
        <v>283.42</v>
      </c>
      <c r="J176" s="39">
        <f t="shared" si="79"/>
        <v>283.42</v>
      </c>
      <c r="K176" s="39">
        <f t="shared" si="79"/>
        <v>283.42</v>
      </c>
      <c r="L176" s="39">
        <f t="shared" si="79"/>
        <v>283.42</v>
      </c>
      <c r="M176" s="39">
        <f t="shared" si="79"/>
        <v>283.42</v>
      </c>
      <c r="N176" s="39">
        <f t="shared" si="79"/>
        <v>283.42</v>
      </c>
      <c r="O176" s="39">
        <f t="shared" si="79"/>
        <v>283.42</v>
      </c>
      <c r="P176" s="39">
        <f t="shared" si="79"/>
        <v>283.42</v>
      </c>
      <c r="Q176" s="39">
        <f t="shared" si="79"/>
        <v>283.42</v>
      </c>
      <c r="R176" s="39">
        <f t="shared" si="79"/>
        <v>283.42</v>
      </c>
      <c r="S176" s="39">
        <f t="shared" si="79"/>
        <v>283.42</v>
      </c>
      <c r="T176" s="39">
        <f t="shared" si="79"/>
        <v>283.42</v>
      </c>
      <c r="U176" s="39">
        <f t="shared" si="79"/>
        <v>283.42</v>
      </c>
      <c r="V176" s="39">
        <f t="shared" si="79"/>
        <v>283.42</v>
      </c>
      <c r="W176" s="39">
        <f t="shared" si="79"/>
        <v>283.42</v>
      </c>
      <c r="X176" s="39">
        <f t="shared" si="79"/>
        <v>283.42</v>
      </c>
      <c r="Y176" s="39">
        <f t="shared" si="79"/>
        <v>283.42</v>
      </c>
      <c r="Z176" s="39">
        <f t="shared" si="79"/>
        <v>283.42</v>
      </c>
      <c r="AA176" s="39">
        <f t="shared" si="79"/>
        <v>283.42</v>
      </c>
    </row>
    <row r="178" spans="1:27" ht="18" x14ac:dyDescent="0.35">
      <c r="A178" s="109" t="s">
        <v>200</v>
      </c>
    </row>
    <row r="179" spans="1:27" x14ac:dyDescent="0.3">
      <c r="A179" s="45" t="s">
        <v>201</v>
      </c>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row>
    <row r="180" spans="1:27" x14ac:dyDescent="0.3">
      <c r="C180" s="46" t="s">
        <v>181</v>
      </c>
    </row>
    <row r="181" spans="1:27" x14ac:dyDescent="0.3">
      <c r="A181" t="s">
        <v>40</v>
      </c>
      <c r="B181" s="156">
        <f>'Inputs &amp; Summary'!E95</f>
        <v>38</v>
      </c>
      <c r="C181" s="1" t="s">
        <v>184</v>
      </c>
    </row>
    <row r="182" spans="1:27" x14ac:dyDescent="0.3">
      <c r="A182" t="s">
        <v>56</v>
      </c>
      <c r="B182" s="6">
        <f>'Inputs &amp; Summary'!E96</f>
        <v>135</v>
      </c>
      <c r="C182" s="1" t="s">
        <v>184</v>
      </c>
    </row>
    <row r="183" spans="1:27" x14ac:dyDescent="0.3">
      <c r="A183" t="s">
        <v>38</v>
      </c>
      <c r="B183" s="158">
        <f>'Inputs &amp; Summary'!O160</f>
        <v>2.5000000000000001E-2</v>
      </c>
      <c r="C183" s="1" t="s">
        <v>183</v>
      </c>
      <c r="F183" s="82" t="s">
        <v>442</v>
      </c>
      <c r="G183" s="83"/>
      <c r="H183" s="83"/>
      <c r="I183" s="83"/>
      <c r="J183" s="83"/>
      <c r="K183" s="83"/>
      <c r="L183" s="83"/>
      <c r="M183" s="83"/>
      <c r="N183" s="83"/>
      <c r="O183" s="83"/>
      <c r="P183" s="83"/>
      <c r="Q183" s="83"/>
      <c r="R183" s="83"/>
      <c r="S183" s="83"/>
      <c r="T183" s="83"/>
      <c r="U183" s="84"/>
    </row>
    <row r="184" spans="1:27" x14ac:dyDescent="0.3">
      <c r="A184" t="s">
        <v>39</v>
      </c>
      <c r="B184" s="160">
        <f>'Inputs &amp; Summary'!O161</f>
        <v>1.2E-2</v>
      </c>
      <c r="C184" s="1" t="s">
        <v>183</v>
      </c>
      <c r="F184" s="85" t="s">
        <v>198</v>
      </c>
      <c r="G184" s="72"/>
      <c r="H184" s="72"/>
      <c r="I184" s="72"/>
      <c r="J184" s="72"/>
      <c r="K184" s="72"/>
      <c r="L184" s="72"/>
      <c r="M184" s="72"/>
      <c r="N184" s="72"/>
      <c r="O184" s="72"/>
      <c r="P184" s="72"/>
      <c r="Q184" s="72"/>
      <c r="R184" s="72"/>
      <c r="S184" s="72"/>
      <c r="T184" s="72"/>
      <c r="U184" s="86"/>
    </row>
    <row r="185" spans="1:27" x14ac:dyDescent="0.3">
      <c r="A185" s="3" t="s">
        <v>3</v>
      </c>
      <c r="B185">
        <v>0</v>
      </c>
      <c r="C185">
        <f>+B185+1</f>
        <v>1</v>
      </c>
      <c r="D185">
        <f t="shared" ref="D185:S186" si="80">+C185+1</f>
        <v>2</v>
      </c>
      <c r="E185">
        <f t="shared" si="80"/>
        <v>3</v>
      </c>
      <c r="F185">
        <f t="shared" si="80"/>
        <v>4</v>
      </c>
      <c r="G185">
        <f t="shared" si="80"/>
        <v>5</v>
      </c>
      <c r="H185">
        <f t="shared" si="80"/>
        <v>6</v>
      </c>
      <c r="I185">
        <f t="shared" si="80"/>
        <v>7</v>
      </c>
      <c r="J185">
        <f t="shared" si="80"/>
        <v>8</v>
      </c>
      <c r="K185">
        <f t="shared" si="80"/>
        <v>9</v>
      </c>
      <c r="L185">
        <f t="shared" si="80"/>
        <v>10</v>
      </c>
      <c r="M185">
        <f t="shared" si="80"/>
        <v>11</v>
      </c>
      <c r="N185">
        <f t="shared" si="80"/>
        <v>12</v>
      </c>
      <c r="O185">
        <f t="shared" si="80"/>
        <v>13</v>
      </c>
      <c r="P185">
        <f t="shared" si="80"/>
        <v>14</v>
      </c>
      <c r="Q185">
        <f t="shared" si="80"/>
        <v>15</v>
      </c>
      <c r="R185">
        <f t="shared" si="80"/>
        <v>16</v>
      </c>
      <c r="S185">
        <f t="shared" si="80"/>
        <v>17</v>
      </c>
      <c r="T185">
        <f t="shared" ref="T185:AA186" si="81">+S185+1</f>
        <v>18</v>
      </c>
      <c r="U185">
        <f t="shared" si="81"/>
        <v>19</v>
      </c>
      <c r="V185">
        <f t="shared" si="81"/>
        <v>20</v>
      </c>
      <c r="W185">
        <f t="shared" si="81"/>
        <v>21</v>
      </c>
      <c r="X185">
        <f t="shared" si="81"/>
        <v>22</v>
      </c>
      <c r="Y185">
        <f t="shared" si="81"/>
        <v>23</v>
      </c>
      <c r="Z185">
        <f t="shared" si="81"/>
        <v>24</v>
      </c>
      <c r="AA185">
        <f t="shared" si="81"/>
        <v>25</v>
      </c>
    </row>
    <row r="186" spans="1:27" x14ac:dyDescent="0.3">
      <c r="A186" s="18" t="s">
        <v>400</v>
      </c>
      <c r="B186" s="19">
        <v>2021</v>
      </c>
      <c r="C186" s="19">
        <f>+B186+1</f>
        <v>2022</v>
      </c>
      <c r="D186" s="19">
        <f t="shared" si="80"/>
        <v>2023</v>
      </c>
      <c r="E186" s="19">
        <f t="shared" si="80"/>
        <v>2024</v>
      </c>
      <c r="F186" s="19">
        <f t="shared" si="80"/>
        <v>2025</v>
      </c>
      <c r="G186" s="19">
        <f t="shared" si="80"/>
        <v>2026</v>
      </c>
      <c r="H186" s="19">
        <f t="shared" si="80"/>
        <v>2027</v>
      </c>
      <c r="I186" s="19">
        <f t="shared" si="80"/>
        <v>2028</v>
      </c>
      <c r="J186" s="19">
        <f t="shared" si="80"/>
        <v>2029</v>
      </c>
      <c r="K186" s="19">
        <f t="shared" si="80"/>
        <v>2030</v>
      </c>
      <c r="L186" s="19">
        <f t="shared" si="80"/>
        <v>2031</v>
      </c>
      <c r="M186" s="19">
        <f t="shared" si="80"/>
        <v>2032</v>
      </c>
      <c r="N186" s="19">
        <f t="shared" si="80"/>
        <v>2033</v>
      </c>
      <c r="O186" s="19">
        <f t="shared" si="80"/>
        <v>2034</v>
      </c>
      <c r="P186" s="19">
        <f t="shared" si="80"/>
        <v>2035</v>
      </c>
      <c r="Q186" s="19">
        <f t="shared" si="80"/>
        <v>2036</v>
      </c>
      <c r="R186" s="19">
        <f t="shared" si="80"/>
        <v>2037</v>
      </c>
      <c r="S186" s="19">
        <f t="shared" si="80"/>
        <v>2038</v>
      </c>
      <c r="T186" s="19">
        <f t="shared" si="81"/>
        <v>2039</v>
      </c>
      <c r="U186" s="19">
        <f t="shared" si="81"/>
        <v>2040</v>
      </c>
      <c r="V186" s="19">
        <f t="shared" si="81"/>
        <v>2041</v>
      </c>
      <c r="W186" s="19">
        <f t="shared" si="81"/>
        <v>2042</v>
      </c>
      <c r="X186" s="19">
        <f t="shared" si="81"/>
        <v>2043</v>
      </c>
      <c r="Y186" s="19">
        <f t="shared" si="81"/>
        <v>2044</v>
      </c>
      <c r="Z186" s="19">
        <f t="shared" si="81"/>
        <v>2045</v>
      </c>
      <c r="AA186" s="19">
        <f t="shared" si="81"/>
        <v>2046</v>
      </c>
    </row>
    <row r="187" spans="1:27" s="6" customFormat="1" x14ac:dyDescent="0.3">
      <c r="A187" s="30" t="s">
        <v>57</v>
      </c>
      <c r="B187" s="24">
        <f>+(B181*B182*B183)</f>
        <v>128.25</v>
      </c>
      <c r="C187" s="24">
        <f>+$B$187*(1+$B$184)^C185</f>
        <v>129.78899999999999</v>
      </c>
      <c r="D187" s="24">
        <f t="shared" ref="D187:AA187" si="82">+$B$187*(1+$B$184)^D185</f>
        <v>131.34646799999999</v>
      </c>
      <c r="E187" s="24">
        <f t="shared" si="82"/>
        <v>132.922625616</v>
      </c>
      <c r="F187" s="24">
        <f t="shared" si="82"/>
        <v>134.517697123392</v>
      </c>
      <c r="G187" s="24">
        <f t="shared" si="82"/>
        <v>136.13190948887271</v>
      </c>
      <c r="H187" s="24">
        <f t="shared" si="82"/>
        <v>137.76549240273914</v>
      </c>
      <c r="I187" s="24">
        <f t="shared" si="82"/>
        <v>139.41867831157205</v>
      </c>
      <c r="J187" s="24">
        <f t="shared" si="82"/>
        <v>141.09170245131091</v>
      </c>
      <c r="K187" s="24">
        <f t="shared" si="82"/>
        <v>142.78480288072663</v>
      </c>
      <c r="L187" s="24">
        <f t="shared" si="82"/>
        <v>144.49822051529534</v>
      </c>
      <c r="M187" s="24">
        <f t="shared" si="82"/>
        <v>146.23219916147889</v>
      </c>
      <c r="N187" s="24">
        <f t="shared" si="82"/>
        <v>147.98698555141664</v>
      </c>
      <c r="O187" s="24">
        <f t="shared" si="82"/>
        <v>149.76282937803362</v>
      </c>
      <c r="P187" s="24">
        <f t="shared" si="82"/>
        <v>151.55998333057002</v>
      </c>
      <c r="Q187" s="24">
        <f t="shared" si="82"/>
        <v>153.37870313053691</v>
      </c>
      <c r="R187" s="24">
        <f t="shared" si="82"/>
        <v>155.21924756810333</v>
      </c>
      <c r="S187" s="24">
        <f t="shared" si="82"/>
        <v>157.08187853892059</v>
      </c>
      <c r="T187" s="24">
        <f t="shared" si="82"/>
        <v>158.96686108138761</v>
      </c>
      <c r="U187" s="24">
        <f t="shared" si="82"/>
        <v>160.87446341436427</v>
      </c>
      <c r="V187" s="24">
        <f t="shared" si="82"/>
        <v>162.80495697533664</v>
      </c>
      <c r="W187" s="24">
        <f t="shared" si="82"/>
        <v>164.7586164590407</v>
      </c>
      <c r="X187" s="24">
        <f t="shared" si="82"/>
        <v>166.73571985654914</v>
      </c>
      <c r="Y187" s="24">
        <f t="shared" si="82"/>
        <v>168.73654849482779</v>
      </c>
      <c r="Z187" s="24">
        <f t="shared" si="82"/>
        <v>170.76138707676569</v>
      </c>
      <c r="AA187" s="24">
        <f t="shared" si="82"/>
        <v>172.81052372168685</v>
      </c>
    </row>
    <row r="188" spans="1:27" s="6" customFormat="1" x14ac:dyDescent="0.3">
      <c r="A188" s="30"/>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s="6" customFormat="1" x14ac:dyDescent="0.3">
      <c r="A189" s="30"/>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s="6" customFormat="1" x14ac:dyDescent="0.3">
      <c r="A190" s="30"/>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1:27" s="6" customFormat="1" x14ac:dyDescent="0.3">
      <c r="A191" s="30"/>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1:27" s="6" customFormat="1" x14ac:dyDescent="0.3">
      <c r="A192" s="30"/>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s="6" customFormat="1" x14ac:dyDescent="0.3">
      <c r="A193" s="30"/>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1:27" s="6" customFormat="1" x14ac:dyDescent="0.3">
      <c r="A194" s="30"/>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1:27" s="6" customFormat="1" x14ac:dyDescent="0.3">
      <c r="A195" s="30"/>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1:27" x14ac:dyDescent="0.3">
      <c r="A196" s="17" t="s">
        <v>72</v>
      </c>
      <c r="B196" s="17">
        <f t="shared" ref="B196:AA196" si="83">+B175</f>
        <v>2021</v>
      </c>
      <c r="C196" s="17">
        <f t="shared" si="83"/>
        <v>2022</v>
      </c>
      <c r="D196" s="17">
        <f t="shared" si="83"/>
        <v>2023</v>
      </c>
      <c r="E196" s="17">
        <f t="shared" si="83"/>
        <v>2024</v>
      </c>
      <c r="F196" s="17">
        <f t="shared" si="83"/>
        <v>2025</v>
      </c>
      <c r="G196" s="17">
        <f t="shared" si="83"/>
        <v>2026</v>
      </c>
      <c r="H196" s="17">
        <f t="shared" si="83"/>
        <v>2027</v>
      </c>
      <c r="I196" s="17">
        <f t="shared" si="83"/>
        <v>2028</v>
      </c>
      <c r="J196" s="17">
        <f t="shared" si="83"/>
        <v>2029</v>
      </c>
      <c r="K196" s="17">
        <f t="shared" si="83"/>
        <v>2030</v>
      </c>
      <c r="L196" s="17">
        <f t="shared" si="83"/>
        <v>2031</v>
      </c>
      <c r="M196" s="17">
        <f t="shared" si="83"/>
        <v>2032</v>
      </c>
      <c r="N196" s="17">
        <f t="shared" si="83"/>
        <v>2033</v>
      </c>
      <c r="O196" s="17">
        <f t="shared" si="83"/>
        <v>2034</v>
      </c>
      <c r="P196" s="17">
        <f t="shared" si="83"/>
        <v>2035</v>
      </c>
      <c r="Q196" s="17">
        <f t="shared" si="83"/>
        <v>2036</v>
      </c>
      <c r="R196" s="17">
        <f t="shared" si="83"/>
        <v>2037</v>
      </c>
      <c r="S196" s="17">
        <f t="shared" si="83"/>
        <v>2038</v>
      </c>
      <c r="T196" s="17">
        <f t="shared" si="83"/>
        <v>2039</v>
      </c>
      <c r="U196" s="17">
        <f t="shared" si="83"/>
        <v>2040</v>
      </c>
      <c r="V196" s="17">
        <f t="shared" si="83"/>
        <v>2041</v>
      </c>
      <c r="W196" s="17">
        <f t="shared" si="83"/>
        <v>2042</v>
      </c>
      <c r="X196" s="17">
        <f t="shared" si="83"/>
        <v>2043</v>
      </c>
      <c r="Y196" s="17">
        <f t="shared" si="83"/>
        <v>2044</v>
      </c>
      <c r="Z196" s="17">
        <f t="shared" si="83"/>
        <v>2045</v>
      </c>
      <c r="AA196" s="17">
        <f t="shared" si="83"/>
        <v>2046</v>
      </c>
    </row>
    <row r="197" spans="1:27" s="1" customFormat="1" ht="15" thickBot="1" x14ac:dyDescent="0.35">
      <c r="A197" s="38" t="s">
        <v>55</v>
      </c>
      <c r="B197" s="39">
        <f>+B187</f>
        <v>128.25</v>
      </c>
      <c r="C197" s="39">
        <f t="shared" ref="C197:AA197" si="84">+C187</f>
        <v>129.78899999999999</v>
      </c>
      <c r="D197" s="39">
        <f t="shared" si="84"/>
        <v>131.34646799999999</v>
      </c>
      <c r="E197" s="39">
        <f t="shared" si="84"/>
        <v>132.922625616</v>
      </c>
      <c r="F197" s="39">
        <f t="shared" si="84"/>
        <v>134.517697123392</v>
      </c>
      <c r="G197" s="39">
        <f t="shared" si="84"/>
        <v>136.13190948887271</v>
      </c>
      <c r="H197" s="39">
        <f t="shared" si="84"/>
        <v>137.76549240273914</v>
      </c>
      <c r="I197" s="39">
        <f t="shared" si="84"/>
        <v>139.41867831157205</v>
      </c>
      <c r="J197" s="39">
        <f t="shared" si="84"/>
        <v>141.09170245131091</v>
      </c>
      <c r="K197" s="39">
        <f t="shared" si="84"/>
        <v>142.78480288072663</v>
      </c>
      <c r="L197" s="39">
        <f t="shared" si="84"/>
        <v>144.49822051529534</v>
      </c>
      <c r="M197" s="39">
        <f t="shared" si="84"/>
        <v>146.23219916147889</v>
      </c>
      <c r="N197" s="39">
        <f t="shared" si="84"/>
        <v>147.98698555141664</v>
      </c>
      <c r="O197" s="39">
        <f t="shared" si="84"/>
        <v>149.76282937803362</v>
      </c>
      <c r="P197" s="39">
        <f t="shared" si="84"/>
        <v>151.55998333057002</v>
      </c>
      <c r="Q197" s="39">
        <f t="shared" si="84"/>
        <v>153.37870313053691</v>
      </c>
      <c r="R197" s="39">
        <f t="shared" si="84"/>
        <v>155.21924756810333</v>
      </c>
      <c r="S197" s="39">
        <f t="shared" si="84"/>
        <v>157.08187853892059</v>
      </c>
      <c r="T197" s="39">
        <f t="shared" si="84"/>
        <v>158.96686108138761</v>
      </c>
      <c r="U197" s="39">
        <f t="shared" si="84"/>
        <v>160.87446341436427</v>
      </c>
      <c r="V197" s="39">
        <f t="shared" si="84"/>
        <v>162.80495697533664</v>
      </c>
      <c r="W197" s="39">
        <f t="shared" si="84"/>
        <v>164.7586164590407</v>
      </c>
      <c r="X197" s="39">
        <f t="shared" si="84"/>
        <v>166.73571985654914</v>
      </c>
      <c r="Y197" s="39">
        <f t="shared" si="84"/>
        <v>168.73654849482779</v>
      </c>
      <c r="Z197" s="39">
        <f t="shared" si="84"/>
        <v>170.76138707676569</v>
      </c>
      <c r="AA197" s="39">
        <f t="shared" si="84"/>
        <v>172.81052372168685</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939A-2934-40B9-A960-37009177CB3C}">
  <sheetPr>
    <tabColor rgb="FF92D050"/>
  </sheetPr>
  <dimension ref="A1:AA94"/>
  <sheetViews>
    <sheetView showGridLines="0" topLeftCell="A69" zoomScale="80" zoomScaleNormal="80" workbookViewId="0">
      <selection activeCell="G87" sqref="G87"/>
    </sheetView>
  </sheetViews>
  <sheetFormatPr defaultColWidth="8.77734375" defaultRowHeight="14.4" x14ac:dyDescent="0.3"/>
  <cols>
    <col min="1" max="1" width="44.44140625" customWidth="1"/>
    <col min="2" max="7" width="9.44140625" bestFit="1" customWidth="1"/>
    <col min="8" max="27" width="9.33203125" bestFit="1" customWidth="1"/>
  </cols>
  <sheetData>
    <row r="1" spans="1:27" ht="21" x14ac:dyDescent="0.4">
      <c r="A1" s="2" t="str">
        <f>'Inputs &amp; Summary'!B62</f>
        <v>Mornington: Redevelop existing site</v>
      </c>
      <c r="G1" s="82" t="s">
        <v>156</v>
      </c>
      <c r="H1" s="83"/>
      <c r="I1" s="83"/>
      <c r="J1" s="83"/>
      <c r="K1" s="83"/>
      <c r="L1" s="83"/>
      <c r="M1" s="83"/>
      <c r="N1" s="83"/>
      <c r="O1" s="83"/>
      <c r="P1" s="83"/>
      <c r="Q1" s="83"/>
      <c r="R1" s="83"/>
      <c r="S1" s="83"/>
      <c r="T1" s="83"/>
      <c r="U1" s="83"/>
      <c r="V1" s="83"/>
      <c r="W1" s="83"/>
      <c r="X1" s="84"/>
    </row>
    <row r="2" spans="1:27" x14ac:dyDescent="0.3">
      <c r="A2" s="10" t="str">
        <f>+'Inputs &amp; Summary'!B5</f>
        <v>All values shown are costs, expressed in $000 as at June 2021 unless otherwise stated.</v>
      </c>
      <c r="G2" s="85" t="s">
        <v>155</v>
      </c>
      <c r="H2" s="72"/>
      <c r="I2" s="72"/>
      <c r="J2" s="72"/>
      <c r="K2" s="72"/>
      <c r="L2" s="72"/>
      <c r="M2" s="72"/>
      <c r="N2" s="72"/>
      <c r="O2" s="72"/>
      <c r="P2" s="72"/>
      <c r="Q2" s="72"/>
      <c r="R2" s="72"/>
      <c r="S2" s="72"/>
      <c r="T2" s="72"/>
      <c r="U2" s="72"/>
      <c r="V2" s="72"/>
      <c r="W2" s="72"/>
      <c r="X2" s="86"/>
    </row>
    <row r="3" spans="1:27" x14ac:dyDescent="0.3">
      <c r="A3" s="53" t="s">
        <v>16</v>
      </c>
    </row>
    <row r="5" spans="1:27" s="193" customFormat="1" x14ac:dyDescent="0.3">
      <c r="A5" s="193" t="s">
        <v>287</v>
      </c>
      <c r="B5" s="173">
        <f>'Inputs &amp; Summary'!P62</f>
        <v>2026</v>
      </c>
    </row>
    <row r="6" spans="1:27" s="193" customFormat="1" x14ac:dyDescent="0.3"/>
    <row r="7" spans="1:27" ht="18" x14ac:dyDescent="0.35">
      <c r="A7" s="94" t="s">
        <v>117</v>
      </c>
      <c r="B7" s="95"/>
      <c r="C7" s="95"/>
      <c r="D7" s="95"/>
      <c r="E7" s="95"/>
      <c r="F7" s="95"/>
      <c r="G7" s="95"/>
      <c r="H7" s="95"/>
      <c r="I7" s="95"/>
      <c r="J7" s="95"/>
      <c r="K7" s="95"/>
      <c r="L7" s="95"/>
      <c r="M7" s="95"/>
      <c r="N7" s="95"/>
      <c r="O7" s="95"/>
      <c r="P7" s="95"/>
      <c r="Q7" s="95"/>
      <c r="R7" s="95"/>
      <c r="S7" s="95"/>
      <c r="T7" s="95"/>
      <c r="U7" s="95"/>
      <c r="V7" s="95"/>
      <c r="W7" s="95"/>
      <c r="X7" s="95"/>
      <c r="Y7" s="95"/>
      <c r="Z7" s="95"/>
      <c r="AA7" s="95"/>
    </row>
    <row r="8" spans="1:27" x14ac:dyDescent="0.3">
      <c r="A8" s="37" t="s">
        <v>3</v>
      </c>
      <c r="B8" s="6">
        <v>0</v>
      </c>
      <c r="C8" s="6">
        <f>+B8+1</f>
        <v>1</v>
      </c>
      <c r="D8" s="6">
        <f t="shared" ref="D8:S9" si="0">+C8+1</f>
        <v>2</v>
      </c>
      <c r="E8" s="6">
        <f t="shared" si="0"/>
        <v>3</v>
      </c>
      <c r="F8" s="6">
        <f t="shared" si="0"/>
        <v>4</v>
      </c>
      <c r="G8" s="6">
        <f t="shared" si="0"/>
        <v>5</v>
      </c>
      <c r="H8" s="6">
        <f t="shared" si="0"/>
        <v>6</v>
      </c>
      <c r="I8" s="6">
        <f t="shared" si="0"/>
        <v>7</v>
      </c>
      <c r="J8" s="6">
        <f t="shared" si="0"/>
        <v>8</v>
      </c>
      <c r="K8" s="6">
        <f t="shared" si="0"/>
        <v>9</v>
      </c>
      <c r="L8" s="6">
        <f t="shared" si="0"/>
        <v>10</v>
      </c>
      <c r="M8" s="6">
        <f t="shared" si="0"/>
        <v>11</v>
      </c>
      <c r="N8" s="6">
        <f t="shared" si="0"/>
        <v>12</v>
      </c>
      <c r="O8" s="6">
        <f t="shared" si="0"/>
        <v>13</v>
      </c>
      <c r="P8" s="6">
        <f t="shared" si="0"/>
        <v>14</v>
      </c>
      <c r="Q8" s="6">
        <f t="shared" si="0"/>
        <v>15</v>
      </c>
      <c r="R8" s="6">
        <f t="shared" si="0"/>
        <v>16</v>
      </c>
      <c r="S8" s="6">
        <f t="shared" si="0"/>
        <v>17</v>
      </c>
      <c r="T8" s="6">
        <f t="shared" ref="T8:AA9" si="1">+S8+1</f>
        <v>18</v>
      </c>
      <c r="U8" s="6">
        <f t="shared" si="1"/>
        <v>19</v>
      </c>
      <c r="V8" s="6">
        <f t="shared" si="1"/>
        <v>20</v>
      </c>
      <c r="W8" s="6">
        <f t="shared" si="1"/>
        <v>21</v>
      </c>
      <c r="X8" s="6">
        <f t="shared" si="1"/>
        <v>22</v>
      </c>
      <c r="Y8" s="6">
        <f t="shared" si="1"/>
        <v>23</v>
      </c>
      <c r="Z8" s="6">
        <f t="shared" si="1"/>
        <v>24</v>
      </c>
      <c r="AA8" s="6">
        <f t="shared" si="1"/>
        <v>25</v>
      </c>
    </row>
    <row r="9" spans="1:27" x14ac:dyDescent="0.3">
      <c r="A9" s="18" t="s">
        <v>400</v>
      </c>
      <c r="B9" s="19">
        <v>2021</v>
      </c>
      <c r="C9" s="19">
        <f>+B9+1</f>
        <v>2022</v>
      </c>
      <c r="D9" s="19">
        <f t="shared" si="0"/>
        <v>2023</v>
      </c>
      <c r="E9" s="19">
        <f t="shared" si="0"/>
        <v>2024</v>
      </c>
      <c r="F9" s="19">
        <f t="shared" si="0"/>
        <v>2025</v>
      </c>
      <c r="G9" s="19">
        <f t="shared" si="0"/>
        <v>2026</v>
      </c>
      <c r="H9" s="19">
        <f t="shared" si="0"/>
        <v>2027</v>
      </c>
      <c r="I9" s="19">
        <f t="shared" si="0"/>
        <v>2028</v>
      </c>
      <c r="J9" s="19">
        <f t="shared" si="0"/>
        <v>2029</v>
      </c>
      <c r="K9" s="19">
        <f t="shared" si="0"/>
        <v>2030</v>
      </c>
      <c r="L9" s="19">
        <f t="shared" si="0"/>
        <v>2031</v>
      </c>
      <c r="M9" s="19">
        <f t="shared" si="0"/>
        <v>2032</v>
      </c>
      <c r="N9" s="19">
        <f t="shared" si="0"/>
        <v>2033</v>
      </c>
      <c r="O9" s="19">
        <f t="shared" si="0"/>
        <v>2034</v>
      </c>
      <c r="P9" s="19">
        <f t="shared" si="0"/>
        <v>2035</v>
      </c>
      <c r="Q9" s="19">
        <f t="shared" si="0"/>
        <v>2036</v>
      </c>
      <c r="R9" s="19">
        <f t="shared" si="0"/>
        <v>2037</v>
      </c>
      <c r="S9" s="19">
        <f t="shared" si="0"/>
        <v>2038</v>
      </c>
      <c r="T9" s="19">
        <f t="shared" si="1"/>
        <v>2039</v>
      </c>
      <c r="U9" s="19">
        <f t="shared" si="1"/>
        <v>2040</v>
      </c>
      <c r="V9" s="19">
        <f t="shared" si="1"/>
        <v>2041</v>
      </c>
      <c r="W9" s="19">
        <f t="shared" si="1"/>
        <v>2042</v>
      </c>
      <c r="X9" s="19">
        <f t="shared" si="1"/>
        <v>2043</v>
      </c>
      <c r="Y9" s="19">
        <f t="shared" si="1"/>
        <v>2044</v>
      </c>
      <c r="Z9" s="19">
        <f t="shared" si="1"/>
        <v>2045</v>
      </c>
      <c r="AA9" s="19">
        <f t="shared" si="1"/>
        <v>2046</v>
      </c>
    </row>
    <row r="10" spans="1:27" x14ac:dyDescent="0.3">
      <c r="A10" s="10" t="s">
        <v>122</v>
      </c>
      <c r="B10" s="156">
        <f>'Inputs &amp; Summary'!E62*'Inputs &amp; Summary'!$O$103</f>
        <v>0</v>
      </c>
      <c r="C10" s="6">
        <f>'Inputs &amp; Summary'!F62*'Inputs &amp; Summary'!$O$103</f>
        <v>0</v>
      </c>
      <c r="D10" s="6">
        <f>'Inputs &amp; Summary'!G62*'Inputs &amp; Summary'!$O$103</f>
        <v>0</v>
      </c>
      <c r="E10" s="6">
        <f>'Inputs &amp; Summary'!H62*'Inputs &amp; Summary'!$O$103</f>
        <v>0</v>
      </c>
      <c r="F10" s="197">
        <f>'Inputs &amp; Summary'!I62*'Inputs &amp; Summary'!$O$103</f>
        <v>4880</v>
      </c>
      <c r="G10" s="197">
        <f>'Inputs &amp; Summary'!J62*'Inputs &amp; Summary'!$O$103</f>
        <v>7320</v>
      </c>
      <c r="H10" s="6">
        <f>'Inputs &amp; Summary'!K62*'Inputs &amp; Summary'!$O$103</f>
        <v>0</v>
      </c>
      <c r="I10" s="6">
        <f>'Inputs &amp; Summary'!L62*'Inputs &amp; Summary'!$O$103</f>
        <v>0</v>
      </c>
      <c r="J10" s="6">
        <f>'Inputs &amp; Summary'!M62*'Inputs &amp; Summary'!$O$103</f>
        <v>0</v>
      </c>
      <c r="K10" s="6">
        <f>'Inputs &amp; Summary'!N62*'Inputs &amp; Summary'!$O$103</f>
        <v>0</v>
      </c>
      <c r="L10" s="6">
        <f>'Inputs &amp; Summary'!O62*'Inputs &amp; Summary'!$O$103</f>
        <v>0</v>
      </c>
      <c r="M10" s="41"/>
      <c r="N10" s="41"/>
      <c r="O10" s="41"/>
      <c r="P10" s="41"/>
      <c r="Q10" s="41"/>
      <c r="R10" s="41"/>
      <c r="S10" s="41"/>
      <c r="T10" s="41"/>
      <c r="U10" s="41"/>
      <c r="V10" s="41"/>
      <c r="W10" s="41"/>
      <c r="X10" s="41"/>
      <c r="Y10" s="41"/>
      <c r="Z10" s="41"/>
      <c r="AA10" s="41"/>
    </row>
    <row r="11" spans="1:27" x14ac:dyDescent="0.3">
      <c r="A11" t="s">
        <v>123</v>
      </c>
      <c r="B11" s="156">
        <f>(B$9&lt;=$B$5)*('M. Opt0'!B14-SUM('M. Opt0'!B96))</f>
        <v>1579.1978491640689</v>
      </c>
      <c r="C11" s="156">
        <f>(C$9&lt;=$B$5)*('M. Opt0'!C14-SUM('M. Opt0'!C96))</f>
        <v>1593.1731290747064</v>
      </c>
      <c r="D11" s="156">
        <f>(D$9&lt;=$B$5)*('M. Opt0'!D14-SUM('M. Opt0'!D96))</f>
        <v>1607.337287120343</v>
      </c>
      <c r="E11" s="156">
        <f>(E$9&lt;=$B$5)*('M. Opt0'!E14-SUM('M. Opt0'!E96))</f>
        <v>1621.6931633710913</v>
      </c>
      <c r="F11" s="156">
        <f>(F$9&lt;=$B$5)*('M. Opt0'!F14-SUM('M. Opt0'!F96))</f>
        <v>1636.2436468108424</v>
      </c>
      <c r="G11" s="156">
        <f>(G$9&lt;=$B$5)*('M. Opt0'!G14-SUM('M. Opt0'!G96))</f>
        <v>1650.9916763005981</v>
      </c>
      <c r="H11" s="156">
        <f>(H$9&lt;=$B$5)*('M. Opt0'!H14-SUM('M. Opt0'!H96))</f>
        <v>0</v>
      </c>
      <c r="I11" s="156">
        <f>(I$9&lt;=$B$5)*('M. Opt0'!I14-SUM('M. Opt0'!I96))</f>
        <v>0</v>
      </c>
      <c r="J11" s="156">
        <f>(J$9&lt;=$B$5)*('M. Opt0'!J14-SUM('M. Opt0'!J96))</f>
        <v>0</v>
      </c>
      <c r="K11" s="156">
        <f>(K$9&lt;=$B$5)*('M. Opt0'!K14-SUM('M. Opt0'!K96))</f>
        <v>0</v>
      </c>
      <c r="L11" s="156">
        <f>(L$9&lt;=$B$5)*('M. Opt0'!L14-SUM('M. Opt0'!L96))</f>
        <v>0</v>
      </c>
      <c r="M11" s="156">
        <f>(M$9&lt;=$B$5)*('M. Opt0'!M14-SUM('M. Opt0'!M96))</f>
        <v>0</v>
      </c>
      <c r="N11" s="156">
        <f>(N$9&lt;=$B$5)*('M. Opt0'!N14-SUM('M. Opt0'!N96))</f>
        <v>0</v>
      </c>
      <c r="O11" s="156">
        <f>(O$9&lt;=$B$5)*('M. Opt0'!O14-SUM('M. Opt0'!O96))</f>
        <v>0</v>
      </c>
      <c r="P11" s="156">
        <f>(P$9&lt;=$B$5)*('M. Opt0'!P14-SUM('M. Opt0'!P96))</f>
        <v>0</v>
      </c>
      <c r="Q11" s="156">
        <f>(Q$9&lt;=$B$5)*('M. Opt0'!Q14-SUM('M. Opt0'!Q96))</f>
        <v>0</v>
      </c>
      <c r="R11" s="156">
        <f>(R$9&lt;=$B$5)*('M. Opt0'!R14-SUM('M. Opt0'!R96))</f>
        <v>0</v>
      </c>
      <c r="S11" s="156">
        <f>(S$9&lt;=$B$5)*('M. Opt0'!S14-SUM('M. Opt0'!S96))</f>
        <v>0</v>
      </c>
      <c r="T11" s="156">
        <f>(T$9&lt;=$B$5)*('M. Opt0'!T14-SUM('M. Opt0'!T96))</f>
        <v>0</v>
      </c>
      <c r="U11" s="156">
        <f>(U$9&lt;=$B$5)*('M. Opt0'!U14-SUM('M. Opt0'!U96))</f>
        <v>0</v>
      </c>
      <c r="V11" s="156">
        <f>(V$9&lt;=$B$5)*('M. Opt0'!V14-SUM('M. Opt0'!V96))</f>
        <v>0</v>
      </c>
      <c r="W11" s="156">
        <f>(W$9&lt;=$B$5)*('M. Opt0'!W14-SUM('M. Opt0'!W96))</f>
        <v>0</v>
      </c>
      <c r="X11" s="156">
        <f>(X$9&lt;=$B$5)*('M. Opt0'!X14-SUM('M. Opt0'!X96))</f>
        <v>0</v>
      </c>
      <c r="Y11" s="156">
        <f>(Y$9&lt;=$B$5)*('M. Opt0'!Y14-SUM('M. Opt0'!Y96))</f>
        <v>0</v>
      </c>
      <c r="Z11" s="156">
        <f>(Z$9&lt;=$B$5)*('M. Opt0'!Z14-SUM('M. Opt0'!Z96))</f>
        <v>0</v>
      </c>
      <c r="AA11" s="156">
        <f>(AA$9&lt;=$B$5)*('M. Opt0'!AA14-SUM('M. Opt0'!AA96))</f>
        <v>0</v>
      </c>
    </row>
    <row r="12" spans="1:27" x14ac:dyDescent="0.3">
      <c r="A12" s="75" t="s">
        <v>119</v>
      </c>
      <c r="B12" s="198">
        <f>(B$9&gt;$B$5)*(B46+B80+B94)</f>
        <v>0</v>
      </c>
      <c r="C12" s="198">
        <f t="shared" ref="C12:AA12" si="2">(C$9&gt;$B$5)*(C46+C80+C94)</f>
        <v>0</v>
      </c>
      <c r="D12" s="198">
        <f t="shared" si="2"/>
        <v>0</v>
      </c>
      <c r="E12" s="198">
        <f t="shared" si="2"/>
        <v>0</v>
      </c>
      <c r="F12" s="198">
        <f t="shared" si="2"/>
        <v>0</v>
      </c>
      <c r="G12" s="198">
        <f t="shared" si="2"/>
        <v>0</v>
      </c>
      <c r="H12" s="198">
        <f t="shared" si="2"/>
        <v>667.38268104055453</v>
      </c>
      <c r="I12" s="198">
        <f t="shared" si="2"/>
        <v>674.96579185605333</v>
      </c>
      <c r="J12" s="198">
        <f t="shared" si="2"/>
        <v>682.63647861013953</v>
      </c>
      <c r="K12" s="198">
        <f t="shared" si="2"/>
        <v>690.39575389449533</v>
      </c>
      <c r="L12" s="198">
        <f t="shared" si="2"/>
        <v>698.24464202272281</v>
      </c>
      <c r="M12" s="198">
        <f t="shared" si="2"/>
        <v>706.18417916620183</v>
      </c>
      <c r="N12" s="198">
        <f t="shared" si="2"/>
        <v>714.21541349152164</v>
      </c>
      <c r="O12" s="198">
        <f t="shared" si="2"/>
        <v>722.33940529950894</v>
      </c>
      <c r="P12" s="198">
        <f t="shared" si="2"/>
        <v>730.55722716586831</v>
      </c>
      <c r="Q12" s="198">
        <f t="shared" si="2"/>
        <v>738.86996408345522</v>
      </c>
      <c r="R12" s="198">
        <f t="shared" si="2"/>
        <v>747.27871360619861</v>
      </c>
      <c r="S12" s="198">
        <f t="shared" si="2"/>
        <v>755.78458599469707</v>
      </c>
      <c r="T12" s="198">
        <f t="shared" si="2"/>
        <v>764.38870436349998</v>
      </c>
      <c r="U12" s="198">
        <f t="shared" si="2"/>
        <v>773.09220483010142</v>
      </c>
      <c r="V12" s="198">
        <f t="shared" si="2"/>
        <v>781.89623666566149</v>
      </c>
      <c r="W12" s="198">
        <f t="shared" si="2"/>
        <v>790.80196244747754</v>
      </c>
      <c r="X12" s="198">
        <f t="shared" si="2"/>
        <v>799.81055821322377</v>
      </c>
      <c r="Y12" s="198">
        <f t="shared" si="2"/>
        <v>808.92321361698237</v>
      </c>
      <c r="Z12" s="198">
        <f t="shared" si="2"/>
        <v>818.14113208708432</v>
      </c>
      <c r="AA12" s="198">
        <f t="shared" si="2"/>
        <v>827.46553098578261</v>
      </c>
    </row>
    <row r="13" spans="1:27" ht="15" thickBot="1" x14ac:dyDescent="0.35">
      <c r="A13" s="76" t="s">
        <v>13</v>
      </c>
      <c r="B13" s="104">
        <f>+SUM(B10:B12)</f>
        <v>1579.1978491640689</v>
      </c>
      <c r="C13" s="104">
        <f t="shared" ref="C13:AA13" si="3">+SUM(C10:C12)</f>
        <v>1593.1731290747064</v>
      </c>
      <c r="D13" s="105">
        <f t="shared" si="3"/>
        <v>1607.337287120343</v>
      </c>
      <c r="E13" s="105">
        <f t="shared" si="3"/>
        <v>1621.6931633710913</v>
      </c>
      <c r="F13" s="105">
        <f t="shared" si="3"/>
        <v>6516.2436468108426</v>
      </c>
      <c r="G13" s="105">
        <f t="shared" si="3"/>
        <v>8970.9916763005986</v>
      </c>
      <c r="H13" s="105">
        <f t="shared" si="3"/>
        <v>667.38268104055453</v>
      </c>
      <c r="I13" s="105">
        <f t="shared" si="3"/>
        <v>674.96579185605333</v>
      </c>
      <c r="J13" s="105">
        <f t="shared" si="3"/>
        <v>682.63647861013953</v>
      </c>
      <c r="K13" s="105">
        <f t="shared" si="3"/>
        <v>690.39575389449533</v>
      </c>
      <c r="L13" s="105">
        <f t="shared" si="3"/>
        <v>698.24464202272281</v>
      </c>
      <c r="M13" s="105">
        <f t="shared" si="3"/>
        <v>706.18417916620183</v>
      </c>
      <c r="N13" s="105">
        <f t="shared" si="3"/>
        <v>714.21541349152164</v>
      </c>
      <c r="O13" s="105">
        <f t="shared" si="3"/>
        <v>722.33940529950894</v>
      </c>
      <c r="P13" s="105">
        <f t="shared" si="3"/>
        <v>730.55722716586831</v>
      </c>
      <c r="Q13" s="105">
        <f t="shared" si="3"/>
        <v>738.86996408345522</v>
      </c>
      <c r="R13" s="105">
        <f t="shared" si="3"/>
        <v>747.27871360619861</v>
      </c>
      <c r="S13" s="105">
        <f t="shared" si="3"/>
        <v>755.78458599469707</v>
      </c>
      <c r="T13" s="105">
        <f t="shared" si="3"/>
        <v>764.38870436349998</v>
      </c>
      <c r="U13" s="105">
        <f t="shared" si="3"/>
        <v>773.09220483010142</v>
      </c>
      <c r="V13" s="105">
        <f t="shared" si="3"/>
        <v>781.89623666566149</v>
      </c>
      <c r="W13" s="105">
        <f t="shared" si="3"/>
        <v>790.80196244747754</v>
      </c>
      <c r="X13" s="105">
        <f t="shared" si="3"/>
        <v>799.81055821322377</v>
      </c>
      <c r="Y13" s="105">
        <f t="shared" si="3"/>
        <v>808.92321361698237</v>
      </c>
      <c r="Z13" s="105">
        <f t="shared" si="3"/>
        <v>818.14113208708432</v>
      </c>
      <c r="AA13" s="105">
        <f t="shared" si="3"/>
        <v>827.46553098578261</v>
      </c>
    </row>
    <row r="15" spans="1:27" ht="18" x14ac:dyDescent="0.35">
      <c r="A15" s="94" t="s">
        <v>118</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row>
    <row r="17" spans="1:27" x14ac:dyDescent="0.3">
      <c r="A17" s="53" t="str">
        <f>+A3</f>
        <v>Yellow shaded cells are input cells</v>
      </c>
      <c r="C17" s="364" t="s">
        <v>396</v>
      </c>
      <c r="D17" s="365">
        <f>SUM(B13:AA13)-SUM(B28:AA28,B38:AA38,B43:AA43,B57:AA57,B67:AA67,B77:AA77,B83:AA83,B91:AA91,B10:AA11)</f>
        <v>0</v>
      </c>
    </row>
    <row r="18" spans="1:27" ht="16.5" customHeight="1" x14ac:dyDescent="0.35">
      <c r="A18" s="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27" ht="18" x14ac:dyDescent="0.35">
      <c r="A19" s="108" t="s">
        <v>165</v>
      </c>
      <c r="B19" s="110"/>
    </row>
    <row r="20" spans="1:27" x14ac:dyDescent="0.3">
      <c r="A20" s="45" t="s">
        <v>19</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row>
    <row r="21" spans="1:27" x14ac:dyDescent="0.3">
      <c r="A21" s="13" t="s">
        <v>18</v>
      </c>
      <c r="B21" s="156">
        <f>'Inputs &amp; Summary'!O86</f>
        <v>2043</v>
      </c>
    </row>
    <row r="22" spans="1:27" x14ac:dyDescent="0.3">
      <c r="A22" s="13" t="s">
        <v>44</v>
      </c>
      <c r="B22" s="54">
        <f>'Inputs &amp; Summary'!O85</f>
        <v>1.12E-2</v>
      </c>
      <c r="G22" s="93" t="s">
        <v>137</v>
      </c>
      <c r="H22" s="83"/>
      <c r="I22" s="83"/>
      <c r="J22" s="83"/>
      <c r="K22" s="83"/>
      <c r="L22" s="83"/>
      <c r="M22" s="83"/>
      <c r="N22" s="83"/>
      <c r="O22" s="83"/>
      <c r="P22" s="83"/>
      <c r="Q22" s="83"/>
      <c r="R22" s="83"/>
      <c r="S22" s="83"/>
      <c r="T22" s="83"/>
      <c r="U22" s="83"/>
      <c r="V22" s="84"/>
    </row>
    <row r="23" spans="1:27" x14ac:dyDescent="0.3">
      <c r="A23" s="13" t="s">
        <v>53</v>
      </c>
      <c r="B23" s="157">
        <f>'Inputs &amp; Summary'!O108</f>
        <v>0.05</v>
      </c>
      <c r="C23" s="1" t="s">
        <v>193</v>
      </c>
      <c r="G23" s="85" t="s">
        <v>136</v>
      </c>
      <c r="H23" s="72"/>
      <c r="I23" s="72"/>
      <c r="J23" s="72"/>
      <c r="K23" s="72"/>
      <c r="L23" s="72"/>
      <c r="M23" s="72"/>
      <c r="N23" s="72"/>
      <c r="O23" s="72"/>
      <c r="P23" s="72"/>
      <c r="Q23" s="72"/>
      <c r="R23" s="72"/>
      <c r="S23" s="72"/>
      <c r="T23" s="72"/>
      <c r="U23" s="72"/>
      <c r="V23" s="86"/>
    </row>
    <row r="24" spans="1:27" x14ac:dyDescent="0.3">
      <c r="A24" s="13" t="s">
        <v>54</v>
      </c>
      <c r="B24" s="65">
        <f>'Inputs &amp; Summary'!O109</f>
        <v>80</v>
      </c>
      <c r="C24" s="116" t="s">
        <v>186</v>
      </c>
    </row>
    <row r="25" spans="1:27" x14ac:dyDescent="0.3">
      <c r="A25" s="13" t="s">
        <v>120</v>
      </c>
      <c r="B25" s="66">
        <f>+B21*B23*B24/1000</f>
        <v>8.1720000000000006</v>
      </c>
    </row>
    <row r="26" spans="1:27" s="6" customFormat="1" x14ac:dyDescent="0.3">
      <c r="A26" s="37" t="s">
        <v>3</v>
      </c>
      <c r="B26" s="6">
        <v>0</v>
      </c>
      <c r="C26" s="6">
        <f>+B26+1</f>
        <v>1</v>
      </c>
      <c r="D26" s="6">
        <f t="shared" ref="D26:S27" si="4">+C26+1</f>
        <v>2</v>
      </c>
      <c r="E26" s="6">
        <f t="shared" si="4"/>
        <v>3</v>
      </c>
      <c r="F26" s="6">
        <f t="shared" si="4"/>
        <v>4</v>
      </c>
      <c r="G26" s="6">
        <f t="shared" si="4"/>
        <v>5</v>
      </c>
      <c r="H26" s="6">
        <f t="shared" si="4"/>
        <v>6</v>
      </c>
      <c r="I26" s="6">
        <f t="shared" si="4"/>
        <v>7</v>
      </c>
      <c r="J26" s="6">
        <f t="shared" si="4"/>
        <v>8</v>
      </c>
      <c r="K26" s="6">
        <f t="shared" si="4"/>
        <v>9</v>
      </c>
      <c r="L26" s="6">
        <f t="shared" si="4"/>
        <v>10</v>
      </c>
      <c r="M26" s="6">
        <f t="shared" si="4"/>
        <v>11</v>
      </c>
      <c r="N26" s="6">
        <f t="shared" si="4"/>
        <v>12</v>
      </c>
      <c r="O26" s="6">
        <f t="shared" si="4"/>
        <v>13</v>
      </c>
      <c r="P26" s="6">
        <f t="shared" si="4"/>
        <v>14</v>
      </c>
      <c r="Q26" s="6">
        <f t="shared" si="4"/>
        <v>15</v>
      </c>
      <c r="R26" s="6">
        <f t="shared" si="4"/>
        <v>16</v>
      </c>
      <c r="S26" s="6">
        <f t="shared" si="4"/>
        <v>17</v>
      </c>
      <c r="T26" s="6">
        <f t="shared" ref="T26:AA27" si="5">+S26+1</f>
        <v>18</v>
      </c>
      <c r="U26" s="6">
        <f t="shared" si="5"/>
        <v>19</v>
      </c>
      <c r="V26" s="6">
        <f t="shared" si="5"/>
        <v>20</v>
      </c>
      <c r="W26" s="6">
        <f t="shared" si="5"/>
        <v>21</v>
      </c>
      <c r="X26" s="6">
        <f t="shared" si="5"/>
        <v>22</v>
      </c>
      <c r="Y26" s="6">
        <f t="shared" si="5"/>
        <v>23</v>
      </c>
      <c r="Z26" s="6">
        <f t="shared" si="5"/>
        <v>24</v>
      </c>
      <c r="AA26" s="6">
        <f t="shared" si="5"/>
        <v>25</v>
      </c>
    </row>
    <row r="27" spans="1:27" s="20" customFormat="1" x14ac:dyDescent="0.3">
      <c r="A27" s="18" t="s">
        <v>400</v>
      </c>
      <c r="B27" s="19">
        <v>2021</v>
      </c>
      <c r="C27" s="19">
        <f>+B27+1</f>
        <v>2022</v>
      </c>
      <c r="D27" s="19">
        <f t="shared" si="4"/>
        <v>2023</v>
      </c>
      <c r="E27" s="19">
        <f t="shared" si="4"/>
        <v>2024</v>
      </c>
      <c r="F27" s="19">
        <f t="shared" si="4"/>
        <v>2025</v>
      </c>
      <c r="G27" s="19">
        <f t="shared" si="4"/>
        <v>2026</v>
      </c>
      <c r="H27" s="19">
        <f t="shared" si="4"/>
        <v>2027</v>
      </c>
      <c r="I27" s="19">
        <f t="shared" si="4"/>
        <v>2028</v>
      </c>
      <c r="J27" s="19">
        <f t="shared" si="4"/>
        <v>2029</v>
      </c>
      <c r="K27" s="19">
        <f t="shared" si="4"/>
        <v>2030</v>
      </c>
      <c r="L27" s="19">
        <f t="shared" si="4"/>
        <v>2031</v>
      </c>
      <c r="M27" s="19">
        <f t="shared" si="4"/>
        <v>2032</v>
      </c>
      <c r="N27" s="19">
        <f t="shared" si="4"/>
        <v>2033</v>
      </c>
      <c r="O27" s="19">
        <f t="shared" si="4"/>
        <v>2034</v>
      </c>
      <c r="P27" s="19">
        <f t="shared" si="4"/>
        <v>2035</v>
      </c>
      <c r="Q27" s="19">
        <f t="shared" si="4"/>
        <v>2036</v>
      </c>
      <c r="R27" s="19">
        <f t="shared" si="4"/>
        <v>2037</v>
      </c>
      <c r="S27" s="19">
        <f t="shared" si="4"/>
        <v>2038</v>
      </c>
      <c r="T27" s="19">
        <f t="shared" si="5"/>
        <v>2039</v>
      </c>
      <c r="U27" s="19">
        <f t="shared" si="5"/>
        <v>2040</v>
      </c>
      <c r="V27" s="19">
        <f t="shared" si="5"/>
        <v>2041</v>
      </c>
      <c r="W27" s="19">
        <f t="shared" si="5"/>
        <v>2042</v>
      </c>
      <c r="X27" s="19">
        <f t="shared" si="5"/>
        <v>2043</v>
      </c>
      <c r="Y27" s="19">
        <f t="shared" si="5"/>
        <v>2044</v>
      </c>
      <c r="Z27" s="19">
        <f t="shared" si="5"/>
        <v>2045</v>
      </c>
      <c r="AA27" s="19">
        <f t="shared" si="5"/>
        <v>2046</v>
      </c>
    </row>
    <row r="28" spans="1:27" s="23" customFormat="1" x14ac:dyDescent="0.3">
      <c r="A28" s="14" t="s">
        <v>57</v>
      </c>
      <c r="B28" s="44">
        <f t="shared" ref="B28:G28" si="6">(B$9&gt;$B$5)*($B$25*(1+$B$22)^B26)</f>
        <v>0</v>
      </c>
      <c r="C28" s="44">
        <f t="shared" si="6"/>
        <v>0</v>
      </c>
      <c r="D28" s="44">
        <f t="shared" si="6"/>
        <v>0</v>
      </c>
      <c r="E28" s="44">
        <f t="shared" si="6"/>
        <v>0</v>
      </c>
      <c r="F28" s="44">
        <f t="shared" si="6"/>
        <v>0</v>
      </c>
      <c r="G28" s="44">
        <f t="shared" si="6"/>
        <v>0</v>
      </c>
      <c r="H28" s="44">
        <f>(H$9&gt;$B$5)*($B$25*(1+$B$22)^H26)</f>
        <v>8.7367663941095994</v>
      </c>
      <c r="I28" s="44">
        <f t="shared" ref="I28:AA28" si="7">(I$9&gt;$B$5)*($B$25*(1+$B$22)^I26)</f>
        <v>8.8346181777236286</v>
      </c>
      <c r="J28" s="44">
        <f t="shared" si="7"/>
        <v>8.9335659013141324</v>
      </c>
      <c r="K28" s="44">
        <f t="shared" si="7"/>
        <v>9.0336218394088519</v>
      </c>
      <c r="L28" s="44">
        <f t="shared" si="7"/>
        <v>9.1347984040102315</v>
      </c>
      <c r="M28" s="44">
        <f t="shared" si="7"/>
        <v>9.2371081461351476</v>
      </c>
      <c r="N28" s="44">
        <f t="shared" si="7"/>
        <v>9.3405637573718607</v>
      </c>
      <c r="O28" s="44">
        <f t="shared" si="7"/>
        <v>9.4451780714544267</v>
      </c>
      <c r="P28" s="44">
        <f t="shared" si="7"/>
        <v>9.5509640658547159</v>
      </c>
      <c r="Q28" s="44">
        <f t="shared" si="7"/>
        <v>9.6579348633922919</v>
      </c>
      <c r="R28" s="44">
        <f t="shared" si="7"/>
        <v>9.7661037338622858</v>
      </c>
      <c r="S28" s="44">
        <f t="shared" si="7"/>
        <v>9.8754840956815428</v>
      </c>
      <c r="T28" s="44">
        <f t="shared" si="7"/>
        <v>9.986089517553177</v>
      </c>
      <c r="U28" s="44">
        <f t="shared" si="7"/>
        <v>10.097933720149774</v>
      </c>
      <c r="V28" s="44">
        <f t="shared" si="7"/>
        <v>10.211030577815452</v>
      </c>
      <c r="W28" s="44">
        <f t="shared" si="7"/>
        <v>10.325394120286985</v>
      </c>
      <c r="X28" s="44">
        <f t="shared" si="7"/>
        <v>10.441038534434201</v>
      </c>
      <c r="Y28" s="44">
        <f t="shared" si="7"/>
        <v>10.557978166019865</v>
      </c>
      <c r="Z28" s="44">
        <f t="shared" si="7"/>
        <v>10.676227521479287</v>
      </c>
      <c r="AA28" s="44">
        <f t="shared" si="7"/>
        <v>10.795801269719858</v>
      </c>
    </row>
    <row r="30" spans="1:27" x14ac:dyDescent="0.3">
      <c r="A30" s="45" t="s">
        <v>20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row>
    <row r="31" spans="1:27" s="6" customFormat="1" x14ac:dyDescent="0.3">
      <c r="A31" s="6" t="s">
        <v>113</v>
      </c>
      <c r="B31" s="65">
        <f>'Inputs &amp; Summary'!O81</f>
        <v>47.828616539314339</v>
      </c>
    </row>
    <row r="32" spans="1:27" s="6" customFormat="1" x14ac:dyDescent="0.3">
      <c r="A32" s="6" t="s">
        <v>114</v>
      </c>
      <c r="B32" s="32">
        <f>'Inputs &amp; Summary'!E84</f>
        <v>182420</v>
      </c>
      <c r="G32" s="82" t="s">
        <v>140</v>
      </c>
      <c r="H32" s="83"/>
      <c r="I32" s="83"/>
      <c r="J32" s="83"/>
      <c r="K32" s="83"/>
      <c r="L32" s="83"/>
      <c r="M32" s="83"/>
      <c r="N32" s="83"/>
      <c r="O32" s="83"/>
      <c r="P32" s="83"/>
      <c r="Q32" s="83"/>
      <c r="R32" s="83"/>
      <c r="S32" s="83"/>
      <c r="T32" s="83"/>
      <c r="U32" s="83"/>
      <c r="V32" s="84"/>
    </row>
    <row r="33" spans="1:27" s="6" customFormat="1" x14ac:dyDescent="0.3">
      <c r="A33" s="13" t="s">
        <v>44</v>
      </c>
      <c r="B33" s="54">
        <f>'Inputs &amp; Summary'!O85</f>
        <v>1.12E-2</v>
      </c>
      <c r="G33" s="87" t="s">
        <v>138</v>
      </c>
      <c r="H33" s="88"/>
      <c r="I33" s="88"/>
      <c r="J33" s="88"/>
      <c r="K33" s="88"/>
      <c r="L33" s="88"/>
      <c r="M33" s="88"/>
      <c r="N33" s="88"/>
      <c r="O33" s="88"/>
      <c r="P33" s="88"/>
      <c r="Q33" s="88"/>
      <c r="R33" s="88"/>
      <c r="S33" s="88"/>
      <c r="T33" s="88"/>
      <c r="U33" s="88"/>
      <c r="V33" s="89"/>
    </row>
    <row r="34" spans="1:27" s="6" customFormat="1" x14ac:dyDescent="0.3">
      <c r="A34" s="20" t="s">
        <v>115</v>
      </c>
      <c r="B34" s="157">
        <f>'Inputs &amp; Summary'!O111</f>
        <v>0.02</v>
      </c>
      <c r="C34" s="1" t="s">
        <v>193</v>
      </c>
      <c r="G34" s="85" t="s">
        <v>139</v>
      </c>
      <c r="H34" s="72"/>
      <c r="I34" s="72"/>
      <c r="J34" s="72"/>
      <c r="K34" s="72"/>
      <c r="L34" s="72"/>
      <c r="M34" s="72"/>
      <c r="N34" s="72"/>
      <c r="O34" s="72"/>
      <c r="P34" s="72"/>
      <c r="Q34" s="72"/>
      <c r="R34" s="72"/>
      <c r="S34" s="72"/>
      <c r="T34" s="72"/>
      <c r="U34" s="72"/>
      <c r="V34" s="86"/>
    </row>
    <row r="35" spans="1:27" s="6" customFormat="1" x14ac:dyDescent="0.3">
      <c r="A35" s="20" t="s">
        <v>116</v>
      </c>
      <c r="B35" s="67">
        <f>+B31*B32*B34/1000</f>
        <v>174.49792458203444</v>
      </c>
    </row>
    <row r="36" spans="1:27" x14ac:dyDescent="0.3">
      <c r="A36" s="3" t="s">
        <v>3</v>
      </c>
      <c r="B36">
        <v>0</v>
      </c>
      <c r="C36">
        <f>+B36+1</f>
        <v>1</v>
      </c>
      <c r="D36">
        <f t="shared" ref="D36:S37" si="8">+C36+1</f>
        <v>2</v>
      </c>
      <c r="E36">
        <f t="shared" si="8"/>
        <v>3</v>
      </c>
      <c r="F36">
        <f t="shared" si="8"/>
        <v>4</v>
      </c>
      <c r="G36">
        <f t="shared" si="8"/>
        <v>5</v>
      </c>
      <c r="H36">
        <f t="shared" si="8"/>
        <v>6</v>
      </c>
      <c r="I36">
        <f t="shared" si="8"/>
        <v>7</v>
      </c>
      <c r="J36">
        <f t="shared" si="8"/>
        <v>8</v>
      </c>
      <c r="K36">
        <f t="shared" si="8"/>
        <v>9</v>
      </c>
      <c r="L36">
        <f t="shared" si="8"/>
        <v>10</v>
      </c>
      <c r="M36">
        <f t="shared" si="8"/>
        <v>11</v>
      </c>
      <c r="N36">
        <f t="shared" si="8"/>
        <v>12</v>
      </c>
      <c r="O36">
        <f t="shared" si="8"/>
        <v>13</v>
      </c>
      <c r="P36">
        <f t="shared" si="8"/>
        <v>14</v>
      </c>
      <c r="Q36">
        <f t="shared" si="8"/>
        <v>15</v>
      </c>
      <c r="R36">
        <f t="shared" si="8"/>
        <v>16</v>
      </c>
      <c r="S36">
        <f t="shared" si="8"/>
        <v>17</v>
      </c>
      <c r="T36">
        <f t="shared" ref="T36:AA37" si="9">+S36+1</f>
        <v>18</v>
      </c>
      <c r="U36">
        <f t="shared" si="9"/>
        <v>19</v>
      </c>
      <c r="V36">
        <f t="shared" si="9"/>
        <v>20</v>
      </c>
      <c r="W36">
        <f t="shared" si="9"/>
        <v>21</v>
      </c>
      <c r="X36">
        <f t="shared" si="9"/>
        <v>22</v>
      </c>
      <c r="Y36">
        <f t="shared" si="9"/>
        <v>23</v>
      </c>
      <c r="Z36">
        <f t="shared" si="9"/>
        <v>24</v>
      </c>
      <c r="AA36">
        <f t="shared" si="9"/>
        <v>25</v>
      </c>
    </row>
    <row r="37" spans="1:27" x14ac:dyDescent="0.3">
      <c r="A37" s="18" t="s">
        <v>400</v>
      </c>
      <c r="B37" s="19">
        <v>2021</v>
      </c>
      <c r="C37" s="19">
        <f>+B37+1</f>
        <v>2022</v>
      </c>
      <c r="D37" s="19">
        <f t="shared" si="8"/>
        <v>2023</v>
      </c>
      <c r="E37" s="19">
        <f t="shared" si="8"/>
        <v>2024</v>
      </c>
      <c r="F37" s="19">
        <f t="shared" si="8"/>
        <v>2025</v>
      </c>
      <c r="G37" s="19">
        <f t="shared" si="8"/>
        <v>2026</v>
      </c>
      <c r="H37" s="19">
        <f t="shared" si="8"/>
        <v>2027</v>
      </c>
      <c r="I37" s="19">
        <f t="shared" si="8"/>
        <v>2028</v>
      </c>
      <c r="J37" s="19">
        <f t="shared" si="8"/>
        <v>2029</v>
      </c>
      <c r="K37" s="19">
        <f t="shared" si="8"/>
        <v>2030</v>
      </c>
      <c r="L37" s="19">
        <f t="shared" si="8"/>
        <v>2031</v>
      </c>
      <c r="M37" s="19">
        <f t="shared" si="8"/>
        <v>2032</v>
      </c>
      <c r="N37" s="19">
        <f t="shared" si="8"/>
        <v>2033</v>
      </c>
      <c r="O37" s="19">
        <f t="shared" si="8"/>
        <v>2034</v>
      </c>
      <c r="P37" s="19">
        <f t="shared" si="8"/>
        <v>2035</v>
      </c>
      <c r="Q37" s="19">
        <f t="shared" si="8"/>
        <v>2036</v>
      </c>
      <c r="R37" s="19">
        <f t="shared" si="8"/>
        <v>2037</v>
      </c>
      <c r="S37" s="19">
        <f t="shared" si="8"/>
        <v>2038</v>
      </c>
      <c r="T37" s="19">
        <f t="shared" si="9"/>
        <v>2039</v>
      </c>
      <c r="U37" s="19">
        <f t="shared" si="9"/>
        <v>2040</v>
      </c>
      <c r="V37" s="19">
        <f t="shared" si="9"/>
        <v>2041</v>
      </c>
      <c r="W37" s="19">
        <f t="shared" si="9"/>
        <v>2042</v>
      </c>
      <c r="X37" s="19">
        <f t="shared" si="9"/>
        <v>2043</v>
      </c>
      <c r="Y37" s="19">
        <f t="shared" si="9"/>
        <v>2044</v>
      </c>
      <c r="Z37" s="19">
        <f t="shared" si="9"/>
        <v>2045</v>
      </c>
      <c r="AA37" s="19">
        <f t="shared" si="9"/>
        <v>2046</v>
      </c>
    </row>
    <row r="38" spans="1:27" s="12" customFormat="1" x14ac:dyDescent="0.3">
      <c r="A38" s="40" t="s">
        <v>58</v>
      </c>
      <c r="B38" s="68">
        <f t="shared" ref="B38:G38" si="10">(B$9&gt;$B$5)*($B$35*(1+$B$33)^B36)</f>
        <v>0</v>
      </c>
      <c r="C38" s="68">
        <f t="shared" si="10"/>
        <v>0</v>
      </c>
      <c r="D38" s="68">
        <f t="shared" si="10"/>
        <v>0</v>
      </c>
      <c r="E38" s="68">
        <f t="shared" si="10"/>
        <v>0</v>
      </c>
      <c r="F38" s="68">
        <f t="shared" si="10"/>
        <v>0</v>
      </c>
      <c r="G38" s="68">
        <f t="shared" si="10"/>
        <v>0</v>
      </c>
      <c r="H38" s="68">
        <f>(H$9&gt;$B$5)*($B$35*(1+$B$33)^H36)</f>
        <v>186.55746492048334</v>
      </c>
      <c r="I38" s="68">
        <f t="shared" ref="I38:AA38" si="11">(I$9&gt;$B$5)*($B$35*(1+$B$33)^I36)</f>
        <v>188.64690852759279</v>
      </c>
      <c r="J38" s="68">
        <f t="shared" si="11"/>
        <v>190.75975390310182</v>
      </c>
      <c r="K38" s="68">
        <f t="shared" si="11"/>
        <v>192.89626314681658</v>
      </c>
      <c r="L38" s="68">
        <f t="shared" si="11"/>
        <v>195.05670129406093</v>
      </c>
      <c r="M38" s="68">
        <f t="shared" si="11"/>
        <v>197.24133634855443</v>
      </c>
      <c r="N38" s="68">
        <f t="shared" si="11"/>
        <v>199.45043931565823</v>
      </c>
      <c r="O38" s="68">
        <f t="shared" si="11"/>
        <v>201.68428423599363</v>
      </c>
      <c r="P38" s="68">
        <f t="shared" si="11"/>
        <v>203.94314821943678</v>
      </c>
      <c r="Q38" s="68">
        <f t="shared" si="11"/>
        <v>206.22731147949452</v>
      </c>
      <c r="R38" s="68">
        <f t="shared" si="11"/>
        <v>208.53705736806484</v>
      </c>
      <c r="S38" s="68">
        <f t="shared" si="11"/>
        <v>210.87267241058717</v>
      </c>
      <c r="T38" s="68">
        <f t="shared" si="11"/>
        <v>213.23444634158577</v>
      </c>
      <c r="U38" s="68">
        <f t="shared" si="11"/>
        <v>215.62267214061154</v>
      </c>
      <c r="V38" s="68">
        <f t="shared" si="11"/>
        <v>218.03764606858641</v>
      </c>
      <c r="W38" s="68">
        <f t="shared" si="11"/>
        <v>220.47966770455457</v>
      </c>
      <c r="X38" s="68">
        <f t="shared" si="11"/>
        <v>222.94903998284562</v>
      </c>
      <c r="Y38" s="68">
        <f t="shared" si="11"/>
        <v>225.44606923065353</v>
      </c>
      <c r="Z38" s="68">
        <f t="shared" si="11"/>
        <v>227.97106520603683</v>
      </c>
      <c r="AA38" s="68">
        <f t="shared" si="11"/>
        <v>230.5243411363445</v>
      </c>
    </row>
    <row r="39" spans="1:27" s="12" customFormat="1" x14ac:dyDescent="0.3">
      <c r="A39" s="14"/>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row>
    <row r="40" spans="1:27" s="12" customFormat="1" x14ac:dyDescent="0.3">
      <c r="A40" s="45" t="s">
        <v>149</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s="12" customFormat="1" x14ac:dyDescent="0.3">
      <c r="A41" s="1"/>
      <c r="B41"/>
      <c r="C41"/>
      <c r="D41"/>
      <c r="E41"/>
      <c r="G41" s="90" t="s">
        <v>150</v>
      </c>
      <c r="H41" s="91"/>
      <c r="I41" s="91"/>
      <c r="J41" s="91"/>
      <c r="K41" s="91"/>
      <c r="L41" s="91"/>
      <c r="M41" s="91"/>
      <c r="N41" s="91"/>
      <c r="O41" s="91"/>
      <c r="P41" s="91"/>
      <c r="Q41" s="91"/>
      <c r="R41" s="91"/>
      <c r="S41" s="91"/>
      <c r="T41" s="91"/>
      <c r="U41" s="92"/>
      <c r="V41"/>
      <c r="W41"/>
      <c r="X41"/>
      <c r="Y41"/>
      <c r="Z41"/>
      <c r="AA41"/>
    </row>
    <row r="42" spans="1:27" s="12" customFormat="1" x14ac:dyDescent="0.3">
      <c r="A42" s="18" t="s">
        <v>400</v>
      </c>
      <c r="B42" s="19">
        <v>2021</v>
      </c>
      <c r="C42" s="19">
        <f>+B42+1</f>
        <v>2022</v>
      </c>
      <c r="D42" s="19">
        <f t="shared" ref="D42:AA42" si="12">+C42+1</f>
        <v>2023</v>
      </c>
      <c r="E42" s="19">
        <f t="shared" si="12"/>
        <v>2024</v>
      </c>
      <c r="F42" s="19">
        <f t="shared" si="12"/>
        <v>2025</v>
      </c>
      <c r="G42" s="19">
        <f t="shared" si="12"/>
        <v>2026</v>
      </c>
      <c r="H42" s="19">
        <f t="shared" si="12"/>
        <v>2027</v>
      </c>
      <c r="I42" s="19">
        <f t="shared" si="12"/>
        <v>2028</v>
      </c>
      <c r="J42" s="19">
        <f t="shared" si="12"/>
        <v>2029</v>
      </c>
      <c r="K42" s="19">
        <f t="shared" si="12"/>
        <v>2030</v>
      </c>
      <c r="L42" s="19">
        <f t="shared" si="12"/>
        <v>2031</v>
      </c>
      <c r="M42" s="19">
        <f t="shared" si="12"/>
        <v>2032</v>
      </c>
      <c r="N42" s="19">
        <f t="shared" si="12"/>
        <v>2033</v>
      </c>
      <c r="O42" s="19">
        <f t="shared" si="12"/>
        <v>2034</v>
      </c>
      <c r="P42" s="19">
        <f t="shared" si="12"/>
        <v>2035</v>
      </c>
      <c r="Q42" s="19">
        <f t="shared" si="12"/>
        <v>2036</v>
      </c>
      <c r="R42" s="19">
        <f t="shared" si="12"/>
        <v>2037</v>
      </c>
      <c r="S42" s="19">
        <f t="shared" si="12"/>
        <v>2038</v>
      </c>
      <c r="T42" s="19">
        <f t="shared" si="12"/>
        <v>2039</v>
      </c>
      <c r="U42" s="19">
        <f t="shared" si="12"/>
        <v>2040</v>
      </c>
      <c r="V42" s="19">
        <f t="shared" si="12"/>
        <v>2041</v>
      </c>
      <c r="W42" s="19">
        <f t="shared" si="12"/>
        <v>2042</v>
      </c>
      <c r="X42" s="19">
        <f t="shared" si="12"/>
        <v>2043</v>
      </c>
      <c r="Y42" s="19">
        <f t="shared" si="12"/>
        <v>2044</v>
      </c>
      <c r="Z42" s="19">
        <f t="shared" si="12"/>
        <v>2045</v>
      </c>
      <c r="AA42" s="19">
        <f t="shared" si="12"/>
        <v>2046</v>
      </c>
    </row>
    <row r="43" spans="1:27" s="12" customFormat="1" x14ac:dyDescent="0.3">
      <c r="A43" s="30" t="s">
        <v>59</v>
      </c>
      <c r="B43" s="35">
        <f>(B$9&gt;$B$5)*'Inputs &amp; Summary'!$O$166</f>
        <v>0</v>
      </c>
      <c r="C43" s="35">
        <f>(C$9&gt;$B$5)*'Inputs &amp; Summary'!$O$166</f>
        <v>0</v>
      </c>
      <c r="D43" s="35">
        <f>(D$9&gt;$B$5)*'Inputs &amp; Summary'!$O$166</f>
        <v>0</v>
      </c>
      <c r="E43" s="35">
        <f>(E$9&gt;$B$5)*'Inputs &amp; Summary'!$O$166</f>
        <v>0</v>
      </c>
      <c r="F43" s="35">
        <f>(F$9&gt;$B$5)*'Inputs &amp; Summary'!$O$166</f>
        <v>0</v>
      </c>
      <c r="G43" s="35">
        <f>(G$9&gt;$B$5)*'Inputs &amp; Summary'!$O$166</f>
        <v>0</v>
      </c>
      <c r="H43" s="35">
        <f>(H$9&gt;$B$5)*'Inputs &amp; Summary'!$O$166</f>
        <v>10</v>
      </c>
      <c r="I43" s="35">
        <f>(I$9&gt;$B$5)*'Inputs &amp; Summary'!$O$166</f>
        <v>10</v>
      </c>
      <c r="J43" s="35">
        <f>(J$9&gt;$B$5)*'Inputs &amp; Summary'!$O$166</f>
        <v>10</v>
      </c>
      <c r="K43" s="35">
        <f>(K$9&gt;$B$5)*'Inputs &amp; Summary'!$O$166</f>
        <v>10</v>
      </c>
      <c r="L43" s="35">
        <f>(L$9&gt;$B$5)*'Inputs &amp; Summary'!$O$166</f>
        <v>10</v>
      </c>
      <c r="M43" s="35">
        <f>(M$9&gt;$B$5)*'Inputs &amp; Summary'!$O$166</f>
        <v>10</v>
      </c>
      <c r="N43" s="35">
        <f>(N$9&gt;$B$5)*'Inputs &amp; Summary'!$O$166</f>
        <v>10</v>
      </c>
      <c r="O43" s="35">
        <f>(O$9&gt;$B$5)*'Inputs &amp; Summary'!$O$166</f>
        <v>10</v>
      </c>
      <c r="P43" s="35">
        <f>(P$9&gt;$B$5)*'Inputs &amp; Summary'!$O$166</f>
        <v>10</v>
      </c>
      <c r="Q43" s="35">
        <f>(Q$9&gt;$B$5)*'Inputs &amp; Summary'!$O$166</f>
        <v>10</v>
      </c>
      <c r="R43" s="35">
        <f>(R$9&gt;$B$5)*'Inputs &amp; Summary'!$O$166</f>
        <v>10</v>
      </c>
      <c r="S43" s="35">
        <f>(S$9&gt;$B$5)*'Inputs &amp; Summary'!$O$166</f>
        <v>10</v>
      </c>
      <c r="T43" s="35">
        <f>(T$9&gt;$B$5)*'Inputs &amp; Summary'!$O$166</f>
        <v>10</v>
      </c>
      <c r="U43" s="35">
        <f>(U$9&gt;$B$5)*'Inputs &amp; Summary'!$O$166</f>
        <v>10</v>
      </c>
      <c r="V43" s="35">
        <f>(V$9&gt;$B$5)*'Inputs &amp; Summary'!$O$166</f>
        <v>10</v>
      </c>
      <c r="W43" s="35">
        <f>(W$9&gt;$B$5)*'Inputs &amp; Summary'!$O$166</f>
        <v>10</v>
      </c>
      <c r="X43" s="35">
        <f>(X$9&gt;$B$5)*'Inputs &amp; Summary'!$O$166</f>
        <v>10</v>
      </c>
      <c r="Y43" s="35">
        <f>(Y$9&gt;$B$5)*'Inputs &amp; Summary'!$O$166</f>
        <v>10</v>
      </c>
      <c r="Z43" s="35">
        <f>(Z$9&gt;$B$5)*'Inputs &amp; Summary'!$O$166</f>
        <v>10</v>
      </c>
      <c r="AA43" s="35">
        <f>(AA$9&gt;$B$5)*'Inputs &amp; Summary'!$O$166</f>
        <v>10</v>
      </c>
    </row>
    <row r="45" spans="1:27" x14ac:dyDescent="0.3">
      <c r="A45" s="17" t="s">
        <v>68</v>
      </c>
      <c r="B45" s="17">
        <f t="shared" ref="B45:AA45" si="13">+B27</f>
        <v>2021</v>
      </c>
      <c r="C45" s="17">
        <f t="shared" si="13"/>
        <v>2022</v>
      </c>
      <c r="D45" s="17">
        <f t="shared" si="13"/>
        <v>2023</v>
      </c>
      <c r="E45" s="17">
        <f t="shared" si="13"/>
        <v>2024</v>
      </c>
      <c r="F45" s="17">
        <f t="shared" si="13"/>
        <v>2025</v>
      </c>
      <c r="G45" s="17">
        <f t="shared" si="13"/>
        <v>2026</v>
      </c>
      <c r="H45" s="17">
        <f t="shared" si="13"/>
        <v>2027</v>
      </c>
      <c r="I45" s="17">
        <f t="shared" si="13"/>
        <v>2028</v>
      </c>
      <c r="J45" s="17">
        <f t="shared" si="13"/>
        <v>2029</v>
      </c>
      <c r="K45" s="17">
        <f t="shared" si="13"/>
        <v>2030</v>
      </c>
      <c r="L45" s="17">
        <f t="shared" si="13"/>
        <v>2031</v>
      </c>
      <c r="M45" s="17">
        <f t="shared" si="13"/>
        <v>2032</v>
      </c>
      <c r="N45" s="17">
        <f t="shared" si="13"/>
        <v>2033</v>
      </c>
      <c r="O45" s="17">
        <f t="shared" si="13"/>
        <v>2034</v>
      </c>
      <c r="P45" s="17">
        <f t="shared" si="13"/>
        <v>2035</v>
      </c>
      <c r="Q45" s="17">
        <f t="shared" si="13"/>
        <v>2036</v>
      </c>
      <c r="R45" s="17">
        <f t="shared" si="13"/>
        <v>2037</v>
      </c>
      <c r="S45" s="17">
        <f t="shared" si="13"/>
        <v>2038</v>
      </c>
      <c r="T45" s="17">
        <f t="shared" si="13"/>
        <v>2039</v>
      </c>
      <c r="U45" s="17">
        <f t="shared" si="13"/>
        <v>2040</v>
      </c>
      <c r="V45" s="17">
        <f t="shared" si="13"/>
        <v>2041</v>
      </c>
      <c r="W45" s="17">
        <f t="shared" si="13"/>
        <v>2042</v>
      </c>
      <c r="X45" s="17">
        <f t="shared" si="13"/>
        <v>2043</v>
      </c>
      <c r="Y45" s="17">
        <f t="shared" si="13"/>
        <v>2044</v>
      </c>
      <c r="Z45" s="17">
        <f t="shared" si="13"/>
        <v>2045</v>
      </c>
      <c r="AA45" s="17">
        <f t="shared" si="13"/>
        <v>2046</v>
      </c>
    </row>
    <row r="46" spans="1:27" s="1" customFormat="1" ht="15" thickBot="1" x14ac:dyDescent="0.35">
      <c r="A46" s="38" t="s">
        <v>197</v>
      </c>
      <c r="B46" s="39">
        <f t="shared" ref="B46:G46" si="14">+B38+B28+B43</f>
        <v>0</v>
      </c>
      <c r="C46" s="39">
        <f t="shared" si="14"/>
        <v>0</v>
      </c>
      <c r="D46" s="39">
        <f t="shared" si="14"/>
        <v>0</v>
      </c>
      <c r="E46" s="39">
        <f t="shared" si="14"/>
        <v>0</v>
      </c>
      <c r="F46" s="39">
        <f t="shared" si="14"/>
        <v>0</v>
      </c>
      <c r="G46" s="39">
        <f t="shared" si="14"/>
        <v>0</v>
      </c>
      <c r="H46" s="39">
        <f>+H38+H28+H43</f>
        <v>205.29423131459293</v>
      </c>
      <c r="I46" s="39">
        <f t="shared" ref="I46:AA46" si="15">+I38+I28+I43</f>
        <v>207.48152670531641</v>
      </c>
      <c r="J46" s="39">
        <f t="shared" si="15"/>
        <v>209.69331980441595</v>
      </c>
      <c r="K46" s="39">
        <f t="shared" si="15"/>
        <v>211.92988498622543</v>
      </c>
      <c r="L46" s="39">
        <f t="shared" si="15"/>
        <v>214.19149969807117</v>
      </c>
      <c r="M46" s="39">
        <f t="shared" si="15"/>
        <v>216.47844449468957</v>
      </c>
      <c r="N46" s="39">
        <f t="shared" si="15"/>
        <v>218.79100307303008</v>
      </c>
      <c r="O46" s="39">
        <f t="shared" si="15"/>
        <v>221.12946230744805</v>
      </c>
      <c r="P46" s="39">
        <f t="shared" si="15"/>
        <v>223.49411228529149</v>
      </c>
      <c r="Q46" s="39">
        <f t="shared" si="15"/>
        <v>225.8852463428868</v>
      </c>
      <c r="R46" s="39">
        <f t="shared" si="15"/>
        <v>228.30316110192712</v>
      </c>
      <c r="S46" s="39">
        <f t="shared" si="15"/>
        <v>230.74815650626871</v>
      </c>
      <c r="T46" s="39">
        <f t="shared" si="15"/>
        <v>233.22053585913895</v>
      </c>
      <c r="U46" s="39">
        <f t="shared" si="15"/>
        <v>235.72060586076131</v>
      </c>
      <c r="V46" s="39">
        <f t="shared" si="15"/>
        <v>238.24867664640186</v>
      </c>
      <c r="W46" s="39">
        <f t="shared" si="15"/>
        <v>240.80506182484154</v>
      </c>
      <c r="X46" s="39">
        <f t="shared" si="15"/>
        <v>243.39007851727982</v>
      </c>
      <c r="Y46" s="39">
        <f t="shared" si="15"/>
        <v>246.0040473966734</v>
      </c>
      <c r="Z46" s="39">
        <f t="shared" si="15"/>
        <v>248.64729272751612</v>
      </c>
      <c r="AA46" s="39">
        <f t="shared" si="15"/>
        <v>251.32014240606435</v>
      </c>
    </row>
    <row r="48" spans="1:27" ht="18" x14ac:dyDescent="0.35">
      <c r="A48" s="108" t="s">
        <v>166</v>
      </c>
    </row>
    <row r="49" spans="1:27" x14ac:dyDescent="0.3">
      <c r="A49" s="45" t="s">
        <v>51</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row>
    <row r="50" spans="1:27" x14ac:dyDescent="0.3">
      <c r="A50" s="29"/>
    </row>
    <row r="51" spans="1:27" x14ac:dyDescent="0.3">
      <c r="A51" t="s">
        <v>40</v>
      </c>
      <c r="B51" s="156">
        <f>'Inputs &amp; Summary'!E95</f>
        <v>38</v>
      </c>
      <c r="G51" s="82" t="s">
        <v>141</v>
      </c>
      <c r="H51" s="83"/>
      <c r="I51" s="83"/>
      <c r="J51" s="83"/>
      <c r="K51" s="83"/>
      <c r="L51" s="83"/>
      <c r="M51" s="83"/>
      <c r="N51" s="83"/>
      <c r="O51" s="83"/>
      <c r="P51" s="83"/>
      <c r="Q51" s="84"/>
    </row>
    <row r="52" spans="1:27" x14ac:dyDescent="0.3">
      <c r="A52" t="s">
        <v>56</v>
      </c>
      <c r="B52" s="6">
        <f>'Inputs &amp; Summary'!E96</f>
        <v>135</v>
      </c>
      <c r="G52" s="85" t="s">
        <v>142</v>
      </c>
      <c r="H52" s="72"/>
      <c r="I52" s="72"/>
      <c r="J52" s="72"/>
      <c r="K52" s="72"/>
      <c r="L52" s="72"/>
      <c r="M52" s="72"/>
      <c r="N52" s="72"/>
      <c r="O52" s="72"/>
      <c r="P52" s="72"/>
      <c r="Q52" s="86"/>
    </row>
    <row r="53" spans="1:27" x14ac:dyDescent="0.3">
      <c r="A53" t="s">
        <v>38</v>
      </c>
      <c r="B53" s="158">
        <f>'Inputs &amp; Summary'!O117</f>
        <v>0.01</v>
      </c>
      <c r="C53" s="1" t="s">
        <v>193</v>
      </c>
    </row>
    <row r="54" spans="1:27" x14ac:dyDescent="0.3">
      <c r="A54" t="s">
        <v>39</v>
      </c>
      <c r="B54" s="160">
        <f>'Inputs &amp; Summary'!O118</f>
        <v>1.2E-2</v>
      </c>
      <c r="C54" s="1" t="s">
        <v>193</v>
      </c>
    </row>
    <row r="55" spans="1:27" x14ac:dyDescent="0.3">
      <c r="A55" s="3" t="s">
        <v>3</v>
      </c>
      <c r="B55">
        <v>0</v>
      </c>
      <c r="C55">
        <f>+B55+1</f>
        <v>1</v>
      </c>
      <c r="D55">
        <f t="shared" ref="D55:S56" si="16">+C55+1</f>
        <v>2</v>
      </c>
      <c r="E55">
        <f t="shared" si="16"/>
        <v>3</v>
      </c>
      <c r="F55">
        <f t="shared" si="16"/>
        <v>4</v>
      </c>
      <c r="G55">
        <f t="shared" si="16"/>
        <v>5</v>
      </c>
      <c r="H55">
        <f t="shared" si="16"/>
        <v>6</v>
      </c>
      <c r="I55">
        <f t="shared" si="16"/>
        <v>7</v>
      </c>
      <c r="J55">
        <f t="shared" si="16"/>
        <v>8</v>
      </c>
      <c r="K55">
        <f t="shared" si="16"/>
        <v>9</v>
      </c>
      <c r="L55">
        <f t="shared" si="16"/>
        <v>10</v>
      </c>
      <c r="M55">
        <f t="shared" si="16"/>
        <v>11</v>
      </c>
      <c r="N55">
        <f t="shared" si="16"/>
        <v>12</v>
      </c>
      <c r="O55">
        <f t="shared" si="16"/>
        <v>13</v>
      </c>
      <c r="P55">
        <f t="shared" si="16"/>
        <v>14</v>
      </c>
      <c r="Q55">
        <f t="shared" si="16"/>
        <v>15</v>
      </c>
      <c r="R55">
        <f t="shared" si="16"/>
        <v>16</v>
      </c>
      <c r="S55">
        <f t="shared" si="16"/>
        <v>17</v>
      </c>
      <c r="T55">
        <f t="shared" ref="T55:AA56" si="17">+S55+1</f>
        <v>18</v>
      </c>
      <c r="U55">
        <f t="shared" si="17"/>
        <v>19</v>
      </c>
      <c r="V55">
        <f t="shared" si="17"/>
        <v>20</v>
      </c>
      <c r="W55">
        <f t="shared" si="17"/>
        <v>21</v>
      </c>
      <c r="X55">
        <f t="shared" si="17"/>
        <v>22</v>
      </c>
      <c r="Y55">
        <f t="shared" si="17"/>
        <v>23</v>
      </c>
      <c r="Z55">
        <f t="shared" si="17"/>
        <v>24</v>
      </c>
      <c r="AA55">
        <f t="shared" si="17"/>
        <v>25</v>
      </c>
    </row>
    <row r="56" spans="1:27" x14ac:dyDescent="0.3">
      <c r="A56" s="18" t="s">
        <v>400</v>
      </c>
      <c r="B56" s="19">
        <v>2021</v>
      </c>
      <c r="C56" s="19">
        <f>+B56+1</f>
        <v>2022</v>
      </c>
      <c r="D56" s="19">
        <f t="shared" si="16"/>
        <v>2023</v>
      </c>
      <c r="E56" s="19">
        <f t="shared" si="16"/>
        <v>2024</v>
      </c>
      <c r="F56" s="19">
        <f t="shared" si="16"/>
        <v>2025</v>
      </c>
      <c r="G56" s="19">
        <f t="shared" si="16"/>
        <v>2026</v>
      </c>
      <c r="H56" s="19">
        <f t="shared" si="16"/>
        <v>2027</v>
      </c>
      <c r="I56" s="19">
        <f t="shared" si="16"/>
        <v>2028</v>
      </c>
      <c r="J56" s="19">
        <f t="shared" si="16"/>
        <v>2029</v>
      </c>
      <c r="K56" s="19">
        <f t="shared" si="16"/>
        <v>2030</v>
      </c>
      <c r="L56" s="19">
        <f t="shared" si="16"/>
        <v>2031</v>
      </c>
      <c r="M56" s="19">
        <f t="shared" si="16"/>
        <v>2032</v>
      </c>
      <c r="N56" s="19">
        <f t="shared" si="16"/>
        <v>2033</v>
      </c>
      <c r="O56" s="19">
        <f t="shared" si="16"/>
        <v>2034</v>
      </c>
      <c r="P56" s="19">
        <f t="shared" si="16"/>
        <v>2035</v>
      </c>
      <c r="Q56" s="19">
        <f t="shared" si="16"/>
        <v>2036</v>
      </c>
      <c r="R56" s="19">
        <f t="shared" si="16"/>
        <v>2037</v>
      </c>
      <c r="S56" s="19">
        <f t="shared" si="16"/>
        <v>2038</v>
      </c>
      <c r="T56" s="19">
        <f t="shared" si="17"/>
        <v>2039</v>
      </c>
      <c r="U56" s="19">
        <f t="shared" si="17"/>
        <v>2040</v>
      </c>
      <c r="V56" s="19">
        <f t="shared" si="17"/>
        <v>2041</v>
      </c>
      <c r="W56" s="19">
        <f t="shared" si="17"/>
        <v>2042</v>
      </c>
      <c r="X56" s="19">
        <f t="shared" si="17"/>
        <v>2043</v>
      </c>
      <c r="Y56" s="19">
        <f t="shared" si="17"/>
        <v>2044</v>
      </c>
      <c r="Z56" s="19">
        <f t="shared" si="17"/>
        <v>2045</v>
      </c>
      <c r="AA56" s="19">
        <f t="shared" si="17"/>
        <v>2046</v>
      </c>
    </row>
    <row r="57" spans="1:27" s="43" customFormat="1" x14ac:dyDescent="0.3">
      <c r="A57" s="14" t="s">
        <v>57</v>
      </c>
      <c r="B57" s="24">
        <f>(B$9&gt;$B$5)*($B$51*$B$52*$B$53)*(1+$B$54)^B55</f>
        <v>0</v>
      </c>
      <c r="C57" s="24">
        <f t="shared" ref="C57:AA57" si="18">(C$9&gt;$B$5)*($B$51*$B$52*$B$53)*(1+$B$54)^C55</f>
        <v>0</v>
      </c>
      <c r="D57" s="24">
        <f t="shared" si="18"/>
        <v>0</v>
      </c>
      <c r="E57" s="24">
        <f t="shared" si="18"/>
        <v>0</v>
      </c>
      <c r="F57" s="24">
        <f t="shared" si="18"/>
        <v>0</v>
      </c>
      <c r="G57" s="24">
        <f t="shared" si="18"/>
        <v>0</v>
      </c>
      <c r="H57" s="24">
        <f t="shared" si="18"/>
        <v>55.106196961095662</v>
      </c>
      <c r="I57" s="24">
        <f t="shared" si="18"/>
        <v>55.767471324628822</v>
      </c>
      <c r="J57" s="24">
        <f t="shared" si="18"/>
        <v>56.436680980524365</v>
      </c>
      <c r="K57" s="24">
        <f t="shared" si="18"/>
        <v>57.113921152290658</v>
      </c>
      <c r="L57" s="24">
        <f t="shared" si="18"/>
        <v>57.799288206118149</v>
      </c>
      <c r="M57" s="24">
        <f t="shared" si="18"/>
        <v>58.492879664591563</v>
      </c>
      <c r="N57" s="24">
        <f t="shared" si="18"/>
        <v>59.194794220566656</v>
      </c>
      <c r="O57" s="24">
        <f t="shared" si="18"/>
        <v>59.905131751213453</v>
      </c>
      <c r="P57" s="24">
        <f t="shared" si="18"/>
        <v>60.623993332228018</v>
      </c>
      <c r="Q57" s="24">
        <f t="shared" si="18"/>
        <v>61.351481252214768</v>
      </c>
      <c r="R57" s="24">
        <f t="shared" si="18"/>
        <v>62.087699027241342</v>
      </c>
      <c r="S57" s="24">
        <f t="shared" si="18"/>
        <v>62.832751415568239</v>
      </c>
      <c r="T57" s="24">
        <f t="shared" si="18"/>
        <v>63.586744432555051</v>
      </c>
      <c r="U57" s="24">
        <f t="shared" si="18"/>
        <v>64.349785365745717</v>
      </c>
      <c r="V57" s="24">
        <f t="shared" si="18"/>
        <v>65.121982790134652</v>
      </c>
      <c r="W57" s="24">
        <f t="shared" si="18"/>
        <v>65.903446583616287</v>
      </c>
      <c r="X57" s="24">
        <f t="shared" si="18"/>
        <v>66.694287942619667</v>
      </c>
      <c r="Y57" s="24">
        <f t="shared" si="18"/>
        <v>67.494619397931118</v>
      </c>
      <c r="Z57" s="24">
        <f t="shared" si="18"/>
        <v>68.30455483070628</v>
      </c>
      <c r="AA57" s="24">
        <f t="shared" si="18"/>
        <v>69.124209488674751</v>
      </c>
    </row>
    <row r="59" spans="1:27" x14ac:dyDescent="0.3">
      <c r="A59" s="45" t="s">
        <v>50</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row>
    <row r="60" spans="1:27" x14ac:dyDescent="0.3">
      <c r="A60" t="s">
        <v>40</v>
      </c>
      <c r="B60" s="156">
        <f>'Inputs &amp; Summary'!E95</f>
        <v>38</v>
      </c>
    </row>
    <row r="61" spans="1:27" x14ac:dyDescent="0.3">
      <c r="A61" t="s">
        <v>56</v>
      </c>
      <c r="B61" s="6">
        <f>'Inputs &amp; Summary'!E96</f>
        <v>135</v>
      </c>
      <c r="G61" s="82" t="s">
        <v>143</v>
      </c>
      <c r="H61" s="83"/>
      <c r="I61" s="83"/>
      <c r="J61" s="83"/>
      <c r="K61" s="83"/>
      <c r="L61" s="83"/>
      <c r="M61" s="83"/>
      <c r="N61" s="83"/>
      <c r="O61" s="83"/>
      <c r="P61" s="83"/>
      <c r="Q61" s="83"/>
      <c r="R61" s="83"/>
      <c r="S61" s="83"/>
      <c r="T61" s="83"/>
      <c r="U61" s="83"/>
      <c r="V61" s="84"/>
    </row>
    <row r="62" spans="1:27" x14ac:dyDescent="0.3">
      <c r="A62" t="s">
        <v>38</v>
      </c>
      <c r="B62" s="158">
        <f>'Inputs &amp; Summary'!O121</f>
        <v>1.4999999999999999E-2</v>
      </c>
      <c r="C62" s="1" t="s">
        <v>193</v>
      </c>
      <c r="G62" s="85" t="s">
        <v>142</v>
      </c>
      <c r="H62" s="72"/>
      <c r="I62" s="72"/>
      <c r="J62" s="72"/>
      <c r="K62" s="72"/>
      <c r="L62" s="72"/>
      <c r="M62" s="72"/>
      <c r="N62" s="72"/>
      <c r="O62" s="72"/>
      <c r="P62" s="72"/>
      <c r="Q62" s="72"/>
      <c r="R62" s="72"/>
      <c r="S62" s="72"/>
      <c r="T62" s="72"/>
      <c r="U62" s="72"/>
      <c r="V62" s="86"/>
    </row>
    <row r="63" spans="1:27" x14ac:dyDescent="0.3">
      <c r="A63" t="s">
        <v>39</v>
      </c>
      <c r="B63" s="160">
        <f>'Inputs &amp; Summary'!O122</f>
        <v>1.2E-2</v>
      </c>
      <c r="C63" s="1" t="s">
        <v>193</v>
      </c>
    </row>
    <row r="64" spans="1:27" x14ac:dyDescent="0.3">
      <c r="A64" t="s">
        <v>121</v>
      </c>
      <c r="B64">
        <f>+B60*B61*B62</f>
        <v>76.95</v>
      </c>
    </row>
    <row r="65" spans="1:27" x14ac:dyDescent="0.3">
      <c r="A65" s="3" t="s">
        <v>3</v>
      </c>
      <c r="B65">
        <v>0</v>
      </c>
      <c r="C65">
        <f>+B65+1</f>
        <v>1</v>
      </c>
      <c r="D65">
        <f t="shared" ref="D65:S66" si="19">+C65+1</f>
        <v>2</v>
      </c>
      <c r="E65">
        <f t="shared" si="19"/>
        <v>3</v>
      </c>
      <c r="F65">
        <f t="shared" si="19"/>
        <v>4</v>
      </c>
      <c r="G65">
        <f t="shared" si="19"/>
        <v>5</v>
      </c>
      <c r="H65">
        <f t="shared" si="19"/>
        <v>6</v>
      </c>
      <c r="I65">
        <f t="shared" si="19"/>
        <v>7</v>
      </c>
      <c r="J65">
        <f t="shared" si="19"/>
        <v>8</v>
      </c>
      <c r="K65">
        <f t="shared" si="19"/>
        <v>9</v>
      </c>
      <c r="L65">
        <f t="shared" si="19"/>
        <v>10</v>
      </c>
      <c r="M65">
        <f t="shared" si="19"/>
        <v>11</v>
      </c>
      <c r="N65">
        <f t="shared" si="19"/>
        <v>12</v>
      </c>
      <c r="O65">
        <f t="shared" si="19"/>
        <v>13</v>
      </c>
      <c r="P65">
        <f t="shared" si="19"/>
        <v>14</v>
      </c>
      <c r="Q65">
        <f t="shared" si="19"/>
        <v>15</v>
      </c>
      <c r="R65">
        <f t="shared" si="19"/>
        <v>16</v>
      </c>
      <c r="S65">
        <f t="shared" si="19"/>
        <v>17</v>
      </c>
      <c r="T65">
        <f t="shared" ref="T65:AA66" si="20">+S65+1</f>
        <v>18</v>
      </c>
      <c r="U65">
        <f t="shared" si="20"/>
        <v>19</v>
      </c>
      <c r="V65">
        <f t="shared" si="20"/>
        <v>20</v>
      </c>
      <c r="W65">
        <f t="shared" si="20"/>
        <v>21</v>
      </c>
      <c r="X65">
        <f t="shared" si="20"/>
        <v>22</v>
      </c>
      <c r="Y65">
        <f t="shared" si="20"/>
        <v>23</v>
      </c>
      <c r="Z65">
        <f t="shared" si="20"/>
        <v>24</v>
      </c>
      <c r="AA65">
        <f t="shared" si="20"/>
        <v>25</v>
      </c>
    </row>
    <row r="66" spans="1:27" x14ac:dyDescent="0.3">
      <c r="A66" s="18" t="s">
        <v>400</v>
      </c>
      <c r="B66" s="19">
        <v>2021</v>
      </c>
      <c r="C66" s="19">
        <f>+B66+1</f>
        <v>2022</v>
      </c>
      <c r="D66" s="19">
        <f t="shared" si="19"/>
        <v>2023</v>
      </c>
      <c r="E66" s="19">
        <f t="shared" si="19"/>
        <v>2024</v>
      </c>
      <c r="F66" s="19">
        <f t="shared" si="19"/>
        <v>2025</v>
      </c>
      <c r="G66" s="19">
        <f t="shared" si="19"/>
        <v>2026</v>
      </c>
      <c r="H66" s="19">
        <f t="shared" si="19"/>
        <v>2027</v>
      </c>
      <c r="I66" s="19">
        <f t="shared" si="19"/>
        <v>2028</v>
      </c>
      <c r="J66" s="19">
        <f t="shared" si="19"/>
        <v>2029</v>
      </c>
      <c r="K66" s="19">
        <f t="shared" si="19"/>
        <v>2030</v>
      </c>
      <c r="L66" s="19">
        <f t="shared" si="19"/>
        <v>2031</v>
      </c>
      <c r="M66" s="19">
        <f t="shared" si="19"/>
        <v>2032</v>
      </c>
      <c r="N66" s="19">
        <f t="shared" si="19"/>
        <v>2033</v>
      </c>
      <c r="O66" s="19">
        <f t="shared" si="19"/>
        <v>2034</v>
      </c>
      <c r="P66" s="19">
        <f t="shared" si="19"/>
        <v>2035</v>
      </c>
      <c r="Q66" s="19">
        <f t="shared" si="19"/>
        <v>2036</v>
      </c>
      <c r="R66" s="19">
        <f t="shared" si="19"/>
        <v>2037</v>
      </c>
      <c r="S66" s="19">
        <f t="shared" si="19"/>
        <v>2038</v>
      </c>
      <c r="T66" s="19">
        <f t="shared" si="20"/>
        <v>2039</v>
      </c>
      <c r="U66" s="19">
        <f t="shared" si="20"/>
        <v>2040</v>
      </c>
      <c r="V66" s="19">
        <f t="shared" si="20"/>
        <v>2041</v>
      </c>
      <c r="W66" s="19">
        <f t="shared" si="20"/>
        <v>2042</v>
      </c>
      <c r="X66" s="19">
        <f t="shared" si="20"/>
        <v>2043</v>
      </c>
      <c r="Y66" s="19">
        <f t="shared" si="20"/>
        <v>2044</v>
      </c>
      <c r="Z66" s="19">
        <f t="shared" si="20"/>
        <v>2045</v>
      </c>
      <c r="AA66" s="19">
        <f t="shared" si="20"/>
        <v>2046</v>
      </c>
    </row>
    <row r="67" spans="1:27" s="6" customFormat="1" x14ac:dyDescent="0.3">
      <c r="A67" s="30" t="s">
        <v>58</v>
      </c>
      <c r="B67" s="24">
        <f t="shared" ref="B67:G67" si="21">(B$9&gt;$B$5)*($B$64*(1+$B$63)^B65)</f>
        <v>0</v>
      </c>
      <c r="C67" s="24">
        <f t="shared" si="21"/>
        <v>0</v>
      </c>
      <c r="D67" s="24">
        <f t="shared" si="21"/>
        <v>0</v>
      </c>
      <c r="E67" s="24">
        <f t="shared" si="21"/>
        <v>0</v>
      </c>
      <c r="F67" s="24">
        <f t="shared" si="21"/>
        <v>0</v>
      </c>
      <c r="G67" s="24">
        <f t="shared" si="21"/>
        <v>0</v>
      </c>
      <c r="H67" s="24">
        <f>(H$9&gt;$B$5)*($B$64*(1+$B$63)^H65)</f>
        <v>82.659295441643494</v>
      </c>
      <c r="I67" s="24">
        <f t="shared" ref="I67:AA67" si="22">(I$9&gt;$B$5)*($B$64*(1+$B$63)^I65)</f>
        <v>83.651206986943237</v>
      </c>
      <c r="J67" s="24">
        <f t="shared" si="22"/>
        <v>84.655021470786551</v>
      </c>
      <c r="K67" s="24">
        <f t="shared" si="22"/>
        <v>85.670881728435987</v>
      </c>
      <c r="L67" s="24">
        <f t="shared" si="22"/>
        <v>86.698932309177209</v>
      </c>
      <c r="M67" s="24">
        <f t="shared" si="22"/>
        <v>87.739319496887333</v>
      </c>
      <c r="N67" s="24">
        <f t="shared" si="22"/>
        <v>88.792191330849988</v>
      </c>
      <c r="O67" s="24">
        <f t="shared" si="22"/>
        <v>89.857697626820183</v>
      </c>
      <c r="P67" s="24">
        <f t="shared" si="22"/>
        <v>90.935989998342023</v>
      </c>
      <c r="Q67" s="24">
        <f t="shared" si="22"/>
        <v>92.027221878322152</v>
      </c>
      <c r="R67" s="24">
        <f t="shared" si="22"/>
        <v>93.131548540861999</v>
      </c>
      <c r="S67" s="24">
        <f t="shared" si="22"/>
        <v>94.249127123352352</v>
      </c>
      <c r="T67" s="24">
        <f t="shared" si="22"/>
        <v>95.380116648832569</v>
      </c>
      <c r="U67" s="24">
        <f t="shared" si="22"/>
        <v>96.524678048618568</v>
      </c>
      <c r="V67" s="24">
        <f t="shared" si="22"/>
        <v>97.682974185201985</v>
      </c>
      <c r="W67" s="24">
        <f t="shared" si="22"/>
        <v>98.855169875424423</v>
      </c>
      <c r="X67" s="24">
        <f t="shared" si="22"/>
        <v>100.04143191392949</v>
      </c>
      <c r="Y67" s="24">
        <f t="shared" si="22"/>
        <v>101.24192909689667</v>
      </c>
      <c r="Z67" s="24">
        <f t="shared" si="22"/>
        <v>102.45683224605942</v>
      </c>
      <c r="AA67" s="24">
        <f t="shared" si="22"/>
        <v>103.68631423301213</v>
      </c>
    </row>
    <row r="69" spans="1:27" x14ac:dyDescent="0.3">
      <c r="A69" s="45" t="s">
        <v>21</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row>
    <row r="70" spans="1:27" s="6" customFormat="1" x14ac:dyDescent="0.3">
      <c r="A70" s="6" t="s">
        <v>113</v>
      </c>
      <c r="B70" s="65">
        <f>'Inputs &amp; Summary'!O81</f>
        <v>47.828616539314339</v>
      </c>
    </row>
    <row r="71" spans="1:27" s="6" customFormat="1" x14ac:dyDescent="0.3">
      <c r="A71" s="6" t="s">
        <v>114</v>
      </c>
      <c r="B71" s="32">
        <f>'Inputs &amp; Summary'!E84</f>
        <v>182420</v>
      </c>
      <c r="G71" s="82" t="s">
        <v>145</v>
      </c>
      <c r="H71" s="83"/>
      <c r="I71" s="83"/>
      <c r="J71" s="83"/>
      <c r="K71" s="83"/>
      <c r="L71" s="83"/>
      <c r="M71" s="83"/>
      <c r="N71" s="83"/>
      <c r="O71" s="83"/>
      <c r="P71" s="83"/>
      <c r="Q71" s="83"/>
      <c r="R71" s="83"/>
      <c r="S71" s="83"/>
      <c r="T71" s="83"/>
      <c r="U71" s="84"/>
    </row>
    <row r="72" spans="1:27" s="6" customFormat="1" x14ac:dyDescent="0.3">
      <c r="A72" s="13" t="s">
        <v>44</v>
      </c>
      <c r="B72" s="54">
        <f>'Inputs &amp; Summary'!O85</f>
        <v>1.12E-2</v>
      </c>
      <c r="D72" s="43"/>
      <c r="E72" s="43"/>
      <c r="F72" s="43"/>
      <c r="G72" s="87" t="s">
        <v>138</v>
      </c>
      <c r="H72" s="88"/>
      <c r="I72" s="88"/>
      <c r="J72" s="88"/>
      <c r="K72" s="88"/>
      <c r="L72" s="88"/>
      <c r="M72" s="88"/>
      <c r="N72" s="88"/>
      <c r="O72" s="88"/>
      <c r="P72" s="88"/>
      <c r="Q72" s="88"/>
      <c r="R72" s="88"/>
      <c r="S72" s="88"/>
      <c r="T72" s="88"/>
      <c r="U72" s="89"/>
    </row>
    <row r="73" spans="1:27" s="6" customFormat="1" x14ac:dyDescent="0.3">
      <c r="A73" s="20" t="s">
        <v>115</v>
      </c>
      <c r="B73" s="157">
        <f>'Inputs &amp; Summary'!O124</f>
        <v>0.02</v>
      </c>
      <c r="C73" s="1" t="s">
        <v>193</v>
      </c>
      <c r="D73" s="43"/>
      <c r="E73" s="43"/>
      <c r="F73" s="43"/>
      <c r="G73" s="85" t="s">
        <v>144</v>
      </c>
      <c r="H73" s="72"/>
      <c r="I73" s="72"/>
      <c r="J73" s="72"/>
      <c r="K73" s="72"/>
      <c r="L73" s="72"/>
      <c r="M73" s="72"/>
      <c r="N73" s="72"/>
      <c r="O73" s="72"/>
      <c r="P73" s="72"/>
      <c r="Q73" s="72"/>
      <c r="R73" s="72"/>
      <c r="S73" s="72"/>
      <c r="T73" s="72"/>
      <c r="U73" s="86"/>
    </row>
    <row r="74" spans="1:27" s="6" customFormat="1" x14ac:dyDescent="0.3">
      <c r="A74" s="20" t="s">
        <v>116</v>
      </c>
      <c r="B74" s="67">
        <f>+B70*B71*B73/1000</f>
        <v>174.49792458203444</v>
      </c>
      <c r="D74" s="43"/>
      <c r="E74" s="43"/>
      <c r="F74" s="43"/>
      <c r="G74" s="43"/>
      <c r="H74" s="43"/>
      <c r="I74" s="43"/>
      <c r="J74" s="43"/>
    </row>
    <row r="75" spans="1:27" x14ac:dyDescent="0.3">
      <c r="A75" s="3" t="s">
        <v>3</v>
      </c>
      <c r="B75">
        <v>0</v>
      </c>
      <c r="C75">
        <f>+B75+1</f>
        <v>1</v>
      </c>
      <c r="D75">
        <f t="shared" ref="D75:S76" si="23">+C75+1</f>
        <v>2</v>
      </c>
      <c r="E75">
        <f t="shared" si="23"/>
        <v>3</v>
      </c>
      <c r="F75">
        <f t="shared" si="23"/>
        <v>4</v>
      </c>
      <c r="G75">
        <f t="shared" si="23"/>
        <v>5</v>
      </c>
      <c r="H75">
        <f t="shared" si="23"/>
        <v>6</v>
      </c>
      <c r="I75">
        <f t="shared" si="23"/>
        <v>7</v>
      </c>
      <c r="J75">
        <f t="shared" si="23"/>
        <v>8</v>
      </c>
      <c r="K75">
        <f t="shared" si="23"/>
        <v>9</v>
      </c>
      <c r="L75">
        <f t="shared" si="23"/>
        <v>10</v>
      </c>
      <c r="M75">
        <f t="shared" si="23"/>
        <v>11</v>
      </c>
      <c r="N75">
        <f t="shared" si="23"/>
        <v>12</v>
      </c>
      <c r="O75">
        <f t="shared" si="23"/>
        <v>13</v>
      </c>
      <c r="P75">
        <f t="shared" si="23"/>
        <v>14</v>
      </c>
      <c r="Q75">
        <f t="shared" si="23"/>
        <v>15</v>
      </c>
      <c r="R75">
        <f t="shared" si="23"/>
        <v>16</v>
      </c>
      <c r="S75">
        <f t="shared" si="23"/>
        <v>17</v>
      </c>
      <c r="T75">
        <f t="shared" ref="T75:AA76" si="24">+S75+1</f>
        <v>18</v>
      </c>
      <c r="U75">
        <f t="shared" si="24"/>
        <v>19</v>
      </c>
      <c r="V75">
        <f t="shared" si="24"/>
        <v>20</v>
      </c>
      <c r="W75">
        <f t="shared" si="24"/>
        <v>21</v>
      </c>
      <c r="X75">
        <f t="shared" si="24"/>
        <v>22</v>
      </c>
      <c r="Y75">
        <f t="shared" si="24"/>
        <v>23</v>
      </c>
      <c r="Z75">
        <f t="shared" si="24"/>
        <v>24</v>
      </c>
      <c r="AA75">
        <f t="shared" si="24"/>
        <v>25</v>
      </c>
    </row>
    <row r="76" spans="1:27" x14ac:dyDescent="0.3">
      <c r="A76" s="18" t="s">
        <v>400</v>
      </c>
      <c r="B76" s="19">
        <v>2021</v>
      </c>
      <c r="C76" s="19">
        <f>+B76+1</f>
        <v>2022</v>
      </c>
      <c r="D76" s="19">
        <f t="shared" si="23"/>
        <v>2023</v>
      </c>
      <c r="E76" s="19">
        <f t="shared" si="23"/>
        <v>2024</v>
      </c>
      <c r="F76" s="19">
        <f t="shared" si="23"/>
        <v>2025</v>
      </c>
      <c r="G76" s="19">
        <f t="shared" si="23"/>
        <v>2026</v>
      </c>
      <c r="H76" s="19">
        <f t="shared" si="23"/>
        <v>2027</v>
      </c>
      <c r="I76" s="19">
        <f t="shared" si="23"/>
        <v>2028</v>
      </c>
      <c r="J76" s="19">
        <f t="shared" si="23"/>
        <v>2029</v>
      </c>
      <c r="K76" s="19">
        <f t="shared" si="23"/>
        <v>2030</v>
      </c>
      <c r="L76" s="19">
        <f t="shared" si="23"/>
        <v>2031</v>
      </c>
      <c r="M76" s="19">
        <f t="shared" si="23"/>
        <v>2032</v>
      </c>
      <c r="N76" s="19">
        <f t="shared" si="23"/>
        <v>2033</v>
      </c>
      <c r="O76" s="19">
        <f t="shared" si="23"/>
        <v>2034</v>
      </c>
      <c r="P76" s="19">
        <f t="shared" si="23"/>
        <v>2035</v>
      </c>
      <c r="Q76" s="19">
        <f t="shared" si="23"/>
        <v>2036</v>
      </c>
      <c r="R76" s="19">
        <f t="shared" si="23"/>
        <v>2037</v>
      </c>
      <c r="S76" s="19">
        <f t="shared" si="23"/>
        <v>2038</v>
      </c>
      <c r="T76" s="19">
        <f t="shared" si="24"/>
        <v>2039</v>
      </c>
      <c r="U76" s="19">
        <f t="shared" si="24"/>
        <v>2040</v>
      </c>
      <c r="V76" s="19">
        <f t="shared" si="24"/>
        <v>2041</v>
      </c>
      <c r="W76" s="19">
        <f t="shared" si="24"/>
        <v>2042</v>
      </c>
      <c r="X76" s="19">
        <f t="shared" si="24"/>
        <v>2043</v>
      </c>
      <c r="Y76" s="19">
        <f t="shared" si="24"/>
        <v>2044</v>
      </c>
      <c r="Z76" s="19">
        <f t="shared" si="24"/>
        <v>2045</v>
      </c>
      <c r="AA76" s="19">
        <f t="shared" si="24"/>
        <v>2046</v>
      </c>
    </row>
    <row r="77" spans="1:27" x14ac:dyDescent="0.3">
      <c r="A77" s="30" t="s">
        <v>59</v>
      </c>
      <c r="B77" s="24">
        <f t="shared" ref="B77:G77" si="25">(B$9&gt;$B$5)*($B$74*(1+$B$72)^B75)</f>
        <v>0</v>
      </c>
      <c r="C77" s="24">
        <f t="shared" si="25"/>
        <v>0</v>
      </c>
      <c r="D77" s="24">
        <f t="shared" si="25"/>
        <v>0</v>
      </c>
      <c r="E77" s="24">
        <f t="shared" si="25"/>
        <v>0</v>
      </c>
      <c r="F77" s="24">
        <f t="shared" si="25"/>
        <v>0</v>
      </c>
      <c r="G77" s="24">
        <f t="shared" si="25"/>
        <v>0</v>
      </c>
      <c r="H77" s="24">
        <f>(H$9&gt;$B$5)*($B$74*(1+$B$72)^H75)</f>
        <v>186.55746492048334</v>
      </c>
      <c r="I77" s="24">
        <f t="shared" ref="I77:AA77" si="26">(I$9&gt;$B$5)*($B$74*(1+$B$72)^I75)</f>
        <v>188.64690852759279</v>
      </c>
      <c r="J77" s="24">
        <f t="shared" si="26"/>
        <v>190.75975390310182</v>
      </c>
      <c r="K77" s="24">
        <f t="shared" si="26"/>
        <v>192.89626314681658</v>
      </c>
      <c r="L77" s="24">
        <f t="shared" si="26"/>
        <v>195.05670129406093</v>
      </c>
      <c r="M77" s="24">
        <f t="shared" si="26"/>
        <v>197.24133634855443</v>
      </c>
      <c r="N77" s="24">
        <f t="shared" si="26"/>
        <v>199.45043931565823</v>
      </c>
      <c r="O77" s="24">
        <f t="shared" si="26"/>
        <v>201.68428423599363</v>
      </c>
      <c r="P77" s="24">
        <f t="shared" si="26"/>
        <v>203.94314821943678</v>
      </c>
      <c r="Q77" s="24">
        <f t="shared" si="26"/>
        <v>206.22731147949452</v>
      </c>
      <c r="R77" s="24">
        <f t="shared" si="26"/>
        <v>208.53705736806484</v>
      </c>
      <c r="S77" s="24">
        <f t="shared" si="26"/>
        <v>210.87267241058717</v>
      </c>
      <c r="T77" s="24">
        <f t="shared" si="26"/>
        <v>213.23444634158577</v>
      </c>
      <c r="U77" s="24">
        <f t="shared" si="26"/>
        <v>215.62267214061154</v>
      </c>
      <c r="V77" s="24">
        <f t="shared" si="26"/>
        <v>218.03764606858641</v>
      </c>
      <c r="W77" s="24">
        <f t="shared" si="26"/>
        <v>220.47966770455457</v>
      </c>
      <c r="X77" s="24">
        <f t="shared" si="26"/>
        <v>222.94903998284562</v>
      </c>
      <c r="Y77" s="24">
        <f t="shared" si="26"/>
        <v>225.44606923065353</v>
      </c>
      <c r="Z77" s="24">
        <f t="shared" si="26"/>
        <v>227.97106520603683</v>
      </c>
      <c r="AA77" s="24">
        <f t="shared" si="26"/>
        <v>230.5243411363445</v>
      </c>
    </row>
    <row r="79" spans="1:27" x14ac:dyDescent="0.3">
      <c r="A79" s="17" t="s">
        <v>69</v>
      </c>
      <c r="B79" s="17">
        <f t="shared" ref="B79:AA79" si="27">+B56</f>
        <v>2021</v>
      </c>
      <c r="C79" s="17">
        <f t="shared" si="27"/>
        <v>2022</v>
      </c>
      <c r="D79" s="17">
        <f t="shared" si="27"/>
        <v>2023</v>
      </c>
      <c r="E79" s="17">
        <f t="shared" si="27"/>
        <v>2024</v>
      </c>
      <c r="F79" s="17">
        <f t="shared" si="27"/>
        <v>2025</v>
      </c>
      <c r="G79" s="17">
        <f t="shared" si="27"/>
        <v>2026</v>
      </c>
      <c r="H79" s="17">
        <f t="shared" si="27"/>
        <v>2027</v>
      </c>
      <c r="I79" s="17">
        <f t="shared" si="27"/>
        <v>2028</v>
      </c>
      <c r="J79" s="17">
        <f t="shared" si="27"/>
        <v>2029</v>
      </c>
      <c r="K79" s="17">
        <f t="shared" si="27"/>
        <v>2030</v>
      </c>
      <c r="L79" s="17">
        <f t="shared" si="27"/>
        <v>2031</v>
      </c>
      <c r="M79" s="17">
        <f t="shared" si="27"/>
        <v>2032</v>
      </c>
      <c r="N79" s="17">
        <f t="shared" si="27"/>
        <v>2033</v>
      </c>
      <c r="O79" s="17">
        <f t="shared" si="27"/>
        <v>2034</v>
      </c>
      <c r="P79" s="17">
        <f t="shared" si="27"/>
        <v>2035</v>
      </c>
      <c r="Q79" s="17">
        <f t="shared" si="27"/>
        <v>2036</v>
      </c>
      <c r="R79" s="17">
        <f t="shared" si="27"/>
        <v>2037</v>
      </c>
      <c r="S79" s="17">
        <f t="shared" si="27"/>
        <v>2038</v>
      </c>
      <c r="T79" s="17">
        <f t="shared" si="27"/>
        <v>2039</v>
      </c>
      <c r="U79" s="17">
        <f t="shared" si="27"/>
        <v>2040</v>
      </c>
      <c r="V79" s="17">
        <f t="shared" si="27"/>
        <v>2041</v>
      </c>
      <c r="W79" s="17">
        <f t="shared" si="27"/>
        <v>2042</v>
      </c>
      <c r="X79" s="17">
        <f t="shared" si="27"/>
        <v>2043</v>
      </c>
      <c r="Y79" s="17">
        <f t="shared" si="27"/>
        <v>2044</v>
      </c>
      <c r="Z79" s="17">
        <f t="shared" si="27"/>
        <v>2045</v>
      </c>
      <c r="AA79" s="17">
        <f t="shared" si="27"/>
        <v>2046</v>
      </c>
    </row>
    <row r="80" spans="1:27" s="1" customFormat="1" ht="15" thickBot="1" x14ac:dyDescent="0.35">
      <c r="A80" s="38" t="s">
        <v>197</v>
      </c>
      <c r="B80" s="39">
        <f t="shared" ref="B80:AA80" si="28">+B77+B67+B57</f>
        <v>0</v>
      </c>
      <c r="C80" s="39">
        <f t="shared" si="28"/>
        <v>0</v>
      </c>
      <c r="D80" s="39">
        <f t="shared" si="28"/>
        <v>0</v>
      </c>
      <c r="E80" s="39">
        <f t="shared" si="28"/>
        <v>0</v>
      </c>
      <c r="F80" s="39">
        <f t="shared" si="28"/>
        <v>0</v>
      </c>
      <c r="G80" s="39">
        <f t="shared" si="28"/>
        <v>0</v>
      </c>
      <c r="H80" s="39">
        <f t="shared" si="28"/>
        <v>324.32295732322245</v>
      </c>
      <c r="I80" s="39">
        <f t="shared" si="28"/>
        <v>328.06558683916484</v>
      </c>
      <c r="J80" s="39">
        <f t="shared" si="28"/>
        <v>331.85145635441273</v>
      </c>
      <c r="K80" s="39">
        <f t="shared" si="28"/>
        <v>335.68106602754324</v>
      </c>
      <c r="L80" s="39">
        <f t="shared" si="28"/>
        <v>339.5549218093563</v>
      </c>
      <c r="M80" s="39">
        <f t="shared" si="28"/>
        <v>343.47353551003334</v>
      </c>
      <c r="N80" s="39">
        <f t="shared" si="28"/>
        <v>347.43742486707492</v>
      </c>
      <c r="O80" s="39">
        <f t="shared" si="28"/>
        <v>351.44711361402727</v>
      </c>
      <c r="P80" s="39">
        <f t="shared" si="28"/>
        <v>355.5031315500068</v>
      </c>
      <c r="Q80" s="39">
        <f t="shared" si="28"/>
        <v>359.60601461003148</v>
      </c>
      <c r="R80" s="39">
        <f t="shared" si="28"/>
        <v>363.75630493616819</v>
      </c>
      <c r="S80" s="39">
        <f t="shared" si="28"/>
        <v>367.95455094950773</v>
      </c>
      <c r="T80" s="39">
        <f t="shared" si="28"/>
        <v>372.2013074229734</v>
      </c>
      <c r="U80" s="39">
        <f t="shared" si="28"/>
        <v>376.49713555497584</v>
      </c>
      <c r="V80" s="39">
        <f t="shared" si="28"/>
        <v>380.84260304392308</v>
      </c>
      <c r="W80" s="39">
        <f t="shared" si="28"/>
        <v>385.23828416359527</v>
      </c>
      <c r="X80" s="39">
        <f t="shared" si="28"/>
        <v>389.68475983939476</v>
      </c>
      <c r="Y80" s="39">
        <f t="shared" si="28"/>
        <v>394.18261772548129</v>
      </c>
      <c r="Z80" s="39">
        <f t="shared" si="28"/>
        <v>398.73245228280257</v>
      </c>
      <c r="AA80" s="39">
        <f t="shared" si="28"/>
        <v>403.33486485803138</v>
      </c>
    </row>
    <row r="82" spans="1:27" ht="18" x14ac:dyDescent="0.35">
      <c r="A82" s="109" t="s">
        <v>167</v>
      </c>
      <c r="B82" s="110"/>
    </row>
    <row r="83" spans="1:27" x14ac:dyDescent="0.3">
      <c r="A83" s="45" t="s">
        <v>67</v>
      </c>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x14ac:dyDescent="0.3">
      <c r="A84" t="s">
        <v>40</v>
      </c>
      <c r="B84" s="156">
        <f>'Inputs &amp; Summary'!E95</f>
        <v>38</v>
      </c>
    </row>
    <row r="85" spans="1:27" x14ac:dyDescent="0.3">
      <c r="A85" t="s">
        <v>56</v>
      </c>
      <c r="B85" s="6">
        <f>'Inputs &amp; Summary'!E96</f>
        <v>135</v>
      </c>
    </row>
    <row r="86" spans="1:27" x14ac:dyDescent="0.3">
      <c r="A86" t="s">
        <v>38</v>
      </c>
      <c r="B86" s="158">
        <f>'Inputs &amp; Summary'!O176</f>
        <v>2.5000000000000001E-2</v>
      </c>
      <c r="C86" s="1" t="s">
        <v>193</v>
      </c>
      <c r="G86" s="82" t="s">
        <v>442</v>
      </c>
      <c r="H86" s="83"/>
      <c r="I86" s="83"/>
      <c r="J86" s="83"/>
      <c r="K86" s="83"/>
      <c r="L86" s="83"/>
      <c r="M86" s="83"/>
      <c r="N86" s="83"/>
      <c r="O86" s="83"/>
      <c r="P86" s="83"/>
      <c r="Q86" s="83"/>
      <c r="R86" s="83"/>
      <c r="S86" s="83"/>
      <c r="T86" s="83"/>
      <c r="U86" s="83"/>
      <c r="V86" s="84"/>
    </row>
    <row r="87" spans="1:27" x14ac:dyDescent="0.3">
      <c r="A87" t="s">
        <v>39</v>
      </c>
      <c r="B87" s="160">
        <f>'Inputs &amp; Summary'!O177</f>
        <v>1.2E-2</v>
      </c>
      <c r="C87" s="1" t="s">
        <v>193</v>
      </c>
      <c r="G87" s="85" t="s">
        <v>198</v>
      </c>
      <c r="H87" s="72"/>
      <c r="I87" s="72"/>
      <c r="J87" s="72"/>
      <c r="K87" s="72"/>
      <c r="L87" s="72"/>
      <c r="M87" s="72"/>
      <c r="N87" s="72"/>
      <c r="O87" s="72"/>
      <c r="P87" s="72"/>
      <c r="Q87" s="72"/>
      <c r="R87" s="72"/>
      <c r="S87" s="72"/>
      <c r="T87" s="72"/>
      <c r="U87" s="72"/>
      <c r="V87" s="86"/>
    </row>
    <row r="88" spans="1:27" x14ac:dyDescent="0.3">
      <c r="A88" t="s">
        <v>121</v>
      </c>
      <c r="B88">
        <f>+B84*B85*B86</f>
        <v>128.25</v>
      </c>
    </row>
    <row r="89" spans="1:27" x14ac:dyDescent="0.3">
      <c r="A89" s="3" t="s">
        <v>3</v>
      </c>
      <c r="B89">
        <v>0</v>
      </c>
      <c r="C89">
        <f>+B89+1</f>
        <v>1</v>
      </c>
      <c r="D89">
        <f t="shared" ref="D89:S90" si="29">+C89+1</f>
        <v>2</v>
      </c>
      <c r="E89">
        <f t="shared" si="29"/>
        <v>3</v>
      </c>
      <c r="F89">
        <f t="shared" si="29"/>
        <v>4</v>
      </c>
      <c r="G89">
        <f t="shared" si="29"/>
        <v>5</v>
      </c>
      <c r="H89">
        <f t="shared" si="29"/>
        <v>6</v>
      </c>
      <c r="I89">
        <f t="shared" si="29"/>
        <v>7</v>
      </c>
      <c r="J89">
        <f t="shared" si="29"/>
        <v>8</v>
      </c>
      <c r="K89">
        <f t="shared" si="29"/>
        <v>9</v>
      </c>
      <c r="L89">
        <f t="shared" si="29"/>
        <v>10</v>
      </c>
      <c r="M89">
        <f t="shared" si="29"/>
        <v>11</v>
      </c>
      <c r="N89">
        <f t="shared" si="29"/>
        <v>12</v>
      </c>
      <c r="O89">
        <f t="shared" si="29"/>
        <v>13</v>
      </c>
      <c r="P89">
        <f t="shared" si="29"/>
        <v>14</v>
      </c>
      <c r="Q89">
        <f t="shared" si="29"/>
        <v>15</v>
      </c>
      <c r="R89">
        <f t="shared" si="29"/>
        <v>16</v>
      </c>
      <c r="S89">
        <f t="shared" si="29"/>
        <v>17</v>
      </c>
      <c r="T89">
        <f t="shared" ref="T89:AA90" si="30">+S89+1</f>
        <v>18</v>
      </c>
      <c r="U89">
        <f t="shared" si="30"/>
        <v>19</v>
      </c>
      <c r="V89">
        <f t="shared" si="30"/>
        <v>20</v>
      </c>
      <c r="W89">
        <f t="shared" si="30"/>
        <v>21</v>
      </c>
      <c r="X89">
        <f t="shared" si="30"/>
        <v>22</v>
      </c>
      <c r="Y89">
        <f t="shared" si="30"/>
        <v>23</v>
      </c>
      <c r="Z89">
        <f t="shared" si="30"/>
        <v>24</v>
      </c>
      <c r="AA89">
        <f t="shared" si="30"/>
        <v>25</v>
      </c>
    </row>
    <row r="90" spans="1:27" x14ac:dyDescent="0.3">
      <c r="A90" s="18" t="s">
        <v>400</v>
      </c>
      <c r="B90" s="19">
        <v>2021</v>
      </c>
      <c r="C90" s="19">
        <f>+B90+1</f>
        <v>2022</v>
      </c>
      <c r="D90" s="19">
        <f t="shared" si="29"/>
        <v>2023</v>
      </c>
      <c r="E90" s="19">
        <f t="shared" si="29"/>
        <v>2024</v>
      </c>
      <c r="F90" s="19">
        <f t="shared" si="29"/>
        <v>2025</v>
      </c>
      <c r="G90" s="19">
        <f t="shared" si="29"/>
        <v>2026</v>
      </c>
      <c r="H90" s="19">
        <f t="shared" si="29"/>
        <v>2027</v>
      </c>
      <c r="I90" s="19">
        <f t="shared" si="29"/>
        <v>2028</v>
      </c>
      <c r="J90" s="19">
        <f t="shared" si="29"/>
        <v>2029</v>
      </c>
      <c r="K90" s="19">
        <f t="shared" si="29"/>
        <v>2030</v>
      </c>
      <c r="L90" s="19">
        <f t="shared" si="29"/>
        <v>2031</v>
      </c>
      <c r="M90" s="19">
        <f t="shared" si="29"/>
        <v>2032</v>
      </c>
      <c r="N90" s="19">
        <f t="shared" si="29"/>
        <v>2033</v>
      </c>
      <c r="O90" s="19">
        <f t="shared" si="29"/>
        <v>2034</v>
      </c>
      <c r="P90" s="19">
        <f t="shared" si="29"/>
        <v>2035</v>
      </c>
      <c r="Q90" s="19">
        <f t="shared" si="29"/>
        <v>2036</v>
      </c>
      <c r="R90" s="19">
        <f t="shared" si="29"/>
        <v>2037</v>
      </c>
      <c r="S90" s="19">
        <f t="shared" si="29"/>
        <v>2038</v>
      </c>
      <c r="T90" s="19">
        <f t="shared" si="30"/>
        <v>2039</v>
      </c>
      <c r="U90" s="19">
        <f t="shared" si="30"/>
        <v>2040</v>
      </c>
      <c r="V90" s="19">
        <f t="shared" si="30"/>
        <v>2041</v>
      </c>
      <c r="W90" s="19">
        <f t="shared" si="30"/>
        <v>2042</v>
      </c>
      <c r="X90" s="19">
        <f t="shared" si="30"/>
        <v>2043</v>
      </c>
      <c r="Y90" s="19">
        <f t="shared" si="30"/>
        <v>2044</v>
      </c>
      <c r="Z90" s="19">
        <f t="shared" si="30"/>
        <v>2045</v>
      </c>
      <c r="AA90" s="19">
        <f t="shared" si="30"/>
        <v>2046</v>
      </c>
    </row>
    <row r="91" spans="1:27" s="6" customFormat="1" x14ac:dyDescent="0.3">
      <c r="A91" s="30" t="s">
        <v>57</v>
      </c>
      <c r="B91" s="24">
        <f t="shared" ref="B91:G91" si="31">(B$9&gt;$B$5)*($B$88*(1+$B$87)^B89)</f>
        <v>0</v>
      </c>
      <c r="C91" s="24">
        <f t="shared" si="31"/>
        <v>0</v>
      </c>
      <c r="D91" s="24">
        <f t="shared" si="31"/>
        <v>0</v>
      </c>
      <c r="E91" s="24">
        <f t="shared" si="31"/>
        <v>0</v>
      </c>
      <c r="F91" s="24">
        <f t="shared" si="31"/>
        <v>0</v>
      </c>
      <c r="G91" s="24">
        <f t="shared" si="31"/>
        <v>0</v>
      </c>
      <c r="H91" s="24">
        <f>(H$9&gt;$B$5)*($B$88*(1+$B$87)^H89)</f>
        <v>137.76549240273914</v>
      </c>
      <c r="I91" s="24">
        <f t="shared" ref="I91:AA91" si="32">(I$9&gt;$B$5)*($B$88*(1+$B$87)^I89)</f>
        <v>139.41867831157205</v>
      </c>
      <c r="J91" s="24">
        <f t="shared" si="32"/>
        <v>141.09170245131091</v>
      </c>
      <c r="K91" s="24">
        <f t="shared" si="32"/>
        <v>142.78480288072663</v>
      </c>
      <c r="L91" s="24">
        <f t="shared" si="32"/>
        <v>144.49822051529534</v>
      </c>
      <c r="M91" s="24">
        <f t="shared" si="32"/>
        <v>146.23219916147889</v>
      </c>
      <c r="N91" s="24">
        <f t="shared" si="32"/>
        <v>147.98698555141664</v>
      </c>
      <c r="O91" s="24">
        <f t="shared" si="32"/>
        <v>149.76282937803362</v>
      </c>
      <c r="P91" s="24">
        <f t="shared" si="32"/>
        <v>151.55998333057002</v>
      </c>
      <c r="Q91" s="24">
        <f t="shared" si="32"/>
        <v>153.37870313053691</v>
      </c>
      <c r="R91" s="24">
        <f t="shared" si="32"/>
        <v>155.21924756810333</v>
      </c>
      <c r="S91" s="24">
        <f t="shared" si="32"/>
        <v>157.08187853892059</v>
      </c>
      <c r="T91" s="24">
        <f t="shared" si="32"/>
        <v>158.96686108138761</v>
      </c>
      <c r="U91" s="24">
        <f t="shared" si="32"/>
        <v>160.87446341436427</v>
      </c>
      <c r="V91" s="24">
        <f t="shared" si="32"/>
        <v>162.80495697533664</v>
      </c>
      <c r="W91" s="24">
        <f t="shared" si="32"/>
        <v>164.7586164590407</v>
      </c>
      <c r="X91" s="24">
        <f t="shared" si="32"/>
        <v>166.73571985654914</v>
      </c>
      <c r="Y91" s="24">
        <f t="shared" si="32"/>
        <v>168.73654849482779</v>
      </c>
      <c r="Z91" s="24">
        <f t="shared" si="32"/>
        <v>170.76138707676569</v>
      </c>
      <c r="AA91" s="24">
        <f t="shared" si="32"/>
        <v>172.81052372168685</v>
      </c>
    </row>
    <row r="92" spans="1:27" s="6" customFormat="1" x14ac:dyDescent="0.3">
      <c r="A92" s="30"/>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27" x14ac:dyDescent="0.3">
      <c r="A93" s="17" t="s">
        <v>72</v>
      </c>
      <c r="B93" s="17">
        <f t="shared" ref="B93:AA93" si="33">+B79</f>
        <v>2021</v>
      </c>
      <c r="C93" s="17">
        <f t="shared" si="33"/>
        <v>2022</v>
      </c>
      <c r="D93" s="17">
        <f t="shared" si="33"/>
        <v>2023</v>
      </c>
      <c r="E93" s="17">
        <f t="shared" si="33"/>
        <v>2024</v>
      </c>
      <c r="F93" s="17">
        <f t="shared" si="33"/>
        <v>2025</v>
      </c>
      <c r="G93" s="17">
        <f t="shared" si="33"/>
        <v>2026</v>
      </c>
      <c r="H93" s="17">
        <f t="shared" si="33"/>
        <v>2027</v>
      </c>
      <c r="I93" s="17">
        <f t="shared" si="33"/>
        <v>2028</v>
      </c>
      <c r="J93" s="17">
        <f t="shared" si="33"/>
        <v>2029</v>
      </c>
      <c r="K93" s="17">
        <f t="shared" si="33"/>
        <v>2030</v>
      </c>
      <c r="L93" s="17">
        <f t="shared" si="33"/>
        <v>2031</v>
      </c>
      <c r="M93" s="17">
        <f t="shared" si="33"/>
        <v>2032</v>
      </c>
      <c r="N93" s="17">
        <f t="shared" si="33"/>
        <v>2033</v>
      </c>
      <c r="O93" s="17">
        <f t="shared" si="33"/>
        <v>2034</v>
      </c>
      <c r="P93" s="17">
        <f t="shared" si="33"/>
        <v>2035</v>
      </c>
      <c r="Q93" s="17">
        <f t="shared" si="33"/>
        <v>2036</v>
      </c>
      <c r="R93" s="17">
        <f t="shared" si="33"/>
        <v>2037</v>
      </c>
      <c r="S93" s="17">
        <f t="shared" si="33"/>
        <v>2038</v>
      </c>
      <c r="T93" s="17">
        <f t="shared" si="33"/>
        <v>2039</v>
      </c>
      <c r="U93" s="17">
        <f t="shared" si="33"/>
        <v>2040</v>
      </c>
      <c r="V93" s="17">
        <f t="shared" si="33"/>
        <v>2041</v>
      </c>
      <c r="W93" s="17">
        <f t="shared" si="33"/>
        <v>2042</v>
      </c>
      <c r="X93" s="17">
        <f t="shared" si="33"/>
        <v>2043</v>
      </c>
      <c r="Y93" s="17">
        <f t="shared" si="33"/>
        <v>2044</v>
      </c>
      <c r="Z93" s="17">
        <f t="shared" si="33"/>
        <v>2045</v>
      </c>
      <c r="AA93" s="17">
        <f t="shared" si="33"/>
        <v>2046</v>
      </c>
    </row>
    <row r="94" spans="1:27" s="1" customFormat="1" ht="15" thickBot="1" x14ac:dyDescent="0.35">
      <c r="A94" s="38" t="s">
        <v>197</v>
      </c>
      <c r="B94" s="39">
        <f>+B91</f>
        <v>0</v>
      </c>
      <c r="C94" s="39">
        <f t="shared" ref="C94:AA94" si="34">+C91</f>
        <v>0</v>
      </c>
      <c r="D94" s="39">
        <f t="shared" si="34"/>
        <v>0</v>
      </c>
      <c r="E94" s="39">
        <f t="shared" si="34"/>
        <v>0</v>
      </c>
      <c r="F94" s="39">
        <f t="shared" si="34"/>
        <v>0</v>
      </c>
      <c r="G94" s="39">
        <f t="shared" si="34"/>
        <v>0</v>
      </c>
      <c r="H94" s="39">
        <f t="shared" si="34"/>
        <v>137.76549240273914</v>
      </c>
      <c r="I94" s="39">
        <f t="shared" si="34"/>
        <v>139.41867831157205</v>
      </c>
      <c r="J94" s="39">
        <f t="shared" si="34"/>
        <v>141.09170245131091</v>
      </c>
      <c r="K94" s="39">
        <f t="shared" si="34"/>
        <v>142.78480288072663</v>
      </c>
      <c r="L94" s="39">
        <f t="shared" si="34"/>
        <v>144.49822051529534</v>
      </c>
      <c r="M94" s="39">
        <f t="shared" si="34"/>
        <v>146.23219916147889</v>
      </c>
      <c r="N94" s="39">
        <f t="shared" si="34"/>
        <v>147.98698555141664</v>
      </c>
      <c r="O94" s="39">
        <f t="shared" si="34"/>
        <v>149.76282937803362</v>
      </c>
      <c r="P94" s="39">
        <f t="shared" si="34"/>
        <v>151.55998333057002</v>
      </c>
      <c r="Q94" s="39">
        <f t="shared" si="34"/>
        <v>153.37870313053691</v>
      </c>
      <c r="R94" s="39">
        <f t="shared" si="34"/>
        <v>155.21924756810333</v>
      </c>
      <c r="S94" s="39">
        <f t="shared" si="34"/>
        <v>157.08187853892059</v>
      </c>
      <c r="T94" s="39">
        <f t="shared" si="34"/>
        <v>158.96686108138761</v>
      </c>
      <c r="U94" s="39">
        <f t="shared" si="34"/>
        <v>160.87446341436427</v>
      </c>
      <c r="V94" s="39">
        <f t="shared" si="34"/>
        <v>162.80495697533664</v>
      </c>
      <c r="W94" s="39">
        <f t="shared" si="34"/>
        <v>164.7586164590407</v>
      </c>
      <c r="X94" s="39">
        <f t="shared" si="34"/>
        <v>166.73571985654914</v>
      </c>
      <c r="Y94" s="39">
        <f t="shared" si="34"/>
        <v>168.73654849482779</v>
      </c>
      <c r="Z94" s="39">
        <f t="shared" si="34"/>
        <v>170.76138707676569</v>
      </c>
      <c r="AA94" s="39">
        <f t="shared" si="34"/>
        <v>172.81052372168685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6896-FC02-4DD6-B317-757F30AE3AB4}">
  <sheetPr>
    <tabColor rgb="FF92D050"/>
  </sheetPr>
  <dimension ref="A1:AA18"/>
  <sheetViews>
    <sheetView showGridLines="0" zoomScale="80" zoomScaleNormal="80" workbookViewId="0">
      <selection activeCell="D18" sqref="D18"/>
    </sheetView>
  </sheetViews>
  <sheetFormatPr defaultColWidth="8.77734375" defaultRowHeight="14.4" x14ac:dyDescent="0.3"/>
  <cols>
    <col min="1" max="1" width="40.6640625" customWidth="1"/>
  </cols>
  <sheetData>
    <row r="1" spans="1:27" ht="21" x14ac:dyDescent="0.4">
      <c r="A1" s="2" t="str">
        <f>'Inputs &amp; Summary'!B63</f>
        <v>Mornington: Purchase greenfield site</v>
      </c>
    </row>
    <row r="2" spans="1:27" x14ac:dyDescent="0.3">
      <c r="A2" s="10" t="str">
        <f>+'Inputs &amp; Summary'!B5</f>
        <v>All values shown are costs, expressed in $000 as at June 2021 unless otherwise stated.</v>
      </c>
      <c r="G2" s="82" t="s">
        <v>156</v>
      </c>
      <c r="H2" s="83"/>
      <c r="I2" s="83"/>
      <c r="J2" s="83"/>
      <c r="K2" s="83"/>
      <c r="L2" s="83"/>
      <c r="M2" s="83"/>
      <c r="N2" s="83"/>
      <c r="O2" s="83"/>
      <c r="P2" s="83"/>
      <c r="Q2" s="83"/>
      <c r="R2" s="83"/>
      <c r="S2" s="83"/>
      <c r="T2" s="83"/>
      <c r="U2" s="83"/>
      <c r="V2" s="83"/>
      <c r="W2" s="84"/>
    </row>
    <row r="3" spans="1:27" x14ac:dyDescent="0.3">
      <c r="A3" s="10"/>
      <c r="G3" s="85" t="s">
        <v>157</v>
      </c>
      <c r="H3" s="72"/>
      <c r="I3" s="72"/>
      <c r="J3" s="72"/>
      <c r="K3" s="72"/>
      <c r="L3" s="72"/>
      <c r="M3" s="72"/>
      <c r="N3" s="72"/>
      <c r="O3" s="72"/>
      <c r="P3" s="72"/>
      <c r="Q3" s="72"/>
      <c r="R3" s="72"/>
      <c r="S3" s="72"/>
      <c r="T3" s="72"/>
      <c r="U3" s="72"/>
      <c r="V3" s="72"/>
      <c r="W3" s="86"/>
    </row>
    <row r="4" spans="1:27" x14ac:dyDescent="0.3">
      <c r="A4" s="53" t="s">
        <v>16</v>
      </c>
    </row>
    <row r="6" spans="1:27" s="193" customFormat="1" x14ac:dyDescent="0.3">
      <c r="A6" s="193" t="s">
        <v>287</v>
      </c>
      <c r="B6" s="173">
        <f>'Inputs &amp; Summary'!$P$63</f>
        <v>2026</v>
      </c>
    </row>
    <row r="7" spans="1:27" s="193" customFormat="1" x14ac:dyDescent="0.3"/>
    <row r="8" spans="1:27" ht="18" x14ac:dyDescent="0.35">
      <c r="A8" s="94" t="s">
        <v>117</v>
      </c>
      <c r="B8" s="95"/>
      <c r="C8" s="95"/>
      <c r="D8" s="95"/>
      <c r="E8" s="95"/>
      <c r="F8" s="95"/>
      <c r="G8" s="95"/>
      <c r="H8" s="95"/>
      <c r="I8" s="95"/>
      <c r="J8" s="95"/>
      <c r="K8" s="95"/>
      <c r="L8" s="95"/>
      <c r="M8" s="95"/>
      <c r="N8" s="95"/>
      <c r="O8" s="95"/>
      <c r="P8" s="95"/>
      <c r="Q8" s="95"/>
      <c r="R8" s="95"/>
      <c r="S8" s="95"/>
      <c r="T8" s="95"/>
      <c r="U8" s="95"/>
      <c r="V8" s="95"/>
      <c r="W8" s="95"/>
      <c r="X8" s="95"/>
      <c r="Y8" s="95"/>
      <c r="Z8" s="95"/>
      <c r="AA8" s="95"/>
    </row>
    <row r="9" spans="1:27" x14ac:dyDescent="0.3">
      <c r="A9" s="37" t="s">
        <v>3</v>
      </c>
      <c r="B9" s="6">
        <v>0</v>
      </c>
      <c r="C9" s="6">
        <f>+B9+1</f>
        <v>1</v>
      </c>
      <c r="D9" s="6">
        <f t="shared" ref="D9:S10" si="0">+C9+1</f>
        <v>2</v>
      </c>
      <c r="E9" s="6">
        <f t="shared" si="0"/>
        <v>3</v>
      </c>
      <c r="F9" s="6">
        <f t="shared" si="0"/>
        <v>4</v>
      </c>
      <c r="G9" s="6">
        <f t="shared" si="0"/>
        <v>5</v>
      </c>
      <c r="H9" s="6">
        <f t="shared" si="0"/>
        <v>6</v>
      </c>
      <c r="I9" s="6">
        <f t="shared" si="0"/>
        <v>7</v>
      </c>
      <c r="J9" s="6">
        <f t="shared" si="0"/>
        <v>8</v>
      </c>
      <c r="K9" s="6">
        <f t="shared" si="0"/>
        <v>9</v>
      </c>
      <c r="L9" s="6">
        <f t="shared" si="0"/>
        <v>10</v>
      </c>
      <c r="M9" s="6">
        <f t="shared" si="0"/>
        <v>11</v>
      </c>
      <c r="N9" s="6">
        <f t="shared" si="0"/>
        <v>12</v>
      </c>
      <c r="O9" s="6">
        <f t="shared" si="0"/>
        <v>13</v>
      </c>
      <c r="P9" s="6">
        <f t="shared" si="0"/>
        <v>14</v>
      </c>
      <c r="Q9" s="6">
        <f t="shared" si="0"/>
        <v>15</v>
      </c>
      <c r="R9" s="6">
        <f t="shared" si="0"/>
        <v>16</v>
      </c>
      <c r="S9" s="6">
        <f t="shared" si="0"/>
        <v>17</v>
      </c>
      <c r="T9" s="6">
        <f t="shared" ref="T9:AA10" si="1">+S9+1</f>
        <v>18</v>
      </c>
      <c r="U9" s="6">
        <f t="shared" si="1"/>
        <v>19</v>
      </c>
      <c r="V9" s="6">
        <f t="shared" si="1"/>
        <v>20</v>
      </c>
      <c r="W9" s="6">
        <f t="shared" si="1"/>
        <v>21</v>
      </c>
      <c r="X9" s="6">
        <f t="shared" si="1"/>
        <v>22</v>
      </c>
      <c r="Y9" s="6">
        <f t="shared" si="1"/>
        <v>23</v>
      </c>
      <c r="Z9" s="6">
        <f t="shared" si="1"/>
        <v>24</v>
      </c>
      <c r="AA9" s="6">
        <f t="shared" si="1"/>
        <v>25</v>
      </c>
    </row>
    <row r="10" spans="1:27" x14ac:dyDescent="0.3">
      <c r="A10" s="18" t="s">
        <v>400</v>
      </c>
      <c r="B10" s="19">
        <v>2021</v>
      </c>
      <c r="C10" s="19">
        <f>+B10+1</f>
        <v>2022</v>
      </c>
      <c r="D10" s="19">
        <f t="shared" si="0"/>
        <v>2023</v>
      </c>
      <c r="E10" s="19">
        <f t="shared" si="0"/>
        <v>2024</v>
      </c>
      <c r="F10" s="19">
        <f t="shared" si="0"/>
        <v>2025</v>
      </c>
      <c r="G10" s="19">
        <f t="shared" si="0"/>
        <v>2026</v>
      </c>
      <c r="H10" s="19">
        <f t="shared" si="0"/>
        <v>2027</v>
      </c>
      <c r="I10" s="19">
        <f t="shared" si="0"/>
        <v>2028</v>
      </c>
      <c r="J10" s="19">
        <f t="shared" si="0"/>
        <v>2029</v>
      </c>
      <c r="K10" s="19">
        <f t="shared" si="0"/>
        <v>2030</v>
      </c>
      <c r="L10" s="19">
        <f t="shared" si="0"/>
        <v>2031</v>
      </c>
      <c r="M10" s="19">
        <f t="shared" si="0"/>
        <v>2032</v>
      </c>
      <c r="N10" s="19">
        <f t="shared" si="0"/>
        <v>2033</v>
      </c>
      <c r="O10" s="19">
        <f t="shared" si="0"/>
        <v>2034</v>
      </c>
      <c r="P10" s="19">
        <f t="shared" si="0"/>
        <v>2035</v>
      </c>
      <c r="Q10" s="19">
        <f t="shared" si="0"/>
        <v>2036</v>
      </c>
      <c r="R10" s="19">
        <f t="shared" si="0"/>
        <v>2037</v>
      </c>
      <c r="S10" s="19">
        <f t="shared" si="0"/>
        <v>2038</v>
      </c>
      <c r="T10" s="19">
        <f t="shared" si="1"/>
        <v>2039</v>
      </c>
      <c r="U10" s="19">
        <f t="shared" si="1"/>
        <v>2040</v>
      </c>
      <c r="V10" s="19">
        <f t="shared" si="1"/>
        <v>2041</v>
      </c>
      <c r="W10" s="19">
        <f t="shared" si="1"/>
        <v>2042</v>
      </c>
      <c r="X10" s="19">
        <f t="shared" si="1"/>
        <v>2043</v>
      </c>
      <c r="Y10" s="19">
        <f t="shared" si="1"/>
        <v>2044</v>
      </c>
      <c r="Z10" s="19">
        <f t="shared" si="1"/>
        <v>2045</v>
      </c>
      <c r="AA10" s="19">
        <f t="shared" si="1"/>
        <v>2046</v>
      </c>
    </row>
    <row r="11" spans="1:27" x14ac:dyDescent="0.3">
      <c r="A11" s="10" t="s">
        <v>127</v>
      </c>
      <c r="B11" s="156">
        <f>'Inputs &amp; Summary'!E63*'Inputs &amp; Summary'!$O$103</f>
        <v>0</v>
      </c>
      <c r="C11" s="6">
        <f>'Inputs &amp; Summary'!F63*'Inputs &amp; Summary'!$O$103</f>
        <v>0</v>
      </c>
      <c r="D11" s="6">
        <f>'Inputs &amp; Summary'!G63*'Inputs &amp; Summary'!$O$103</f>
        <v>0</v>
      </c>
      <c r="E11" s="6">
        <f>'Inputs &amp; Summary'!H63*'Inputs &amp; Summary'!$O$103</f>
        <v>0</v>
      </c>
      <c r="F11" s="197">
        <f>'Inputs &amp; Summary'!I63*'Inputs &amp; Summary'!$O$103</f>
        <v>6400</v>
      </c>
      <c r="G11" s="197">
        <f>'Inputs &amp; Summary'!J63*'Inputs &amp; Summary'!$O$103</f>
        <v>9100</v>
      </c>
      <c r="H11" s="6">
        <f>'Inputs &amp; Summary'!K63*'Inputs &amp; Summary'!$O$103</f>
        <v>0</v>
      </c>
      <c r="I11" s="6">
        <f>'Inputs &amp; Summary'!L63*'Inputs &amp; Summary'!$O$103</f>
        <v>0</v>
      </c>
      <c r="J11" s="6">
        <f>'Inputs &amp; Summary'!M63*'Inputs &amp; Summary'!$O$103</f>
        <v>0</v>
      </c>
      <c r="K11" s="6">
        <f>'Inputs &amp; Summary'!N63*'Inputs &amp; Summary'!$O$103</f>
        <v>0</v>
      </c>
      <c r="L11" s="6">
        <f>'Inputs &amp; Summary'!O63*'Inputs &amp; Summary'!$O$103</f>
        <v>0</v>
      </c>
      <c r="M11" s="41"/>
      <c r="N11" s="41"/>
      <c r="O11" s="41"/>
      <c r="P11" s="41"/>
      <c r="Q11" s="41"/>
      <c r="R11" s="41"/>
      <c r="S11" s="41"/>
      <c r="T11" s="41"/>
      <c r="U11" s="41"/>
      <c r="V11" s="41"/>
      <c r="W11" s="41"/>
      <c r="X11" s="41"/>
      <c r="Y11" s="41"/>
      <c r="Z11" s="41"/>
      <c r="AA11" s="41"/>
    </row>
    <row r="12" spans="1:27" x14ac:dyDescent="0.3">
      <c r="A12" t="s">
        <v>130</v>
      </c>
      <c r="B12" s="156">
        <f>(B$10&lt;=$B$6)*('M. Opt0'!B14-'M. Opt0'!B96)</f>
        <v>1579.1978491640689</v>
      </c>
      <c r="C12" s="156">
        <f>(C$10&lt;=$B$6)*('M. Opt0'!C14-'M. Opt0'!C96)</f>
        <v>1593.1731290747064</v>
      </c>
      <c r="D12" s="156">
        <f>(D$10&lt;=$B$6)*('M. Opt0'!D14-'M. Opt0'!D96)</f>
        <v>1607.337287120343</v>
      </c>
      <c r="E12" s="156">
        <f>(E$10&lt;=$B$6)*('M. Opt0'!E14-'M. Opt0'!E96)</f>
        <v>1621.6931633710913</v>
      </c>
      <c r="F12" s="156">
        <f>(F$10&lt;=$B$6)*('M. Opt0'!F14-'M. Opt0'!F96)</f>
        <v>1636.2436468108424</v>
      </c>
      <c r="G12" s="156">
        <f>(G$10&lt;=$B$6)*('M. Opt0'!G14-'M. Opt0'!G96)</f>
        <v>1650.9916763005981</v>
      </c>
      <c r="H12" s="156">
        <f>(H$10&lt;=$B$6)*('M. Opt0'!H14-'M. Opt0'!H96)</f>
        <v>0</v>
      </c>
      <c r="I12" s="156">
        <f>(I$10&lt;=$B$6)*('M. Opt0'!I14-'M. Opt0'!I96)</f>
        <v>0</v>
      </c>
      <c r="J12" s="156">
        <f>(J$10&lt;=$B$6)*('M. Opt0'!J14-'M. Opt0'!J96)</f>
        <v>0</v>
      </c>
      <c r="K12" s="156">
        <f>(K$10&lt;=$B$6)*('M. Opt0'!K14-'M. Opt0'!K96)</f>
        <v>0</v>
      </c>
      <c r="L12" s="156">
        <f>(L$10&lt;=$B$6)*('M. Opt0'!L14-'M. Opt0'!L96)</f>
        <v>0</v>
      </c>
      <c r="M12" s="156">
        <f>(M$10&lt;=$B$6)*('M. Opt0'!M14-'M. Opt0'!M96)</f>
        <v>0</v>
      </c>
      <c r="N12" s="156">
        <f>(N$10&lt;=$B$6)*('M. Opt0'!N14-'M. Opt0'!N96)</f>
        <v>0</v>
      </c>
      <c r="O12" s="156">
        <f>(O$10&lt;=$B$6)*('M. Opt0'!O14-'M. Opt0'!O96)</f>
        <v>0</v>
      </c>
      <c r="P12" s="156">
        <f>(P$10&lt;=$B$6)*('M. Opt0'!P14-'M. Opt0'!P96)</f>
        <v>0</v>
      </c>
      <c r="Q12" s="156">
        <f>(Q$10&lt;=$B$6)*('M. Opt0'!Q14-'M. Opt0'!Q96)</f>
        <v>0</v>
      </c>
      <c r="R12" s="156">
        <f>(R$10&lt;=$B$6)*('M. Opt0'!R14-'M. Opt0'!R96)</f>
        <v>0</v>
      </c>
      <c r="S12" s="156">
        <f>(S$10&lt;=$B$6)*('M. Opt0'!S14-'M. Opt0'!S96)</f>
        <v>0</v>
      </c>
      <c r="T12" s="156">
        <f>(T$10&lt;=$B$6)*('M. Opt0'!T14-'M. Opt0'!T96)</f>
        <v>0</v>
      </c>
      <c r="U12" s="156">
        <f>(U$10&lt;=$B$6)*('M. Opt0'!U14-'M. Opt0'!U96)</f>
        <v>0</v>
      </c>
      <c r="V12" s="156">
        <f>(V$10&lt;=$B$6)*('M. Opt0'!V14-'M. Opt0'!V96)</f>
        <v>0</v>
      </c>
      <c r="W12" s="156">
        <f>(W$10&lt;=$B$6)*('M. Opt0'!W14-'M. Opt0'!W96)</f>
        <v>0</v>
      </c>
      <c r="X12" s="156">
        <f>(X$10&lt;=$B$6)*('M. Opt0'!X14-'M. Opt0'!X96)</f>
        <v>0</v>
      </c>
      <c r="Y12" s="156">
        <f>(Y$10&lt;=$B$6)*('M. Opt0'!Y14-'M. Opt0'!Y96)</f>
        <v>0</v>
      </c>
      <c r="Z12" s="156">
        <f>(Z$10&lt;=$B$6)*('M. Opt0'!Z14-'M. Opt0'!Z96)</f>
        <v>0</v>
      </c>
      <c r="AA12" s="156">
        <f>(AA$10&lt;=$B$6)*('M. Opt0'!AA14-'M. Opt0'!AA96)</f>
        <v>0</v>
      </c>
    </row>
    <row r="13" spans="1:27" x14ac:dyDescent="0.3">
      <c r="A13" s="75" t="s">
        <v>129</v>
      </c>
      <c r="B13" s="74">
        <f t="shared" ref="B13:G13" si="2">(B$10&gt;$B$6)*0</f>
        <v>0</v>
      </c>
      <c r="C13" s="74">
        <f t="shared" si="2"/>
        <v>0</v>
      </c>
      <c r="D13" s="74">
        <f t="shared" si="2"/>
        <v>0</v>
      </c>
      <c r="E13" s="74">
        <f t="shared" si="2"/>
        <v>0</v>
      </c>
      <c r="F13" s="74">
        <f t="shared" si="2"/>
        <v>0</v>
      </c>
      <c r="G13" s="74">
        <f t="shared" si="2"/>
        <v>0</v>
      </c>
      <c r="H13" s="74">
        <f>(H$10&gt;$B$6)*0</f>
        <v>0</v>
      </c>
      <c r="I13" s="74">
        <f t="shared" ref="I13:AA13" si="3">(I$10&gt;$B$6)*0</f>
        <v>0</v>
      </c>
      <c r="J13" s="74">
        <f t="shared" si="3"/>
        <v>0</v>
      </c>
      <c r="K13" s="74">
        <f t="shared" si="3"/>
        <v>0</v>
      </c>
      <c r="L13" s="74">
        <f t="shared" si="3"/>
        <v>0</v>
      </c>
      <c r="M13" s="74">
        <f t="shared" si="3"/>
        <v>0</v>
      </c>
      <c r="N13" s="74">
        <f t="shared" si="3"/>
        <v>0</v>
      </c>
      <c r="O13" s="74">
        <f t="shared" si="3"/>
        <v>0</v>
      </c>
      <c r="P13" s="74">
        <f t="shared" si="3"/>
        <v>0</v>
      </c>
      <c r="Q13" s="74">
        <f t="shared" si="3"/>
        <v>0</v>
      </c>
      <c r="R13" s="74">
        <f t="shared" si="3"/>
        <v>0</v>
      </c>
      <c r="S13" s="74">
        <f t="shared" si="3"/>
        <v>0</v>
      </c>
      <c r="T13" s="74">
        <f t="shared" si="3"/>
        <v>0</v>
      </c>
      <c r="U13" s="74">
        <f t="shared" si="3"/>
        <v>0</v>
      </c>
      <c r="V13" s="74">
        <f t="shared" si="3"/>
        <v>0</v>
      </c>
      <c r="W13" s="74">
        <f t="shared" si="3"/>
        <v>0</v>
      </c>
      <c r="X13" s="74">
        <f t="shared" si="3"/>
        <v>0</v>
      </c>
      <c r="Y13" s="74">
        <f t="shared" si="3"/>
        <v>0</v>
      </c>
      <c r="Z13" s="74">
        <f t="shared" si="3"/>
        <v>0</v>
      </c>
      <c r="AA13" s="74">
        <f t="shared" si="3"/>
        <v>0</v>
      </c>
    </row>
    <row r="14" spans="1:27" ht="15" thickBot="1" x14ac:dyDescent="0.35">
      <c r="A14" s="80" t="s">
        <v>14</v>
      </c>
      <c r="B14" s="77">
        <f>+SUM(B11:B13)</f>
        <v>1579.1978491640689</v>
      </c>
      <c r="C14" s="77">
        <f t="shared" ref="C14:AA14" si="4">+SUM(C11:C13)</f>
        <v>1593.1731290747064</v>
      </c>
      <c r="D14" s="77">
        <f t="shared" si="4"/>
        <v>1607.337287120343</v>
      </c>
      <c r="E14" s="77">
        <f t="shared" si="4"/>
        <v>1621.6931633710913</v>
      </c>
      <c r="F14" s="77">
        <f t="shared" si="4"/>
        <v>8036.2436468108426</v>
      </c>
      <c r="G14" s="77">
        <f t="shared" si="4"/>
        <v>10750.991676300599</v>
      </c>
      <c r="H14" s="77">
        <f t="shared" si="4"/>
        <v>0</v>
      </c>
      <c r="I14" s="77">
        <f t="shared" si="4"/>
        <v>0</v>
      </c>
      <c r="J14" s="77">
        <f t="shared" si="4"/>
        <v>0</v>
      </c>
      <c r="K14" s="77">
        <f t="shared" si="4"/>
        <v>0</v>
      </c>
      <c r="L14" s="77">
        <f t="shared" si="4"/>
        <v>0</v>
      </c>
      <c r="M14" s="77">
        <f t="shared" si="4"/>
        <v>0</v>
      </c>
      <c r="N14" s="77">
        <f t="shared" si="4"/>
        <v>0</v>
      </c>
      <c r="O14" s="77">
        <f t="shared" si="4"/>
        <v>0</v>
      </c>
      <c r="P14" s="77">
        <f t="shared" si="4"/>
        <v>0</v>
      </c>
      <c r="Q14" s="77">
        <f t="shared" si="4"/>
        <v>0</v>
      </c>
      <c r="R14" s="77">
        <f t="shared" si="4"/>
        <v>0</v>
      </c>
      <c r="S14" s="77">
        <f t="shared" si="4"/>
        <v>0</v>
      </c>
      <c r="T14" s="77">
        <f t="shared" si="4"/>
        <v>0</v>
      </c>
      <c r="U14" s="77">
        <f t="shared" si="4"/>
        <v>0</v>
      </c>
      <c r="V14" s="77">
        <f t="shared" si="4"/>
        <v>0</v>
      </c>
      <c r="W14" s="77">
        <f t="shared" si="4"/>
        <v>0</v>
      </c>
      <c r="X14" s="77">
        <f t="shared" si="4"/>
        <v>0</v>
      </c>
      <c r="Y14" s="77">
        <f t="shared" si="4"/>
        <v>0</v>
      </c>
      <c r="Z14" s="77">
        <f t="shared" si="4"/>
        <v>0</v>
      </c>
      <c r="AA14" s="77">
        <f t="shared" si="4"/>
        <v>0</v>
      </c>
    </row>
    <row r="16" spans="1:27" x14ac:dyDescent="0.3">
      <c r="A16" s="10"/>
    </row>
    <row r="18" spans="3:4" x14ac:dyDescent="0.3">
      <c r="C18" s="364" t="s">
        <v>396</v>
      </c>
      <c r="D18" s="365">
        <f>SUM(B14:AA14)-SUM(0,B92:AA92,B11:AA12)</f>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B40D-2696-47C8-B7AB-B92E6C830F74}">
  <sheetPr>
    <tabColor rgb="FF92D050"/>
  </sheetPr>
  <dimension ref="A1:AA32"/>
  <sheetViews>
    <sheetView showGridLines="0" zoomScale="80" zoomScaleNormal="80" workbookViewId="0">
      <selection activeCell="D18" sqref="D18"/>
    </sheetView>
  </sheetViews>
  <sheetFormatPr defaultColWidth="8.77734375" defaultRowHeight="14.4" x14ac:dyDescent="0.3"/>
  <cols>
    <col min="1" max="1" width="40.77734375" customWidth="1"/>
  </cols>
  <sheetData>
    <row r="1" spans="1:27" ht="21" x14ac:dyDescent="0.4">
      <c r="A1" s="2" t="str">
        <f>'Inputs &amp; Summary'!B64</f>
        <v>Mornington: Purchase brownfield site</v>
      </c>
    </row>
    <row r="2" spans="1:27" x14ac:dyDescent="0.3">
      <c r="A2" s="10" t="str">
        <f>+'Inputs &amp; Summary'!B5</f>
        <v>All values shown are costs, expressed in $000 as at June 2021 unless otherwise stated.</v>
      </c>
      <c r="G2" s="82" t="s">
        <v>156</v>
      </c>
      <c r="H2" s="83"/>
      <c r="I2" s="83"/>
      <c r="J2" s="83"/>
      <c r="K2" s="83"/>
      <c r="L2" s="83"/>
      <c r="M2" s="83"/>
      <c r="N2" s="83"/>
      <c r="O2" s="83"/>
      <c r="P2" s="83"/>
      <c r="Q2" s="83"/>
      <c r="R2" s="83"/>
      <c r="S2" s="83"/>
      <c r="T2" s="83"/>
      <c r="U2" s="83"/>
      <c r="V2" s="83"/>
      <c r="W2" s="83"/>
      <c r="X2" s="84"/>
    </row>
    <row r="3" spans="1:27" x14ac:dyDescent="0.3">
      <c r="A3" s="10"/>
      <c r="G3" s="85" t="s">
        <v>155</v>
      </c>
      <c r="H3" s="72"/>
      <c r="I3" s="72"/>
      <c r="J3" s="72"/>
      <c r="K3" s="72"/>
      <c r="L3" s="72"/>
      <c r="M3" s="72"/>
      <c r="N3" s="72"/>
      <c r="O3" s="72"/>
      <c r="P3" s="72"/>
      <c r="Q3" s="72"/>
      <c r="R3" s="72"/>
      <c r="S3" s="72"/>
      <c r="T3" s="72"/>
      <c r="U3" s="72"/>
      <c r="V3" s="72"/>
      <c r="W3" s="72"/>
      <c r="X3" s="86"/>
    </row>
    <row r="4" spans="1:27" x14ac:dyDescent="0.3">
      <c r="A4" s="53" t="s">
        <v>16</v>
      </c>
    </row>
    <row r="6" spans="1:27" s="193" customFormat="1" x14ac:dyDescent="0.3">
      <c r="A6" s="193" t="s">
        <v>287</v>
      </c>
      <c r="B6" s="173">
        <f>'Inputs &amp; Summary'!$P$64</f>
        <v>2025</v>
      </c>
    </row>
    <row r="7" spans="1:27" s="193" customFormat="1" x14ac:dyDescent="0.3"/>
    <row r="8" spans="1:27" ht="18" x14ac:dyDescent="0.35">
      <c r="A8" s="94" t="s">
        <v>117</v>
      </c>
      <c r="B8" s="95"/>
      <c r="C8" s="95"/>
      <c r="D8" s="95"/>
      <c r="E8" s="95"/>
      <c r="F8" s="95"/>
      <c r="G8" s="95"/>
      <c r="H8" s="95"/>
      <c r="I8" s="95"/>
      <c r="J8" s="95"/>
      <c r="K8" s="95"/>
      <c r="L8" s="95"/>
      <c r="M8" s="95"/>
      <c r="N8" s="95"/>
      <c r="O8" s="95"/>
      <c r="P8" s="95"/>
      <c r="Q8" s="95"/>
      <c r="R8" s="95"/>
      <c r="S8" s="95"/>
      <c r="T8" s="95"/>
      <c r="U8" s="95"/>
      <c r="V8" s="95"/>
      <c r="W8" s="95"/>
      <c r="X8" s="95"/>
      <c r="Y8" s="95"/>
      <c r="Z8" s="95"/>
      <c r="AA8" s="95"/>
    </row>
    <row r="9" spans="1:27" x14ac:dyDescent="0.3">
      <c r="A9" s="37" t="s">
        <v>3</v>
      </c>
      <c r="B9" s="6">
        <v>0</v>
      </c>
      <c r="C9" s="6">
        <f>+B9+1</f>
        <v>1</v>
      </c>
      <c r="D9" s="6">
        <f t="shared" ref="D9:S10" si="0">+C9+1</f>
        <v>2</v>
      </c>
      <c r="E9" s="6">
        <f t="shared" si="0"/>
        <v>3</v>
      </c>
      <c r="F9" s="6">
        <f t="shared" si="0"/>
        <v>4</v>
      </c>
      <c r="G9" s="6">
        <f t="shared" si="0"/>
        <v>5</v>
      </c>
      <c r="H9" s="6">
        <f t="shared" si="0"/>
        <v>6</v>
      </c>
      <c r="I9" s="6">
        <f t="shared" si="0"/>
        <v>7</v>
      </c>
      <c r="J9" s="6">
        <f t="shared" si="0"/>
        <v>8</v>
      </c>
      <c r="K9" s="6">
        <f t="shared" si="0"/>
        <v>9</v>
      </c>
      <c r="L9" s="6">
        <f t="shared" si="0"/>
        <v>10</v>
      </c>
      <c r="M9" s="6">
        <f t="shared" si="0"/>
        <v>11</v>
      </c>
      <c r="N9" s="6">
        <f t="shared" si="0"/>
        <v>12</v>
      </c>
      <c r="O9" s="6">
        <f t="shared" si="0"/>
        <v>13</v>
      </c>
      <c r="P9" s="6">
        <f t="shared" si="0"/>
        <v>14</v>
      </c>
      <c r="Q9" s="6">
        <f t="shared" si="0"/>
        <v>15</v>
      </c>
      <c r="R9" s="6">
        <f t="shared" si="0"/>
        <v>16</v>
      </c>
      <c r="S9" s="6">
        <f t="shared" si="0"/>
        <v>17</v>
      </c>
      <c r="T9" s="6">
        <f t="shared" ref="T9:AA10" si="1">+S9+1</f>
        <v>18</v>
      </c>
      <c r="U9" s="6">
        <f t="shared" si="1"/>
        <v>19</v>
      </c>
      <c r="V9" s="6">
        <f t="shared" si="1"/>
        <v>20</v>
      </c>
      <c r="W9" s="6">
        <f t="shared" si="1"/>
        <v>21</v>
      </c>
      <c r="X9" s="6">
        <f t="shared" si="1"/>
        <v>22</v>
      </c>
      <c r="Y9" s="6">
        <f t="shared" si="1"/>
        <v>23</v>
      </c>
      <c r="Z9" s="6">
        <f t="shared" si="1"/>
        <v>24</v>
      </c>
      <c r="AA9" s="6">
        <f t="shared" si="1"/>
        <v>25</v>
      </c>
    </row>
    <row r="10" spans="1:27" x14ac:dyDescent="0.3">
      <c r="A10" s="18" t="s">
        <v>400</v>
      </c>
      <c r="B10" s="19">
        <v>2021</v>
      </c>
      <c r="C10" s="19">
        <f>+B10+1</f>
        <v>2022</v>
      </c>
      <c r="D10" s="19">
        <f t="shared" si="0"/>
        <v>2023</v>
      </c>
      <c r="E10" s="19">
        <f t="shared" si="0"/>
        <v>2024</v>
      </c>
      <c r="F10" s="19">
        <f t="shared" si="0"/>
        <v>2025</v>
      </c>
      <c r="G10" s="19">
        <f t="shared" si="0"/>
        <v>2026</v>
      </c>
      <c r="H10" s="19">
        <f t="shared" si="0"/>
        <v>2027</v>
      </c>
      <c r="I10" s="19">
        <f t="shared" si="0"/>
        <v>2028</v>
      </c>
      <c r="J10" s="19">
        <f t="shared" si="0"/>
        <v>2029</v>
      </c>
      <c r="K10" s="19">
        <f t="shared" si="0"/>
        <v>2030</v>
      </c>
      <c r="L10" s="19">
        <f t="shared" si="0"/>
        <v>2031</v>
      </c>
      <c r="M10" s="19">
        <f t="shared" si="0"/>
        <v>2032</v>
      </c>
      <c r="N10" s="19">
        <f t="shared" si="0"/>
        <v>2033</v>
      </c>
      <c r="O10" s="19">
        <f t="shared" si="0"/>
        <v>2034</v>
      </c>
      <c r="P10" s="19">
        <f t="shared" si="0"/>
        <v>2035</v>
      </c>
      <c r="Q10" s="19">
        <f t="shared" si="0"/>
        <v>2036</v>
      </c>
      <c r="R10" s="19">
        <f t="shared" si="0"/>
        <v>2037</v>
      </c>
      <c r="S10" s="19">
        <f t="shared" si="0"/>
        <v>2038</v>
      </c>
      <c r="T10" s="19">
        <f t="shared" si="1"/>
        <v>2039</v>
      </c>
      <c r="U10" s="19">
        <f t="shared" si="1"/>
        <v>2040</v>
      </c>
      <c r="V10" s="19">
        <f t="shared" si="1"/>
        <v>2041</v>
      </c>
      <c r="W10" s="19">
        <f t="shared" si="1"/>
        <v>2042</v>
      </c>
      <c r="X10" s="19">
        <f t="shared" si="1"/>
        <v>2043</v>
      </c>
      <c r="Y10" s="19">
        <f t="shared" si="1"/>
        <v>2044</v>
      </c>
      <c r="Z10" s="19">
        <f t="shared" si="1"/>
        <v>2045</v>
      </c>
      <c r="AA10" s="19">
        <f t="shared" si="1"/>
        <v>2046</v>
      </c>
    </row>
    <row r="11" spans="1:27" x14ac:dyDescent="0.3">
      <c r="A11" s="10" t="s">
        <v>127</v>
      </c>
      <c r="B11" s="156">
        <f>'Inputs &amp; Summary'!E64*'Inputs &amp; Summary'!$O$103</f>
        <v>0</v>
      </c>
      <c r="C11" s="6">
        <f>'Inputs &amp; Summary'!F64*'Inputs &amp; Summary'!$O$103</f>
        <v>0</v>
      </c>
      <c r="D11" s="6">
        <f>'Inputs &amp; Summary'!G64*'Inputs &amp; Summary'!$O$103</f>
        <v>0</v>
      </c>
      <c r="E11" s="6">
        <f>'Inputs &amp; Summary'!H64*'Inputs &amp; Summary'!$O$103</f>
        <v>0</v>
      </c>
      <c r="F11" s="197">
        <f>'Inputs &amp; Summary'!I64*'Inputs &amp; Summary'!$O$103</f>
        <v>16000</v>
      </c>
      <c r="G11" s="6">
        <f>'Inputs &amp; Summary'!J64*'Inputs &amp; Summary'!$O$103</f>
        <v>0</v>
      </c>
      <c r="H11" s="6">
        <f>'Inputs &amp; Summary'!K64*'Inputs &amp; Summary'!$O$103</f>
        <v>0</v>
      </c>
      <c r="I11" s="6">
        <f>'Inputs &amp; Summary'!L64*'Inputs &amp; Summary'!$O$103</f>
        <v>0</v>
      </c>
      <c r="J11" s="6">
        <f>'Inputs &amp; Summary'!M64*'Inputs &amp; Summary'!$O$103</f>
        <v>0</v>
      </c>
      <c r="K11" s="6">
        <f>'Inputs &amp; Summary'!N64*'Inputs &amp; Summary'!$O$103</f>
        <v>0</v>
      </c>
      <c r="L11" s="6">
        <f>'Inputs &amp; Summary'!O64*'Inputs &amp; Summary'!$O$103</f>
        <v>0</v>
      </c>
      <c r="M11" s="41"/>
      <c r="N11" s="41"/>
      <c r="O11" s="41"/>
      <c r="P11" s="41"/>
      <c r="Q11" s="41"/>
      <c r="R11" s="41"/>
      <c r="S11" s="41"/>
      <c r="T11" s="41"/>
      <c r="U11" s="41"/>
      <c r="V11" s="41"/>
      <c r="W11" s="41"/>
      <c r="X11" s="41"/>
      <c r="Y11" s="41"/>
      <c r="Z11" s="41"/>
      <c r="AA11" s="41"/>
    </row>
    <row r="12" spans="1:27" x14ac:dyDescent="0.3">
      <c r="A12" t="s">
        <v>130</v>
      </c>
      <c r="B12" s="156">
        <f>(B$10&lt;=$B$6)*('M. Opt0'!B14-'M. Opt0'!B96)</f>
        <v>1579.1978491640689</v>
      </c>
      <c r="C12" s="156">
        <f>(C$10&lt;=$B$6)*('M. Opt0'!C14-'M. Opt0'!C96)</f>
        <v>1593.1731290747064</v>
      </c>
      <c r="D12" s="156">
        <f>(D$10&lt;=$B$6)*('M. Opt0'!D14-'M. Opt0'!D96)</f>
        <v>1607.337287120343</v>
      </c>
      <c r="E12" s="156">
        <f>(E$10&lt;=$B$6)*('M. Opt0'!E14-'M. Opt0'!E96)</f>
        <v>1621.6931633710913</v>
      </c>
      <c r="F12" s="156">
        <f>(F$10&lt;=$B$6)*('M. Opt0'!F14-'M. Opt0'!F96)</f>
        <v>1636.2436468108424</v>
      </c>
      <c r="G12" s="156">
        <f>(G$10&lt;=$B$6)*('M. Opt0'!G14-'M. Opt0'!G96)</f>
        <v>0</v>
      </c>
      <c r="H12" s="156">
        <f>(H$10&lt;=$B$6)*('M. Opt0'!H14-'M. Opt0'!H96)</f>
        <v>0</v>
      </c>
      <c r="I12" s="156">
        <f>(I$10&lt;=$B$6)*('M. Opt0'!I14-'M. Opt0'!I96)</f>
        <v>0</v>
      </c>
      <c r="J12" s="156">
        <f>(J$10&lt;=$B$6)*('M. Opt0'!J14-'M. Opt0'!J96)</f>
        <v>0</v>
      </c>
      <c r="K12" s="156">
        <f>(K$10&lt;=$B$6)*('M. Opt0'!K14-'M. Opt0'!K96)</f>
        <v>0</v>
      </c>
      <c r="L12" s="156">
        <f>(L$10&lt;=$B$6)*('M. Opt0'!L14-'M. Opt0'!L96)</f>
        <v>0</v>
      </c>
      <c r="M12" s="156">
        <f>(M$10&lt;=$B$6)*('M. Opt0'!M14-'M. Opt0'!M96)</f>
        <v>0</v>
      </c>
      <c r="N12" s="156">
        <f>(N$10&lt;=$B$6)*('M. Opt0'!N14-'M. Opt0'!N96)</f>
        <v>0</v>
      </c>
      <c r="O12" s="156">
        <f>(O$10&lt;=$B$6)*('M. Opt0'!O14-'M. Opt0'!O96)</f>
        <v>0</v>
      </c>
      <c r="P12" s="156">
        <f>(P$10&lt;=$B$6)*('M. Opt0'!P14-'M. Opt0'!P96)</f>
        <v>0</v>
      </c>
      <c r="Q12" s="156">
        <f>(Q$10&lt;=$B$6)*('M. Opt0'!Q14-'M. Opt0'!Q96)</f>
        <v>0</v>
      </c>
      <c r="R12" s="156">
        <f>(R$10&lt;=$B$6)*('M. Opt0'!R14-'M. Opt0'!R96)</f>
        <v>0</v>
      </c>
      <c r="S12" s="156">
        <f>(S$10&lt;=$B$6)*('M. Opt0'!S14-'M. Opt0'!S96)</f>
        <v>0</v>
      </c>
      <c r="T12" s="156">
        <f>(T$10&lt;=$B$6)*('M. Opt0'!T14-'M. Opt0'!T96)</f>
        <v>0</v>
      </c>
      <c r="U12" s="156">
        <f>(U$10&lt;=$B$6)*('M. Opt0'!U14-'M. Opt0'!U96)</f>
        <v>0</v>
      </c>
      <c r="V12" s="156">
        <f>(V$10&lt;=$B$6)*('M. Opt0'!V14-'M. Opt0'!V96)</f>
        <v>0</v>
      </c>
      <c r="W12" s="156">
        <f>(W$10&lt;=$B$6)*('M. Opt0'!W14-'M. Opt0'!W96)</f>
        <v>0</v>
      </c>
      <c r="X12" s="156">
        <f>(X$10&lt;=$B$6)*('M. Opt0'!X14-'M. Opt0'!X96)</f>
        <v>0</v>
      </c>
      <c r="Y12" s="156">
        <f>(Y$10&lt;=$B$6)*('M. Opt0'!Y14-'M. Opt0'!Y96)</f>
        <v>0</v>
      </c>
      <c r="Z12" s="156">
        <f>(Z$10&lt;=$B$6)*('M. Opt0'!Z14-'M. Opt0'!Z96)</f>
        <v>0</v>
      </c>
      <c r="AA12" s="156">
        <f>(AA$10&lt;=$B$6)*('M. Opt0'!AA14-'M. Opt0'!AA96)</f>
        <v>0</v>
      </c>
    </row>
    <row r="13" spans="1:27" x14ac:dyDescent="0.3">
      <c r="A13" s="75" t="s">
        <v>129</v>
      </c>
      <c r="B13" s="198">
        <f t="shared" ref="B13:F13" si="2">(B$10&gt;$B$6)*B32</f>
        <v>0</v>
      </c>
      <c r="C13" s="198">
        <f t="shared" si="2"/>
        <v>0</v>
      </c>
      <c r="D13" s="198">
        <f t="shared" si="2"/>
        <v>0</v>
      </c>
      <c r="E13" s="198">
        <f t="shared" si="2"/>
        <v>0</v>
      </c>
      <c r="F13" s="198">
        <f t="shared" si="2"/>
        <v>0</v>
      </c>
      <c r="G13" s="198">
        <f>(G$10&gt;$B$6)*G32</f>
        <v>136.13190948887271</v>
      </c>
      <c r="H13" s="198">
        <f t="shared" ref="H13:AA13" si="3">(H$10&gt;$B$6)*H32</f>
        <v>137.76549240273914</v>
      </c>
      <c r="I13" s="198">
        <f t="shared" si="3"/>
        <v>139.41867831157205</v>
      </c>
      <c r="J13" s="198">
        <f t="shared" si="3"/>
        <v>141.09170245131091</v>
      </c>
      <c r="K13" s="198">
        <f t="shared" si="3"/>
        <v>142.78480288072663</v>
      </c>
      <c r="L13" s="198">
        <f t="shared" si="3"/>
        <v>144.49822051529534</v>
      </c>
      <c r="M13" s="198">
        <f t="shared" si="3"/>
        <v>146.23219916147889</v>
      </c>
      <c r="N13" s="198">
        <f t="shared" si="3"/>
        <v>147.98698555141664</v>
      </c>
      <c r="O13" s="198">
        <f t="shared" si="3"/>
        <v>149.76282937803362</v>
      </c>
      <c r="P13" s="198">
        <f t="shared" si="3"/>
        <v>151.55998333057002</v>
      </c>
      <c r="Q13" s="198">
        <f t="shared" si="3"/>
        <v>153.37870313053691</v>
      </c>
      <c r="R13" s="198">
        <f t="shared" si="3"/>
        <v>155.21924756810333</v>
      </c>
      <c r="S13" s="198">
        <f t="shared" si="3"/>
        <v>157.08187853892059</v>
      </c>
      <c r="T13" s="198">
        <f t="shared" si="3"/>
        <v>158.96686108138761</v>
      </c>
      <c r="U13" s="198">
        <f t="shared" si="3"/>
        <v>160.87446341436427</v>
      </c>
      <c r="V13" s="198">
        <f t="shared" si="3"/>
        <v>162.80495697533664</v>
      </c>
      <c r="W13" s="198">
        <f t="shared" si="3"/>
        <v>164.7586164590407</v>
      </c>
      <c r="X13" s="198">
        <f t="shared" si="3"/>
        <v>166.73571985654914</v>
      </c>
      <c r="Y13" s="198">
        <f t="shared" si="3"/>
        <v>168.73654849482779</v>
      </c>
      <c r="Z13" s="198">
        <f t="shared" si="3"/>
        <v>170.76138707676569</v>
      </c>
      <c r="AA13" s="198">
        <f t="shared" si="3"/>
        <v>172.81052372168685</v>
      </c>
    </row>
    <row r="14" spans="1:27" ht="15" thickBot="1" x14ac:dyDescent="0.35">
      <c r="A14" s="80" t="s">
        <v>15</v>
      </c>
      <c r="B14" s="77">
        <f t="shared" ref="B14:AA14" si="4">+SUM(B11:B13)</f>
        <v>1579.1978491640689</v>
      </c>
      <c r="C14" s="77">
        <f t="shared" si="4"/>
        <v>1593.1731290747064</v>
      </c>
      <c r="D14" s="77">
        <f t="shared" si="4"/>
        <v>1607.337287120343</v>
      </c>
      <c r="E14" s="77">
        <f t="shared" si="4"/>
        <v>1621.6931633710913</v>
      </c>
      <c r="F14" s="77">
        <f t="shared" si="4"/>
        <v>17636.243646810843</v>
      </c>
      <c r="G14" s="77">
        <f t="shared" si="4"/>
        <v>136.13190948887271</v>
      </c>
      <c r="H14" s="77">
        <f t="shared" si="4"/>
        <v>137.76549240273914</v>
      </c>
      <c r="I14" s="77">
        <f t="shared" si="4"/>
        <v>139.41867831157205</v>
      </c>
      <c r="J14" s="77">
        <f t="shared" si="4"/>
        <v>141.09170245131091</v>
      </c>
      <c r="K14" s="77">
        <f t="shared" si="4"/>
        <v>142.78480288072663</v>
      </c>
      <c r="L14" s="77">
        <f t="shared" si="4"/>
        <v>144.49822051529534</v>
      </c>
      <c r="M14" s="77">
        <f t="shared" si="4"/>
        <v>146.23219916147889</v>
      </c>
      <c r="N14" s="77">
        <f t="shared" si="4"/>
        <v>147.98698555141664</v>
      </c>
      <c r="O14" s="77">
        <f t="shared" si="4"/>
        <v>149.76282937803362</v>
      </c>
      <c r="P14" s="77">
        <f t="shared" si="4"/>
        <v>151.55998333057002</v>
      </c>
      <c r="Q14" s="77">
        <f t="shared" si="4"/>
        <v>153.37870313053691</v>
      </c>
      <c r="R14" s="77">
        <f t="shared" si="4"/>
        <v>155.21924756810333</v>
      </c>
      <c r="S14" s="77">
        <f t="shared" si="4"/>
        <v>157.08187853892059</v>
      </c>
      <c r="T14" s="77">
        <f t="shared" si="4"/>
        <v>158.96686108138761</v>
      </c>
      <c r="U14" s="77">
        <f t="shared" si="4"/>
        <v>160.87446341436427</v>
      </c>
      <c r="V14" s="77">
        <f t="shared" si="4"/>
        <v>162.80495697533664</v>
      </c>
      <c r="W14" s="77">
        <f t="shared" si="4"/>
        <v>164.7586164590407</v>
      </c>
      <c r="X14" s="77">
        <f t="shared" si="4"/>
        <v>166.73571985654914</v>
      </c>
      <c r="Y14" s="77">
        <f t="shared" si="4"/>
        <v>168.73654849482779</v>
      </c>
      <c r="Z14" s="77">
        <f t="shared" si="4"/>
        <v>170.76138707676569</v>
      </c>
      <c r="AA14" s="77">
        <f t="shared" si="4"/>
        <v>172.81052372168685</v>
      </c>
    </row>
    <row r="15" spans="1:27" x14ac:dyDescent="0.3">
      <c r="A15" s="10"/>
    </row>
    <row r="16" spans="1:27" ht="18" x14ac:dyDescent="0.35">
      <c r="A16" s="94" t="s">
        <v>118</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8" spans="1:27" x14ac:dyDescent="0.3">
      <c r="A18" s="53" t="s">
        <v>16</v>
      </c>
      <c r="C18" s="364" t="s">
        <v>396</v>
      </c>
      <c r="D18" s="365">
        <f>SUM(B14:AA14)-SUM(B29:AA29,B92:AA92,B11:AA12)</f>
        <v>0</v>
      </c>
    </row>
    <row r="20" spans="1:27" ht="18" x14ac:dyDescent="0.35">
      <c r="A20" s="109" t="s">
        <v>168</v>
      </c>
      <c r="B20" s="110"/>
    </row>
    <row r="21" spans="1:27" x14ac:dyDescent="0.3">
      <c r="A21" s="45" t="s">
        <v>67</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row>
    <row r="22" spans="1:27" x14ac:dyDescent="0.3">
      <c r="A22" t="s">
        <v>40</v>
      </c>
      <c r="B22" s="156">
        <f>'Inputs &amp; Summary'!E95</f>
        <v>38</v>
      </c>
    </row>
    <row r="23" spans="1:27" x14ac:dyDescent="0.3">
      <c r="A23" t="s">
        <v>41</v>
      </c>
      <c r="B23" s="6">
        <f>'Inputs &amp; Summary'!E96</f>
        <v>135</v>
      </c>
    </row>
    <row r="24" spans="1:27" x14ac:dyDescent="0.3">
      <c r="A24" t="s">
        <v>38</v>
      </c>
      <c r="B24" s="158">
        <f>'Inputs &amp; Summary'!O176</f>
        <v>2.5000000000000001E-2</v>
      </c>
      <c r="C24" s="1" t="s">
        <v>193</v>
      </c>
    </row>
    <row r="25" spans="1:27" x14ac:dyDescent="0.3">
      <c r="A25" t="s">
        <v>39</v>
      </c>
      <c r="B25" s="160">
        <f>'Inputs &amp; Summary'!O177</f>
        <v>1.2E-2</v>
      </c>
      <c r="C25" s="1" t="s">
        <v>193</v>
      </c>
    </row>
    <row r="26" spans="1:27" x14ac:dyDescent="0.3">
      <c r="A26" t="s">
        <v>121</v>
      </c>
      <c r="B26" s="81">
        <f>+B22*B23*B24</f>
        <v>128.25</v>
      </c>
    </row>
    <row r="27" spans="1:27" x14ac:dyDescent="0.3">
      <c r="A27" s="3" t="s">
        <v>3</v>
      </c>
      <c r="B27">
        <v>0</v>
      </c>
      <c r="C27">
        <f>+B27+1</f>
        <v>1</v>
      </c>
      <c r="D27">
        <f t="shared" ref="D27:S28" si="5">+C27+1</f>
        <v>2</v>
      </c>
      <c r="E27">
        <f t="shared" si="5"/>
        <v>3</v>
      </c>
      <c r="F27">
        <f t="shared" si="5"/>
        <v>4</v>
      </c>
      <c r="G27">
        <f t="shared" si="5"/>
        <v>5</v>
      </c>
      <c r="H27">
        <f t="shared" si="5"/>
        <v>6</v>
      </c>
      <c r="I27">
        <f t="shared" si="5"/>
        <v>7</v>
      </c>
      <c r="J27">
        <f t="shared" si="5"/>
        <v>8</v>
      </c>
      <c r="K27">
        <f t="shared" si="5"/>
        <v>9</v>
      </c>
      <c r="L27">
        <f t="shared" si="5"/>
        <v>10</v>
      </c>
      <c r="M27">
        <f t="shared" si="5"/>
        <v>11</v>
      </c>
      <c r="N27">
        <f t="shared" si="5"/>
        <v>12</v>
      </c>
      <c r="O27">
        <f t="shared" si="5"/>
        <v>13</v>
      </c>
      <c r="P27">
        <f t="shared" si="5"/>
        <v>14</v>
      </c>
      <c r="Q27">
        <f t="shared" si="5"/>
        <v>15</v>
      </c>
      <c r="R27">
        <f t="shared" si="5"/>
        <v>16</v>
      </c>
      <c r="S27">
        <f t="shared" si="5"/>
        <v>17</v>
      </c>
      <c r="T27">
        <f t="shared" ref="T27:AA28" si="6">+S27+1</f>
        <v>18</v>
      </c>
      <c r="U27">
        <f t="shared" si="6"/>
        <v>19</v>
      </c>
      <c r="V27">
        <f t="shared" si="6"/>
        <v>20</v>
      </c>
      <c r="W27">
        <f t="shared" si="6"/>
        <v>21</v>
      </c>
      <c r="X27">
        <f t="shared" si="6"/>
        <v>22</v>
      </c>
      <c r="Y27">
        <f t="shared" si="6"/>
        <v>23</v>
      </c>
      <c r="Z27">
        <f t="shared" si="6"/>
        <v>24</v>
      </c>
      <c r="AA27">
        <f t="shared" si="6"/>
        <v>25</v>
      </c>
    </row>
    <row r="28" spans="1:27" x14ac:dyDescent="0.3">
      <c r="A28" s="18" t="s">
        <v>400</v>
      </c>
      <c r="B28" s="19">
        <v>2021</v>
      </c>
      <c r="C28" s="19">
        <f>+B28+1</f>
        <v>2022</v>
      </c>
      <c r="D28" s="19">
        <f t="shared" si="5"/>
        <v>2023</v>
      </c>
      <c r="E28" s="19">
        <f t="shared" si="5"/>
        <v>2024</v>
      </c>
      <c r="F28" s="19">
        <f t="shared" si="5"/>
        <v>2025</v>
      </c>
      <c r="G28" s="19">
        <f t="shared" si="5"/>
        <v>2026</v>
      </c>
      <c r="H28" s="19">
        <f t="shared" si="5"/>
        <v>2027</v>
      </c>
      <c r="I28" s="19">
        <f t="shared" si="5"/>
        <v>2028</v>
      </c>
      <c r="J28" s="19">
        <f t="shared" si="5"/>
        <v>2029</v>
      </c>
      <c r="K28" s="19">
        <f t="shared" si="5"/>
        <v>2030</v>
      </c>
      <c r="L28" s="19">
        <f t="shared" si="5"/>
        <v>2031</v>
      </c>
      <c r="M28" s="19">
        <f t="shared" si="5"/>
        <v>2032</v>
      </c>
      <c r="N28" s="19">
        <f t="shared" si="5"/>
        <v>2033</v>
      </c>
      <c r="O28" s="19">
        <f t="shared" si="5"/>
        <v>2034</v>
      </c>
      <c r="P28" s="19">
        <f t="shared" si="5"/>
        <v>2035</v>
      </c>
      <c r="Q28" s="19">
        <f t="shared" si="5"/>
        <v>2036</v>
      </c>
      <c r="R28" s="19">
        <f t="shared" si="5"/>
        <v>2037</v>
      </c>
      <c r="S28" s="19">
        <f t="shared" si="5"/>
        <v>2038</v>
      </c>
      <c r="T28" s="19">
        <f t="shared" si="6"/>
        <v>2039</v>
      </c>
      <c r="U28" s="19">
        <f t="shared" si="6"/>
        <v>2040</v>
      </c>
      <c r="V28" s="19">
        <f t="shared" si="6"/>
        <v>2041</v>
      </c>
      <c r="W28" s="19">
        <f t="shared" si="6"/>
        <v>2042</v>
      </c>
      <c r="X28" s="19">
        <f t="shared" si="6"/>
        <v>2043</v>
      </c>
      <c r="Y28" s="19">
        <f t="shared" si="6"/>
        <v>2044</v>
      </c>
      <c r="Z28" s="19">
        <f t="shared" si="6"/>
        <v>2045</v>
      </c>
      <c r="AA28" s="19">
        <f t="shared" si="6"/>
        <v>2046</v>
      </c>
    </row>
    <row r="29" spans="1:27" s="6" customFormat="1" x14ac:dyDescent="0.3">
      <c r="A29" s="30" t="s">
        <v>57</v>
      </c>
      <c r="B29" s="24">
        <f t="shared" ref="B29:F29" si="7">(B$10&gt;$B$6)*($B$26*(1+$B$25)^B27)</f>
        <v>0</v>
      </c>
      <c r="C29" s="24">
        <f t="shared" si="7"/>
        <v>0</v>
      </c>
      <c r="D29" s="24">
        <f t="shared" si="7"/>
        <v>0</v>
      </c>
      <c r="E29" s="24">
        <f t="shared" si="7"/>
        <v>0</v>
      </c>
      <c r="F29" s="24">
        <f t="shared" si="7"/>
        <v>0</v>
      </c>
      <c r="G29" s="24">
        <f>(G$10&gt;$B$6)*($B$26*(1+$B$25)^G27)</f>
        <v>136.13190948887271</v>
      </c>
      <c r="H29" s="24">
        <f t="shared" ref="H29:AA29" si="8">(H$10&gt;$B$6)*($B$26*(1+$B$25)^H27)</f>
        <v>137.76549240273914</v>
      </c>
      <c r="I29" s="24">
        <f t="shared" si="8"/>
        <v>139.41867831157205</v>
      </c>
      <c r="J29" s="24">
        <f t="shared" si="8"/>
        <v>141.09170245131091</v>
      </c>
      <c r="K29" s="24">
        <f t="shared" si="8"/>
        <v>142.78480288072663</v>
      </c>
      <c r="L29" s="24">
        <f t="shared" si="8"/>
        <v>144.49822051529534</v>
      </c>
      <c r="M29" s="24">
        <f t="shared" si="8"/>
        <v>146.23219916147889</v>
      </c>
      <c r="N29" s="24">
        <f t="shared" si="8"/>
        <v>147.98698555141664</v>
      </c>
      <c r="O29" s="24">
        <f t="shared" si="8"/>
        <v>149.76282937803362</v>
      </c>
      <c r="P29" s="24">
        <f t="shared" si="8"/>
        <v>151.55998333057002</v>
      </c>
      <c r="Q29" s="24">
        <f t="shared" si="8"/>
        <v>153.37870313053691</v>
      </c>
      <c r="R29" s="24">
        <f t="shared" si="8"/>
        <v>155.21924756810333</v>
      </c>
      <c r="S29" s="24">
        <f t="shared" si="8"/>
        <v>157.08187853892059</v>
      </c>
      <c r="T29" s="24">
        <f t="shared" si="8"/>
        <v>158.96686108138761</v>
      </c>
      <c r="U29" s="24">
        <f t="shared" si="8"/>
        <v>160.87446341436427</v>
      </c>
      <c r="V29" s="24">
        <f t="shared" si="8"/>
        <v>162.80495697533664</v>
      </c>
      <c r="W29" s="24">
        <f t="shared" si="8"/>
        <v>164.7586164590407</v>
      </c>
      <c r="X29" s="24">
        <f t="shared" si="8"/>
        <v>166.73571985654914</v>
      </c>
      <c r="Y29" s="24">
        <f t="shared" si="8"/>
        <v>168.73654849482779</v>
      </c>
      <c r="Z29" s="24">
        <f t="shared" si="8"/>
        <v>170.76138707676569</v>
      </c>
      <c r="AA29" s="24">
        <f t="shared" si="8"/>
        <v>172.81052372168685</v>
      </c>
    </row>
    <row r="30" spans="1:27" s="6" customFormat="1" x14ac:dyDescent="0.3">
      <c r="A30" s="30"/>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x14ac:dyDescent="0.3">
      <c r="A31" s="17" t="s">
        <v>72</v>
      </c>
      <c r="B31" s="17">
        <f t="shared" ref="B31:AA31" si="9">+B10</f>
        <v>2021</v>
      </c>
      <c r="C31" s="17">
        <f t="shared" si="9"/>
        <v>2022</v>
      </c>
      <c r="D31" s="17">
        <f t="shared" si="9"/>
        <v>2023</v>
      </c>
      <c r="E31" s="17">
        <f t="shared" si="9"/>
        <v>2024</v>
      </c>
      <c r="F31" s="17">
        <f t="shared" si="9"/>
        <v>2025</v>
      </c>
      <c r="G31" s="17">
        <f t="shared" si="9"/>
        <v>2026</v>
      </c>
      <c r="H31" s="17">
        <f t="shared" si="9"/>
        <v>2027</v>
      </c>
      <c r="I31" s="17">
        <f t="shared" si="9"/>
        <v>2028</v>
      </c>
      <c r="J31" s="17">
        <f t="shared" si="9"/>
        <v>2029</v>
      </c>
      <c r="K31" s="17">
        <f t="shared" si="9"/>
        <v>2030</v>
      </c>
      <c r="L31" s="17">
        <f t="shared" si="9"/>
        <v>2031</v>
      </c>
      <c r="M31" s="17">
        <f t="shared" si="9"/>
        <v>2032</v>
      </c>
      <c r="N31" s="17">
        <f t="shared" si="9"/>
        <v>2033</v>
      </c>
      <c r="O31" s="17">
        <f t="shared" si="9"/>
        <v>2034</v>
      </c>
      <c r="P31" s="17">
        <f t="shared" si="9"/>
        <v>2035</v>
      </c>
      <c r="Q31" s="17">
        <f t="shared" si="9"/>
        <v>2036</v>
      </c>
      <c r="R31" s="17">
        <f t="shared" si="9"/>
        <v>2037</v>
      </c>
      <c r="S31" s="17">
        <f t="shared" si="9"/>
        <v>2038</v>
      </c>
      <c r="T31" s="17">
        <f t="shared" si="9"/>
        <v>2039</v>
      </c>
      <c r="U31" s="17">
        <f t="shared" si="9"/>
        <v>2040</v>
      </c>
      <c r="V31" s="17">
        <f t="shared" si="9"/>
        <v>2041</v>
      </c>
      <c r="W31" s="17">
        <f t="shared" si="9"/>
        <v>2042</v>
      </c>
      <c r="X31" s="17">
        <f t="shared" si="9"/>
        <v>2043</v>
      </c>
      <c r="Y31" s="17">
        <f t="shared" si="9"/>
        <v>2044</v>
      </c>
      <c r="Z31" s="17">
        <f t="shared" si="9"/>
        <v>2045</v>
      </c>
      <c r="AA31" s="17">
        <f t="shared" si="9"/>
        <v>2046</v>
      </c>
    </row>
    <row r="32" spans="1:27" s="1" customFormat="1" ht="15" thickBot="1" x14ac:dyDescent="0.35">
      <c r="A32" s="38" t="s">
        <v>197</v>
      </c>
      <c r="B32" s="39">
        <f>+B29</f>
        <v>0</v>
      </c>
      <c r="C32" s="39">
        <f t="shared" ref="C32:AA32" si="10">+C29</f>
        <v>0</v>
      </c>
      <c r="D32" s="39">
        <f t="shared" si="10"/>
        <v>0</v>
      </c>
      <c r="E32" s="39">
        <f t="shared" si="10"/>
        <v>0</v>
      </c>
      <c r="F32" s="39">
        <f t="shared" si="10"/>
        <v>0</v>
      </c>
      <c r="G32" s="39">
        <f t="shared" si="10"/>
        <v>136.13190948887271</v>
      </c>
      <c r="H32" s="39">
        <f t="shared" si="10"/>
        <v>137.76549240273914</v>
      </c>
      <c r="I32" s="39">
        <f t="shared" si="10"/>
        <v>139.41867831157205</v>
      </c>
      <c r="J32" s="39">
        <f t="shared" si="10"/>
        <v>141.09170245131091</v>
      </c>
      <c r="K32" s="39">
        <f t="shared" si="10"/>
        <v>142.78480288072663</v>
      </c>
      <c r="L32" s="39">
        <f t="shared" si="10"/>
        <v>144.49822051529534</v>
      </c>
      <c r="M32" s="39">
        <f t="shared" si="10"/>
        <v>146.23219916147889</v>
      </c>
      <c r="N32" s="39">
        <f t="shared" si="10"/>
        <v>147.98698555141664</v>
      </c>
      <c r="O32" s="39">
        <f t="shared" si="10"/>
        <v>149.76282937803362</v>
      </c>
      <c r="P32" s="39">
        <f t="shared" si="10"/>
        <v>151.55998333057002</v>
      </c>
      <c r="Q32" s="39">
        <f t="shared" si="10"/>
        <v>153.37870313053691</v>
      </c>
      <c r="R32" s="39">
        <f t="shared" si="10"/>
        <v>155.21924756810333</v>
      </c>
      <c r="S32" s="39">
        <f t="shared" si="10"/>
        <v>157.08187853892059</v>
      </c>
      <c r="T32" s="39">
        <f t="shared" si="10"/>
        <v>158.96686108138761</v>
      </c>
      <c r="U32" s="39">
        <f t="shared" si="10"/>
        <v>160.87446341436427</v>
      </c>
      <c r="V32" s="39">
        <f t="shared" si="10"/>
        <v>162.80495697533664</v>
      </c>
      <c r="W32" s="39">
        <f t="shared" si="10"/>
        <v>164.7586164590407</v>
      </c>
      <c r="X32" s="39">
        <f t="shared" si="10"/>
        <v>166.73571985654914</v>
      </c>
      <c r="Y32" s="39">
        <f t="shared" si="10"/>
        <v>168.73654849482779</v>
      </c>
      <c r="Z32" s="39">
        <f t="shared" si="10"/>
        <v>170.76138707676569</v>
      </c>
      <c r="AA32" s="39">
        <f t="shared" si="10"/>
        <v>172.81052372168685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631E-40AF-4779-BACC-71A02B221DE7}">
  <sheetPr>
    <tabColor rgb="FF92D050"/>
  </sheetPr>
  <dimension ref="A1:AB171"/>
  <sheetViews>
    <sheetView showGridLines="0" topLeftCell="A61" zoomScale="80" zoomScaleNormal="80" workbookViewId="0">
      <selection activeCell="G79" sqref="G79"/>
    </sheetView>
  </sheetViews>
  <sheetFormatPr defaultColWidth="8.77734375" defaultRowHeight="14.4" x14ac:dyDescent="0.3"/>
  <cols>
    <col min="1" max="1" width="44.109375" customWidth="1"/>
  </cols>
  <sheetData>
    <row r="1" spans="1:28" ht="21" x14ac:dyDescent="0.4">
      <c r="A1" s="2" t="str">
        <f>'Inputs &amp; Summary'!B65</f>
        <v>Mornington: Minimum spend</v>
      </c>
      <c r="G1" s="99" t="s">
        <v>158</v>
      </c>
      <c r="H1" s="83"/>
      <c r="I1" s="83"/>
      <c r="J1" s="83"/>
      <c r="K1" s="83"/>
      <c r="L1" s="83"/>
      <c r="M1" s="83"/>
      <c r="N1" s="83"/>
      <c r="O1" s="83"/>
      <c r="P1" s="83"/>
      <c r="Q1" s="83"/>
      <c r="R1" s="83"/>
      <c r="S1" s="83"/>
      <c r="T1" s="83"/>
      <c r="U1" s="83"/>
      <c r="V1" s="83"/>
      <c r="W1" s="83"/>
      <c r="X1" s="83"/>
      <c r="Y1" s="84"/>
    </row>
    <row r="2" spans="1:28" s="20" customFormat="1" x14ac:dyDescent="0.3">
      <c r="A2" s="10" t="str">
        <f>+'Inputs &amp; Summary'!B5</f>
        <v>All values shown are costs, expressed in $000 as at June 2021 unless otherwise stated.</v>
      </c>
      <c r="B2" s="36"/>
      <c r="C2" s="14"/>
      <c r="D2" s="14"/>
      <c r="E2" s="14"/>
      <c r="F2" s="14"/>
      <c r="G2" s="100" t="s">
        <v>174</v>
      </c>
      <c r="H2" s="71"/>
      <c r="I2" s="71"/>
      <c r="J2" s="71"/>
      <c r="K2" s="71"/>
      <c r="L2" s="71"/>
      <c r="M2" s="71"/>
      <c r="N2" s="71"/>
      <c r="O2" s="71"/>
      <c r="P2" s="71"/>
      <c r="Q2" s="71"/>
      <c r="R2" s="71"/>
      <c r="S2" s="71"/>
      <c r="T2" s="71"/>
      <c r="U2" s="71"/>
      <c r="V2" s="71"/>
      <c r="W2" s="71"/>
      <c r="X2" s="71"/>
      <c r="Y2" s="98"/>
      <c r="Z2" s="14"/>
      <c r="AA2" s="14"/>
      <c r="AB2" s="14"/>
    </row>
    <row r="3" spans="1:28" s="20" customFormat="1" x14ac:dyDescent="0.3">
      <c r="A3" s="10"/>
      <c r="B3" s="36"/>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20" customFormat="1" x14ac:dyDescent="0.3">
      <c r="A4" s="10" t="s">
        <v>287</v>
      </c>
      <c r="B4" s="205">
        <f>'Inputs &amp; Summary'!$P$65</f>
        <v>2025</v>
      </c>
      <c r="C4" s="14"/>
      <c r="D4" s="14"/>
      <c r="E4" s="14"/>
      <c r="F4" s="14"/>
      <c r="G4" s="14"/>
      <c r="H4" s="14"/>
      <c r="I4" s="14"/>
      <c r="J4" s="14"/>
      <c r="K4" s="14"/>
      <c r="L4" s="14"/>
      <c r="M4" s="14"/>
      <c r="N4" s="14"/>
      <c r="O4" s="14"/>
      <c r="P4" s="14"/>
      <c r="Q4" s="14"/>
      <c r="R4" s="14"/>
      <c r="S4" s="14"/>
      <c r="T4" s="14"/>
      <c r="U4" s="14"/>
      <c r="V4" s="14"/>
      <c r="W4" s="14"/>
      <c r="X4" s="14"/>
      <c r="Y4" s="14"/>
      <c r="Z4" s="14"/>
      <c r="AA4" s="14"/>
      <c r="AB4" s="14"/>
    </row>
    <row r="5" spans="1:28" s="20" customFormat="1" x14ac:dyDescent="0.3">
      <c r="A5" s="10"/>
      <c r="B5" s="36"/>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ht="18" x14ac:dyDescent="0.35">
      <c r="A6" s="94" t="s">
        <v>117</v>
      </c>
      <c r="B6" s="95"/>
      <c r="C6" s="95"/>
      <c r="D6" s="95"/>
      <c r="E6" s="95"/>
      <c r="F6" s="95"/>
      <c r="G6" s="95"/>
      <c r="H6" s="95"/>
      <c r="I6" s="95"/>
      <c r="J6" s="95"/>
      <c r="K6" s="95"/>
      <c r="L6" s="95"/>
      <c r="M6" s="95"/>
      <c r="N6" s="95"/>
      <c r="O6" s="95"/>
      <c r="P6" s="95"/>
      <c r="Q6" s="95"/>
      <c r="R6" s="95"/>
      <c r="S6" s="95"/>
      <c r="T6" s="95"/>
      <c r="U6" s="95"/>
      <c r="V6" s="95"/>
      <c r="W6" s="95"/>
      <c r="X6" s="95"/>
      <c r="Y6" s="95"/>
      <c r="Z6" s="95"/>
      <c r="AA6" s="95"/>
    </row>
    <row r="7" spans="1:28" x14ac:dyDescent="0.3">
      <c r="A7" s="37" t="s">
        <v>3</v>
      </c>
      <c r="B7" s="6">
        <v>0</v>
      </c>
      <c r="C7" s="6">
        <f>+B7+1</f>
        <v>1</v>
      </c>
      <c r="D7" s="6">
        <f t="shared" ref="D7:S8" si="0">+C7+1</f>
        <v>2</v>
      </c>
      <c r="E7" s="6">
        <f t="shared" si="0"/>
        <v>3</v>
      </c>
      <c r="F7" s="6">
        <f t="shared" si="0"/>
        <v>4</v>
      </c>
      <c r="G7" s="6">
        <f t="shared" si="0"/>
        <v>5</v>
      </c>
      <c r="H7" s="6">
        <f t="shared" si="0"/>
        <v>6</v>
      </c>
      <c r="I7" s="6">
        <f t="shared" si="0"/>
        <v>7</v>
      </c>
      <c r="J7" s="6">
        <f t="shared" si="0"/>
        <v>8</v>
      </c>
      <c r="K7" s="6">
        <f t="shared" si="0"/>
        <v>9</v>
      </c>
      <c r="L7" s="6">
        <f t="shared" si="0"/>
        <v>10</v>
      </c>
      <c r="M7" s="6">
        <f t="shared" si="0"/>
        <v>11</v>
      </c>
      <c r="N7" s="6">
        <f t="shared" si="0"/>
        <v>12</v>
      </c>
      <c r="O7" s="6">
        <f t="shared" si="0"/>
        <v>13</v>
      </c>
      <c r="P7" s="6">
        <f t="shared" si="0"/>
        <v>14</v>
      </c>
      <c r="Q7" s="6">
        <f t="shared" si="0"/>
        <v>15</v>
      </c>
      <c r="R7" s="6">
        <f t="shared" si="0"/>
        <v>16</v>
      </c>
      <c r="S7" s="6">
        <f t="shared" si="0"/>
        <v>17</v>
      </c>
      <c r="T7" s="6">
        <f t="shared" ref="T7:AA8" si="1">+S7+1</f>
        <v>18</v>
      </c>
      <c r="U7" s="6">
        <f t="shared" si="1"/>
        <v>19</v>
      </c>
      <c r="V7" s="6">
        <f t="shared" si="1"/>
        <v>20</v>
      </c>
      <c r="W7" s="6">
        <f t="shared" si="1"/>
        <v>21</v>
      </c>
      <c r="X7" s="6">
        <f t="shared" si="1"/>
        <v>22</v>
      </c>
      <c r="Y7" s="6">
        <f t="shared" si="1"/>
        <v>23</v>
      </c>
      <c r="Z7" s="6">
        <f t="shared" si="1"/>
        <v>24</v>
      </c>
      <c r="AA7" s="6">
        <f t="shared" si="1"/>
        <v>25</v>
      </c>
    </row>
    <row r="8" spans="1:28" x14ac:dyDescent="0.3">
      <c r="A8" s="18" t="s">
        <v>400</v>
      </c>
      <c r="B8" s="19">
        <v>2021</v>
      </c>
      <c r="C8" s="19">
        <f>+B8+1</f>
        <v>2022</v>
      </c>
      <c r="D8" s="19">
        <f t="shared" si="0"/>
        <v>2023</v>
      </c>
      <c r="E8" s="19">
        <f t="shared" si="0"/>
        <v>2024</v>
      </c>
      <c r="F8" s="19">
        <f t="shared" si="0"/>
        <v>2025</v>
      </c>
      <c r="G8" s="19">
        <f t="shared" si="0"/>
        <v>2026</v>
      </c>
      <c r="H8" s="19">
        <f t="shared" si="0"/>
        <v>2027</v>
      </c>
      <c r="I8" s="19">
        <f t="shared" si="0"/>
        <v>2028</v>
      </c>
      <c r="J8" s="19">
        <f t="shared" si="0"/>
        <v>2029</v>
      </c>
      <c r="K8" s="19">
        <f t="shared" si="0"/>
        <v>2030</v>
      </c>
      <c r="L8" s="19">
        <f t="shared" si="0"/>
        <v>2031</v>
      </c>
      <c r="M8" s="19">
        <f t="shared" si="0"/>
        <v>2032</v>
      </c>
      <c r="N8" s="19">
        <f t="shared" si="0"/>
        <v>2033</v>
      </c>
      <c r="O8" s="19">
        <f t="shared" si="0"/>
        <v>2034</v>
      </c>
      <c r="P8" s="19">
        <f t="shared" si="0"/>
        <v>2035</v>
      </c>
      <c r="Q8" s="19">
        <f t="shared" si="0"/>
        <v>2036</v>
      </c>
      <c r="R8" s="19">
        <f t="shared" si="0"/>
        <v>2037</v>
      </c>
      <c r="S8" s="19">
        <f t="shared" si="0"/>
        <v>2038</v>
      </c>
      <c r="T8" s="19">
        <f t="shared" si="1"/>
        <v>2039</v>
      </c>
      <c r="U8" s="19">
        <f t="shared" si="1"/>
        <v>2040</v>
      </c>
      <c r="V8" s="19">
        <f t="shared" si="1"/>
        <v>2041</v>
      </c>
      <c r="W8" s="19">
        <f t="shared" si="1"/>
        <v>2042</v>
      </c>
      <c r="X8" s="19">
        <f t="shared" si="1"/>
        <v>2043</v>
      </c>
      <c r="Y8" s="19">
        <f t="shared" si="1"/>
        <v>2044</v>
      </c>
      <c r="Z8" s="19">
        <f t="shared" si="1"/>
        <v>2045</v>
      </c>
      <c r="AA8" s="19">
        <f t="shared" si="1"/>
        <v>2046</v>
      </c>
    </row>
    <row r="9" spans="1:28" x14ac:dyDescent="0.3">
      <c r="A9" s="13" t="str">
        <f>+A21</f>
        <v>(A) Cost of inadequate depot capacity</v>
      </c>
      <c r="B9" s="73">
        <f>+B51</f>
        <v>201.06992458203445</v>
      </c>
      <c r="C9" s="73">
        <f t="shared" ref="C9:AA9" si="2">+C51</f>
        <v>203.11582773735324</v>
      </c>
      <c r="D9" s="73">
        <f t="shared" si="2"/>
        <v>205.18464500801159</v>
      </c>
      <c r="E9" s="73">
        <f t="shared" si="2"/>
        <v>207.27663303210136</v>
      </c>
      <c r="F9" s="73">
        <f t="shared" si="2"/>
        <v>209.39205132206092</v>
      </c>
      <c r="G9" s="73">
        <f t="shared" si="2"/>
        <v>211.53116229686799</v>
      </c>
      <c r="H9" s="73">
        <f t="shared" si="2"/>
        <v>213.69423131459294</v>
      </c>
      <c r="I9" s="73">
        <f t="shared" si="2"/>
        <v>215.88152670531642</v>
      </c>
      <c r="J9" s="73">
        <f t="shared" si="2"/>
        <v>218.09331980441596</v>
      </c>
      <c r="K9" s="73">
        <f t="shared" si="2"/>
        <v>220.32988498622544</v>
      </c>
      <c r="L9" s="73">
        <f t="shared" si="2"/>
        <v>222.59149969807117</v>
      </c>
      <c r="M9" s="73">
        <f t="shared" si="2"/>
        <v>224.87844449468957</v>
      </c>
      <c r="N9" s="73">
        <f t="shared" si="2"/>
        <v>227.19100307303009</v>
      </c>
      <c r="O9" s="73">
        <f t="shared" si="2"/>
        <v>229.52946230744806</v>
      </c>
      <c r="P9" s="73">
        <f t="shared" si="2"/>
        <v>231.8941122852915</v>
      </c>
      <c r="Q9" s="73">
        <f t="shared" si="2"/>
        <v>234.28524634288681</v>
      </c>
      <c r="R9" s="73">
        <f t="shared" si="2"/>
        <v>236.70316110192712</v>
      </c>
      <c r="S9" s="73">
        <f t="shared" si="2"/>
        <v>239.14815650626872</v>
      </c>
      <c r="T9" s="73">
        <f t="shared" si="2"/>
        <v>241.62053585913895</v>
      </c>
      <c r="U9" s="73">
        <f t="shared" si="2"/>
        <v>244.12060586076132</v>
      </c>
      <c r="V9" s="73">
        <f t="shared" si="2"/>
        <v>246.64867664640187</v>
      </c>
      <c r="W9" s="73">
        <f t="shared" si="2"/>
        <v>249.20506182484158</v>
      </c>
      <c r="X9" s="73">
        <f t="shared" si="2"/>
        <v>251.79007851727982</v>
      </c>
      <c r="Y9" s="73">
        <f t="shared" si="2"/>
        <v>254.40404739667341</v>
      </c>
      <c r="Z9" s="73">
        <f t="shared" si="2"/>
        <v>257.04729272751609</v>
      </c>
      <c r="AA9" s="73">
        <f t="shared" si="2"/>
        <v>259.72014240606438</v>
      </c>
    </row>
    <row r="10" spans="1:28" x14ac:dyDescent="0.3">
      <c r="A10" t="str">
        <f>+A53</f>
        <v>(B) Cost of inadequate storage</v>
      </c>
      <c r="B10" s="73">
        <f>+B86</f>
        <v>302.74792458203444</v>
      </c>
      <c r="C10" s="73">
        <f t="shared" ref="C10:AA10" si="3">+C86</f>
        <v>306.24130133735326</v>
      </c>
      <c r="D10" s="73">
        <f t="shared" si="3"/>
        <v>309.77503511233164</v>
      </c>
      <c r="E10" s="73">
        <f t="shared" si="3"/>
        <v>313.34959267998977</v>
      </c>
      <c r="F10" s="73">
        <f t="shared" si="3"/>
        <v>316.96544621849847</v>
      </c>
      <c r="G10" s="73">
        <f t="shared" si="3"/>
        <v>320.62307337384436</v>
      </c>
      <c r="H10" s="73">
        <f t="shared" si="3"/>
        <v>324.32295732322257</v>
      </c>
      <c r="I10" s="73">
        <f t="shared" si="3"/>
        <v>328.06558683916495</v>
      </c>
      <c r="J10" s="73">
        <f t="shared" si="3"/>
        <v>331.85145635441285</v>
      </c>
      <c r="K10" s="73">
        <f t="shared" si="3"/>
        <v>335.68106602754335</v>
      </c>
      <c r="L10" s="73">
        <f t="shared" si="3"/>
        <v>339.55492180935641</v>
      </c>
      <c r="M10" s="73">
        <f t="shared" si="3"/>
        <v>343.47353551003346</v>
      </c>
      <c r="N10" s="73">
        <f t="shared" si="3"/>
        <v>347.43742486707504</v>
      </c>
      <c r="O10" s="73">
        <f t="shared" si="3"/>
        <v>351.44711361402739</v>
      </c>
      <c r="P10" s="73">
        <f t="shared" si="3"/>
        <v>355.50313155000697</v>
      </c>
      <c r="Q10" s="73">
        <f t="shared" si="3"/>
        <v>359.60601461003159</v>
      </c>
      <c r="R10" s="73">
        <f t="shared" si="3"/>
        <v>363.75630493616831</v>
      </c>
      <c r="S10" s="73">
        <f t="shared" si="3"/>
        <v>367.9545509495079</v>
      </c>
      <c r="T10" s="73">
        <f t="shared" si="3"/>
        <v>372.20130742297351</v>
      </c>
      <c r="U10" s="73">
        <f t="shared" si="3"/>
        <v>376.49713555497596</v>
      </c>
      <c r="V10" s="73">
        <f t="shared" si="3"/>
        <v>380.84260304392319</v>
      </c>
      <c r="W10" s="73">
        <f t="shared" si="3"/>
        <v>385.23828416359549</v>
      </c>
      <c r="X10" s="73">
        <f t="shared" si="3"/>
        <v>389.68475983939493</v>
      </c>
      <c r="Y10" s="73">
        <f t="shared" si="3"/>
        <v>394.18261772548146</v>
      </c>
      <c r="Z10" s="73">
        <f t="shared" si="3"/>
        <v>398.73245228280268</v>
      </c>
      <c r="AA10" s="73">
        <f t="shared" si="3"/>
        <v>403.33486485803155</v>
      </c>
    </row>
    <row r="11" spans="1:28" x14ac:dyDescent="0.3">
      <c r="A11" t="str">
        <f>+A88</f>
        <v xml:space="preserve">(C) Cost of not addressing structural issues </v>
      </c>
      <c r="B11" s="73">
        <f>+B121</f>
        <v>2719.21</v>
      </c>
      <c r="C11" s="73">
        <f t="shared" ref="C11:AA11" si="4">+C121</f>
        <v>221.08500000000001</v>
      </c>
      <c r="D11" s="73">
        <f t="shared" si="4"/>
        <v>223.00687500000001</v>
      </c>
      <c r="E11" s="73">
        <f t="shared" si="4"/>
        <v>224.97679687499999</v>
      </c>
      <c r="F11" s="361">
        <f t="shared" si="4"/>
        <v>8950</v>
      </c>
      <c r="G11" s="73">
        <f t="shared" si="4"/>
        <v>0</v>
      </c>
      <c r="H11" s="73">
        <f t="shared" si="4"/>
        <v>0</v>
      </c>
      <c r="I11" s="73">
        <f t="shared" si="4"/>
        <v>0</v>
      </c>
      <c r="J11" s="73">
        <f t="shared" si="4"/>
        <v>0</v>
      </c>
      <c r="K11" s="73">
        <f t="shared" si="4"/>
        <v>0</v>
      </c>
      <c r="L11" s="73">
        <f t="shared" si="4"/>
        <v>0</v>
      </c>
      <c r="M11" s="73">
        <f t="shared" si="4"/>
        <v>0</v>
      </c>
      <c r="N11" s="73">
        <f t="shared" si="4"/>
        <v>0</v>
      </c>
      <c r="O11" s="73">
        <f t="shared" si="4"/>
        <v>0</v>
      </c>
      <c r="P11" s="73">
        <f t="shared" si="4"/>
        <v>0</v>
      </c>
      <c r="Q11" s="73">
        <f t="shared" si="4"/>
        <v>0</v>
      </c>
      <c r="R11" s="73">
        <f t="shared" si="4"/>
        <v>0</v>
      </c>
      <c r="S11" s="73">
        <f t="shared" si="4"/>
        <v>0</v>
      </c>
      <c r="T11" s="73">
        <f t="shared" si="4"/>
        <v>0</v>
      </c>
      <c r="U11" s="73">
        <f t="shared" si="4"/>
        <v>0</v>
      </c>
      <c r="V11" s="73">
        <f t="shared" si="4"/>
        <v>0</v>
      </c>
      <c r="W11" s="73">
        <f t="shared" si="4"/>
        <v>0</v>
      </c>
      <c r="X11" s="73">
        <f t="shared" si="4"/>
        <v>0</v>
      </c>
      <c r="Y11" s="73">
        <f t="shared" si="4"/>
        <v>0</v>
      </c>
      <c r="Z11" s="73">
        <f t="shared" si="4"/>
        <v>0</v>
      </c>
      <c r="AA11" s="73">
        <f t="shared" si="4"/>
        <v>0</v>
      </c>
    </row>
    <row r="12" spans="1:28" x14ac:dyDescent="0.3">
      <c r="A12" t="str">
        <f>+A123</f>
        <v>(D) Costs of outdated facilities</v>
      </c>
      <c r="B12" s="73">
        <f>+B146</f>
        <v>326.70000000000005</v>
      </c>
      <c r="C12" s="73">
        <f t="shared" ref="C12:AA12" si="5">+C146</f>
        <v>330.62040000000002</v>
      </c>
      <c r="D12" s="73">
        <f t="shared" si="5"/>
        <v>334.58784479999997</v>
      </c>
      <c r="E12" s="73">
        <f t="shared" si="5"/>
        <v>338.6028989376</v>
      </c>
      <c r="F12" s="73">
        <f t="shared" si="5"/>
        <v>342.66613372485119</v>
      </c>
      <c r="G12" s="73">
        <f t="shared" si="5"/>
        <v>346.77812732954942</v>
      </c>
      <c r="H12" s="73">
        <f t="shared" si="5"/>
        <v>350.93946485750394</v>
      </c>
      <c r="I12" s="73">
        <f t="shared" si="5"/>
        <v>355.1507384357941</v>
      </c>
      <c r="J12" s="73">
        <f t="shared" si="5"/>
        <v>359.41254729702359</v>
      </c>
      <c r="K12" s="73">
        <f t="shared" si="5"/>
        <v>363.72549786458785</v>
      </c>
      <c r="L12" s="73">
        <f t="shared" si="5"/>
        <v>368.09020383896291</v>
      </c>
      <c r="M12" s="73">
        <f t="shared" si="5"/>
        <v>372.50728628503043</v>
      </c>
      <c r="N12" s="73">
        <f t="shared" si="5"/>
        <v>376.97737372045083</v>
      </c>
      <c r="O12" s="73">
        <f t="shared" si="5"/>
        <v>381.50110220509623</v>
      </c>
      <c r="P12" s="73">
        <f t="shared" si="5"/>
        <v>386.0791154315574</v>
      </c>
      <c r="Q12" s="73">
        <f t="shared" si="5"/>
        <v>390.71206481673613</v>
      </c>
      <c r="R12" s="73">
        <f t="shared" si="5"/>
        <v>395.40060959453695</v>
      </c>
      <c r="S12" s="73">
        <f t="shared" si="5"/>
        <v>400.14541690967144</v>
      </c>
      <c r="T12" s="73">
        <f t="shared" si="5"/>
        <v>404.94716191258738</v>
      </c>
      <c r="U12" s="73">
        <f t="shared" si="5"/>
        <v>409.80652785553849</v>
      </c>
      <c r="V12" s="73">
        <f t="shared" si="5"/>
        <v>414.72420618980487</v>
      </c>
      <c r="W12" s="73">
        <f t="shared" si="5"/>
        <v>419.70089666408262</v>
      </c>
      <c r="X12" s="73">
        <f t="shared" si="5"/>
        <v>424.73730742405155</v>
      </c>
      <c r="Y12" s="73">
        <f t="shared" si="5"/>
        <v>429.83415511314024</v>
      </c>
      <c r="Z12" s="73">
        <f t="shared" si="5"/>
        <v>434.99216497449788</v>
      </c>
      <c r="AA12" s="73">
        <f t="shared" si="5"/>
        <v>440.21207095419186</v>
      </c>
    </row>
    <row r="13" spans="1:28" x14ac:dyDescent="0.3">
      <c r="A13" t="str">
        <f>+A148</f>
        <v>(E) Costs of not addressing safety risks</v>
      </c>
      <c r="B13" s="73">
        <f>+B159</f>
        <v>283.42</v>
      </c>
      <c r="C13" s="73">
        <f t="shared" ref="C13:AA13" si="6">+C159</f>
        <v>283.42</v>
      </c>
      <c r="D13" s="73">
        <f t="shared" si="6"/>
        <v>283.42</v>
      </c>
      <c r="E13" s="73">
        <f t="shared" si="6"/>
        <v>283.42</v>
      </c>
      <c r="F13" s="73">
        <f t="shared" si="6"/>
        <v>283.42</v>
      </c>
      <c r="G13" s="73">
        <f t="shared" si="6"/>
        <v>141.71</v>
      </c>
      <c r="H13" s="73">
        <f t="shared" si="6"/>
        <v>141.71</v>
      </c>
      <c r="I13" s="73">
        <f t="shared" si="6"/>
        <v>141.71</v>
      </c>
      <c r="J13" s="73">
        <f t="shared" si="6"/>
        <v>141.71</v>
      </c>
      <c r="K13" s="73">
        <f t="shared" si="6"/>
        <v>141.71</v>
      </c>
      <c r="L13" s="73">
        <f t="shared" si="6"/>
        <v>141.71</v>
      </c>
      <c r="M13" s="73">
        <f t="shared" si="6"/>
        <v>141.71</v>
      </c>
      <c r="N13" s="73">
        <f t="shared" si="6"/>
        <v>141.71</v>
      </c>
      <c r="O13" s="73">
        <f t="shared" si="6"/>
        <v>141.71</v>
      </c>
      <c r="P13" s="73">
        <f t="shared" si="6"/>
        <v>141.71</v>
      </c>
      <c r="Q13" s="73">
        <f t="shared" si="6"/>
        <v>141.71</v>
      </c>
      <c r="R13" s="73">
        <f t="shared" si="6"/>
        <v>141.71</v>
      </c>
      <c r="S13" s="73">
        <f t="shared" si="6"/>
        <v>141.71</v>
      </c>
      <c r="T13" s="73">
        <f t="shared" si="6"/>
        <v>141.71</v>
      </c>
      <c r="U13" s="73">
        <f t="shared" si="6"/>
        <v>141.71</v>
      </c>
      <c r="V13" s="73">
        <f t="shared" si="6"/>
        <v>141.71</v>
      </c>
      <c r="W13" s="73">
        <f t="shared" si="6"/>
        <v>141.71</v>
      </c>
      <c r="X13" s="73">
        <f t="shared" si="6"/>
        <v>141.71</v>
      </c>
      <c r="Y13" s="73">
        <f t="shared" si="6"/>
        <v>141.71</v>
      </c>
      <c r="Z13" s="73">
        <f t="shared" si="6"/>
        <v>141.71</v>
      </c>
      <c r="AA13" s="73">
        <f t="shared" si="6"/>
        <v>141.71</v>
      </c>
    </row>
    <row r="14" spans="1:28" x14ac:dyDescent="0.3">
      <c r="A14" s="9" t="str">
        <f>+A161</f>
        <v>(F) Costs of suboptimal depot location</v>
      </c>
      <c r="B14" s="74">
        <f>+B171</f>
        <v>128.25</v>
      </c>
      <c r="C14" s="74">
        <f t="shared" ref="C14:AA14" si="7">+C171</f>
        <v>129.78899999999999</v>
      </c>
      <c r="D14" s="74">
        <f t="shared" si="7"/>
        <v>131.34646799999999</v>
      </c>
      <c r="E14" s="74">
        <f t="shared" si="7"/>
        <v>132.922625616</v>
      </c>
      <c r="F14" s="74">
        <f t="shared" si="7"/>
        <v>134.517697123392</v>
      </c>
      <c r="G14" s="74">
        <f t="shared" si="7"/>
        <v>136.13190948887271</v>
      </c>
      <c r="H14" s="74">
        <f t="shared" si="7"/>
        <v>137.76549240273914</v>
      </c>
      <c r="I14" s="74">
        <f t="shared" si="7"/>
        <v>139.41867831157205</v>
      </c>
      <c r="J14" s="74">
        <f t="shared" si="7"/>
        <v>141.09170245131091</v>
      </c>
      <c r="K14" s="74">
        <f t="shared" si="7"/>
        <v>142.78480288072663</v>
      </c>
      <c r="L14" s="74">
        <f t="shared" si="7"/>
        <v>144.49822051529534</v>
      </c>
      <c r="M14" s="74">
        <f t="shared" si="7"/>
        <v>146.23219916147889</v>
      </c>
      <c r="N14" s="74">
        <f t="shared" si="7"/>
        <v>147.98698555141664</v>
      </c>
      <c r="O14" s="74">
        <f t="shared" si="7"/>
        <v>149.76282937803362</v>
      </c>
      <c r="P14" s="74">
        <f t="shared" si="7"/>
        <v>151.55998333057002</v>
      </c>
      <c r="Q14" s="74">
        <f t="shared" si="7"/>
        <v>153.37870313053691</v>
      </c>
      <c r="R14" s="74">
        <f t="shared" si="7"/>
        <v>155.21924756810333</v>
      </c>
      <c r="S14" s="74">
        <f t="shared" si="7"/>
        <v>157.08187853892059</v>
      </c>
      <c r="T14" s="74">
        <f t="shared" si="7"/>
        <v>158.96686108138761</v>
      </c>
      <c r="U14" s="74">
        <f t="shared" si="7"/>
        <v>160.87446341436427</v>
      </c>
      <c r="V14" s="74">
        <f t="shared" si="7"/>
        <v>162.80495697533664</v>
      </c>
      <c r="W14" s="74">
        <f t="shared" si="7"/>
        <v>164.7586164590407</v>
      </c>
      <c r="X14" s="74">
        <f t="shared" si="7"/>
        <v>166.73571985654914</v>
      </c>
      <c r="Y14" s="74">
        <f t="shared" si="7"/>
        <v>168.73654849482779</v>
      </c>
      <c r="Z14" s="74">
        <f t="shared" si="7"/>
        <v>170.76138707676569</v>
      </c>
      <c r="AA14" s="74">
        <f t="shared" si="7"/>
        <v>172.81052372168685</v>
      </c>
    </row>
    <row r="15" spans="1:28" ht="15" thickBot="1" x14ac:dyDescent="0.35">
      <c r="A15" s="69" t="s">
        <v>17</v>
      </c>
      <c r="B15" s="70">
        <f t="shared" ref="B15:AA15" si="8">+SUM(B9:B14)</f>
        <v>3961.3978491640692</v>
      </c>
      <c r="C15" s="70">
        <f t="shared" si="8"/>
        <v>1474.2715290747067</v>
      </c>
      <c r="D15" s="70">
        <f t="shared" si="8"/>
        <v>1487.3208679203433</v>
      </c>
      <c r="E15" s="70">
        <f t="shared" si="8"/>
        <v>1500.5485471406912</v>
      </c>
      <c r="F15" s="70">
        <f t="shared" si="8"/>
        <v>10236.961328388803</v>
      </c>
      <c r="G15" s="70">
        <f t="shared" si="8"/>
        <v>1156.7742724891345</v>
      </c>
      <c r="H15" s="70">
        <f t="shared" si="8"/>
        <v>1168.4321458980585</v>
      </c>
      <c r="I15" s="70">
        <f t="shared" si="8"/>
        <v>1180.2265302918474</v>
      </c>
      <c r="J15" s="70">
        <f t="shared" si="8"/>
        <v>1192.1590259071634</v>
      </c>
      <c r="K15" s="70">
        <f t="shared" si="8"/>
        <v>1204.2312517590833</v>
      </c>
      <c r="L15" s="70">
        <f t="shared" si="8"/>
        <v>1216.4448458616857</v>
      </c>
      <c r="M15" s="70">
        <f t="shared" si="8"/>
        <v>1228.8014654512322</v>
      </c>
      <c r="N15" s="70">
        <f t="shared" si="8"/>
        <v>1241.3027872119726</v>
      </c>
      <c r="O15" s="70">
        <f t="shared" si="8"/>
        <v>1253.9505075046052</v>
      </c>
      <c r="P15" s="70">
        <f t="shared" si="8"/>
        <v>1266.7463425974258</v>
      </c>
      <c r="Q15" s="70">
        <f t="shared" si="8"/>
        <v>1279.6920289001914</v>
      </c>
      <c r="R15" s="70">
        <f t="shared" si="8"/>
        <v>1292.7893232007357</v>
      </c>
      <c r="S15" s="70">
        <f t="shared" si="8"/>
        <v>1306.0400029043687</v>
      </c>
      <c r="T15" s="70">
        <f t="shared" si="8"/>
        <v>1319.4458662760874</v>
      </c>
      <c r="U15" s="70">
        <f t="shared" si="8"/>
        <v>1333.0087326856401</v>
      </c>
      <c r="V15" s="70">
        <f t="shared" si="8"/>
        <v>1346.7304428554667</v>
      </c>
      <c r="W15" s="70">
        <f t="shared" si="8"/>
        <v>1360.6128591115603</v>
      </c>
      <c r="X15" s="70">
        <f t="shared" si="8"/>
        <v>1374.6578656372756</v>
      </c>
      <c r="Y15" s="70">
        <f t="shared" si="8"/>
        <v>1388.867368730123</v>
      </c>
      <c r="Z15" s="70">
        <f t="shared" si="8"/>
        <v>1403.2432970615823</v>
      </c>
      <c r="AA15" s="70">
        <f t="shared" si="8"/>
        <v>1417.7876019399746</v>
      </c>
    </row>
    <row r="17" spans="1:28" ht="18" x14ac:dyDescent="0.35">
      <c r="A17" s="94" t="s">
        <v>118</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row>
    <row r="18" spans="1:28" s="20" customFormat="1" x14ac:dyDescent="0.3">
      <c r="A18" s="10"/>
      <c r="B18" s="36"/>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s="20" customFormat="1" x14ac:dyDescent="0.3">
      <c r="A19" s="53" t="s">
        <v>16</v>
      </c>
      <c r="B19" s="36"/>
      <c r="C19" s="364" t="s">
        <v>396</v>
      </c>
      <c r="D19" s="365">
        <f>SUM(B15:AA15)-SUM(B30:AA30,B41:AA41,B48:AA48,B62:AA62,B72:AA72,B83:AA83,B96:AA96,B105:AA105,B117:AA117,B133:AA133,B143:AA143,B155:AA155,B168:AA168)</f>
        <v>0</v>
      </c>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s="20" customFormat="1" x14ac:dyDescent="0.3">
      <c r="A20" s="10"/>
      <c r="B20" s="36"/>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row>
    <row r="21" spans="1:28" ht="18" x14ac:dyDescent="0.35">
      <c r="A21" s="108" t="s">
        <v>161</v>
      </c>
    </row>
    <row r="22" spans="1:28" x14ac:dyDescent="0.3">
      <c r="A22" s="45" t="s">
        <v>19</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row>
    <row r="23" spans="1:28" x14ac:dyDescent="0.3">
      <c r="C23" s="46" t="s">
        <v>181</v>
      </c>
    </row>
    <row r="24" spans="1:28" x14ac:dyDescent="0.3">
      <c r="A24" s="13" t="s">
        <v>18</v>
      </c>
      <c r="B24" s="156">
        <f>'Inputs &amp; Summary'!O86</f>
        <v>2043</v>
      </c>
    </row>
    <row r="25" spans="1:28" x14ac:dyDescent="0.3">
      <c r="A25" s="13" t="s">
        <v>44</v>
      </c>
      <c r="B25" s="54">
        <f>'Inputs &amp; Summary'!O85</f>
        <v>1.12E-2</v>
      </c>
      <c r="G25" s="93" t="s">
        <v>137</v>
      </c>
      <c r="H25" s="83"/>
      <c r="I25" s="83"/>
      <c r="J25" s="83"/>
      <c r="K25" s="83"/>
      <c r="L25" s="83"/>
      <c r="M25" s="83"/>
      <c r="N25" s="83"/>
      <c r="O25" s="83"/>
      <c r="P25" s="83"/>
      <c r="Q25" s="83"/>
      <c r="R25" s="83"/>
      <c r="S25" s="83"/>
      <c r="T25" s="83"/>
      <c r="U25" s="83"/>
      <c r="V25" s="84"/>
    </row>
    <row r="26" spans="1:28" x14ac:dyDescent="0.3">
      <c r="A26" s="13" t="s">
        <v>53</v>
      </c>
      <c r="B26" s="157">
        <f>'Inputs &amp; Summary'!O108</f>
        <v>0.05</v>
      </c>
      <c r="C26" s="1" t="s">
        <v>193</v>
      </c>
      <c r="G26" s="85" t="s">
        <v>136</v>
      </c>
      <c r="H26" s="72"/>
      <c r="I26" s="72"/>
      <c r="J26" s="72"/>
      <c r="K26" s="72"/>
      <c r="L26" s="72"/>
      <c r="M26" s="72"/>
      <c r="N26" s="72"/>
      <c r="O26" s="72"/>
      <c r="P26" s="72"/>
      <c r="Q26" s="72"/>
      <c r="R26" s="72"/>
      <c r="S26" s="72"/>
      <c r="T26" s="72"/>
      <c r="U26" s="72"/>
      <c r="V26" s="86"/>
    </row>
    <row r="27" spans="1:28" x14ac:dyDescent="0.3">
      <c r="A27" s="13" t="s">
        <v>54</v>
      </c>
      <c r="B27" s="65">
        <f>'Inputs &amp; Summary'!O109</f>
        <v>80</v>
      </c>
      <c r="C27" s="1" t="s">
        <v>186</v>
      </c>
    </row>
    <row r="28" spans="1:28" s="6" customFormat="1" x14ac:dyDescent="0.3">
      <c r="A28" s="37" t="s">
        <v>3</v>
      </c>
      <c r="B28" s="6">
        <v>0</v>
      </c>
      <c r="C28" s="6">
        <f>+B28+1</f>
        <v>1</v>
      </c>
      <c r="D28" s="6">
        <f t="shared" ref="D28:S29" si="9">+C28+1</f>
        <v>2</v>
      </c>
      <c r="E28" s="6">
        <f t="shared" si="9"/>
        <v>3</v>
      </c>
      <c r="F28" s="6">
        <f t="shared" si="9"/>
        <v>4</v>
      </c>
      <c r="G28" s="6">
        <f t="shared" si="9"/>
        <v>5</v>
      </c>
      <c r="H28" s="6">
        <f t="shared" si="9"/>
        <v>6</v>
      </c>
      <c r="I28" s="6">
        <f t="shared" si="9"/>
        <v>7</v>
      </c>
      <c r="J28" s="6">
        <f t="shared" si="9"/>
        <v>8</v>
      </c>
      <c r="K28" s="6">
        <f t="shared" si="9"/>
        <v>9</v>
      </c>
      <c r="L28" s="6">
        <f t="shared" si="9"/>
        <v>10</v>
      </c>
      <c r="M28" s="6">
        <f t="shared" si="9"/>
        <v>11</v>
      </c>
      <c r="N28" s="6">
        <f t="shared" si="9"/>
        <v>12</v>
      </c>
      <c r="O28" s="6">
        <f t="shared" si="9"/>
        <v>13</v>
      </c>
      <c r="P28" s="6">
        <f t="shared" si="9"/>
        <v>14</v>
      </c>
      <c r="Q28" s="6">
        <f t="shared" si="9"/>
        <v>15</v>
      </c>
      <c r="R28" s="6">
        <f t="shared" si="9"/>
        <v>16</v>
      </c>
      <c r="S28" s="6">
        <f t="shared" si="9"/>
        <v>17</v>
      </c>
      <c r="T28" s="6">
        <f t="shared" ref="T28:AA29" si="10">+S28+1</f>
        <v>18</v>
      </c>
      <c r="U28" s="6">
        <f t="shared" si="10"/>
        <v>19</v>
      </c>
      <c r="V28" s="6">
        <f t="shared" si="10"/>
        <v>20</v>
      </c>
      <c r="W28" s="6">
        <f t="shared" si="10"/>
        <v>21</v>
      </c>
      <c r="X28" s="6">
        <f t="shared" si="10"/>
        <v>22</v>
      </c>
      <c r="Y28" s="6">
        <f t="shared" si="10"/>
        <v>23</v>
      </c>
      <c r="Z28" s="6">
        <f t="shared" si="10"/>
        <v>24</v>
      </c>
      <c r="AA28" s="6">
        <f t="shared" si="10"/>
        <v>25</v>
      </c>
    </row>
    <row r="29" spans="1:28" s="20" customFormat="1" x14ac:dyDescent="0.3">
      <c r="A29" s="18" t="s">
        <v>400</v>
      </c>
      <c r="B29" s="19">
        <v>2021</v>
      </c>
      <c r="C29" s="19">
        <f>+B29+1</f>
        <v>2022</v>
      </c>
      <c r="D29" s="19">
        <f t="shared" si="9"/>
        <v>2023</v>
      </c>
      <c r="E29" s="19">
        <f t="shared" si="9"/>
        <v>2024</v>
      </c>
      <c r="F29" s="19">
        <f t="shared" si="9"/>
        <v>2025</v>
      </c>
      <c r="G29" s="19">
        <f t="shared" si="9"/>
        <v>2026</v>
      </c>
      <c r="H29" s="19">
        <f t="shared" si="9"/>
        <v>2027</v>
      </c>
      <c r="I29" s="19">
        <f t="shared" si="9"/>
        <v>2028</v>
      </c>
      <c r="J29" s="19">
        <f t="shared" si="9"/>
        <v>2029</v>
      </c>
      <c r="K29" s="19">
        <f t="shared" si="9"/>
        <v>2030</v>
      </c>
      <c r="L29" s="19">
        <f t="shared" si="9"/>
        <v>2031</v>
      </c>
      <c r="M29" s="19">
        <f t="shared" si="9"/>
        <v>2032</v>
      </c>
      <c r="N29" s="19">
        <f t="shared" si="9"/>
        <v>2033</v>
      </c>
      <c r="O29" s="19">
        <f t="shared" si="9"/>
        <v>2034</v>
      </c>
      <c r="P29" s="19">
        <f t="shared" si="9"/>
        <v>2035</v>
      </c>
      <c r="Q29" s="19">
        <f t="shared" si="9"/>
        <v>2036</v>
      </c>
      <c r="R29" s="19">
        <f t="shared" si="9"/>
        <v>2037</v>
      </c>
      <c r="S29" s="19">
        <f t="shared" si="9"/>
        <v>2038</v>
      </c>
      <c r="T29" s="19">
        <f t="shared" si="10"/>
        <v>2039</v>
      </c>
      <c r="U29" s="19">
        <f t="shared" si="10"/>
        <v>2040</v>
      </c>
      <c r="V29" s="19">
        <f t="shared" si="10"/>
        <v>2041</v>
      </c>
      <c r="W29" s="19">
        <f t="shared" si="10"/>
        <v>2042</v>
      </c>
      <c r="X29" s="19">
        <f t="shared" si="10"/>
        <v>2043</v>
      </c>
      <c r="Y29" s="19">
        <f t="shared" si="10"/>
        <v>2044</v>
      </c>
      <c r="Z29" s="19">
        <f t="shared" si="10"/>
        <v>2045</v>
      </c>
      <c r="AA29" s="19">
        <f t="shared" si="10"/>
        <v>2046</v>
      </c>
    </row>
    <row r="30" spans="1:28" s="23" customFormat="1" x14ac:dyDescent="0.3">
      <c r="A30" s="14" t="s">
        <v>57</v>
      </c>
      <c r="B30" s="44">
        <f>+B24*B26*B27/1000</f>
        <v>8.1720000000000006</v>
      </c>
      <c r="C30" s="44">
        <f>+B30*(1+$B$25)</f>
        <v>8.2635264000000017</v>
      </c>
      <c r="D30" s="44">
        <f t="shared" ref="D30:AA30" si="11">+C30*(1+$B$25)</f>
        <v>8.3560778956800021</v>
      </c>
      <c r="E30" s="44">
        <f t="shared" si="11"/>
        <v>8.4496659681116189</v>
      </c>
      <c r="F30" s="44">
        <f t="shared" si="11"/>
        <v>8.5443022269544695</v>
      </c>
      <c r="G30" s="44">
        <f t="shared" si="11"/>
        <v>8.6399984118963609</v>
      </c>
      <c r="H30" s="44">
        <f t="shared" si="11"/>
        <v>8.7367663941096012</v>
      </c>
      <c r="I30" s="44">
        <f t="shared" si="11"/>
        <v>8.8346181777236303</v>
      </c>
      <c r="J30" s="44">
        <f t="shared" si="11"/>
        <v>8.933565901314136</v>
      </c>
      <c r="K30" s="44">
        <f t="shared" si="11"/>
        <v>9.0336218394088554</v>
      </c>
      <c r="L30" s="44">
        <f t="shared" si="11"/>
        <v>9.134798404010235</v>
      </c>
      <c r="M30" s="44">
        <f t="shared" si="11"/>
        <v>9.2371081461351512</v>
      </c>
      <c r="N30" s="44">
        <f t="shared" si="11"/>
        <v>9.3405637573718661</v>
      </c>
      <c r="O30" s="44">
        <f t="shared" si="11"/>
        <v>9.445178071454432</v>
      </c>
      <c r="P30" s="44">
        <f t="shared" si="11"/>
        <v>9.550964065854723</v>
      </c>
      <c r="Q30" s="44">
        <f t="shared" si="11"/>
        <v>9.6579348633922972</v>
      </c>
      <c r="R30" s="44">
        <f t="shared" si="11"/>
        <v>9.7661037338622911</v>
      </c>
      <c r="S30" s="44">
        <f t="shared" si="11"/>
        <v>9.8754840956815499</v>
      </c>
      <c r="T30" s="44">
        <f t="shared" si="11"/>
        <v>9.9860895175531841</v>
      </c>
      <c r="U30" s="44">
        <f t="shared" si="11"/>
        <v>10.097933720149781</v>
      </c>
      <c r="V30" s="44">
        <f t="shared" si="11"/>
        <v>10.211030577815459</v>
      </c>
      <c r="W30" s="44">
        <f t="shared" si="11"/>
        <v>10.325394120286992</v>
      </c>
      <c r="X30" s="44">
        <f t="shared" si="11"/>
        <v>10.441038534434208</v>
      </c>
      <c r="Y30" s="44">
        <f t="shared" si="11"/>
        <v>10.557978166019872</v>
      </c>
      <c r="Z30" s="44">
        <f t="shared" si="11"/>
        <v>10.676227521479296</v>
      </c>
      <c r="AA30" s="44">
        <f t="shared" si="11"/>
        <v>10.795801269719865</v>
      </c>
    </row>
    <row r="32" spans="1:28" x14ac:dyDescent="0.3">
      <c r="A32" s="45" t="s">
        <v>20</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row>
    <row r="33" spans="1:28" s="6" customFormat="1" x14ac:dyDescent="0.3">
      <c r="C33" s="46" t="s">
        <v>181</v>
      </c>
    </row>
    <row r="34" spans="1:28" s="6" customFormat="1" x14ac:dyDescent="0.3">
      <c r="A34" s="6" t="s">
        <v>113</v>
      </c>
      <c r="B34" s="65">
        <f>'Inputs &amp; Summary'!O81</f>
        <v>47.828616539314339</v>
      </c>
    </row>
    <row r="35" spans="1:28" s="6" customFormat="1" x14ac:dyDescent="0.3">
      <c r="A35" s="6" t="s">
        <v>195</v>
      </c>
      <c r="B35" s="32">
        <f>'Inputs &amp; Summary'!E84</f>
        <v>182420</v>
      </c>
      <c r="G35" s="82" t="s">
        <v>140</v>
      </c>
      <c r="H35" s="83"/>
      <c r="I35" s="83"/>
      <c r="J35" s="83"/>
      <c r="K35" s="83"/>
      <c r="L35" s="83"/>
      <c r="M35" s="83"/>
      <c r="N35" s="83"/>
      <c r="O35" s="83"/>
      <c r="P35" s="83"/>
      <c r="Q35" s="83"/>
      <c r="R35" s="83"/>
      <c r="S35" s="83"/>
      <c r="T35" s="83"/>
      <c r="U35" s="83"/>
      <c r="V35" s="84"/>
    </row>
    <row r="36" spans="1:28" s="6" customFormat="1" x14ac:dyDescent="0.3">
      <c r="A36" s="13" t="s">
        <v>44</v>
      </c>
      <c r="B36" s="54">
        <f>'Inputs &amp; Summary'!O85</f>
        <v>1.12E-2</v>
      </c>
      <c r="G36" s="87" t="s">
        <v>138</v>
      </c>
      <c r="H36" s="88"/>
      <c r="I36" s="88"/>
      <c r="J36" s="88"/>
      <c r="K36" s="88"/>
      <c r="L36" s="88"/>
      <c r="M36" s="88"/>
      <c r="N36" s="88"/>
      <c r="O36" s="88"/>
      <c r="P36" s="88"/>
      <c r="Q36" s="88"/>
      <c r="R36" s="88"/>
      <c r="S36" s="88"/>
      <c r="T36" s="88"/>
      <c r="U36" s="88"/>
      <c r="V36" s="89"/>
    </row>
    <row r="37" spans="1:28" s="6" customFormat="1" x14ac:dyDescent="0.3">
      <c r="A37" s="20" t="s">
        <v>115</v>
      </c>
      <c r="B37" s="158">
        <f>'Inputs &amp; Summary'!O111</f>
        <v>0.02</v>
      </c>
      <c r="C37" s="1" t="s">
        <v>193</v>
      </c>
      <c r="G37" s="85" t="s">
        <v>175</v>
      </c>
      <c r="H37" s="72"/>
      <c r="I37" s="72"/>
      <c r="J37" s="72"/>
      <c r="K37" s="72"/>
      <c r="L37" s="72"/>
      <c r="M37" s="72"/>
      <c r="N37" s="72"/>
      <c r="O37" s="72"/>
      <c r="P37" s="72"/>
      <c r="Q37" s="72"/>
      <c r="R37" s="72"/>
      <c r="S37" s="72"/>
      <c r="T37" s="72"/>
      <c r="U37" s="72"/>
      <c r="V37" s="86"/>
    </row>
    <row r="38" spans="1:28" s="6" customFormat="1" x14ac:dyDescent="0.3">
      <c r="A38" s="20" t="s">
        <v>116</v>
      </c>
      <c r="B38" s="67">
        <f>+B34*B35*B37/1000</f>
        <v>174.49792458203444</v>
      </c>
    </row>
    <row r="39" spans="1:28" x14ac:dyDescent="0.3">
      <c r="A39" s="3" t="s">
        <v>3</v>
      </c>
      <c r="B39">
        <v>0</v>
      </c>
      <c r="C39">
        <f>+B39+1</f>
        <v>1</v>
      </c>
      <c r="D39">
        <f t="shared" ref="D39:S40" si="12">+C39+1</f>
        <v>2</v>
      </c>
      <c r="E39">
        <f t="shared" si="12"/>
        <v>3</v>
      </c>
      <c r="F39">
        <f t="shared" si="12"/>
        <v>4</v>
      </c>
      <c r="G39">
        <f t="shared" si="12"/>
        <v>5</v>
      </c>
      <c r="H39">
        <f t="shared" si="12"/>
        <v>6</v>
      </c>
      <c r="I39">
        <f t="shared" si="12"/>
        <v>7</v>
      </c>
      <c r="J39">
        <f t="shared" si="12"/>
        <v>8</v>
      </c>
      <c r="K39">
        <f t="shared" si="12"/>
        <v>9</v>
      </c>
      <c r="L39">
        <f t="shared" si="12"/>
        <v>10</v>
      </c>
      <c r="M39">
        <f t="shared" si="12"/>
        <v>11</v>
      </c>
      <c r="N39">
        <f t="shared" si="12"/>
        <v>12</v>
      </c>
      <c r="O39">
        <f t="shared" si="12"/>
        <v>13</v>
      </c>
      <c r="P39">
        <f t="shared" si="12"/>
        <v>14</v>
      </c>
      <c r="Q39">
        <f t="shared" si="12"/>
        <v>15</v>
      </c>
      <c r="R39">
        <f t="shared" si="12"/>
        <v>16</v>
      </c>
      <c r="S39">
        <f t="shared" si="12"/>
        <v>17</v>
      </c>
      <c r="T39">
        <f t="shared" ref="T39:AA40" si="13">+S39+1</f>
        <v>18</v>
      </c>
      <c r="U39">
        <f t="shared" si="13"/>
        <v>19</v>
      </c>
      <c r="V39">
        <f t="shared" si="13"/>
        <v>20</v>
      </c>
      <c r="W39">
        <f t="shared" si="13"/>
        <v>21</v>
      </c>
      <c r="X39">
        <f t="shared" si="13"/>
        <v>22</v>
      </c>
      <c r="Y39">
        <f t="shared" si="13"/>
        <v>23</v>
      </c>
      <c r="Z39">
        <f t="shared" si="13"/>
        <v>24</v>
      </c>
      <c r="AA39">
        <f t="shared" si="13"/>
        <v>25</v>
      </c>
    </row>
    <row r="40" spans="1:28" x14ac:dyDescent="0.3">
      <c r="A40" s="18" t="s">
        <v>400</v>
      </c>
      <c r="B40" s="19">
        <v>2021</v>
      </c>
      <c r="C40" s="19">
        <f>+B40+1</f>
        <v>2022</v>
      </c>
      <c r="D40" s="19">
        <f t="shared" si="12"/>
        <v>2023</v>
      </c>
      <c r="E40" s="19">
        <f t="shared" si="12"/>
        <v>2024</v>
      </c>
      <c r="F40" s="19">
        <f t="shared" si="12"/>
        <v>2025</v>
      </c>
      <c r="G40" s="19">
        <f t="shared" si="12"/>
        <v>2026</v>
      </c>
      <c r="H40" s="19">
        <f t="shared" si="12"/>
        <v>2027</v>
      </c>
      <c r="I40" s="19">
        <f t="shared" si="12"/>
        <v>2028</v>
      </c>
      <c r="J40" s="19">
        <f t="shared" si="12"/>
        <v>2029</v>
      </c>
      <c r="K40" s="19">
        <f t="shared" si="12"/>
        <v>2030</v>
      </c>
      <c r="L40" s="19">
        <f t="shared" si="12"/>
        <v>2031</v>
      </c>
      <c r="M40" s="19">
        <f t="shared" si="12"/>
        <v>2032</v>
      </c>
      <c r="N40" s="19">
        <f t="shared" si="12"/>
        <v>2033</v>
      </c>
      <c r="O40" s="19">
        <f t="shared" si="12"/>
        <v>2034</v>
      </c>
      <c r="P40" s="19">
        <f t="shared" si="12"/>
        <v>2035</v>
      </c>
      <c r="Q40" s="19">
        <f t="shared" si="12"/>
        <v>2036</v>
      </c>
      <c r="R40" s="19">
        <f t="shared" si="12"/>
        <v>2037</v>
      </c>
      <c r="S40" s="19">
        <f t="shared" si="12"/>
        <v>2038</v>
      </c>
      <c r="T40" s="19">
        <f t="shared" si="13"/>
        <v>2039</v>
      </c>
      <c r="U40" s="19">
        <f t="shared" si="13"/>
        <v>2040</v>
      </c>
      <c r="V40" s="19">
        <f t="shared" si="13"/>
        <v>2041</v>
      </c>
      <c r="W40" s="19">
        <f t="shared" si="13"/>
        <v>2042</v>
      </c>
      <c r="X40" s="19">
        <f t="shared" si="13"/>
        <v>2043</v>
      </c>
      <c r="Y40" s="19">
        <f t="shared" si="13"/>
        <v>2044</v>
      </c>
      <c r="Z40" s="19">
        <f t="shared" si="13"/>
        <v>2045</v>
      </c>
      <c r="AA40" s="19">
        <f t="shared" si="13"/>
        <v>2046</v>
      </c>
    </row>
    <row r="41" spans="1:28" s="12" customFormat="1" x14ac:dyDescent="0.3">
      <c r="A41" s="40" t="s">
        <v>58</v>
      </c>
      <c r="B41" s="68">
        <f>B38</f>
        <v>174.49792458203444</v>
      </c>
      <c r="C41" s="68">
        <f>+$B$41*(1+$B$36)^C39</f>
        <v>176.45230133735325</v>
      </c>
      <c r="D41" s="68">
        <f t="shared" ref="D41:AA41" si="14">+$B$41*(1+$B$36)^D39</f>
        <v>178.42856711233159</v>
      </c>
      <c r="E41" s="68">
        <f t="shared" si="14"/>
        <v>180.42696706398974</v>
      </c>
      <c r="F41" s="68">
        <f t="shared" si="14"/>
        <v>182.44774909510645</v>
      </c>
      <c r="G41" s="68">
        <f t="shared" si="14"/>
        <v>184.49116388497163</v>
      </c>
      <c r="H41" s="68">
        <f t="shared" si="14"/>
        <v>186.55746492048334</v>
      </c>
      <c r="I41" s="68">
        <f t="shared" si="14"/>
        <v>188.64690852759279</v>
      </c>
      <c r="J41" s="68">
        <f t="shared" si="14"/>
        <v>190.75975390310182</v>
      </c>
      <c r="K41" s="68">
        <f t="shared" si="14"/>
        <v>192.89626314681658</v>
      </c>
      <c r="L41" s="68">
        <f t="shared" si="14"/>
        <v>195.05670129406093</v>
      </c>
      <c r="M41" s="68">
        <f t="shared" si="14"/>
        <v>197.24133634855443</v>
      </c>
      <c r="N41" s="68">
        <f t="shared" si="14"/>
        <v>199.45043931565823</v>
      </c>
      <c r="O41" s="68">
        <f t="shared" si="14"/>
        <v>201.68428423599363</v>
      </c>
      <c r="P41" s="68">
        <f t="shared" si="14"/>
        <v>203.94314821943678</v>
      </c>
      <c r="Q41" s="68">
        <f t="shared" si="14"/>
        <v>206.22731147949452</v>
      </c>
      <c r="R41" s="68">
        <f t="shared" si="14"/>
        <v>208.53705736806484</v>
      </c>
      <c r="S41" s="68">
        <f>+$B$41*(1+$B$36)^S39</f>
        <v>210.87267241058717</v>
      </c>
      <c r="T41" s="68">
        <f t="shared" si="14"/>
        <v>213.23444634158577</v>
      </c>
      <c r="U41" s="68">
        <f t="shared" si="14"/>
        <v>215.62267214061154</v>
      </c>
      <c r="V41" s="68">
        <f t="shared" si="14"/>
        <v>218.03764606858641</v>
      </c>
      <c r="W41" s="68">
        <f t="shared" si="14"/>
        <v>220.47966770455457</v>
      </c>
      <c r="X41" s="68">
        <f t="shared" si="14"/>
        <v>222.94903998284562</v>
      </c>
      <c r="Y41" s="68">
        <f t="shared" si="14"/>
        <v>225.44606923065353</v>
      </c>
      <c r="Z41" s="68">
        <f t="shared" si="14"/>
        <v>227.97106520603683</v>
      </c>
      <c r="AA41" s="68">
        <f t="shared" si="14"/>
        <v>230.5243411363445</v>
      </c>
    </row>
    <row r="43" spans="1:28" x14ac:dyDescent="0.3">
      <c r="A43" s="45" t="s">
        <v>149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1:28" x14ac:dyDescent="0.3">
      <c r="A44" s="111"/>
      <c r="C44" s="46" t="s">
        <v>181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6"/>
    </row>
    <row r="45" spans="1:28" x14ac:dyDescent="0.3">
      <c r="A45" s="111"/>
      <c r="C45" s="1" t="s">
        <v>193</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6"/>
    </row>
    <row r="46" spans="1:28" x14ac:dyDescent="0.3">
      <c r="A46" s="1"/>
      <c r="G46" s="90" t="s">
        <v>150</v>
      </c>
      <c r="H46" s="91"/>
      <c r="I46" s="91"/>
      <c r="J46" s="91"/>
      <c r="K46" s="91"/>
      <c r="L46" s="91"/>
      <c r="M46" s="91"/>
      <c r="N46" s="91"/>
      <c r="O46" s="91"/>
      <c r="P46" s="91"/>
      <c r="Q46" s="91"/>
      <c r="R46" s="91"/>
      <c r="S46" s="91"/>
      <c r="T46" s="91"/>
      <c r="U46" s="92"/>
    </row>
    <row r="47" spans="1:28" x14ac:dyDescent="0.3">
      <c r="A47" s="18" t="s">
        <v>400</v>
      </c>
      <c r="B47" s="19">
        <v>2021</v>
      </c>
      <c r="C47" s="19">
        <f>+B47+1</f>
        <v>2022</v>
      </c>
      <c r="D47" s="19">
        <f t="shared" ref="D47" si="15">+C47+1</f>
        <v>2023</v>
      </c>
      <c r="E47" s="19">
        <f t="shared" ref="E47" si="16">+D47+1</f>
        <v>2024</v>
      </c>
      <c r="F47" s="19">
        <f t="shared" ref="F47" si="17">+E47+1</f>
        <v>2025</v>
      </c>
      <c r="G47" s="19">
        <f t="shared" ref="G47" si="18">+F47+1</f>
        <v>2026</v>
      </c>
      <c r="H47" s="19">
        <f t="shared" ref="H47" si="19">+G47+1</f>
        <v>2027</v>
      </c>
      <c r="I47" s="19">
        <f t="shared" ref="I47" si="20">+H47+1</f>
        <v>2028</v>
      </c>
      <c r="J47" s="19">
        <f t="shared" ref="J47" si="21">+I47+1</f>
        <v>2029</v>
      </c>
      <c r="K47" s="19">
        <f t="shared" ref="K47" si="22">+J47+1</f>
        <v>2030</v>
      </c>
      <c r="L47" s="19">
        <f t="shared" ref="L47" si="23">+K47+1</f>
        <v>2031</v>
      </c>
      <c r="M47" s="19">
        <f t="shared" ref="M47" si="24">+L47+1</f>
        <v>2032</v>
      </c>
      <c r="N47" s="19">
        <f t="shared" ref="N47" si="25">+M47+1</f>
        <v>2033</v>
      </c>
      <c r="O47" s="19">
        <f t="shared" ref="O47" si="26">+N47+1</f>
        <v>2034</v>
      </c>
      <c r="P47" s="19">
        <f t="shared" ref="P47" si="27">+O47+1</f>
        <v>2035</v>
      </c>
      <c r="Q47" s="19">
        <f t="shared" ref="Q47" si="28">+P47+1</f>
        <v>2036</v>
      </c>
      <c r="R47" s="19">
        <f t="shared" ref="R47" si="29">+Q47+1</f>
        <v>2037</v>
      </c>
      <c r="S47" s="19">
        <f t="shared" ref="S47" si="30">+R47+1</f>
        <v>2038</v>
      </c>
      <c r="T47" s="19">
        <f t="shared" ref="T47" si="31">+S47+1</f>
        <v>2039</v>
      </c>
      <c r="U47" s="19">
        <f t="shared" ref="U47" si="32">+T47+1</f>
        <v>2040</v>
      </c>
      <c r="V47" s="19">
        <f t="shared" ref="V47" si="33">+U47+1</f>
        <v>2041</v>
      </c>
      <c r="W47" s="19">
        <f t="shared" ref="W47" si="34">+V47+1</f>
        <v>2042</v>
      </c>
      <c r="X47" s="19">
        <f t="shared" ref="X47" si="35">+W47+1</f>
        <v>2043</v>
      </c>
      <c r="Y47" s="19">
        <f t="shared" ref="Y47" si="36">+X47+1</f>
        <v>2044</v>
      </c>
      <c r="Z47" s="19">
        <f t="shared" ref="Z47" si="37">+Y47+1</f>
        <v>2045</v>
      </c>
      <c r="AA47" s="19">
        <f t="shared" ref="AA47" si="38">+Z47+1</f>
        <v>2046</v>
      </c>
    </row>
    <row r="48" spans="1:28" x14ac:dyDescent="0.3">
      <c r="A48" s="30" t="s">
        <v>59</v>
      </c>
      <c r="B48" s="35">
        <f>'Inputs &amp; Summary'!O113</f>
        <v>18.399999999999999</v>
      </c>
      <c r="C48" s="25">
        <f>+B48</f>
        <v>18.399999999999999</v>
      </c>
      <c r="D48" s="25">
        <f t="shared" ref="D48" si="39">+C48</f>
        <v>18.399999999999999</v>
      </c>
      <c r="E48" s="25">
        <f t="shared" ref="E48" si="40">+D48</f>
        <v>18.399999999999999</v>
      </c>
      <c r="F48" s="25">
        <f t="shared" ref="F48" si="41">+E48</f>
        <v>18.399999999999999</v>
      </c>
      <c r="G48" s="25">
        <f t="shared" ref="G48" si="42">+F48</f>
        <v>18.399999999999999</v>
      </c>
      <c r="H48" s="25">
        <f t="shared" ref="H48" si="43">+G48</f>
        <v>18.399999999999999</v>
      </c>
      <c r="I48" s="25">
        <f t="shared" ref="I48" si="44">+H48</f>
        <v>18.399999999999999</v>
      </c>
      <c r="J48" s="25">
        <f t="shared" ref="J48" si="45">+I48</f>
        <v>18.399999999999999</v>
      </c>
      <c r="K48" s="25">
        <f t="shared" ref="K48" si="46">+J48</f>
        <v>18.399999999999999</v>
      </c>
      <c r="L48" s="25">
        <f t="shared" ref="L48" si="47">+K48</f>
        <v>18.399999999999999</v>
      </c>
      <c r="M48" s="25">
        <f t="shared" ref="M48" si="48">+L48</f>
        <v>18.399999999999999</v>
      </c>
      <c r="N48" s="25">
        <f t="shared" ref="N48" si="49">+M48</f>
        <v>18.399999999999999</v>
      </c>
      <c r="O48" s="25">
        <f t="shared" ref="O48" si="50">+N48</f>
        <v>18.399999999999999</v>
      </c>
      <c r="P48" s="25">
        <f t="shared" ref="P48" si="51">+O48</f>
        <v>18.399999999999999</v>
      </c>
      <c r="Q48" s="25">
        <f t="shared" ref="Q48" si="52">+P48</f>
        <v>18.399999999999999</v>
      </c>
      <c r="R48" s="25">
        <f t="shared" ref="R48" si="53">+Q48</f>
        <v>18.399999999999999</v>
      </c>
      <c r="S48" s="25">
        <f t="shared" ref="S48" si="54">+R48</f>
        <v>18.399999999999999</v>
      </c>
      <c r="T48" s="25">
        <f t="shared" ref="T48" si="55">+S48</f>
        <v>18.399999999999999</v>
      </c>
      <c r="U48" s="25">
        <f t="shared" ref="U48" si="56">+T48</f>
        <v>18.399999999999999</v>
      </c>
      <c r="V48" s="25">
        <f t="shared" ref="V48" si="57">+U48</f>
        <v>18.399999999999999</v>
      </c>
      <c r="W48" s="25">
        <f t="shared" ref="W48" si="58">+V48</f>
        <v>18.399999999999999</v>
      </c>
      <c r="X48" s="25">
        <f t="shared" ref="X48" si="59">+W48</f>
        <v>18.399999999999999</v>
      </c>
      <c r="Y48" s="25">
        <f t="shared" ref="Y48" si="60">+X48</f>
        <v>18.399999999999999</v>
      </c>
      <c r="Z48" s="25">
        <f t="shared" ref="Z48" si="61">+Y48</f>
        <v>18.399999999999999</v>
      </c>
      <c r="AA48" s="25">
        <f t="shared" ref="AA48" si="62">+Z48</f>
        <v>18.399999999999999</v>
      </c>
    </row>
    <row r="50" spans="1:27" x14ac:dyDescent="0.3">
      <c r="A50" s="17" t="s">
        <v>68</v>
      </c>
      <c r="B50" s="17">
        <f t="shared" ref="B50:AA50" si="63">+B29</f>
        <v>2021</v>
      </c>
      <c r="C50" s="17">
        <f t="shared" si="63"/>
        <v>2022</v>
      </c>
      <c r="D50" s="17">
        <f t="shared" si="63"/>
        <v>2023</v>
      </c>
      <c r="E50" s="17">
        <f t="shared" si="63"/>
        <v>2024</v>
      </c>
      <c r="F50" s="17">
        <f t="shared" si="63"/>
        <v>2025</v>
      </c>
      <c r="G50" s="17">
        <f t="shared" si="63"/>
        <v>2026</v>
      </c>
      <c r="H50" s="17">
        <f t="shared" si="63"/>
        <v>2027</v>
      </c>
      <c r="I50" s="17">
        <f t="shared" si="63"/>
        <v>2028</v>
      </c>
      <c r="J50" s="17">
        <f t="shared" si="63"/>
        <v>2029</v>
      </c>
      <c r="K50" s="17">
        <f t="shared" si="63"/>
        <v>2030</v>
      </c>
      <c r="L50" s="17">
        <f t="shared" si="63"/>
        <v>2031</v>
      </c>
      <c r="M50" s="17">
        <f t="shared" si="63"/>
        <v>2032</v>
      </c>
      <c r="N50" s="17">
        <f t="shared" si="63"/>
        <v>2033</v>
      </c>
      <c r="O50" s="17">
        <f t="shared" si="63"/>
        <v>2034</v>
      </c>
      <c r="P50" s="17">
        <f t="shared" si="63"/>
        <v>2035</v>
      </c>
      <c r="Q50" s="17">
        <f t="shared" si="63"/>
        <v>2036</v>
      </c>
      <c r="R50" s="17">
        <f t="shared" si="63"/>
        <v>2037</v>
      </c>
      <c r="S50" s="17">
        <f t="shared" si="63"/>
        <v>2038</v>
      </c>
      <c r="T50" s="17">
        <f t="shared" si="63"/>
        <v>2039</v>
      </c>
      <c r="U50" s="17">
        <f t="shared" si="63"/>
        <v>2040</v>
      </c>
      <c r="V50" s="17">
        <f t="shared" si="63"/>
        <v>2041</v>
      </c>
      <c r="W50" s="17">
        <f t="shared" si="63"/>
        <v>2042</v>
      </c>
      <c r="X50" s="17">
        <f t="shared" si="63"/>
        <v>2043</v>
      </c>
      <c r="Y50" s="17">
        <f t="shared" si="63"/>
        <v>2044</v>
      </c>
      <c r="Z50" s="17">
        <f t="shared" si="63"/>
        <v>2045</v>
      </c>
      <c r="AA50" s="17">
        <f t="shared" si="63"/>
        <v>2046</v>
      </c>
    </row>
    <row r="51" spans="1:27" s="1" customFormat="1" ht="15" thickBot="1" x14ac:dyDescent="0.35">
      <c r="A51" s="38" t="s">
        <v>197</v>
      </c>
      <c r="B51" s="39">
        <f t="shared" ref="B51:AA51" si="64">+B41+B30+B48</f>
        <v>201.06992458203445</v>
      </c>
      <c r="C51" s="39">
        <f t="shared" si="64"/>
        <v>203.11582773735324</v>
      </c>
      <c r="D51" s="39">
        <f t="shared" si="64"/>
        <v>205.18464500801159</v>
      </c>
      <c r="E51" s="39">
        <f t="shared" si="64"/>
        <v>207.27663303210136</v>
      </c>
      <c r="F51" s="39">
        <f t="shared" si="64"/>
        <v>209.39205132206092</v>
      </c>
      <c r="G51" s="39">
        <f t="shared" si="64"/>
        <v>211.53116229686799</v>
      </c>
      <c r="H51" s="39">
        <f t="shared" si="64"/>
        <v>213.69423131459294</v>
      </c>
      <c r="I51" s="39">
        <f t="shared" si="64"/>
        <v>215.88152670531642</v>
      </c>
      <c r="J51" s="39">
        <f t="shared" si="64"/>
        <v>218.09331980441596</v>
      </c>
      <c r="K51" s="39">
        <f t="shared" si="64"/>
        <v>220.32988498622544</v>
      </c>
      <c r="L51" s="39">
        <f t="shared" si="64"/>
        <v>222.59149969807117</v>
      </c>
      <c r="M51" s="39">
        <f t="shared" si="64"/>
        <v>224.87844449468957</v>
      </c>
      <c r="N51" s="39">
        <f t="shared" si="64"/>
        <v>227.19100307303009</v>
      </c>
      <c r="O51" s="39">
        <f t="shared" si="64"/>
        <v>229.52946230744806</v>
      </c>
      <c r="P51" s="39">
        <f t="shared" si="64"/>
        <v>231.8941122852915</v>
      </c>
      <c r="Q51" s="39">
        <f t="shared" si="64"/>
        <v>234.28524634288681</v>
      </c>
      <c r="R51" s="39">
        <f t="shared" si="64"/>
        <v>236.70316110192712</v>
      </c>
      <c r="S51" s="39">
        <f t="shared" si="64"/>
        <v>239.14815650626872</v>
      </c>
      <c r="T51" s="39">
        <f t="shared" si="64"/>
        <v>241.62053585913895</v>
      </c>
      <c r="U51" s="39">
        <f t="shared" si="64"/>
        <v>244.12060586076132</v>
      </c>
      <c r="V51" s="39">
        <f t="shared" si="64"/>
        <v>246.64867664640187</v>
      </c>
      <c r="W51" s="39">
        <f t="shared" si="64"/>
        <v>249.20506182484158</v>
      </c>
      <c r="X51" s="39">
        <f t="shared" si="64"/>
        <v>251.79007851727982</v>
      </c>
      <c r="Y51" s="39">
        <f t="shared" si="64"/>
        <v>254.40404739667341</v>
      </c>
      <c r="Z51" s="39">
        <f t="shared" si="64"/>
        <v>257.04729272751609</v>
      </c>
      <c r="AA51" s="39">
        <f t="shared" si="64"/>
        <v>259.72014240606438</v>
      </c>
    </row>
    <row r="53" spans="1:27" ht="18" x14ac:dyDescent="0.35">
      <c r="A53" s="108" t="s">
        <v>162</v>
      </c>
    </row>
    <row r="54" spans="1:27" x14ac:dyDescent="0.3">
      <c r="A54" s="45" t="s">
        <v>51</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row>
    <row r="55" spans="1:27" x14ac:dyDescent="0.3">
      <c r="A55" s="6"/>
      <c r="C55" s="46" t="s">
        <v>181</v>
      </c>
    </row>
    <row r="56" spans="1:27" x14ac:dyDescent="0.3">
      <c r="A56" t="s">
        <v>40</v>
      </c>
      <c r="B56" s="156">
        <f>'Inputs &amp; Summary'!E95</f>
        <v>38</v>
      </c>
      <c r="G56" s="82" t="s">
        <v>141</v>
      </c>
      <c r="H56" s="83"/>
      <c r="I56" s="83"/>
      <c r="J56" s="83"/>
      <c r="K56" s="83"/>
      <c r="L56" s="83"/>
      <c r="M56" s="83"/>
      <c r="N56" s="83"/>
      <c r="O56" s="83"/>
      <c r="P56" s="83"/>
      <c r="Q56" s="84"/>
    </row>
    <row r="57" spans="1:27" x14ac:dyDescent="0.3">
      <c r="A57" t="s">
        <v>56</v>
      </c>
      <c r="B57" s="6">
        <f>'Inputs &amp; Summary'!E96</f>
        <v>135</v>
      </c>
      <c r="G57" s="85" t="s">
        <v>142</v>
      </c>
      <c r="H57" s="72"/>
      <c r="I57" s="72"/>
      <c r="J57" s="72"/>
      <c r="K57" s="72"/>
      <c r="L57" s="72"/>
      <c r="M57" s="72"/>
      <c r="N57" s="72"/>
      <c r="O57" s="72"/>
      <c r="P57" s="72"/>
      <c r="Q57" s="86"/>
    </row>
    <row r="58" spans="1:27" x14ac:dyDescent="0.3">
      <c r="A58" t="s">
        <v>38</v>
      </c>
      <c r="B58" s="158">
        <f>'Inputs &amp; Summary'!O117</f>
        <v>0.01</v>
      </c>
      <c r="C58" s="1" t="s">
        <v>193</v>
      </c>
    </row>
    <row r="59" spans="1:27" x14ac:dyDescent="0.3">
      <c r="A59" t="s">
        <v>39</v>
      </c>
      <c r="B59" s="160">
        <f>'Inputs &amp; Summary'!O118</f>
        <v>1.2E-2</v>
      </c>
      <c r="C59" s="1" t="s">
        <v>193</v>
      </c>
    </row>
    <row r="60" spans="1:27" x14ac:dyDescent="0.3">
      <c r="A60" s="3" t="s">
        <v>3</v>
      </c>
      <c r="B60">
        <v>0</v>
      </c>
      <c r="C60">
        <f>+B60+1</f>
        <v>1</v>
      </c>
      <c r="D60">
        <f t="shared" ref="D60:S61" si="65">+C60+1</f>
        <v>2</v>
      </c>
      <c r="E60">
        <f t="shared" si="65"/>
        <v>3</v>
      </c>
      <c r="F60">
        <f t="shared" si="65"/>
        <v>4</v>
      </c>
      <c r="G60">
        <f t="shared" si="65"/>
        <v>5</v>
      </c>
      <c r="H60">
        <f t="shared" si="65"/>
        <v>6</v>
      </c>
      <c r="I60">
        <f t="shared" si="65"/>
        <v>7</v>
      </c>
      <c r="J60">
        <f t="shared" si="65"/>
        <v>8</v>
      </c>
      <c r="K60">
        <f t="shared" si="65"/>
        <v>9</v>
      </c>
      <c r="L60">
        <f t="shared" si="65"/>
        <v>10</v>
      </c>
      <c r="M60">
        <f t="shared" si="65"/>
        <v>11</v>
      </c>
      <c r="N60">
        <f t="shared" si="65"/>
        <v>12</v>
      </c>
      <c r="O60">
        <f t="shared" si="65"/>
        <v>13</v>
      </c>
      <c r="P60">
        <f t="shared" si="65"/>
        <v>14</v>
      </c>
      <c r="Q60">
        <f t="shared" si="65"/>
        <v>15</v>
      </c>
      <c r="R60">
        <f t="shared" si="65"/>
        <v>16</v>
      </c>
      <c r="S60">
        <f t="shared" si="65"/>
        <v>17</v>
      </c>
      <c r="T60">
        <f t="shared" ref="T60:AA61" si="66">+S60+1</f>
        <v>18</v>
      </c>
      <c r="U60">
        <f t="shared" si="66"/>
        <v>19</v>
      </c>
      <c r="V60">
        <f t="shared" si="66"/>
        <v>20</v>
      </c>
      <c r="W60">
        <f t="shared" si="66"/>
        <v>21</v>
      </c>
      <c r="X60">
        <f t="shared" si="66"/>
        <v>22</v>
      </c>
      <c r="Y60">
        <f t="shared" si="66"/>
        <v>23</v>
      </c>
      <c r="Z60">
        <f t="shared" si="66"/>
        <v>24</v>
      </c>
      <c r="AA60">
        <f t="shared" si="66"/>
        <v>25</v>
      </c>
    </row>
    <row r="61" spans="1:27" x14ac:dyDescent="0.3">
      <c r="A61" s="18" t="s">
        <v>400</v>
      </c>
      <c r="B61" s="19">
        <v>2021</v>
      </c>
      <c r="C61" s="19">
        <f>+B61+1</f>
        <v>2022</v>
      </c>
      <c r="D61" s="19">
        <f t="shared" si="65"/>
        <v>2023</v>
      </c>
      <c r="E61" s="19">
        <f t="shared" si="65"/>
        <v>2024</v>
      </c>
      <c r="F61" s="19">
        <f t="shared" si="65"/>
        <v>2025</v>
      </c>
      <c r="G61" s="19">
        <f t="shared" si="65"/>
        <v>2026</v>
      </c>
      <c r="H61" s="19">
        <f t="shared" si="65"/>
        <v>2027</v>
      </c>
      <c r="I61" s="19">
        <f t="shared" si="65"/>
        <v>2028</v>
      </c>
      <c r="J61" s="19">
        <f t="shared" si="65"/>
        <v>2029</v>
      </c>
      <c r="K61" s="19">
        <f t="shared" si="65"/>
        <v>2030</v>
      </c>
      <c r="L61" s="19">
        <f t="shared" si="65"/>
        <v>2031</v>
      </c>
      <c r="M61" s="19">
        <f t="shared" si="65"/>
        <v>2032</v>
      </c>
      <c r="N61" s="19">
        <f t="shared" si="65"/>
        <v>2033</v>
      </c>
      <c r="O61" s="19">
        <f t="shared" si="65"/>
        <v>2034</v>
      </c>
      <c r="P61" s="19">
        <f t="shared" si="65"/>
        <v>2035</v>
      </c>
      <c r="Q61" s="19">
        <f t="shared" si="65"/>
        <v>2036</v>
      </c>
      <c r="R61" s="19">
        <f t="shared" si="65"/>
        <v>2037</v>
      </c>
      <c r="S61" s="19">
        <f t="shared" si="65"/>
        <v>2038</v>
      </c>
      <c r="T61" s="19">
        <f t="shared" si="66"/>
        <v>2039</v>
      </c>
      <c r="U61" s="19">
        <f t="shared" si="66"/>
        <v>2040</v>
      </c>
      <c r="V61" s="19">
        <f t="shared" si="66"/>
        <v>2041</v>
      </c>
      <c r="W61" s="19">
        <f t="shared" si="66"/>
        <v>2042</v>
      </c>
      <c r="X61" s="19">
        <f t="shared" si="66"/>
        <v>2043</v>
      </c>
      <c r="Y61" s="19">
        <f t="shared" si="66"/>
        <v>2044</v>
      </c>
      <c r="Z61" s="19">
        <f t="shared" si="66"/>
        <v>2045</v>
      </c>
      <c r="AA61" s="19">
        <f t="shared" si="66"/>
        <v>2046</v>
      </c>
    </row>
    <row r="62" spans="1:27" s="43" customFormat="1" x14ac:dyDescent="0.3">
      <c r="A62" s="14" t="s">
        <v>57</v>
      </c>
      <c r="B62" s="24">
        <f>+(B56*B57*B58)</f>
        <v>51.300000000000004</v>
      </c>
      <c r="C62" s="24">
        <f>$B62*(1+$B59)^C60</f>
        <v>51.915600000000005</v>
      </c>
      <c r="D62" s="24">
        <f t="shared" ref="D62" si="67">$B62*(1+$B59)^D60</f>
        <v>52.538587200000002</v>
      </c>
      <c r="E62" s="24">
        <f>$B62*(1+$B59)^E60</f>
        <v>53.169050246400005</v>
      </c>
      <c r="F62" s="24">
        <f t="shared" ref="F62:AA62" si="68">$B62*(1+$B59)^F60</f>
        <v>53.807078849356806</v>
      </c>
      <c r="G62" s="24">
        <f t="shared" si="68"/>
        <v>54.452763795549082</v>
      </c>
      <c r="H62" s="24">
        <f t="shared" si="68"/>
        <v>55.106196961095662</v>
      </c>
      <c r="I62" s="24">
        <f t="shared" si="68"/>
        <v>55.767471324628822</v>
      </c>
      <c r="J62" s="24">
        <f t="shared" si="68"/>
        <v>56.436680980524365</v>
      </c>
      <c r="K62" s="24">
        <f t="shared" si="68"/>
        <v>57.113921152290658</v>
      </c>
      <c r="L62" s="24">
        <f t="shared" si="68"/>
        <v>57.799288206118149</v>
      </c>
      <c r="M62" s="24">
        <f t="shared" si="68"/>
        <v>58.492879664591563</v>
      </c>
      <c r="N62" s="24">
        <f t="shared" si="68"/>
        <v>59.194794220566656</v>
      </c>
      <c r="O62" s="24">
        <f t="shared" si="68"/>
        <v>59.905131751213453</v>
      </c>
      <c r="P62" s="24">
        <f>$B62*(1+$B59)^P60</f>
        <v>60.623993332228018</v>
      </c>
      <c r="Q62" s="24">
        <f t="shared" si="68"/>
        <v>61.351481252214768</v>
      </c>
      <c r="R62" s="24">
        <f t="shared" si="68"/>
        <v>62.087699027241342</v>
      </c>
      <c r="S62" s="24">
        <f t="shared" si="68"/>
        <v>62.832751415568239</v>
      </c>
      <c r="T62" s="24">
        <f>$B62*(1+$B59)^T60</f>
        <v>63.586744432555051</v>
      </c>
      <c r="U62" s="24">
        <f t="shared" si="68"/>
        <v>64.349785365745717</v>
      </c>
      <c r="V62" s="24">
        <f t="shared" si="68"/>
        <v>65.121982790134652</v>
      </c>
      <c r="W62" s="24">
        <f t="shared" si="68"/>
        <v>65.903446583616287</v>
      </c>
      <c r="X62" s="24">
        <f t="shared" si="68"/>
        <v>66.694287942619667</v>
      </c>
      <c r="Y62" s="24">
        <f t="shared" si="68"/>
        <v>67.494619397931118</v>
      </c>
      <c r="Z62" s="24">
        <f t="shared" si="68"/>
        <v>68.30455483070628</v>
      </c>
      <c r="AA62" s="24">
        <f t="shared" si="68"/>
        <v>69.124209488674751</v>
      </c>
    </row>
    <row r="64" spans="1:27" x14ac:dyDescent="0.3">
      <c r="A64" s="45" t="s">
        <v>50</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x14ac:dyDescent="0.3">
      <c r="C65" s="46" t="s">
        <v>181</v>
      </c>
    </row>
    <row r="66" spans="1:27" x14ac:dyDescent="0.3">
      <c r="A66" t="s">
        <v>40</v>
      </c>
      <c r="B66" s="156">
        <f>'Inputs &amp; Summary'!E95</f>
        <v>38</v>
      </c>
    </row>
    <row r="67" spans="1:27" x14ac:dyDescent="0.3">
      <c r="A67" t="s">
        <v>41</v>
      </c>
      <c r="B67" s="6">
        <f>'Inputs &amp; Summary'!E96</f>
        <v>135</v>
      </c>
      <c r="G67" s="82" t="s">
        <v>143</v>
      </c>
      <c r="H67" s="83"/>
      <c r="I67" s="83"/>
      <c r="J67" s="83"/>
      <c r="K67" s="83"/>
      <c r="L67" s="83"/>
      <c r="M67" s="83"/>
      <c r="N67" s="83"/>
      <c r="O67" s="83"/>
      <c r="P67" s="83"/>
      <c r="Q67" s="83"/>
      <c r="R67" s="83"/>
      <c r="S67" s="83"/>
      <c r="T67" s="83"/>
      <c r="U67" s="83"/>
      <c r="V67" s="84"/>
    </row>
    <row r="68" spans="1:27" x14ac:dyDescent="0.3">
      <c r="A68" t="s">
        <v>38</v>
      </c>
      <c r="B68" s="158">
        <f>'Inputs &amp; Summary'!O121</f>
        <v>1.4999999999999999E-2</v>
      </c>
      <c r="C68" s="1" t="s">
        <v>193</v>
      </c>
      <c r="G68" s="85" t="s">
        <v>142</v>
      </c>
      <c r="H68" s="72"/>
      <c r="I68" s="72"/>
      <c r="J68" s="72"/>
      <c r="K68" s="72"/>
      <c r="L68" s="72"/>
      <c r="M68" s="72"/>
      <c r="N68" s="72"/>
      <c r="O68" s="72"/>
      <c r="P68" s="72"/>
      <c r="Q68" s="72"/>
      <c r="R68" s="72"/>
      <c r="S68" s="72"/>
      <c r="T68" s="72"/>
      <c r="U68" s="72"/>
      <c r="V68" s="86"/>
    </row>
    <row r="69" spans="1:27" x14ac:dyDescent="0.3">
      <c r="A69" t="s">
        <v>39</v>
      </c>
      <c r="B69" s="160">
        <f>'Inputs &amp; Summary'!O122</f>
        <v>1.2E-2</v>
      </c>
      <c r="C69" s="1" t="s">
        <v>193</v>
      </c>
    </row>
    <row r="70" spans="1:27" x14ac:dyDescent="0.3">
      <c r="A70" s="3" t="s">
        <v>3</v>
      </c>
      <c r="B70">
        <v>0</v>
      </c>
      <c r="C70">
        <f>+B70+1</f>
        <v>1</v>
      </c>
      <c r="D70">
        <f t="shared" ref="D70:S71" si="69">+C70+1</f>
        <v>2</v>
      </c>
      <c r="E70">
        <f t="shared" si="69"/>
        <v>3</v>
      </c>
      <c r="F70">
        <f t="shared" si="69"/>
        <v>4</v>
      </c>
      <c r="G70">
        <f t="shared" si="69"/>
        <v>5</v>
      </c>
      <c r="H70">
        <f t="shared" si="69"/>
        <v>6</v>
      </c>
      <c r="I70">
        <f t="shared" si="69"/>
        <v>7</v>
      </c>
      <c r="J70">
        <f t="shared" si="69"/>
        <v>8</v>
      </c>
      <c r="K70">
        <f t="shared" si="69"/>
        <v>9</v>
      </c>
      <c r="L70">
        <f t="shared" si="69"/>
        <v>10</v>
      </c>
      <c r="M70">
        <f t="shared" si="69"/>
        <v>11</v>
      </c>
      <c r="N70">
        <f t="shared" si="69"/>
        <v>12</v>
      </c>
      <c r="O70">
        <f t="shared" si="69"/>
        <v>13</v>
      </c>
      <c r="P70">
        <f t="shared" si="69"/>
        <v>14</v>
      </c>
      <c r="Q70">
        <f t="shared" si="69"/>
        <v>15</v>
      </c>
      <c r="R70">
        <f t="shared" si="69"/>
        <v>16</v>
      </c>
      <c r="S70">
        <f t="shared" si="69"/>
        <v>17</v>
      </c>
      <c r="T70">
        <f t="shared" ref="T70:AA71" si="70">+S70+1</f>
        <v>18</v>
      </c>
      <c r="U70">
        <f t="shared" si="70"/>
        <v>19</v>
      </c>
      <c r="V70">
        <f t="shared" si="70"/>
        <v>20</v>
      </c>
      <c r="W70">
        <f t="shared" si="70"/>
        <v>21</v>
      </c>
      <c r="X70">
        <f t="shared" si="70"/>
        <v>22</v>
      </c>
      <c r="Y70">
        <f t="shared" si="70"/>
        <v>23</v>
      </c>
      <c r="Z70">
        <f t="shared" si="70"/>
        <v>24</v>
      </c>
      <c r="AA70">
        <f t="shared" si="70"/>
        <v>25</v>
      </c>
    </row>
    <row r="71" spans="1:27" x14ac:dyDescent="0.3">
      <c r="A71" s="18" t="s">
        <v>4</v>
      </c>
      <c r="B71" s="19">
        <v>2021</v>
      </c>
      <c r="C71" s="19">
        <f>+B71+1</f>
        <v>2022</v>
      </c>
      <c r="D71" s="19">
        <f t="shared" si="69"/>
        <v>2023</v>
      </c>
      <c r="E71" s="19">
        <f t="shared" si="69"/>
        <v>2024</v>
      </c>
      <c r="F71" s="19">
        <f t="shared" si="69"/>
        <v>2025</v>
      </c>
      <c r="G71" s="19">
        <f t="shared" si="69"/>
        <v>2026</v>
      </c>
      <c r="H71" s="19">
        <f t="shared" si="69"/>
        <v>2027</v>
      </c>
      <c r="I71" s="19">
        <f t="shared" si="69"/>
        <v>2028</v>
      </c>
      <c r="J71" s="19">
        <f t="shared" si="69"/>
        <v>2029</v>
      </c>
      <c r="K71" s="19">
        <f t="shared" si="69"/>
        <v>2030</v>
      </c>
      <c r="L71" s="19">
        <f t="shared" si="69"/>
        <v>2031</v>
      </c>
      <c r="M71" s="19">
        <f t="shared" si="69"/>
        <v>2032</v>
      </c>
      <c r="N71" s="19">
        <f t="shared" si="69"/>
        <v>2033</v>
      </c>
      <c r="O71" s="19">
        <f t="shared" si="69"/>
        <v>2034</v>
      </c>
      <c r="P71" s="19">
        <f t="shared" si="69"/>
        <v>2035</v>
      </c>
      <c r="Q71" s="19">
        <f t="shared" si="69"/>
        <v>2036</v>
      </c>
      <c r="R71" s="19">
        <f t="shared" si="69"/>
        <v>2037</v>
      </c>
      <c r="S71" s="19">
        <f t="shared" si="69"/>
        <v>2038</v>
      </c>
      <c r="T71" s="19">
        <f t="shared" si="70"/>
        <v>2039</v>
      </c>
      <c r="U71" s="19">
        <f t="shared" si="70"/>
        <v>2040</v>
      </c>
      <c r="V71" s="19">
        <f t="shared" si="70"/>
        <v>2041</v>
      </c>
      <c r="W71" s="19">
        <f t="shared" si="70"/>
        <v>2042</v>
      </c>
      <c r="X71" s="19">
        <f t="shared" si="70"/>
        <v>2043</v>
      </c>
      <c r="Y71" s="19">
        <f t="shared" si="70"/>
        <v>2044</v>
      </c>
      <c r="Z71" s="19">
        <f t="shared" si="70"/>
        <v>2045</v>
      </c>
      <c r="AA71" s="19">
        <f t="shared" si="70"/>
        <v>2046</v>
      </c>
    </row>
    <row r="72" spans="1:27" s="6" customFormat="1" x14ac:dyDescent="0.3">
      <c r="A72" s="30" t="s">
        <v>58</v>
      </c>
      <c r="B72" s="24">
        <f>+(B66*B67*B68)</f>
        <v>76.95</v>
      </c>
      <c r="C72" s="24">
        <f>+$B$72*(1+$B$69)^C70</f>
        <v>77.873400000000004</v>
      </c>
      <c r="D72" s="24">
        <f t="shared" ref="D72:AA72" si="71">+$B$72*(1+$B$69)^D70</f>
        <v>78.807880799999992</v>
      </c>
      <c r="E72" s="24">
        <f t="shared" si="71"/>
        <v>79.7535753696</v>
      </c>
      <c r="F72" s="24">
        <f t="shared" si="71"/>
        <v>80.710618274035198</v>
      </c>
      <c r="G72" s="24">
        <f t="shared" si="71"/>
        <v>81.679145693323619</v>
      </c>
      <c r="H72" s="24">
        <f t="shared" si="71"/>
        <v>82.659295441643494</v>
      </c>
      <c r="I72" s="24">
        <f t="shared" si="71"/>
        <v>83.651206986943237</v>
      </c>
      <c r="J72" s="24">
        <f t="shared" si="71"/>
        <v>84.655021470786551</v>
      </c>
      <c r="K72" s="24">
        <f t="shared" si="71"/>
        <v>85.670881728435987</v>
      </c>
      <c r="L72" s="24">
        <f t="shared" si="71"/>
        <v>86.698932309177209</v>
      </c>
      <c r="M72" s="24">
        <f t="shared" si="71"/>
        <v>87.739319496887333</v>
      </c>
      <c r="N72" s="24">
        <f t="shared" si="71"/>
        <v>88.792191330849988</v>
      </c>
      <c r="O72" s="24">
        <f t="shared" si="71"/>
        <v>89.857697626820183</v>
      </c>
      <c r="P72" s="24">
        <f t="shared" si="71"/>
        <v>90.935989998342023</v>
      </c>
      <c r="Q72" s="24">
        <f t="shared" si="71"/>
        <v>92.027221878322152</v>
      </c>
      <c r="R72" s="24">
        <f t="shared" si="71"/>
        <v>93.131548540861999</v>
      </c>
      <c r="S72" s="24">
        <f t="shared" si="71"/>
        <v>94.249127123352352</v>
      </c>
      <c r="T72" s="24">
        <f t="shared" si="71"/>
        <v>95.380116648832569</v>
      </c>
      <c r="U72" s="24">
        <f t="shared" si="71"/>
        <v>96.524678048618568</v>
      </c>
      <c r="V72" s="24">
        <f t="shared" si="71"/>
        <v>97.682974185201985</v>
      </c>
      <c r="W72" s="24">
        <f t="shared" si="71"/>
        <v>98.855169875424423</v>
      </c>
      <c r="X72" s="24">
        <f t="shared" si="71"/>
        <v>100.04143191392949</v>
      </c>
      <c r="Y72" s="24">
        <f t="shared" si="71"/>
        <v>101.24192909689667</v>
      </c>
      <c r="Z72" s="24">
        <f t="shared" si="71"/>
        <v>102.45683224605942</v>
      </c>
      <c r="AA72" s="24">
        <f t="shared" si="71"/>
        <v>103.68631423301213</v>
      </c>
    </row>
    <row r="74" spans="1:27" x14ac:dyDescent="0.3">
      <c r="A74" s="45" t="s">
        <v>21</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row>
    <row r="75" spans="1:27" x14ac:dyDescent="0.3">
      <c r="A75" s="6"/>
      <c r="B75" s="6"/>
      <c r="C75" s="46" t="s">
        <v>181</v>
      </c>
    </row>
    <row r="76" spans="1:27" s="43" customFormat="1" x14ac:dyDescent="0.3">
      <c r="A76" s="6" t="s">
        <v>113</v>
      </c>
      <c r="B76" s="65">
        <f>'Inputs &amp; Summary'!O81</f>
        <v>47.828616539314339</v>
      </c>
      <c r="G76" s="82" t="s">
        <v>145</v>
      </c>
      <c r="H76" s="83"/>
      <c r="I76" s="83"/>
      <c r="J76" s="83"/>
      <c r="K76" s="83"/>
      <c r="L76" s="83"/>
      <c r="M76" s="83"/>
      <c r="N76" s="83"/>
      <c r="O76" s="83"/>
      <c r="P76" s="83"/>
      <c r="Q76" s="83"/>
      <c r="R76" s="83"/>
      <c r="S76" s="83"/>
      <c r="T76" s="83"/>
      <c r="U76" s="84"/>
    </row>
    <row r="77" spans="1:27" s="43" customFormat="1" x14ac:dyDescent="0.3">
      <c r="A77" s="6" t="s">
        <v>114</v>
      </c>
      <c r="B77" s="32">
        <f>'Inputs &amp; Summary'!E84</f>
        <v>182420</v>
      </c>
      <c r="G77" s="87" t="s">
        <v>138</v>
      </c>
      <c r="H77" s="88"/>
      <c r="I77" s="88"/>
      <c r="J77" s="88"/>
      <c r="K77" s="88"/>
      <c r="L77" s="88"/>
      <c r="M77" s="88"/>
      <c r="N77" s="88"/>
      <c r="O77" s="88"/>
      <c r="P77" s="88"/>
      <c r="Q77" s="88"/>
      <c r="R77" s="88"/>
      <c r="S77" s="88"/>
      <c r="T77" s="88"/>
      <c r="U77" s="89"/>
    </row>
    <row r="78" spans="1:27" s="43" customFormat="1" x14ac:dyDescent="0.3">
      <c r="A78" s="13" t="s">
        <v>44</v>
      </c>
      <c r="B78" s="54">
        <f>'Inputs &amp; Summary'!O85</f>
        <v>1.12E-2</v>
      </c>
      <c r="G78" s="85" t="s">
        <v>444</v>
      </c>
      <c r="H78" s="72"/>
      <c r="I78" s="72"/>
      <c r="J78" s="72"/>
      <c r="K78" s="72"/>
      <c r="L78" s="72"/>
      <c r="M78" s="72"/>
      <c r="N78" s="72"/>
      <c r="O78" s="72"/>
      <c r="P78" s="72"/>
      <c r="Q78" s="72"/>
      <c r="R78" s="72"/>
      <c r="S78" s="72"/>
      <c r="T78" s="72"/>
      <c r="U78" s="86"/>
    </row>
    <row r="79" spans="1:27" s="43" customFormat="1" x14ac:dyDescent="0.3">
      <c r="A79" s="20" t="s">
        <v>115</v>
      </c>
      <c r="B79" s="157">
        <f>'Inputs &amp; Summary'!O124</f>
        <v>0.02</v>
      </c>
      <c r="C79" s="1" t="s">
        <v>193</v>
      </c>
    </row>
    <row r="80" spans="1:27" s="43" customFormat="1" x14ac:dyDescent="0.3">
      <c r="A80" s="20" t="s">
        <v>116</v>
      </c>
      <c r="B80" s="67">
        <f>+(B76*B77*B79/1000)</f>
        <v>174.49792458203444</v>
      </c>
      <c r="C80" s="1"/>
    </row>
    <row r="81" spans="1:27" x14ac:dyDescent="0.3">
      <c r="A81" s="3" t="s">
        <v>3</v>
      </c>
      <c r="B81">
        <v>0</v>
      </c>
      <c r="C81">
        <f>+B81+1</f>
        <v>1</v>
      </c>
      <c r="D81">
        <f t="shared" ref="D81:S82" si="72">+C81+1</f>
        <v>2</v>
      </c>
      <c r="E81">
        <f t="shared" si="72"/>
        <v>3</v>
      </c>
      <c r="F81">
        <f t="shared" si="72"/>
        <v>4</v>
      </c>
      <c r="G81">
        <f t="shared" si="72"/>
        <v>5</v>
      </c>
      <c r="H81">
        <f t="shared" si="72"/>
        <v>6</v>
      </c>
      <c r="I81">
        <f t="shared" si="72"/>
        <v>7</v>
      </c>
      <c r="J81">
        <f t="shared" si="72"/>
        <v>8</v>
      </c>
      <c r="K81">
        <f t="shared" si="72"/>
        <v>9</v>
      </c>
      <c r="L81">
        <f t="shared" si="72"/>
        <v>10</v>
      </c>
      <c r="M81">
        <f t="shared" si="72"/>
        <v>11</v>
      </c>
      <c r="N81">
        <f t="shared" si="72"/>
        <v>12</v>
      </c>
      <c r="O81">
        <f t="shared" si="72"/>
        <v>13</v>
      </c>
      <c r="P81">
        <f t="shared" si="72"/>
        <v>14</v>
      </c>
      <c r="Q81">
        <f t="shared" si="72"/>
        <v>15</v>
      </c>
      <c r="R81">
        <f t="shared" si="72"/>
        <v>16</v>
      </c>
      <c r="S81">
        <f t="shared" si="72"/>
        <v>17</v>
      </c>
      <c r="T81">
        <f t="shared" ref="T81:AA82" si="73">+S81+1</f>
        <v>18</v>
      </c>
      <c r="U81">
        <f t="shared" si="73"/>
        <v>19</v>
      </c>
      <c r="V81">
        <f t="shared" si="73"/>
        <v>20</v>
      </c>
      <c r="W81">
        <f t="shared" si="73"/>
        <v>21</v>
      </c>
      <c r="X81">
        <f t="shared" si="73"/>
        <v>22</v>
      </c>
      <c r="Y81">
        <f t="shared" si="73"/>
        <v>23</v>
      </c>
      <c r="Z81">
        <f t="shared" si="73"/>
        <v>24</v>
      </c>
      <c r="AA81">
        <f t="shared" si="73"/>
        <v>25</v>
      </c>
    </row>
    <row r="82" spans="1:27" x14ac:dyDescent="0.3">
      <c r="A82" s="18" t="s">
        <v>400</v>
      </c>
      <c r="B82" s="19">
        <v>2021</v>
      </c>
      <c r="C82" s="19">
        <f>+B82+1</f>
        <v>2022</v>
      </c>
      <c r="D82" s="19">
        <f t="shared" si="72"/>
        <v>2023</v>
      </c>
      <c r="E82" s="19">
        <f t="shared" si="72"/>
        <v>2024</v>
      </c>
      <c r="F82" s="19">
        <f t="shared" si="72"/>
        <v>2025</v>
      </c>
      <c r="G82" s="19">
        <f t="shared" si="72"/>
        <v>2026</v>
      </c>
      <c r="H82" s="19">
        <f t="shared" si="72"/>
        <v>2027</v>
      </c>
      <c r="I82" s="19">
        <f t="shared" si="72"/>
        <v>2028</v>
      </c>
      <c r="J82" s="19">
        <f t="shared" si="72"/>
        <v>2029</v>
      </c>
      <c r="K82" s="19">
        <f t="shared" si="72"/>
        <v>2030</v>
      </c>
      <c r="L82" s="19">
        <f t="shared" si="72"/>
        <v>2031</v>
      </c>
      <c r="M82" s="19">
        <f t="shared" si="72"/>
        <v>2032</v>
      </c>
      <c r="N82" s="19">
        <f t="shared" si="72"/>
        <v>2033</v>
      </c>
      <c r="O82" s="19">
        <f t="shared" si="72"/>
        <v>2034</v>
      </c>
      <c r="P82" s="19">
        <f t="shared" si="72"/>
        <v>2035</v>
      </c>
      <c r="Q82" s="19">
        <f t="shared" si="72"/>
        <v>2036</v>
      </c>
      <c r="R82" s="19">
        <f t="shared" si="72"/>
        <v>2037</v>
      </c>
      <c r="S82" s="19">
        <f t="shared" si="72"/>
        <v>2038</v>
      </c>
      <c r="T82" s="19">
        <f t="shared" si="73"/>
        <v>2039</v>
      </c>
      <c r="U82" s="19">
        <f t="shared" si="73"/>
        <v>2040</v>
      </c>
      <c r="V82" s="19">
        <f t="shared" si="73"/>
        <v>2041</v>
      </c>
      <c r="W82" s="19">
        <f t="shared" si="73"/>
        <v>2042</v>
      </c>
      <c r="X82" s="19">
        <f t="shared" si="73"/>
        <v>2043</v>
      </c>
      <c r="Y82" s="19">
        <f t="shared" si="73"/>
        <v>2044</v>
      </c>
      <c r="Z82" s="19">
        <f t="shared" si="73"/>
        <v>2045</v>
      </c>
      <c r="AA82" s="19">
        <f t="shared" si="73"/>
        <v>2046</v>
      </c>
    </row>
    <row r="83" spans="1:27" x14ac:dyDescent="0.3">
      <c r="A83" s="30" t="s">
        <v>59</v>
      </c>
      <c r="B83" s="24">
        <f>+B80</f>
        <v>174.49792458203444</v>
      </c>
      <c r="C83" s="24">
        <f>+B83*(1+$B$78)</f>
        <v>176.45230133735325</v>
      </c>
      <c r="D83" s="24">
        <f t="shared" ref="D83:AA83" si="74">+C83*(1+$B$78)</f>
        <v>178.42856711233162</v>
      </c>
      <c r="E83" s="24">
        <f t="shared" si="74"/>
        <v>180.42696706398976</v>
      </c>
      <c r="F83" s="24">
        <f t="shared" si="74"/>
        <v>182.44774909510647</v>
      </c>
      <c r="G83" s="24">
        <f t="shared" si="74"/>
        <v>184.49116388497168</v>
      </c>
      <c r="H83" s="24">
        <f t="shared" si="74"/>
        <v>186.5574649204834</v>
      </c>
      <c r="I83" s="24">
        <f t="shared" si="74"/>
        <v>188.64690852759284</v>
      </c>
      <c r="J83" s="24">
        <f t="shared" si="74"/>
        <v>190.75975390310191</v>
      </c>
      <c r="K83" s="24">
        <f t="shared" si="74"/>
        <v>192.89626314681666</v>
      </c>
      <c r="L83" s="24">
        <f t="shared" si="74"/>
        <v>195.05670129406104</v>
      </c>
      <c r="M83" s="24">
        <f t="shared" si="74"/>
        <v>197.24133634855454</v>
      </c>
      <c r="N83" s="24">
        <f t="shared" si="74"/>
        <v>199.45043931565837</v>
      </c>
      <c r="O83" s="24">
        <f t="shared" si="74"/>
        <v>201.68428423599377</v>
      </c>
      <c r="P83" s="24">
        <f t="shared" si="74"/>
        <v>203.94314821943692</v>
      </c>
      <c r="Q83" s="24">
        <f t="shared" si="74"/>
        <v>206.22731147949463</v>
      </c>
      <c r="R83" s="24">
        <f t="shared" si="74"/>
        <v>208.53705736806498</v>
      </c>
      <c r="S83" s="24">
        <f t="shared" si="74"/>
        <v>210.87267241058731</v>
      </c>
      <c r="T83" s="24">
        <f t="shared" si="74"/>
        <v>213.23444634158591</v>
      </c>
      <c r="U83" s="24">
        <f t="shared" si="74"/>
        <v>215.62267214061168</v>
      </c>
      <c r="V83" s="24">
        <f t="shared" si="74"/>
        <v>218.03764606858655</v>
      </c>
      <c r="W83" s="24">
        <f t="shared" si="74"/>
        <v>220.47966770455474</v>
      </c>
      <c r="X83" s="24">
        <f t="shared" si="74"/>
        <v>222.94903998284579</v>
      </c>
      <c r="Y83" s="24">
        <f t="shared" si="74"/>
        <v>225.44606923065368</v>
      </c>
      <c r="Z83" s="24">
        <f t="shared" si="74"/>
        <v>227.97106520603703</v>
      </c>
      <c r="AA83" s="24">
        <f t="shared" si="74"/>
        <v>230.52434113634467</v>
      </c>
    </row>
    <row r="85" spans="1:27" x14ac:dyDescent="0.3">
      <c r="A85" s="17" t="s">
        <v>69</v>
      </c>
      <c r="B85" s="17">
        <f t="shared" ref="B85:AA85" si="75">+B61</f>
        <v>2021</v>
      </c>
      <c r="C85" s="17">
        <f t="shared" si="75"/>
        <v>2022</v>
      </c>
      <c r="D85" s="17">
        <f t="shared" si="75"/>
        <v>2023</v>
      </c>
      <c r="E85" s="17">
        <f t="shared" si="75"/>
        <v>2024</v>
      </c>
      <c r="F85" s="17">
        <f t="shared" si="75"/>
        <v>2025</v>
      </c>
      <c r="G85" s="17">
        <f t="shared" si="75"/>
        <v>2026</v>
      </c>
      <c r="H85" s="17">
        <f t="shared" si="75"/>
        <v>2027</v>
      </c>
      <c r="I85" s="17">
        <f t="shared" si="75"/>
        <v>2028</v>
      </c>
      <c r="J85" s="17">
        <f t="shared" si="75"/>
        <v>2029</v>
      </c>
      <c r="K85" s="17">
        <f t="shared" si="75"/>
        <v>2030</v>
      </c>
      <c r="L85" s="17">
        <f t="shared" si="75"/>
        <v>2031</v>
      </c>
      <c r="M85" s="17">
        <f t="shared" si="75"/>
        <v>2032</v>
      </c>
      <c r="N85" s="17">
        <f t="shared" si="75"/>
        <v>2033</v>
      </c>
      <c r="O85" s="17">
        <f t="shared" si="75"/>
        <v>2034</v>
      </c>
      <c r="P85" s="17">
        <f t="shared" si="75"/>
        <v>2035</v>
      </c>
      <c r="Q85" s="17">
        <f t="shared" si="75"/>
        <v>2036</v>
      </c>
      <c r="R85" s="17">
        <f t="shared" si="75"/>
        <v>2037</v>
      </c>
      <c r="S85" s="17">
        <f t="shared" si="75"/>
        <v>2038</v>
      </c>
      <c r="T85" s="17">
        <f t="shared" si="75"/>
        <v>2039</v>
      </c>
      <c r="U85" s="17">
        <f t="shared" si="75"/>
        <v>2040</v>
      </c>
      <c r="V85" s="17">
        <f t="shared" si="75"/>
        <v>2041</v>
      </c>
      <c r="W85" s="17">
        <f t="shared" si="75"/>
        <v>2042</v>
      </c>
      <c r="X85" s="17">
        <f t="shared" si="75"/>
        <v>2043</v>
      </c>
      <c r="Y85" s="17">
        <f t="shared" si="75"/>
        <v>2044</v>
      </c>
      <c r="Z85" s="17">
        <f t="shared" si="75"/>
        <v>2045</v>
      </c>
      <c r="AA85" s="17">
        <f t="shared" si="75"/>
        <v>2046</v>
      </c>
    </row>
    <row r="86" spans="1:27" s="1" customFormat="1" ht="15" thickBot="1" x14ac:dyDescent="0.35">
      <c r="A86" s="38" t="s">
        <v>197</v>
      </c>
      <c r="B86" s="39">
        <f t="shared" ref="B86:AA86" si="76">+B83+B72+B62</f>
        <v>302.74792458203444</v>
      </c>
      <c r="C86" s="39">
        <f t="shared" si="76"/>
        <v>306.24130133735326</v>
      </c>
      <c r="D86" s="39">
        <f t="shared" si="76"/>
        <v>309.77503511233164</v>
      </c>
      <c r="E86" s="39">
        <f t="shared" si="76"/>
        <v>313.34959267998977</v>
      </c>
      <c r="F86" s="39">
        <f t="shared" si="76"/>
        <v>316.96544621849847</v>
      </c>
      <c r="G86" s="39">
        <f t="shared" si="76"/>
        <v>320.62307337384436</v>
      </c>
      <c r="H86" s="39">
        <f t="shared" si="76"/>
        <v>324.32295732322257</v>
      </c>
      <c r="I86" s="39">
        <f t="shared" si="76"/>
        <v>328.06558683916495</v>
      </c>
      <c r="J86" s="39">
        <f t="shared" si="76"/>
        <v>331.85145635441285</v>
      </c>
      <c r="K86" s="39">
        <f t="shared" si="76"/>
        <v>335.68106602754335</v>
      </c>
      <c r="L86" s="39">
        <f t="shared" si="76"/>
        <v>339.55492180935641</v>
      </c>
      <c r="M86" s="39">
        <f t="shared" si="76"/>
        <v>343.47353551003346</v>
      </c>
      <c r="N86" s="39">
        <f t="shared" si="76"/>
        <v>347.43742486707504</v>
      </c>
      <c r="O86" s="39">
        <f t="shared" si="76"/>
        <v>351.44711361402739</v>
      </c>
      <c r="P86" s="39">
        <f t="shared" si="76"/>
        <v>355.50313155000697</v>
      </c>
      <c r="Q86" s="39">
        <f t="shared" si="76"/>
        <v>359.60601461003159</v>
      </c>
      <c r="R86" s="39">
        <f t="shared" si="76"/>
        <v>363.75630493616831</v>
      </c>
      <c r="S86" s="39">
        <f t="shared" si="76"/>
        <v>367.9545509495079</v>
      </c>
      <c r="T86" s="39">
        <f t="shared" si="76"/>
        <v>372.20130742297351</v>
      </c>
      <c r="U86" s="39">
        <f t="shared" si="76"/>
        <v>376.49713555497596</v>
      </c>
      <c r="V86" s="39">
        <f t="shared" si="76"/>
        <v>380.84260304392319</v>
      </c>
      <c r="W86" s="39">
        <f t="shared" si="76"/>
        <v>385.23828416359549</v>
      </c>
      <c r="X86" s="39">
        <f t="shared" si="76"/>
        <v>389.68475983939493</v>
      </c>
      <c r="Y86" s="39">
        <f t="shared" si="76"/>
        <v>394.18261772548146</v>
      </c>
      <c r="Z86" s="39">
        <f t="shared" si="76"/>
        <v>398.73245228280268</v>
      </c>
      <c r="AA86" s="39">
        <f t="shared" si="76"/>
        <v>403.33486485803155</v>
      </c>
    </row>
    <row r="87" spans="1:27"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8" x14ac:dyDescent="0.35">
      <c r="A88" s="108" t="s">
        <v>163</v>
      </c>
    </row>
    <row r="89" spans="1:27" ht="15" customHeight="1" x14ac:dyDescent="0.3">
      <c r="A89" s="13" t="s">
        <v>61</v>
      </c>
    </row>
    <row r="90" spans="1:27" x14ac:dyDescent="0.3">
      <c r="A90" s="45" t="s">
        <v>22</v>
      </c>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row>
    <row r="91" spans="1:27" x14ac:dyDescent="0.3">
      <c r="A91" s="111"/>
      <c r="B91" s="28"/>
      <c r="C91" s="46" t="s">
        <v>181</v>
      </c>
      <c r="D91" s="28"/>
      <c r="E91" s="28"/>
      <c r="F91" s="28"/>
      <c r="G91" s="28"/>
      <c r="H91" s="28"/>
      <c r="I91" s="28"/>
      <c r="J91" s="28"/>
      <c r="K91" s="28"/>
      <c r="L91" s="28"/>
      <c r="M91" s="28"/>
      <c r="N91" s="28"/>
      <c r="O91" s="28"/>
      <c r="P91" s="28"/>
      <c r="Q91" s="28"/>
      <c r="R91" s="28"/>
      <c r="S91" s="28"/>
      <c r="T91" s="28"/>
      <c r="U91" s="28"/>
      <c r="V91" s="28"/>
      <c r="W91" s="28"/>
      <c r="X91" s="28"/>
      <c r="Y91" s="28"/>
      <c r="Z91" s="28"/>
      <c r="AA91" s="28"/>
    </row>
    <row r="92" spans="1:27" x14ac:dyDescent="0.3">
      <c r="A92" s="111"/>
      <c r="B92" s="28"/>
      <c r="C92" s="116"/>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x14ac:dyDescent="0.3">
      <c r="G93" s="90" t="s">
        <v>146</v>
      </c>
      <c r="H93" s="91"/>
      <c r="I93" s="91"/>
      <c r="J93" s="91"/>
      <c r="K93" s="91"/>
      <c r="L93" s="91"/>
      <c r="M93" s="91"/>
      <c r="N93" s="91"/>
      <c r="O93" s="91"/>
      <c r="P93" s="91"/>
      <c r="Q93" s="91"/>
      <c r="R93" s="91"/>
      <c r="S93" s="91"/>
      <c r="T93" s="92"/>
    </row>
    <row r="94" spans="1:27" x14ac:dyDescent="0.3">
      <c r="A94" s="3" t="s">
        <v>3</v>
      </c>
      <c r="B94">
        <v>0</v>
      </c>
      <c r="C94">
        <f>+B94+1</f>
        <v>1</v>
      </c>
      <c r="D94">
        <f t="shared" ref="D94:S95" si="77">+C94+1</f>
        <v>2</v>
      </c>
      <c r="E94">
        <f t="shared" si="77"/>
        <v>3</v>
      </c>
      <c r="F94">
        <f t="shared" si="77"/>
        <v>4</v>
      </c>
      <c r="G94">
        <f t="shared" si="77"/>
        <v>5</v>
      </c>
      <c r="H94">
        <f t="shared" si="77"/>
        <v>6</v>
      </c>
      <c r="I94">
        <f t="shared" si="77"/>
        <v>7</v>
      </c>
      <c r="J94">
        <f t="shared" si="77"/>
        <v>8</v>
      </c>
      <c r="K94">
        <f t="shared" si="77"/>
        <v>9</v>
      </c>
      <c r="L94">
        <f t="shared" si="77"/>
        <v>10</v>
      </c>
      <c r="M94">
        <f t="shared" si="77"/>
        <v>11</v>
      </c>
      <c r="N94">
        <f t="shared" si="77"/>
        <v>12</v>
      </c>
      <c r="O94">
        <f t="shared" si="77"/>
        <v>13</v>
      </c>
      <c r="P94">
        <f t="shared" si="77"/>
        <v>14</v>
      </c>
      <c r="Q94">
        <f t="shared" si="77"/>
        <v>15</v>
      </c>
      <c r="R94">
        <f t="shared" si="77"/>
        <v>16</v>
      </c>
      <c r="S94">
        <f t="shared" si="77"/>
        <v>17</v>
      </c>
      <c r="T94">
        <f t="shared" ref="T94:AA95" si="78">+S94+1</f>
        <v>18</v>
      </c>
      <c r="U94">
        <f t="shared" si="78"/>
        <v>19</v>
      </c>
      <c r="V94">
        <f t="shared" si="78"/>
        <v>20</v>
      </c>
      <c r="W94">
        <f t="shared" si="78"/>
        <v>21</v>
      </c>
      <c r="X94">
        <f t="shared" si="78"/>
        <v>22</v>
      </c>
      <c r="Y94">
        <f t="shared" si="78"/>
        <v>23</v>
      </c>
      <c r="Z94">
        <f t="shared" si="78"/>
        <v>24</v>
      </c>
      <c r="AA94">
        <f t="shared" si="78"/>
        <v>25</v>
      </c>
    </row>
    <row r="95" spans="1:27" x14ac:dyDescent="0.3">
      <c r="A95" s="18" t="s">
        <v>400</v>
      </c>
      <c r="B95" s="19">
        <v>2021</v>
      </c>
      <c r="C95" s="19">
        <f>+B95+1</f>
        <v>2022</v>
      </c>
      <c r="D95" s="19">
        <f t="shared" si="77"/>
        <v>2023</v>
      </c>
      <c r="E95" s="19">
        <f t="shared" si="77"/>
        <v>2024</v>
      </c>
      <c r="F95" s="19">
        <f t="shared" si="77"/>
        <v>2025</v>
      </c>
      <c r="G95" s="19">
        <f t="shared" si="77"/>
        <v>2026</v>
      </c>
      <c r="H95" s="19">
        <f t="shared" si="77"/>
        <v>2027</v>
      </c>
      <c r="I95" s="19">
        <f t="shared" si="77"/>
        <v>2028</v>
      </c>
      <c r="J95" s="19">
        <f t="shared" si="77"/>
        <v>2029</v>
      </c>
      <c r="K95" s="19">
        <f t="shared" si="77"/>
        <v>2030</v>
      </c>
      <c r="L95" s="19">
        <f t="shared" si="77"/>
        <v>2031</v>
      </c>
      <c r="M95" s="19">
        <f t="shared" si="77"/>
        <v>2032</v>
      </c>
      <c r="N95" s="19">
        <f t="shared" si="77"/>
        <v>2033</v>
      </c>
      <c r="O95" s="19">
        <f t="shared" si="77"/>
        <v>2034</v>
      </c>
      <c r="P95" s="19">
        <f t="shared" si="77"/>
        <v>2035</v>
      </c>
      <c r="Q95" s="19">
        <f t="shared" si="77"/>
        <v>2036</v>
      </c>
      <c r="R95" s="19">
        <f t="shared" si="77"/>
        <v>2037</v>
      </c>
      <c r="S95" s="19">
        <f t="shared" si="77"/>
        <v>2038</v>
      </c>
      <c r="T95" s="19">
        <f t="shared" si="78"/>
        <v>2039</v>
      </c>
      <c r="U95" s="19">
        <f t="shared" si="78"/>
        <v>2040</v>
      </c>
      <c r="V95" s="19">
        <f t="shared" si="78"/>
        <v>2041</v>
      </c>
      <c r="W95" s="19">
        <f t="shared" si="78"/>
        <v>2042</v>
      </c>
      <c r="X95" s="19">
        <f t="shared" si="78"/>
        <v>2043</v>
      </c>
      <c r="Y95" s="19">
        <f t="shared" si="78"/>
        <v>2044</v>
      </c>
      <c r="Z95" s="19">
        <f t="shared" si="78"/>
        <v>2045</v>
      </c>
      <c r="AA95" s="19">
        <f t="shared" si="78"/>
        <v>2046</v>
      </c>
    </row>
    <row r="96" spans="1:27" x14ac:dyDescent="0.3">
      <c r="A96" s="30" t="s">
        <v>57</v>
      </c>
      <c r="B96" s="165"/>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row>
    <row r="97" spans="1:27" s="12" customFormat="1" x14ac:dyDescent="0.3">
      <c r="A97" s="23"/>
      <c r="P97" s="101"/>
    </row>
    <row r="98" spans="1:27" x14ac:dyDescent="0.3">
      <c r="A98" s="45" t="s">
        <v>60</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row>
    <row r="99" spans="1:27" x14ac:dyDescent="0.3">
      <c r="A99" s="111"/>
      <c r="B99" s="28"/>
      <c r="C99" s="46" t="s">
        <v>181</v>
      </c>
      <c r="D99" s="28"/>
      <c r="E99" s="28"/>
      <c r="F99" s="28"/>
      <c r="G99" s="28"/>
      <c r="H99" s="28"/>
      <c r="I99" s="28"/>
      <c r="J99" s="28"/>
      <c r="K99" s="28"/>
      <c r="L99" s="28"/>
      <c r="M99" s="28"/>
      <c r="N99" s="28"/>
      <c r="O99" s="28"/>
      <c r="P99" s="28"/>
    </row>
    <row r="100" spans="1:27" x14ac:dyDescent="0.3">
      <c r="A100" s="111"/>
      <c r="B100" s="28"/>
      <c r="C100" s="30" t="s">
        <v>183</v>
      </c>
      <c r="D100" s="28"/>
      <c r="E100" s="28"/>
      <c r="F100" s="28"/>
      <c r="G100" s="28"/>
      <c r="H100" s="28"/>
      <c r="I100" s="28"/>
      <c r="J100" s="28"/>
      <c r="K100" s="28"/>
      <c r="L100" s="28"/>
      <c r="M100" s="28"/>
      <c r="N100" s="28"/>
      <c r="O100" s="28"/>
      <c r="P100" s="28"/>
    </row>
    <row r="101" spans="1:27" x14ac:dyDescent="0.3">
      <c r="G101" s="200" t="s">
        <v>290</v>
      </c>
      <c r="H101" s="201"/>
      <c r="I101" s="201"/>
      <c r="J101" s="201"/>
      <c r="K101" s="201"/>
      <c r="L101" s="201"/>
      <c r="M101" s="201"/>
      <c r="N101" s="201"/>
      <c r="O101" s="201"/>
      <c r="P101" s="202"/>
      <c r="Q101" s="202"/>
      <c r="R101" s="202"/>
      <c r="S101" s="202"/>
      <c r="T101" s="202"/>
      <c r="U101" s="202"/>
      <c r="V101" s="202"/>
    </row>
    <row r="102" spans="1:27" x14ac:dyDescent="0.3">
      <c r="A102" s="3" t="s">
        <v>3</v>
      </c>
      <c r="B102">
        <v>0</v>
      </c>
      <c r="C102">
        <f>+B102+1</f>
        <v>1</v>
      </c>
      <c r="D102">
        <f t="shared" ref="D102:S103" si="79">+C102+1</f>
        <v>2</v>
      </c>
      <c r="E102">
        <f t="shared" si="79"/>
        <v>3</v>
      </c>
      <c r="F102">
        <f t="shared" si="79"/>
        <v>4</v>
      </c>
      <c r="G102">
        <f t="shared" si="79"/>
        <v>5</v>
      </c>
      <c r="H102">
        <f t="shared" si="79"/>
        <v>6</v>
      </c>
      <c r="I102">
        <f t="shared" si="79"/>
        <v>7</v>
      </c>
      <c r="J102">
        <f t="shared" si="79"/>
        <v>8</v>
      </c>
      <c r="K102">
        <f t="shared" si="79"/>
        <v>9</v>
      </c>
      <c r="L102">
        <f t="shared" si="79"/>
        <v>10</v>
      </c>
      <c r="M102">
        <f t="shared" si="79"/>
        <v>11</v>
      </c>
      <c r="N102">
        <f t="shared" si="79"/>
        <v>12</v>
      </c>
      <c r="O102">
        <f t="shared" si="79"/>
        <v>13</v>
      </c>
      <c r="P102">
        <f t="shared" si="79"/>
        <v>14</v>
      </c>
      <c r="Q102">
        <f t="shared" si="79"/>
        <v>15</v>
      </c>
      <c r="R102">
        <f t="shared" si="79"/>
        <v>16</v>
      </c>
      <c r="S102">
        <f t="shared" si="79"/>
        <v>17</v>
      </c>
      <c r="T102">
        <f t="shared" ref="T102:AA103" si="80">+S102+1</f>
        <v>18</v>
      </c>
      <c r="U102">
        <f t="shared" si="80"/>
        <v>19</v>
      </c>
      <c r="V102">
        <f t="shared" si="80"/>
        <v>20</v>
      </c>
      <c r="W102">
        <f t="shared" si="80"/>
        <v>21</v>
      </c>
      <c r="X102">
        <f t="shared" si="80"/>
        <v>22</v>
      </c>
      <c r="Y102">
        <f t="shared" si="80"/>
        <v>23</v>
      </c>
      <c r="Z102">
        <f t="shared" si="80"/>
        <v>24</v>
      </c>
      <c r="AA102">
        <f t="shared" si="80"/>
        <v>25</v>
      </c>
    </row>
    <row r="103" spans="1:27" x14ac:dyDescent="0.3">
      <c r="A103" s="18" t="s">
        <v>400</v>
      </c>
      <c r="B103" s="19">
        <v>2021</v>
      </c>
      <c r="C103" s="19">
        <f>+B103+1</f>
        <v>2022</v>
      </c>
      <c r="D103" s="19">
        <f t="shared" si="79"/>
        <v>2023</v>
      </c>
      <c r="E103" s="19">
        <f t="shared" si="79"/>
        <v>2024</v>
      </c>
      <c r="F103" s="19">
        <f t="shared" si="79"/>
        <v>2025</v>
      </c>
      <c r="G103" s="19">
        <f t="shared" si="79"/>
        <v>2026</v>
      </c>
      <c r="H103" s="19">
        <f t="shared" si="79"/>
        <v>2027</v>
      </c>
      <c r="I103" s="19">
        <f t="shared" si="79"/>
        <v>2028</v>
      </c>
      <c r="J103" s="19">
        <f t="shared" si="79"/>
        <v>2029</v>
      </c>
      <c r="K103" s="19">
        <f t="shared" si="79"/>
        <v>2030</v>
      </c>
      <c r="L103" s="19">
        <f t="shared" si="79"/>
        <v>2031</v>
      </c>
      <c r="M103" s="19">
        <f t="shared" si="79"/>
        <v>2032</v>
      </c>
      <c r="N103" s="19">
        <f t="shared" si="79"/>
        <v>2033</v>
      </c>
      <c r="O103" s="19">
        <f t="shared" si="79"/>
        <v>2034</v>
      </c>
      <c r="P103" s="19">
        <f t="shared" si="79"/>
        <v>2035</v>
      </c>
      <c r="Q103" s="19">
        <f t="shared" si="79"/>
        <v>2036</v>
      </c>
      <c r="R103" s="19">
        <f t="shared" si="79"/>
        <v>2037</v>
      </c>
      <c r="S103" s="19">
        <f t="shared" si="79"/>
        <v>2038</v>
      </c>
      <c r="T103" s="19">
        <f t="shared" si="80"/>
        <v>2039</v>
      </c>
      <c r="U103" s="19">
        <f t="shared" si="80"/>
        <v>2040</v>
      </c>
      <c r="V103" s="19">
        <f t="shared" si="80"/>
        <v>2041</v>
      </c>
      <c r="W103" s="19">
        <f t="shared" si="80"/>
        <v>2042</v>
      </c>
      <c r="X103" s="19">
        <f t="shared" si="80"/>
        <v>2043</v>
      </c>
      <c r="Y103" s="19">
        <f t="shared" si="80"/>
        <v>2044</v>
      </c>
      <c r="Z103" s="19">
        <f t="shared" si="80"/>
        <v>2045</v>
      </c>
      <c r="AA103" s="19">
        <f t="shared" si="80"/>
        <v>2046</v>
      </c>
    </row>
    <row r="104" spans="1:27" x14ac:dyDescent="0.3">
      <c r="A104" s="134" t="s">
        <v>293</v>
      </c>
      <c r="B104" s="203">
        <f>'Inputs &amp; Summary'!E65*'Inputs &amp; Summary'!$O$103</f>
        <v>2500</v>
      </c>
      <c r="C104" s="203">
        <f>'Inputs &amp; Summary'!F65*'Inputs &amp; Summary'!$O$103</f>
        <v>0</v>
      </c>
      <c r="D104" s="203">
        <f>'Inputs &amp; Summary'!G65*'Inputs &amp; Summary'!$O$103</f>
        <v>0</v>
      </c>
      <c r="E104" s="203">
        <f>'Inputs &amp; Summary'!H65*'Inputs &amp; Summary'!$O$103</f>
        <v>0</v>
      </c>
      <c r="F104" s="203">
        <f>'Inputs &amp; Summary'!I65*'Inputs &amp; Summary'!$O$103</f>
        <v>8950</v>
      </c>
      <c r="G104" s="203">
        <f>'Inputs &amp; Summary'!J65*'Inputs &amp; Summary'!$O$103</f>
        <v>0</v>
      </c>
      <c r="H104" s="203">
        <f>'Inputs &amp; Summary'!K65*'Inputs &amp; Summary'!$O$103</f>
        <v>0</v>
      </c>
      <c r="I104" s="203">
        <f>'Inputs &amp; Summary'!L65*'Inputs &amp; Summary'!$O$103</f>
        <v>0</v>
      </c>
      <c r="J104" s="203">
        <f>'Inputs &amp; Summary'!M65*'Inputs &amp; Summary'!$O$103</f>
        <v>0</v>
      </c>
      <c r="K104" s="203">
        <f>'Inputs &amp; Summary'!N65*'Inputs &amp; Summary'!$O$103</f>
        <v>0</v>
      </c>
      <c r="L104" s="203">
        <f>'Inputs &amp; Summary'!O65*'Inputs &amp; Summary'!$O$103</f>
        <v>0</v>
      </c>
      <c r="M104" s="204"/>
      <c r="N104" s="204"/>
      <c r="O104" s="204"/>
      <c r="P104" s="204"/>
      <c r="Q104" s="204"/>
      <c r="R104" s="204"/>
      <c r="S104" s="204"/>
      <c r="T104" s="204"/>
      <c r="U104" s="204"/>
      <c r="V104" s="204"/>
      <c r="W104" s="204"/>
      <c r="X104" s="204"/>
      <c r="Y104" s="204"/>
      <c r="Z104" s="204"/>
      <c r="AA104" s="204"/>
    </row>
    <row r="105" spans="1:27" s="1" customFormat="1" x14ac:dyDescent="0.3">
      <c r="A105" s="30" t="s">
        <v>58</v>
      </c>
      <c r="B105" s="21">
        <f t="shared" ref="B105:AA105" si="81">+SUM(B104:B104)</f>
        <v>2500</v>
      </c>
      <c r="C105" s="21">
        <f t="shared" si="81"/>
        <v>0</v>
      </c>
      <c r="D105" s="21">
        <f t="shared" si="81"/>
        <v>0</v>
      </c>
      <c r="E105" s="21">
        <f t="shared" si="81"/>
        <v>0</v>
      </c>
      <c r="F105" s="199">
        <f t="shared" si="81"/>
        <v>8950</v>
      </c>
      <c r="G105" s="21">
        <f t="shared" si="81"/>
        <v>0</v>
      </c>
      <c r="H105" s="21">
        <f t="shared" si="81"/>
        <v>0</v>
      </c>
      <c r="I105" s="21">
        <f t="shared" si="81"/>
        <v>0</v>
      </c>
      <c r="J105" s="21">
        <f t="shared" si="81"/>
        <v>0</v>
      </c>
      <c r="K105" s="21">
        <f t="shared" si="81"/>
        <v>0</v>
      </c>
      <c r="L105" s="21">
        <f t="shared" si="81"/>
        <v>0</v>
      </c>
      <c r="M105" s="21">
        <f t="shared" si="81"/>
        <v>0</v>
      </c>
      <c r="N105" s="21">
        <f t="shared" si="81"/>
        <v>0</v>
      </c>
      <c r="O105" s="21">
        <f t="shared" si="81"/>
        <v>0</v>
      </c>
      <c r="P105" s="21">
        <f t="shared" si="81"/>
        <v>0</v>
      </c>
      <c r="Q105" s="21">
        <f t="shared" si="81"/>
        <v>0</v>
      </c>
      <c r="R105" s="21">
        <f t="shared" si="81"/>
        <v>0</v>
      </c>
      <c r="S105" s="21">
        <f t="shared" si="81"/>
        <v>0</v>
      </c>
      <c r="T105" s="21">
        <f t="shared" si="81"/>
        <v>0</v>
      </c>
      <c r="U105" s="21">
        <f t="shared" si="81"/>
        <v>0</v>
      </c>
      <c r="V105" s="21">
        <f t="shared" si="81"/>
        <v>0</v>
      </c>
      <c r="W105" s="21">
        <f t="shared" si="81"/>
        <v>0</v>
      </c>
      <c r="X105" s="21">
        <f t="shared" si="81"/>
        <v>0</v>
      </c>
      <c r="Y105" s="21">
        <f t="shared" si="81"/>
        <v>0</v>
      </c>
      <c r="Z105" s="21">
        <f t="shared" si="81"/>
        <v>0</v>
      </c>
      <c r="AA105" s="21">
        <f t="shared" si="81"/>
        <v>0</v>
      </c>
    </row>
    <row r="106" spans="1:27" ht="15" customHeight="1" x14ac:dyDescent="0.3">
      <c r="A106" s="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row>
    <row r="107" spans="1:27" x14ac:dyDescent="0.3">
      <c r="A107" s="45" t="s">
        <v>27</v>
      </c>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row>
    <row r="108" spans="1:27" x14ac:dyDescent="0.3">
      <c r="A108" s="111"/>
      <c r="B108" s="28"/>
      <c r="C108" s="46" t="s">
        <v>181</v>
      </c>
      <c r="D108" s="28"/>
      <c r="E108" s="28"/>
      <c r="F108" s="28"/>
      <c r="G108" s="28"/>
      <c r="H108" s="28"/>
      <c r="I108" s="28"/>
      <c r="J108" s="28"/>
      <c r="K108" s="28"/>
      <c r="L108" s="28"/>
      <c r="M108" s="28"/>
      <c r="N108" s="28"/>
      <c r="O108" s="28"/>
      <c r="P108" s="28"/>
    </row>
    <row r="109" spans="1:27" x14ac:dyDescent="0.3">
      <c r="A109" s="13" t="s">
        <v>28</v>
      </c>
      <c r="B109" s="32">
        <f>'Inputs &amp; Summary'!E98</f>
        <v>4557</v>
      </c>
    </row>
    <row r="110" spans="1:27" x14ac:dyDescent="0.3">
      <c r="A110" s="13" t="s">
        <v>29</v>
      </c>
      <c r="B110" s="6">
        <f>'Inputs &amp; Summary'!O99</f>
        <v>3</v>
      </c>
      <c r="G110" s="82" t="s">
        <v>148</v>
      </c>
      <c r="H110" s="83"/>
      <c r="I110" s="83"/>
      <c r="J110" s="83"/>
      <c r="K110" s="83"/>
      <c r="L110" s="83"/>
      <c r="M110" s="83"/>
      <c r="N110" s="83"/>
      <c r="O110" s="83"/>
      <c r="P110" s="83"/>
      <c r="Q110" s="83"/>
      <c r="R110" s="84"/>
    </row>
    <row r="111" spans="1:27" x14ac:dyDescent="0.3">
      <c r="A111" s="13" t="s">
        <v>34</v>
      </c>
      <c r="B111" s="163">
        <f>'Inputs &amp; Summary'!O137</f>
        <v>0.01</v>
      </c>
      <c r="C111" s="1" t="s">
        <v>193</v>
      </c>
      <c r="D111" s="31"/>
      <c r="G111" s="85" t="s">
        <v>147</v>
      </c>
      <c r="H111" s="72"/>
      <c r="I111" s="72"/>
      <c r="J111" s="72"/>
      <c r="K111" s="72"/>
      <c r="L111" s="72"/>
      <c r="M111" s="72"/>
      <c r="N111" s="72"/>
      <c r="O111" s="72"/>
      <c r="P111" s="72"/>
      <c r="Q111" s="72"/>
      <c r="R111" s="86"/>
    </row>
    <row r="112" spans="1:27" x14ac:dyDescent="0.3">
      <c r="A112" s="13" t="s">
        <v>33</v>
      </c>
      <c r="B112" s="6">
        <f>'Inputs &amp; Summary'!O138</f>
        <v>750</v>
      </c>
      <c r="C112" s="1" t="s">
        <v>193</v>
      </c>
    </row>
    <row r="113" spans="1:27" x14ac:dyDescent="0.3">
      <c r="A113" s="13" t="s">
        <v>32</v>
      </c>
      <c r="B113" s="6">
        <f>'Inputs &amp; Summary'!O139</f>
        <v>75</v>
      </c>
      <c r="C113" s="1" t="s">
        <v>193</v>
      </c>
    </row>
    <row r="114" spans="1:27" x14ac:dyDescent="0.3">
      <c r="A114" s="13" t="s">
        <v>62</v>
      </c>
      <c r="B114" s="54">
        <f>'Inputs &amp; Summary'!O140</f>
        <v>2.5000000000000001E-2</v>
      </c>
      <c r="C114" s="1" t="s">
        <v>193</v>
      </c>
    </row>
    <row r="115" spans="1:27" x14ac:dyDescent="0.3">
      <c r="A115" s="3" t="s">
        <v>3</v>
      </c>
      <c r="B115">
        <v>0</v>
      </c>
      <c r="C115">
        <f>+B115+1</f>
        <v>1</v>
      </c>
      <c r="D115">
        <f t="shared" ref="D115:S116" si="82">+C115+1</f>
        <v>2</v>
      </c>
      <c r="E115">
        <f t="shared" si="82"/>
        <v>3</v>
      </c>
      <c r="F115">
        <f t="shared" si="82"/>
        <v>4</v>
      </c>
      <c r="G115">
        <f t="shared" si="82"/>
        <v>5</v>
      </c>
      <c r="H115">
        <f t="shared" si="82"/>
        <v>6</v>
      </c>
      <c r="I115">
        <f t="shared" si="82"/>
        <v>7</v>
      </c>
      <c r="J115">
        <f t="shared" si="82"/>
        <v>8</v>
      </c>
      <c r="K115">
        <f t="shared" si="82"/>
        <v>9</v>
      </c>
      <c r="L115">
        <f t="shared" si="82"/>
        <v>10</v>
      </c>
      <c r="M115">
        <f t="shared" si="82"/>
        <v>11</v>
      </c>
      <c r="N115">
        <f t="shared" si="82"/>
        <v>12</v>
      </c>
      <c r="O115">
        <f t="shared" si="82"/>
        <v>13</v>
      </c>
      <c r="P115">
        <f t="shared" si="82"/>
        <v>14</v>
      </c>
      <c r="Q115">
        <f t="shared" si="82"/>
        <v>15</v>
      </c>
      <c r="R115">
        <f t="shared" si="82"/>
        <v>16</v>
      </c>
      <c r="S115">
        <f t="shared" si="82"/>
        <v>17</v>
      </c>
      <c r="T115">
        <f t="shared" ref="T115:AA116" si="83">+S115+1</f>
        <v>18</v>
      </c>
      <c r="U115">
        <f t="shared" si="83"/>
        <v>19</v>
      </c>
      <c r="V115">
        <f t="shared" si="83"/>
        <v>20</v>
      </c>
      <c r="W115">
        <f t="shared" si="83"/>
        <v>21</v>
      </c>
      <c r="X115">
        <f t="shared" si="83"/>
        <v>22</v>
      </c>
      <c r="Y115">
        <f t="shared" si="83"/>
        <v>23</v>
      </c>
      <c r="Z115">
        <f t="shared" si="83"/>
        <v>24</v>
      </c>
      <c r="AA115">
        <f t="shared" si="83"/>
        <v>25</v>
      </c>
    </row>
    <row r="116" spans="1:27" x14ac:dyDescent="0.3">
      <c r="A116" s="18" t="s">
        <v>400</v>
      </c>
      <c r="B116" s="19">
        <v>2021</v>
      </c>
      <c r="C116" s="19">
        <f>+B116+1</f>
        <v>2022</v>
      </c>
      <c r="D116" s="19">
        <f t="shared" si="82"/>
        <v>2023</v>
      </c>
      <c r="E116" s="19">
        <f t="shared" si="82"/>
        <v>2024</v>
      </c>
      <c r="F116" s="19">
        <f t="shared" si="82"/>
        <v>2025</v>
      </c>
      <c r="G116" s="19">
        <f t="shared" si="82"/>
        <v>2026</v>
      </c>
      <c r="H116" s="19">
        <f t="shared" si="82"/>
        <v>2027</v>
      </c>
      <c r="I116" s="19">
        <f t="shared" si="82"/>
        <v>2028</v>
      </c>
      <c r="J116" s="19">
        <f t="shared" si="82"/>
        <v>2029</v>
      </c>
      <c r="K116" s="19">
        <f t="shared" si="82"/>
        <v>2030</v>
      </c>
      <c r="L116" s="19">
        <f t="shared" si="82"/>
        <v>2031</v>
      </c>
      <c r="M116" s="19">
        <f t="shared" si="82"/>
        <v>2032</v>
      </c>
      <c r="N116" s="19">
        <f t="shared" si="82"/>
        <v>2033</v>
      </c>
      <c r="O116" s="19">
        <f t="shared" si="82"/>
        <v>2034</v>
      </c>
      <c r="P116" s="19">
        <f t="shared" si="82"/>
        <v>2035</v>
      </c>
      <c r="Q116" s="19">
        <f t="shared" si="82"/>
        <v>2036</v>
      </c>
      <c r="R116" s="19">
        <f t="shared" si="82"/>
        <v>2037</v>
      </c>
      <c r="S116" s="19">
        <f t="shared" si="82"/>
        <v>2038</v>
      </c>
      <c r="T116" s="19">
        <f t="shared" si="83"/>
        <v>2039</v>
      </c>
      <c r="U116" s="19">
        <f t="shared" si="83"/>
        <v>2040</v>
      </c>
      <c r="V116" s="19">
        <f t="shared" si="83"/>
        <v>2041</v>
      </c>
      <c r="W116" s="19">
        <f t="shared" si="83"/>
        <v>2042</v>
      </c>
      <c r="X116" s="19">
        <f t="shared" si="83"/>
        <v>2043</v>
      </c>
      <c r="Y116" s="19">
        <f t="shared" si="83"/>
        <v>2044</v>
      </c>
      <c r="Z116" s="19">
        <f t="shared" si="83"/>
        <v>2045</v>
      </c>
      <c r="AA116" s="19">
        <f t="shared" si="83"/>
        <v>2046</v>
      </c>
    </row>
    <row r="117" spans="1:27" s="6" customFormat="1" x14ac:dyDescent="0.3">
      <c r="A117" s="30" t="s">
        <v>59</v>
      </c>
      <c r="B117" s="35">
        <f>+($B$109*$B$110*$B$111)+($B$112*$B$111)+($B$113*(1+$B$114)^B115)</f>
        <v>219.21</v>
      </c>
      <c r="C117" s="35">
        <f>+($B$109*$B$110*$B$111)+($B$112*$B$111)+($B$113*(1+$B$114)^C115)</f>
        <v>221.08500000000001</v>
      </c>
      <c r="D117" s="35">
        <f>+($B$109*$B$110*$B$111)+($B$112*$B$111)+($B$113*(1+$B$114)^D115)</f>
        <v>223.00687500000001</v>
      </c>
      <c r="E117" s="35">
        <f>+($B$109*$B$110*$B$111)+($B$112*$B$111)+($B$113*(1+$B$114)^E115)</f>
        <v>224.97679687499999</v>
      </c>
      <c r="F117" s="35">
        <v>0</v>
      </c>
      <c r="G117" s="35">
        <f>+F117</f>
        <v>0</v>
      </c>
      <c r="H117" s="35">
        <f t="shared" ref="H117:AA117" si="84">+G117</f>
        <v>0</v>
      </c>
      <c r="I117" s="35">
        <f t="shared" si="84"/>
        <v>0</v>
      </c>
      <c r="J117" s="35">
        <f t="shared" si="84"/>
        <v>0</v>
      </c>
      <c r="K117" s="35">
        <f t="shared" si="84"/>
        <v>0</v>
      </c>
      <c r="L117" s="35">
        <f t="shared" si="84"/>
        <v>0</v>
      </c>
      <c r="M117" s="35">
        <f t="shared" si="84"/>
        <v>0</v>
      </c>
      <c r="N117" s="35">
        <f t="shared" si="84"/>
        <v>0</v>
      </c>
      <c r="O117" s="35">
        <f t="shared" si="84"/>
        <v>0</v>
      </c>
      <c r="P117" s="35">
        <f t="shared" si="84"/>
        <v>0</v>
      </c>
      <c r="Q117" s="35">
        <f t="shared" si="84"/>
        <v>0</v>
      </c>
      <c r="R117" s="35">
        <f t="shared" si="84"/>
        <v>0</v>
      </c>
      <c r="S117" s="35">
        <f t="shared" si="84"/>
        <v>0</v>
      </c>
      <c r="T117" s="35">
        <f t="shared" si="84"/>
        <v>0</v>
      </c>
      <c r="U117" s="35">
        <f t="shared" si="84"/>
        <v>0</v>
      </c>
      <c r="V117" s="35">
        <f t="shared" si="84"/>
        <v>0</v>
      </c>
      <c r="W117" s="35">
        <f t="shared" si="84"/>
        <v>0</v>
      </c>
      <c r="X117" s="35">
        <f t="shared" si="84"/>
        <v>0</v>
      </c>
      <c r="Y117" s="35">
        <f t="shared" si="84"/>
        <v>0</v>
      </c>
      <c r="Z117" s="35">
        <f t="shared" si="84"/>
        <v>0</v>
      </c>
      <c r="AA117" s="35">
        <f t="shared" si="84"/>
        <v>0</v>
      </c>
    </row>
    <row r="118" spans="1:27" x14ac:dyDescent="0.3">
      <c r="A118" s="1"/>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x14ac:dyDescent="0.3">
      <c r="A119" s="23"/>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row>
    <row r="120" spans="1:27" x14ac:dyDescent="0.3">
      <c r="A120" s="17" t="s">
        <v>70</v>
      </c>
      <c r="B120" s="17">
        <f t="shared" ref="B120:AA120" si="85">+B95</f>
        <v>2021</v>
      </c>
      <c r="C120" s="17">
        <f t="shared" si="85"/>
        <v>2022</v>
      </c>
      <c r="D120" s="17">
        <f t="shared" si="85"/>
        <v>2023</v>
      </c>
      <c r="E120" s="17">
        <f t="shared" si="85"/>
        <v>2024</v>
      </c>
      <c r="F120" s="17">
        <f t="shared" si="85"/>
        <v>2025</v>
      </c>
      <c r="G120" s="17">
        <f t="shared" si="85"/>
        <v>2026</v>
      </c>
      <c r="H120" s="17">
        <f t="shared" si="85"/>
        <v>2027</v>
      </c>
      <c r="I120" s="17">
        <f t="shared" si="85"/>
        <v>2028</v>
      </c>
      <c r="J120" s="17">
        <f t="shared" si="85"/>
        <v>2029</v>
      </c>
      <c r="K120" s="17">
        <f t="shared" si="85"/>
        <v>2030</v>
      </c>
      <c r="L120" s="17">
        <f t="shared" si="85"/>
        <v>2031</v>
      </c>
      <c r="M120" s="17">
        <f t="shared" si="85"/>
        <v>2032</v>
      </c>
      <c r="N120" s="17">
        <f t="shared" si="85"/>
        <v>2033</v>
      </c>
      <c r="O120" s="17">
        <f t="shared" si="85"/>
        <v>2034</v>
      </c>
      <c r="P120" s="17">
        <f t="shared" si="85"/>
        <v>2035</v>
      </c>
      <c r="Q120" s="17">
        <f t="shared" si="85"/>
        <v>2036</v>
      </c>
      <c r="R120" s="17">
        <f t="shared" si="85"/>
        <v>2037</v>
      </c>
      <c r="S120" s="17">
        <f t="shared" si="85"/>
        <v>2038</v>
      </c>
      <c r="T120" s="17">
        <f t="shared" si="85"/>
        <v>2039</v>
      </c>
      <c r="U120" s="17">
        <f t="shared" si="85"/>
        <v>2040</v>
      </c>
      <c r="V120" s="17">
        <f t="shared" si="85"/>
        <v>2041</v>
      </c>
      <c r="W120" s="17">
        <f t="shared" si="85"/>
        <v>2042</v>
      </c>
      <c r="X120" s="17">
        <f t="shared" si="85"/>
        <v>2043</v>
      </c>
      <c r="Y120" s="17">
        <f t="shared" si="85"/>
        <v>2044</v>
      </c>
      <c r="Z120" s="17">
        <f t="shared" si="85"/>
        <v>2045</v>
      </c>
      <c r="AA120" s="17">
        <f t="shared" si="85"/>
        <v>2046</v>
      </c>
    </row>
    <row r="121" spans="1:27" s="1" customFormat="1" ht="15" thickBot="1" x14ac:dyDescent="0.35">
      <c r="A121" s="38" t="s">
        <v>197</v>
      </c>
      <c r="B121" s="39">
        <f t="shared" ref="B121:AA121" si="86">+B117+B105+B96</f>
        <v>2719.21</v>
      </c>
      <c r="C121" s="39">
        <f t="shared" si="86"/>
        <v>221.08500000000001</v>
      </c>
      <c r="D121" s="39">
        <f t="shared" si="86"/>
        <v>223.00687500000001</v>
      </c>
      <c r="E121" s="39">
        <f t="shared" si="86"/>
        <v>224.97679687499999</v>
      </c>
      <c r="F121" s="39">
        <f t="shared" si="86"/>
        <v>8950</v>
      </c>
      <c r="G121" s="39">
        <f t="shared" si="86"/>
        <v>0</v>
      </c>
      <c r="H121" s="39">
        <f t="shared" si="86"/>
        <v>0</v>
      </c>
      <c r="I121" s="39">
        <f t="shared" si="86"/>
        <v>0</v>
      </c>
      <c r="J121" s="39">
        <f t="shared" si="86"/>
        <v>0</v>
      </c>
      <c r="K121" s="39">
        <f t="shared" si="86"/>
        <v>0</v>
      </c>
      <c r="L121" s="39">
        <f t="shared" si="86"/>
        <v>0</v>
      </c>
      <c r="M121" s="39">
        <f t="shared" si="86"/>
        <v>0</v>
      </c>
      <c r="N121" s="39">
        <f t="shared" si="86"/>
        <v>0</v>
      </c>
      <c r="O121" s="39">
        <f t="shared" si="86"/>
        <v>0</v>
      </c>
      <c r="P121" s="39">
        <f t="shared" si="86"/>
        <v>0</v>
      </c>
      <c r="Q121" s="39">
        <f t="shared" si="86"/>
        <v>0</v>
      </c>
      <c r="R121" s="39">
        <f t="shared" si="86"/>
        <v>0</v>
      </c>
      <c r="S121" s="39">
        <f t="shared" si="86"/>
        <v>0</v>
      </c>
      <c r="T121" s="39">
        <f t="shared" si="86"/>
        <v>0</v>
      </c>
      <c r="U121" s="39">
        <f t="shared" si="86"/>
        <v>0</v>
      </c>
      <c r="V121" s="39">
        <f t="shared" si="86"/>
        <v>0</v>
      </c>
      <c r="W121" s="39">
        <f t="shared" si="86"/>
        <v>0</v>
      </c>
      <c r="X121" s="39">
        <f t="shared" si="86"/>
        <v>0</v>
      </c>
      <c r="Y121" s="39">
        <f t="shared" si="86"/>
        <v>0</v>
      </c>
      <c r="Z121" s="39">
        <f t="shared" si="86"/>
        <v>0</v>
      </c>
      <c r="AA121" s="39">
        <f t="shared" si="86"/>
        <v>0</v>
      </c>
    </row>
    <row r="122" spans="1:27" x14ac:dyDescent="0.3">
      <c r="A122" s="1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8" x14ac:dyDescent="0.35">
      <c r="A123" s="108" t="s">
        <v>164</v>
      </c>
    </row>
    <row r="125" spans="1:27" x14ac:dyDescent="0.3">
      <c r="A125" s="45" t="s">
        <v>42</v>
      </c>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row>
    <row r="126" spans="1:27" x14ac:dyDescent="0.3">
      <c r="C126" s="46" t="s">
        <v>181</v>
      </c>
    </row>
    <row r="127" spans="1:27" x14ac:dyDescent="0.3">
      <c r="A127" t="s">
        <v>36</v>
      </c>
      <c r="B127" s="156">
        <f>'Inputs &amp; Summary'!E90</f>
        <v>24</v>
      </c>
    </row>
    <row r="128" spans="1:27" x14ac:dyDescent="0.3">
      <c r="A128" t="s">
        <v>37</v>
      </c>
      <c r="B128" s="6">
        <f>+'Inputs &amp; Summary'!E91</f>
        <v>135</v>
      </c>
      <c r="G128" s="90" t="s">
        <v>159</v>
      </c>
      <c r="H128" s="91"/>
      <c r="I128" s="91"/>
      <c r="J128" s="91"/>
      <c r="K128" s="91"/>
      <c r="L128" s="91"/>
      <c r="M128" s="91"/>
      <c r="N128" s="91"/>
      <c r="O128" s="91"/>
      <c r="P128" s="91"/>
      <c r="Q128" s="91"/>
      <c r="R128" s="91"/>
      <c r="S128" s="91"/>
      <c r="T128" s="91"/>
      <c r="U128" s="91"/>
      <c r="V128" s="92"/>
    </row>
    <row r="129" spans="1:27" s="6" customFormat="1" x14ac:dyDescent="0.3">
      <c r="A129" t="s">
        <v>38</v>
      </c>
      <c r="B129" s="158">
        <f>'Inputs &amp; Summary'!O170</f>
        <v>3.7499999999999999E-2</v>
      </c>
      <c r="C129" s="30" t="s">
        <v>183</v>
      </c>
    </row>
    <row r="130" spans="1:27" x14ac:dyDescent="0.3">
      <c r="A130" t="s">
        <v>39</v>
      </c>
      <c r="B130" s="160">
        <f>'Inputs &amp; Summary'!O145</f>
        <v>1.2E-2</v>
      </c>
      <c r="C130" s="1" t="s">
        <v>193</v>
      </c>
    </row>
    <row r="131" spans="1:27" x14ac:dyDescent="0.3">
      <c r="A131" s="3" t="s">
        <v>3</v>
      </c>
      <c r="B131">
        <v>0</v>
      </c>
      <c r="C131">
        <f>+B131+1</f>
        <v>1</v>
      </c>
      <c r="D131">
        <f t="shared" ref="D131:S132" si="87">+C131+1</f>
        <v>2</v>
      </c>
      <c r="E131">
        <f t="shared" si="87"/>
        <v>3</v>
      </c>
      <c r="F131">
        <f t="shared" si="87"/>
        <v>4</v>
      </c>
      <c r="G131">
        <f t="shared" si="87"/>
        <v>5</v>
      </c>
      <c r="H131">
        <f t="shared" si="87"/>
        <v>6</v>
      </c>
      <c r="I131">
        <f t="shared" si="87"/>
        <v>7</v>
      </c>
      <c r="J131">
        <f t="shared" si="87"/>
        <v>8</v>
      </c>
      <c r="K131">
        <f t="shared" si="87"/>
        <v>9</v>
      </c>
      <c r="L131">
        <f t="shared" si="87"/>
        <v>10</v>
      </c>
      <c r="M131">
        <f t="shared" si="87"/>
        <v>11</v>
      </c>
      <c r="N131">
        <f t="shared" si="87"/>
        <v>12</v>
      </c>
      <c r="O131">
        <f t="shared" si="87"/>
        <v>13</v>
      </c>
      <c r="P131">
        <f t="shared" si="87"/>
        <v>14</v>
      </c>
      <c r="Q131">
        <f t="shared" si="87"/>
        <v>15</v>
      </c>
      <c r="R131">
        <f t="shared" si="87"/>
        <v>16</v>
      </c>
      <c r="S131">
        <f t="shared" si="87"/>
        <v>17</v>
      </c>
      <c r="T131">
        <f t="shared" ref="T131:AA132" si="88">+S131+1</f>
        <v>18</v>
      </c>
      <c r="U131">
        <f t="shared" si="88"/>
        <v>19</v>
      </c>
      <c r="V131">
        <f t="shared" si="88"/>
        <v>20</v>
      </c>
      <c r="W131">
        <f t="shared" si="88"/>
        <v>21</v>
      </c>
      <c r="X131">
        <f t="shared" si="88"/>
        <v>22</v>
      </c>
      <c r="Y131">
        <f t="shared" si="88"/>
        <v>23</v>
      </c>
      <c r="Z131">
        <f t="shared" si="88"/>
        <v>24</v>
      </c>
      <c r="AA131">
        <f t="shared" si="88"/>
        <v>25</v>
      </c>
    </row>
    <row r="132" spans="1:27" x14ac:dyDescent="0.3">
      <c r="A132" s="18" t="s">
        <v>400</v>
      </c>
      <c r="B132" s="19">
        <v>2021</v>
      </c>
      <c r="C132" s="19">
        <f>+B132+1</f>
        <v>2022</v>
      </c>
      <c r="D132" s="19">
        <f t="shared" si="87"/>
        <v>2023</v>
      </c>
      <c r="E132" s="19">
        <f t="shared" si="87"/>
        <v>2024</v>
      </c>
      <c r="F132" s="19">
        <f t="shared" si="87"/>
        <v>2025</v>
      </c>
      <c r="G132" s="19">
        <f t="shared" si="87"/>
        <v>2026</v>
      </c>
      <c r="H132" s="19">
        <f t="shared" si="87"/>
        <v>2027</v>
      </c>
      <c r="I132" s="19">
        <f t="shared" si="87"/>
        <v>2028</v>
      </c>
      <c r="J132" s="19">
        <f t="shared" si="87"/>
        <v>2029</v>
      </c>
      <c r="K132" s="19">
        <f t="shared" si="87"/>
        <v>2030</v>
      </c>
      <c r="L132" s="19">
        <f t="shared" si="87"/>
        <v>2031</v>
      </c>
      <c r="M132" s="19">
        <f t="shared" si="87"/>
        <v>2032</v>
      </c>
      <c r="N132" s="19">
        <f t="shared" si="87"/>
        <v>2033</v>
      </c>
      <c r="O132" s="19">
        <f t="shared" si="87"/>
        <v>2034</v>
      </c>
      <c r="P132" s="19">
        <f t="shared" si="87"/>
        <v>2035</v>
      </c>
      <c r="Q132" s="19">
        <f t="shared" si="87"/>
        <v>2036</v>
      </c>
      <c r="R132" s="19">
        <f t="shared" si="87"/>
        <v>2037</v>
      </c>
      <c r="S132" s="19">
        <f t="shared" si="87"/>
        <v>2038</v>
      </c>
      <c r="T132" s="19">
        <f t="shared" si="88"/>
        <v>2039</v>
      </c>
      <c r="U132" s="19">
        <f t="shared" si="88"/>
        <v>2040</v>
      </c>
      <c r="V132" s="19">
        <f t="shared" si="88"/>
        <v>2041</v>
      </c>
      <c r="W132" s="19">
        <f t="shared" si="88"/>
        <v>2042</v>
      </c>
      <c r="X132" s="19">
        <f t="shared" si="88"/>
        <v>2043</v>
      </c>
      <c r="Y132" s="19">
        <f t="shared" si="88"/>
        <v>2044</v>
      </c>
      <c r="Z132" s="19">
        <f t="shared" si="88"/>
        <v>2045</v>
      </c>
      <c r="AA132" s="19">
        <f t="shared" si="88"/>
        <v>2046</v>
      </c>
    </row>
    <row r="133" spans="1:27" s="6" customFormat="1" x14ac:dyDescent="0.3">
      <c r="A133" s="30" t="s">
        <v>58</v>
      </c>
      <c r="B133" s="24">
        <f>+B127*B128*B129</f>
        <v>121.5</v>
      </c>
      <c r="C133" s="24">
        <f>+$B$133*(1+$B$130)^C131</f>
        <v>122.958</v>
      </c>
      <c r="D133" s="24">
        <f t="shared" ref="D133:AA133" si="89">+$B$133*(1+$B$130)^D131</f>
        <v>124.43349599999999</v>
      </c>
      <c r="E133" s="24">
        <f t="shared" si="89"/>
        <v>125.926697952</v>
      </c>
      <c r="F133" s="24">
        <f t="shared" si="89"/>
        <v>127.437818327424</v>
      </c>
      <c r="G133" s="24">
        <f t="shared" si="89"/>
        <v>128.96707214735309</v>
      </c>
      <c r="H133" s="24">
        <f t="shared" si="89"/>
        <v>130.51467701312131</v>
      </c>
      <c r="I133" s="24">
        <f t="shared" si="89"/>
        <v>132.08085313727878</v>
      </c>
      <c r="J133" s="24">
        <f t="shared" si="89"/>
        <v>133.66582337492613</v>
      </c>
      <c r="K133" s="24">
        <f t="shared" si="89"/>
        <v>135.26981325542522</v>
      </c>
      <c r="L133" s="24">
        <f t="shared" si="89"/>
        <v>136.89305101449034</v>
      </c>
      <c r="M133" s="24">
        <f t="shared" si="89"/>
        <v>138.53576762666421</v>
      </c>
      <c r="N133" s="24">
        <f t="shared" si="89"/>
        <v>140.19819683818417</v>
      </c>
      <c r="O133" s="24">
        <f t="shared" si="89"/>
        <v>141.88057520024239</v>
      </c>
      <c r="P133" s="24">
        <f t="shared" si="89"/>
        <v>143.5831421026453</v>
      </c>
      <c r="Q133" s="24">
        <f t="shared" si="89"/>
        <v>145.30613980787706</v>
      </c>
      <c r="R133" s="24">
        <f t="shared" si="89"/>
        <v>147.04981348557158</v>
      </c>
      <c r="S133" s="24">
        <f t="shared" si="89"/>
        <v>148.81441124739845</v>
      </c>
      <c r="T133" s="24">
        <f t="shared" si="89"/>
        <v>150.6001841823672</v>
      </c>
      <c r="U133" s="24">
        <f t="shared" si="89"/>
        <v>152.40738639255562</v>
      </c>
      <c r="V133" s="24">
        <f t="shared" si="89"/>
        <v>154.23627502926627</v>
      </c>
      <c r="W133" s="24">
        <f t="shared" si="89"/>
        <v>156.0871103296175</v>
      </c>
      <c r="X133" s="24">
        <f t="shared" si="89"/>
        <v>157.96015565357285</v>
      </c>
      <c r="Y133" s="24">
        <f t="shared" si="89"/>
        <v>159.8556775214158</v>
      </c>
      <c r="Z133" s="24">
        <f t="shared" si="89"/>
        <v>161.77394565167276</v>
      </c>
      <c r="AA133" s="24">
        <f t="shared" si="89"/>
        <v>163.71523299949283</v>
      </c>
    </row>
    <row r="134" spans="1:27" s="6" customFormat="1" x14ac:dyDescent="0.3">
      <c r="A134" s="30"/>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x14ac:dyDescent="0.3">
      <c r="A135" s="45" t="s">
        <v>43</v>
      </c>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row>
    <row r="136" spans="1:27" x14ac:dyDescent="0.3">
      <c r="C136" s="46" t="s">
        <v>181</v>
      </c>
    </row>
    <row r="137" spans="1:27" x14ac:dyDescent="0.3">
      <c r="A137" t="s">
        <v>40</v>
      </c>
      <c r="B137" s="156">
        <f>+'Inputs &amp; Summary'!E95</f>
        <v>38</v>
      </c>
    </row>
    <row r="138" spans="1:27" x14ac:dyDescent="0.3">
      <c r="A138" t="s">
        <v>41</v>
      </c>
      <c r="B138" s="6">
        <f>+'Inputs &amp; Summary'!E96</f>
        <v>135</v>
      </c>
      <c r="G138" s="90" t="s">
        <v>159</v>
      </c>
      <c r="H138" s="91"/>
      <c r="I138" s="91"/>
      <c r="J138" s="91"/>
      <c r="K138" s="91"/>
      <c r="L138" s="91"/>
      <c r="M138" s="91"/>
      <c r="N138" s="91"/>
      <c r="O138" s="91"/>
      <c r="P138" s="91"/>
      <c r="Q138" s="91"/>
      <c r="R138" s="91"/>
      <c r="S138" s="91"/>
      <c r="T138" s="91"/>
      <c r="U138" s="91"/>
      <c r="V138" s="92"/>
    </row>
    <row r="139" spans="1:27" x14ac:dyDescent="0.3">
      <c r="A139" t="s">
        <v>38</v>
      </c>
      <c r="B139" s="158">
        <f>'Inputs &amp; Summary'!O172</f>
        <v>0.04</v>
      </c>
      <c r="C139" s="30" t="s">
        <v>183</v>
      </c>
      <c r="D139" s="6"/>
      <c r="E139" s="6"/>
      <c r="F139" s="6"/>
      <c r="G139" s="6"/>
      <c r="H139" s="6"/>
      <c r="I139" s="6"/>
      <c r="J139" s="6"/>
      <c r="K139" s="6"/>
      <c r="L139" s="6"/>
    </row>
    <row r="140" spans="1:27" x14ac:dyDescent="0.3">
      <c r="A140" t="s">
        <v>39</v>
      </c>
      <c r="B140" s="160">
        <f>'Inputs &amp; Summary'!O148</f>
        <v>1.2E-2</v>
      </c>
      <c r="C140" s="1" t="s">
        <v>193</v>
      </c>
    </row>
    <row r="141" spans="1:27" x14ac:dyDescent="0.3">
      <c r="A141" s="3" t="s">
        <v>3</v>
      </c>
      <c r="B141">
        <v>0</v>
      </c>
      <c r="C141">
        <f>+B141+1</f>
        <v>1</v>
      </c>
      <c r="D141">
        <f t="shared" ref="D141:S142" si="90">+C141+1</f>
        <v>2</v>
      </c>
      <c r="E141">
        <f t="shared" si="90"/>
        <v>3</v>
      </c>
      <c r="F141">
        <f t="shared" si="90"/>
        <v>4</v>
      </c>
      <c r="G141">
        <f t="shared" si="90"/>
        <v>5</v>
      </c>
      <c r="H141">
        <f t="shared" si="90"/>
        <v>6</v>
      </c>
      <c r="I141">
        <f t="shared" si="90"/>
        <v>7</v>
      </c>
      <c r="J141">
        <f t="shared" si="90"/>
        <v>8</v>
      </c>
      <c r="K141">
        <f t="shared" si="90"/>
        <v>9</v>
      </c>
      <c r="L141">
        <f t="shared" si="90"/>
        <v>10</v>
      </c>
      <c r="M141">
        <f t="shared" si="90"/>
        <v>11</v>
      </c>
      <c r="N141">
        <f t="shared" si="90"/>
        <v>12</v>
      </c>
      <c r="O141">
        <f t="shared" si="90"/>
        <v>13</v>
      </c>
      <c r="P141">
        <f t="shared" si="90"/>
        <v>14</v>
      </c>
      <c r="Q141">
        <f t="shared" si="90"/>
        <v>15</v>
      </c>
      <c r="R141">
        <f t="shared" si="90"/>
        <v>16</v>
      </c>
      <c r="S141">
        <f t="shared" si="90"/>
        <v>17</v>
      </c>
      <c r="T141">
        <f t="shared" ref="T141:AA142" si="91">+S141+1</f>
        <v>18</v>
      </c>
      <c r="U141">
        <f t="shared" si="91"/>
        <v>19</v>
      </c>
      <c r="V141">
        <f t="shared" si="91"/>
        <v>20</v>
      </c>
      <c r="W141">
        <f t="shared" si="91"/>
        <v>21</v>
      </c>
      <c r="X141">
        <f t="shared" si="91"/>
        <v>22</v>
      </c>
      <c r="Y141">
        <f t="shared" si="91"/>
        <v>23</v>
      </c>
      <c r="Z141">
        <f t="shared" si="91"/>
        <v>24</v>
      </c>
      <c r="AA141">
        <f t="shared" si="91"/>
        <v>25</v>
      </c>
    </row>
    <row r="142" spans="1:27" x14ac:dyDescent="0.3">
      <c r="A142" s="18" t="s">
        <v>400</v>
      </c>
      <c r="B142" s="19">
        <v>2021</v>
      </c>
      <c r="C142" s="19">
        <f>+B142+1</f>
        <v>2022</v>
      </c>
      <c r="D142" s="19">
        <f t="shared" si="90"/>
        <v>2023</v>
      </c>
      <c r="E142" s="19">
        <f t="shared" si="90"/>
        <v>2024</v>
      </c>
      <c r="F142" s="19">
        <f t="shared" si="90"/>
        <v>2025</v>
      </c>
      <c r="G142" s="19">
        <f t="shared" si="90"/>
        <v>2026</v>
      </c>
      <c r="H142" s="19">
        <f t="shared" si="90"/>
        <v>2027</v>
      </c>
      <c r="I142" s="19">
        <f t="shared" si="90"/>
        <v>2028</v>
      </c>
      <c r="J142" s="19">
        <f t="shared" si="90"/>
        <v>2029</v>
      </c>
      <c r="K142" s="19">
        <f t="shared" si="90"/>
        <v>2030</v>
      </c>
      <c r="L142" s="19">
        <f t="shared" si="90"/>
        <v>2031</v>
      </c>
      <c r="M142" s="19">
        <f t="shared" si="90"/>
        <v>2032</v>
      </c>
      <c r="N142" s="19">
        <f t="shared" si="90"/>
        <v>2033</v>
      </c>
      <c r="O142" s="19">
        <f t="shared" si="90"/>
        <v>2034</v>
      </c>
      <c r="P142" s="19">
        <f t="shared" si="90"/>
        <v>2035</v>
      </c>
      <c r="Q142" s="19">
        <f t="shared" si="90"/>
        <v>2036</v>
      </c>
      <c r="R142" s="19">
        <f t="shared" si="90"/>
        <v>2037</v>
      </c>
      <c r="S142" s="19">
        <f t="shared" si="90"/>
        <v>2038</v>
      </c>
      <c r="T142" s="19">
        <f t="shared" si="91"/>
        <v>2039</v>
      </c>
      <c r="U142" s="19">
        <f t="shared" si="91"/>
        <v>2040</v>
      </c>
      <c r="V142" s="19">
        <f t="shared" si="91"/>
        <v>2041</v>
      </c>
      <c r="W142" s="19">
        <f t="shared" si="91"/>
        <v>2042</v>
      </c>
      <c r="X142" s="19">
        <f t="shared" si="91"/>
        <v>2043</v>
      </c>
      <c r="Y142" s="19">
        <f t="shared" si="91"/>
        <v>2044</v>
      </c>
      <c r="Z142" s="19">
        <f t="shared" si="91"/>
        <v>2045</v>
      </c>
      <c r="AA142" s="19">
        <f t="shared" si="91"/>
        <v>2046</v>
      </c>
    </row>
    <row r="143" spans="1:27" s="6" customFormat="1" x14ac:dyDescent="0.3">
      <c r="A143" s="30" t="s">
        <v>59</v>
      </c>
      <c r="B143" s="24">
        <f>+(B137*B138*B139)</f>
        <v>205.20000000000002</v>
      </c>
      <c r="C143" s="24">
        <f>+$B$143*(1+$B$140)^C141</f>
        <v>207.66240000000002</v>
      </c>
      <c r="D143" s="24">
        <f t="shared" ref="D143:AA143" si="92">+$B$143*(1+$B$140)^D141</f>
        <v>210.15434880000001</v>
      </c>
      <c r="E143" s="24">
        <f t="shared" si="92"/>
        <v>212.67620098560002</v>
      </c>
      <c r="F143" s="24">
        <f t="shared" si="92"/>
        <v>215.22831539742722</v>
      </c>
      <c r="G143" s="24">
        <f t="shared" si="92"/>
        <v>217.81105518219633</v>
      </c>
      <c r="H143" s="24">
        <f t="shared" si="92"/>
        <v>220.42478784438265</v>
      </c>
      <c r="I143" s="24">
        <f t="shared" si="92"/>
        <v>223.06988529851529</v>
      </c>
      <c r="J143" s="24">
        <f t="shared" si="92"/>
        <v>225.74672392209746</v>
      </c>
      <c r="K143" s="24">
        <f t="shared" si="92"/>
        <v>228.45568460916263</v>
      </c>
      <c r="L143" s="24">
        <f t="shared" si="92"/>
        <v>231.1971528244726</v>
      </c>
      <c r="M143" s="24">
        <f t="shared" si="92"/>
        <v>233.97151865836625</v>
      </c>
      <c r="N143" s="24">
        <f t="shared" si="92"/>
        <v>236.77917688226663</v>
      </c>
      <c r="O143" s="24">
        <f t="shared" si="92"/>
        <v>239.62052700485381</v>
      </c>
      <c r="P143" s="24">
        <f t="shared" si="92"/>
        <v>242.49597332891207</v>
      </c>
      <c r="Q143" s="24">
        <f t="shared" si="92"/>
        <v>245.40592500885907</v>
      </c>
      <c r="R143" s="24">
        <f t="shared" si="92"/>
        <v>248.35079610896537</v>
      </c>
      <c r="S143" s="24">
        <f t="shared" si="92"/>
        <v>251.33100566227296</v>
      </c>
      <c r="T143" s="24">
        <f t="shared" si="92"/>
        <v>254.3469777302202</v>
      </c>
      <c r="U143" s="24">
        <f t="shared" si="92"/>
        <v>257.39914146298287</v>
      </c>
      <c r="V143" s="24">
        <f t="shared" si="92"/>
        <v>260.48793116053861</v>
      </c>
      <c r="W143" s="24">
        <f t="shared" si="92"/>
        <v>263.61378633446515</v>
      </c>
      <c r="X143" s="24">
        <f t="shared" si="92"/>
        <v>266.77715177047867</v>
      </c>
      <c r="Y143" s="24">
        <f t="shared" si="92"/>
        <v>269.97847759172447</v>
      </c>
      <c r="Z143" s="24">
        <f t="shared" si="92"/>
        <v>273.21821932282512</v>
      </c>
      <c r="AA143" s="24">
        <f t="shared" si="92"/>
        <v>276.496837954699</v>
      </c>
    </row>
    <row r="144" spans="1:27"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x14ac:dyDescent="0.3">
      <c r="A145" s="17" t="s">
        <v>173</v>
      </c>
      <c r="B145" s="17">
        <f t="shared" ref="B145:AA145" si="93">+B132</f>
        <v>2021</v>
      </c>
      <c r="C145" s="17">
        <f t="shared" si="93"/>
        <v>2022</v>
      </c>
      <c r="D145" s="17">
        <f t="shared" si="93"/>
        <v>2023</v>
      </c>
      <c r="E145" s="17">
        <f t="shared" si="93"/>
        <v>2024</v>
      </c>
      <c r="F145" s="17">
        <f t="shared" si="93"/>
        <v>2025</v>
      </c>
      <c r="G145" s="17">
        <f t="shared" si="93"/>
        <v>2026</v>
      </c>
      <c r="H145" s="17">
        <f t="shared" si="93"/>
        <v>2027</v>
      </c>
      <c r="I145" s="17">
        <f t="shared" si="93"/>
        <v>2028</v>
      </c>
      <c r="J145" s="17">
        <f t="shared" si="93"/>
        <v>2029</v>
      </c>
      <c r="K145" s="17">
        <f t="shared" si="93"/>
        <v>2030</v>
      </c>
      <c r="L145" s="17">
        <f t="shared" si="93"/>
        <v>2031</v>
      </c>
      <c r="M145" s="17">
        <f t="shared" si="93"/>
        <v>2032</v>
      </c>
      <c r="N145" s="17">
        <f t="shared" si="93"/>
        <v>2033</v>
      </c>
      <c r="O145" s="17">
        <f t="shared" si="93"/>
        <v>2034</v>
      </c>
      <c r="P145" s="17">
        <f t="shared" si="93"/>
        <v>2035</v>
      </c>
      <c r="Q145" s="17">
        <f t="shared" si="93"/>
        <v>2036</v>
      </c>
      <c r="R145" s="17">
        <f t="shared" si="93"/>
        <v>2037</v>
      </c>
      <c r="S145" s="17">
        <f t="shared" si="93"/>
        <v>2038</v>
      </c>
      <c r="T145" s="17">
        <f t="shared" si="93"/>
        <v>2039</v>
      </c>
      <c r="U145" s="17">
        <f t="shared" si="93"/>
        <v>2040</v>
      </c>
      <c r="V145" s="17">
        <f t="shared" si="93"/>
        <v>2041</v>
      </c>
      <c r="W145" s="17">
        <f t="shared" si="93"/>
        <v>2042</v>
      </c>
      <c r="X145" s="17">
        <f t="shared" si="93"/>
        <v>2043</v>
      </c>
      <c r="Y145" s="17">
        <f t="shared" si="93"/>
        <v>2044</v>
      </c>
      <c r="Z145" s="17">
        <f t="shared" si="93"/>
        <v>2045</v>
      </c>
      <c r="AA145" s="17">
        <f t="shared" si="93"/>
        <v>2046</v>
      </c>
    </row>
    <row r="146" spans="1:27" s="1" customFormat="1" ht="15" thickBot="1" x14ac:dyDescent="0.35">
      <c r="A146" s="38" t="s">
        <v>197</v>
      </c>
      <c r="B146" s="39">
        <f t="shared" ref="B146:AA146" si="94">+B143+B133</f>
        <v>326.70000000000005</v>
      </c>
      <c r="C146" s="39">
        <f t="shared" si="94"/>
        <v>330.62040000000002</v>
      </c>
      <c r="D146" s="39">
        <f t="shared" si="94"/>
        <v>334.58784479999997</v>
      </c>
      <c r="E146" s="39">
        <f t="shared" si="94"/>
        <v>338.6028989376</v>
      </c>
      <c r="F146" s="39">
        <f t="shared" si="94"/>
        <v>342.66613372485119</v>
      </c>
      <c r="G146" s="39">
        <f t="shared" si="94"/>
        <v>346.77812732954942</v>
      </c>
      <c r="H146" s="39">
        <f t="shared" si="94"/>
        <v>350.93946485750394</v>
      </c>
      <c r="I146" s="39">
        <f t="shared" si="94"/>
        <v>355.1507384357941</v>
      </c>
      <c r="J146" s="39">
        <f t="shared" si="94"/>
        <v>359.41254729702359</v>
      </c>
      <c r="K146" s="39">
        <f t="shared" si="94"/>
        <v>363.72549786458785</v>
      </c>
      <c r="L146" s="39">
        <f t="shared" si="94"/>
        <v>368.09020383896291</v>
      </c>
      <c r="M146" s="39">
        <f t="shared" si="94"/>
        <v>372.50728628503043</v>
      </c>
      <c r="N146" s="39">
        <f t="shared" si="94"/>
        <v>376.97737372045083</v>
      </c>
      <c r="O146" s="39">
        <f t="shared" si="94"/>
        <v>381.50110220509623</v>
      </c>
      <c r="P146" s="39">
        <f t="shared" si="94"/>
        <v>386.0791154315574</v>
      </c>
      <c r="Q146" s="39">
        <f t="shared" si="94"/>
        <v>390.71206481673613</v>
      </c>
      <c r="R146" s="39">
        <f t="shared" si="94"/>
        <v>395.40060959453695</v>
      </c>
      <c r="S146" s="39">
        <f t="shared" si="94"/>
        <v>400.14541690967144</v>
      </c>
      <c r="T146" s="39">
        <f t="shared" si="94"/>
        <v>404.94716191258738</v>
      </c>
      <c r="U146" s="39">
        <f t="shared" si="94"/>
        <v>409.80652785553849</v>
      </c>
      <c r="V146" s="39">
        <f t="shared" si="94"/>
        <v>414.72420618980487</v>
      </c>
      <c r="W146" s="39">
        <f t="shared" si="94"/>
        <v>419.70089666408262</v>
      </c>
      <c r="X146" s="39">
        <f t="shared" si="94"/>
        <v>424.73730742405155</v>
      </c>
      <c r="Y146" s="39">
        <f t="shared" si="94"/>
        <v>429.83415511314024</v>
      </c>
      <c r="Z146" s="39">
        <f t="shared" si="94"/>
        <v>434.99216497449788</v>
      </c>
      <c r="AA146" s="39">
        <f t="shared" si="94"/>
        <v>440.21207095419186</v>
      </c>
    </row>
    <row r="148" spans="1:27" ht="18" x14ac:dyDescent="0.35">
      <c r="A148" s="109" t="s">
        <v>199</v>
      </c>
    </row>
    <row r="149" spans="1:27" x14ac:dyDescent="0.3">
      <c r="A149" s="45" t="s">
        <v>49</v>
      </c>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row>
    <row r="150" spans="1:27" x14ac:dyDescent="0.3">
      <c r="A150" s="111"/>
      <c r="B150" s="28"/>
      <c r="C150" s="46" t="s">
        <v>181</v>
      </c>
      <c r="D150" s="28"/>
      <c r="E150" s="28"/>
      <c r="F150" s="28"/>
      <c r="G150" s="82" t="s">
        <v>170</v>
      </c>
      <c r="H150" s="83"/>
      <c r="I150" s="83"/>
      <c r="J150" s="83"/>
      <c r="K150" s="83"/>
      <c r="L150" s="83"/>
      <c r="M150" s="83"/>
      <c r="N150" s="83"/>
      <c r="O150" s="83"/>
      <c r="P150" s="84"/>
      <c r="Q150" s="28"/>
      <c r="R150" s="28"/>
      <c r="S150" s="28"/>
      <c r="T150" s="28"/>
      <c r="U150" s="28"/>
      <c r="V150" s="28"/>
      <c r="W150" s="28"/>
      <c r="X150" s="28"/>
      <c r="Y150" s="28"/>
      <c r="Z150" s="28"/>
      <c r="AA150" s="28"/>
    </row>
    <row r="151" spans="1:27" x14ac:dyDescent="0.3">
      <c r="A151" s="111"/>
      <c r="B151" s="28"/>
      <c r="C151" s="30" t="s">
        <v>183</v>
      </c>
      <c r="D151" s="28"/>
      <c r="E151" s="28"/>
      <c r="F151" s="28"/>
      <c r="G151" s="85" t="s">
        <v>443</v>
      </c>
      <c r="H151" s="72"/>
      <c r="I151" s="72"/>
      <c r="J151" s="72"/>
      <c r="K151" s="72"/>
      <c r="L151" s="72"/>
      <c r="M151" s="72"/>
      <c r="N151" s="72"/>
      <c r="O151" s="72"/>
      <c r="P151" s="86"/>
      <c r="Q151" s="28"/>
      <c r="R151" s="28"/>
      <c r="S151" s="28"/>
      <c r="T151" s="28"/>
      <c r="U151" s="28"/>
      <c r="V151" s="28"/>
      <c r="W151" s="28"/>
      <c r="X151" s="28"/>
      <c r="Y151" s="28"/>
      <c r="Z151" s="28"/>
      <c r="AA151" s="28"/>
    </row>
    <row r="152" spans="1:27" x14ac:dyDescent="0.3">
      <c r="A152" s="111"/>
      <c r="B152" s="28"/>
      <c r="C152" s="30"/>
      <c r="D152" s="28"/>
      <c r="E152" s="28"/>
      <c r="F152" s="28"/>
      <c r="G152" s="43"/>
      <c r="H152" s="43"/>
      <c r="I152" s="43"/>
      <c r="J152" s="43"/>
      <c r="K152" s="43"/>
      <c r="L152" s="43"/>
      <c r="M152" s="43"/>
      <c r="N152" s="43"/>
      <c r="O152" s="43"/>
      <c r="P152" s="43"/>
      <c r="Q152" s="28"/>
      <c r="R152" s="28"/>
      <c r="S152" s="28"/>
      <c r="T152" s="28"/>
      <c r="U152" s="28"/>
      <c r="V152" s="28"/>
      <c r="W152" s="28"/>
      <c r="X152" s="28"/>
      <c r="Y152" s="28"/>
      <c r="Z152" s="28"/>
      <c r="AA152" s="28"/>
    </row>
    <row r="153" spans="1:27" x14ac:dyDescent="0.3">
      <c r="A153" s="3" t="s">
        <v>3</v>
      </c>
      <c r="B153">
        <v>0</v>
      </c>
      <c r="C153">
        <f>+B153+1</f>
        <v>1</v>
      </c>
      <c r="D153">
        <f t="shared" ref="D153:S154" si="95">+C153+1</f>
        <v>2</v>
      </c>
      <c r="E153">
        <f t="shared" si="95"/>
        <v>3</v>
      </c>
      <c r="F153">
        <f t="shared" si="95"/>
        <v>4</v>
      </c>
      <c r="G153">
        <f t="shared" si="95"/>
        <v>5</v>
      </c>
      <c r="H153">
        <f t="shared" si="95"/>
        <v>6</v>
      </c>
      <c r="I153">
        <f t="shared" si="95"/>
        <v>7</v>
      </c>
      <c r="J153">
        <f t="shared" si="95"/>
        <v>8</v>
      </c>
      <c r="K153">
        <f t="shared" si="95"/>
        <v>9</v>
      </c>
      <c r="L153">
        <f t="shared" si="95"/>
        <v>10</v>
      </c>
      <c r="M153">
        <f t="shared" si="95"/>
        <v>11</v>
      </c>
      <c r="N153">
        <f t="shared" si="95"/>
        <v>12</v>
      </c>
      <c r="O153">
        <f t="shared" si="95"/>
        <v>13</v>
      </c>
      <c r="P153">
        <f t="shared" si="95"/>
        <v>14</v>
      </c>
      <c r="Q153">
        <f t="shared" si="95"/>
        <v>15</v>
      </c>
      <c r="R153">
        <f t="shared" si="95"/>
        <v>16</v>
      </c>
      <c r="S153">
        <f t="shared" si="95"/>
        <v>17</v>
      </c>
      <c r="T153">
        <f t="shared" ref="T153:AA154" si="96">+S153+1</f>
        <v>18</v>
      </c>
      <c r="U153">
        <f t="shared" si="96"/>
        <v>19</v>
      </c>
      <c r="V153">
        <f t="shared" si="96"/>
        <v>20</v>
      </c>
      <c r="W153">
        <f t="shared" si="96"/>
        <v>21</v>
      </c>
      <c r="X153">
        <f t="shared" si="96"/>
        <v>22</v>
      </c>
      <c r="Y153">
        <f t="shared" si="96"/>
        <v>23</v>
      </c>
      <c r="Z153">
        <f t="shared" si="96"/>
        <v>24</v>
      </c>
      <c r="AA153">
        <f t="shared" si="96"/>
        <v>25</v>
      </c>
    </row>
    <row r="154" spans="1:27" x14ac:dyDescent="0.3">
      <c r="A154" s="18" t="s">
        <v>400</v>
      </c>
      <c r="B154" s="19">
        <v>2021</v>
      </c>
      <c r="C154" s="19">
        <f>+B154+1</f>
        <v>2022</v>
      </c>
      <c r="D154" s="19">
        <f t="shared" si="95"/>
        <v>2023</v>
      </c>
      <c r="E154" s="19">
        <f t="shared" si="95"/>
        <v>2024</v>
      </c>
      <c r="F154" s="19">
        <f t="shared" si="95"/>
        <v>2025</v>
      </c>
      <c r="G154" s="19">
        <f t="shared" si="95"/>
        <v>2026</v>
      </c>
      <c r="H154" s="19">
        <f t="shared" si="95"/>
        <v>2027</v>
      </c>
      <c r="I154" s="19">
        <f t="shared" si="95"/>
        <v>2028</v>
      </c>
      <c r="J154" s="19">
        <f t="shared" si="95"/>
        <v>2029</v>
      </c>
      <c r="K154" s="19">
        <f t="shared" si="95"/>
        <v>2030</v>
      </c>
      <c r="L154" s="19">
        <f t="shared" si="95"/>
        <v>2031</v>
      </c>
      <c r="M154" s="19">
        <f t="shared" si="95"/>
        <v>2032</v>
      </c>
      <c r="N154" s="19">
        <f t="shared" si="95"/>
        <v>2033</v>
      </c>
      <c r="O154" s="19">
        <f t="shared" si="95"/>
        <v>2034</v>
      </c>
      <c r="P154" s="19">
        <f t="shared" si="95"/>
        <v>2035</v>
      </c>
      <c r="Q154" s="19">
        <f t="shared" si="95"/>
        <v>2036</v>
      </c>
      <c r="R154" s="19">
        <f t="shared" si="95"/>
        <v>2037</v>
      </c>
      <c r="S154" s="19">
        <f t="shared" si="95"/>
        <v>2038</v>
      </c>
      <c r="T154" s="19">
        <f t="shared" si="96"/>
        <v>2039</v>
      </c>
      <c r="U154" s="19">
        <f t="shared" si="96"/>
        <v>2040</v>
      </c>
      <c r="V154" s="19">
        <f t="shared" si="96"/>
        <v>2041</v>
      </c>
      <c r="W154" s="19">
        <f t="shared" si="96"/>
        <v>2042</v>
      </c>
      <c r="X154" s="19">
        <f t="shared" si="96"/>
        <v>2043</v>
      </c>
      <c r="Y154" s="19">
        <f t="shared" si="96"/>
        <v>2044</v>
      </c>
      <c r="Z154" s="19">
        <f t="shared" si="96"/>
        <v>2045</v>
      </c>
      <c r="AA154" s="19">
        <f t="shared" si="96"/>
        <v>2046</v>
      </c>
    </row>
    <row r="155" spans="1:27" ht="15" thickBot="1" x14ac:dyDescent="0.35">
      <c r="A155" s="22" t="s">
        <v>169</v>
      </c>
      <c r="B155" s="112">
        <f>'M. Opt0'!B176</f>
        <v>283.42</v>
      </c>
      <c r="C155" s="112">
        <f>'M. Opt0'!C176</f>
        <v>283.42</v>
      </c>
      <c r="D155" s="112">
        <f>'M. Opt0'!D176</f>
        <v>283.42</v>
      </c>
      <c r="E155" s="112">
        <f>'M. Opt0'!E176</f>
        <v>283.42</v>
      </c>
      <c r="F155" s="112">
        <f>'M. Opt0'!F176</f>
        <v>283.42</v>
      </c>
      <c r="G155" s="112">
        <f>'M. Opt0'!G173</f>
        <v>141.71</v>
      </c>
      <c r="H155" s="112">
        <f>'M. Opt0'!H173</f>
        <v>141.71</v>
      </c>
      <c r="I155" s="112">
        <f>'M. Opt0'!I173</f>
        <v>141.71</v>
      </c>
      <c r="J155" s="112">
        <f>'M. Opt0'!J173</f>
        <v>141.71</v>
      </c>
      <c r="K155" s="112">
        <f>'M. Opt0'!K173</f>
        <v>141.71</v>
      </c>
      <c r="L155" s="112">
        <f>'M. Opt0'!L173</f>
        <v>141.71</v>
      </c>
      <c r="M155" s="112">
        <f>'M. Opt0'!M173</f>
        <v>141.71</v>
      </c>
      <c r="N155" s="112">
        <f>'M. Opt0'!N173</f>
        <v>141.71</v>
      </c>
      <c r="O155" s="112">
        <f>'M. Opt0'!O173</f>
        <v>141.71</v>
      </c>
      <c r="P155" s="112">
        <f>'M. Opt0'!P173</f>
        <v>141.71</v>
      </c>
      <c r="Q155" s="112">
        <f>'M. Opt0'!Q173</f>
        <v>141.71</v>
      </c>
      <c r="R155" s="112">
        <f>'M. Opt0'!R173</f>
        <v>141.71</v>
      </c>
      <c r="S155" s="112">
        <f>'M. Opt0'!S173</f>
        <v>141.71</v>
      </c>
      <c r="T155" s="112">
        <f>'M. Opt0'!T173</f>
        <v>141.71</v>
      </c>
      <c r="U155" s="112">
        <f>'M. Opt0'!U173</f>
        <v>141.71</v>
      </c>
      <c r="V155" s="112">
        <f>'M. Opt0'!V173</f>
        <v>141.71</v>
      </c>
      <c r="W155" s="112">
        <f>'M. Opt0'!W173</f>
        <v>141.71</v>
      </c>
      <c r="X155" s="112">
        <f>'M. Opt0'!X173</f>
        <v>141.71</v>
      </c>
      <c r="Y155" s="112">
        <f>'M. Opt0'!Y173</f>
        <v>141.71</v>
      </c>
      <c r="Z155" s="112">
        <f>'M. Opt0'!Z173</f>
        <v>141.71</v>
      </c>
      <c r="AA155" s="112">
        <f>'M. Opt0'!AA173</f>
        <v>141.71</v>
      </c>
    </row>
    <row r="156" spans="1:27" ht="15.75" customHeight="1" x14ac:dyDescent="0.3"/>
    <row r="157" spans="1:27"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x14ac:dyDescent="0.3">
      <c r="A158" s="17" t="s">
        <v>71</v>
      </c>
      <c r="B158" s="17">
        <f t="shared" ref="B158:AA158" si="97">+B154</f>
        <v>2021</v>
      </c>
      <c r="C158" s="17">
        <f t="shared" si="97"/>
        <v>2022</v>
      </c>
      <c r="D158" s="17">
        <f t="shared" si="97"/>
        <v>2023</v>
      </c>
      <c r="E158" s="17">
        <f t="shared" si="97"/>
        <v>2024</v>
      </c>
      <c r="F158" s="17">
        <f t="shared" si="97"/>
        <v>2025</v>
      </c>
      <c r="G158" s="17">
        <f t="shared" si="97"/>
        <v>2026</v>
      </c>
      <c r="H158" s="17">
        <f t="shared" si="97"/>
        <v>2027</v>
      </c>
      <c r="I158" s="17">
        <f t="shared" si="97"/>
        <v>2028</v>
      </c>
      <c r="J158" s="17">
        <f t="shared" si="97"/>
        <v>2029</v>
      </c>
      <c r="K158" s="17">
        <f t="shared" si="97"/>
        <v>2030</v>
      </c>
      <c r="L158" s="17">
        <f t="shared" si="97"/>
        <v>2031</v>
      </c>
      <c r="M158" s="17">
        <f t="shared" si="97"/>
        <v>2032</v>
      </c>
      <c r="N158" s="17">
        <f t="shared" si="97"/>
        <v>2033</v>
      </c>
      <c r="O158" s="17">
        <f t="shared" si="97"/>
        <v>2034</v>
      </c>
      <c r="P158" s="17">
        <f t="shared" si="97"/>
        <v>2035</v>
      </c>
      <c r="Q158" s="17">
        <f t="shared" si="97"/>
        <v>2036</v>
      </c>
      <c r="R158" s="17">
        <f t="shared" si="97"/>
        <v>2037</v>
      </c>
      <c r="S158" s="17">
        <f t="shared" si="97"/>
        <v>2038</v>
      </c>
      <c r="T158" s="17">
        <f t="shared" si="97"/>
        <v>2039</v>
      </c>
      <c r="U158" s="17">
        <f t="shared" si="97"/>
        <v>2040</v>
      </c>
      <c r="V158" s="17">
        <f t="shared" si="97"/>
        <v>2041</v>
      </c>
      <c r="W158" s="17">
        <f t="shared" si="97"/>
        <v>2042</v>
      </c>
      <c r="X158" s="17">
        <f t="shared" si="97"/>
        <v>2043</v>
      </c>
      <c r="Y158" s="17">
        <f t="shared" si="97"/>
        <v>2044</v>
      </c>
      <c r="Z158" s="17">
        <f t="shared" si="97"/>
        <v>2045</v>
      </c>
      <c r="AA158" s="17">
        <f t="shared" si="97"/>
        <v>2046</v>
      </c>
    </row>
    <row r="159" spans="1:27" s="1" customFormat="1" ht="15" thickBot="1" x14ac:dyDescent="0.35">
      <c r="A159" s="38" t="s">
        <v>197</v>
      </c>
      <c r="B159" s="39">
        <f t="shared" ref="B159:E159" si="98">B155</f>
        <v>283.42</v>
      </c>
      <c r="C159" s="39">
        <f t="shared" si="98"/>
        <v>283.42</v>
      </c>
      <c r="D159" s="39">
        <f t="shared" si="98"/>
        <v>283.42</v>
      </c>
      <c r="E159" s="39">
        <f t="shared" si="98"/>
        <v>283.42</v>
      </c>
      <c r="F159" s="39">
        <f>F155</f>
        <v>283.42</v>
      </c>
      <c r="G159" s="39">
        <f t="shared" ref="G159:AA159" si="99">G155</f>
        <v>141.71</v>
      </c>
      <c r="H159" s="39">
        <f t="shared" si="99"/>
        <v>141.71</v>
      </c>
      <c r="I159" s="39">
        <f t="shared" si="99"/>
        <v>141.71</v>
      </c>
      <c r="J159" s="39">
        <f t="shared" si="99"/>
        <v>141.71</v>
      </c>
      <c r="K159" s="39">
        <f t="shared" si="99"/>
        <v>141.71</v>
      </c>
      <c r="L159" s="39">
        <f t="shared" si="99"/>
        <v>141.71</v>
      </c>
      <c r="M159" s="39">
        <f t="shared" si="99"/>
        <v>141.71</v>
      </c>
      <c r="N159" s="39">
        <f t="shared" si="99"/>
        <v>141.71</v>
      </c>
      <c r="O159" s="39">
        <f t="shared" si="99"/>
        <v>141.71</v>
      </c>
      <c r="P159" s="39">
        <f t="shared" si="99"/>
        <v>141.71</v>
      </c>
      <c r="Q159" s="39">
        <f t="shared" si="99"/>
        <v>141.71</v>
      </c>
      <c r="R159" s="39">
        <f t="shared" si="99"/>
        <v>141.71</v>
      </c>
      <c r="S159" s="39">
        <f t="shared" si="99"/>
        <v>141.71</v>
      </c>
      <c r="T159" s="39">
        <f t="shared" si="99"/>
        <v>141.71</v>
      </c>
      <c r="U159" s="39">
        <f t="shared" si="99"/>
        <v>141.71</v>
      </c>
      <c r="V159" s="39">
        <f t="shared" si="99"/>
        <v>141.71</v>
      </c>
      <c r="W159" s="39">
        <f t="shared" si="99"/>
        <v>141.71</v>
      </c>
      <c r="X159" s="39">
        <f t="shared" si="99"/>
        <v>141.71</v>
      </c>
      <c r="Y159" s="39">
        <f t="shared" si="99"/>
        <v>141.71</v>
      </c>
      <c r="Z159" s="39">
        <f t="shared" si="99"/>
        <v>141.71</v>
      </c>
      <c r="AA159" s="39">
        <f t="shared" si="99"/>
        <v>141.71</v>
      </c>
    </row>
    <row r="161" spans="1:27" ht="18" x14ac:dyDescent="0.35">
      <c r="A161" s="109" t="s">
        <v>200</v>
      </c>
    </row>
    <row r="162" spans="1:27" x14ac:dyDescent="0.3">
      <c r="A162" s="45" t="s">
        <v>67</v>
      </c>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row>
    <row r="163" spans="1:27" x14ac:dyDescent="0.3">
      <c r="A163" s="111"/>
      <c r="B163" s="111"/>
      <c r="C163" s="46" t="s">
        <v>181</v>
      </c>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row>
    <row r="164" spans="1:27" x14ac:dyDescent="0.3">
      <c r="A164" s="111"/>
      <c r="B164" s="111"/>
      <c r="C164" s="30" t="s">
        <v>196</v>
      </c>
      <c r="D164" s="111"/>
      <c r="E164" s="111"/>
      <c r="F164" s="111"/>
      <c r="G164" s="82" t="s">
        <v>442</v>
      </c>
      <c r="H164" s="83"/>
      <c r="I164" s="83"/>
      <c r="J164" s="83"/>
      <c r="K164" s="83"/>
      <c r="L164" s="83"/>
      <c r="M164" s="83"/>
      <c r="N164" s="83"/>
      <c r="O164" s="83"/>
      <c r="P164" s="83"/>
      <c r="Q164" s="83"/>
      <c r="R164" s="83"/>
      <c r="S164" s="83"/>
      <c r="T164" s="83"/>
      <c r="U164" s="83"/>
      <c r="V164" s="83"/>
      <c r="W164" s="113"/>
      <c r="X164" s="111"/>
      <c r="Y164" s="111"/>
      <c r="Z164" s="111"/>
      <c r="AA164" s="111"/>
    </row>
    <row r="165" spans="1:27" x14ac:dyDescent="0.3">
      <c r="A165" s="111"/>
      <c r="B165" s="111"/>
      <c r="C165" s="111"/>
      <c r="D165" s="111"/>
      <c r="F165" s="111"/>
      <c r="G165" s="85" t="s">
        <v>198</v>
      </c>
      <c r="H165" s="72"/>
      <c r="I165" s="72"/>
      <c r="J165" s="72"/>
      <c r="K165" s="72"/>
      <c r="L165" s="72"/>
      <c r="M165" s="72"/>
      <c r="N165" s="72"/>
      <c r="O165" s="72"/>
      <c r="P165" s="72"/>
      <c r="Q165" s="72"/>
      <c r="R165" s="72"/>
      <c r="S165" s="72"/>
      <c r="T165" s="72"/>
      <c r="U165" s="72"/>
      <c r="V165" s="72"/>
      <c r="W165" s="114"/>
      <c r="X165" s="111"/>
      <c r="Y165" s="111"/>
      <c r="Z165" s="111"/>
      <c r="AA165" s="111"/>
    </row>
    <row r="166" spans="1:27" x14ac:dyDescent="0.3">
      <c r="A166" s="111"/>
      <c r="B166" s="111"/>
      <c r="C166" s="111"/>
      <c r="D166" s="111"/>
      <c r="F166" s="111"/>
      <c r="Y166" s="111"/>
      <c r="Z166" s="111"/>
      <c r="AA166" s="111"/>
    </row>
    <row r="167" spans="1:27" x14ac:dyDescent="0.3">
      <c r="A167" s="18" t="s">
        <v>400</v>
      </c>
      <c r="B167" s="19">
        <v>2021</v>
      </c>
      <c r="C167" s="19">
        <f>+B167+1</f>
        <v>2022</v>
      </c>
      <c r="D167" s="19">
        <f t="shared" ref="D167:S167" si="100">+C167+1</f>
        <v>2023</v>
      </c>
      <c r="E167" s="19">
        <f t="shared" si="100"/>
        <v>2024</v>
      </c>
      <c r="F167" s="19">
        <f t="shared" si="100"/>
        <v>2025</v>
      </c>
      <c r="G167" s="19">
        <f t="shared" si="100"/>
        <v>2026</v>
      </c>
      <c r="H167" s="19">
        <f t="shared" si="100"/>
        <v>2027</v>
      </c>
      <c r="I167" s="19">
        <f t="shared" si="100"/>
        <v>2028</v>
      </c>
      <c r="J167" s="19">
        <f t="shared" si="100"/>
        <v>2029</v>
      </c>
      <c r="K167" s="19">
        <f t="shared" si="100"/>
        <v>2030</v>
      </c>
      <c r="L167" s="19">
        <f t="shared" si="100"/>
        <v>2031</v>
      </c>
      <c r="M167" s="19">
        <f t="shared" si="100"/>
        <v>2032</v>
      </c>
      <c r="N167" s="19">
        <f t="shared" si="100"/>
        <v>2033</v>
      </c>
      <c r="O167" s="19">
        <f t="shared" si="100"/>
        <v>2034</v>
      </c>
      <c r="P167" s="19">
        <f t="shared" si="100"/>
        <v>2035</v>
      </c>
      <c r="Q167" s="19">
        <f t="shared" si="100"/>
        <v>2036</v>
      </c>
      <c r="R167" s="19">
        <f t="shared" si="100"/>
        <v>2037</v>
      </c>
      <c r="S167" s="19">
        <f t="shared" si="100"/>
        <v>2038</v>
      </c>
      <c r="T167" s="19">
        <f t="shared" ref="T167:AA167" si="101">+S167+1</f>
        <v>2039</v>
      </c>
      <c r="U167" s="19">
        <f t="shared" si="101"/>
        <v>2040</v>
      </c>
      <c r="V167" s="19">
        <f t="shared" si="101"/>
        <v>2041</v>
      </c>
      <c r="W167" s="19">
        <f t="shared" si="101"/>
        <v>2042</v>
      </c>
      <c r="X167" s="19">
        <f t="shared" si="101"/>
        <v>2043</v>
      </c>
      <c r="Y167" s="19">
        <f t="shared" si="101"/>
        <v>2044</v>
      </c>
      <c r="Z167" s="19">
        <f t="shared" si="101"/>
        <v>2045</v>
      </c>
      <c r="AA167" s="19">
        <f t="shared" si="101"/>
        <v>2046</v>
      </c>
    </row>
    <row r="168" spans="1:27" s="6" customFormat="1" x14ac:dyDescent="0.3">
      <c r="A168" s="30" t="s">
        <v>57</v>
      </c>
      <c r="B168" s="24">
        <f>+'M. Opt0'!B187</f>
        <v>128.25</v>
      </c>
      <c r="C168" s="24">
        <f>+'M. Opt0'!C187</f>
        <v>129.78899999999999</v>
      </c>
      <c r="D168" s="24">
        <f>+'M. Opt0'!D187</f>
        <v>131.34646799999999</v>
      </c>
      <c r="E168" s="24">
        <f>+'M. Opt0'!E187</f>
        <v>132.922625616</v>
      </c>
      <c r="F168" s="24">
        <f>+'M. Opt0'!F187</f>
        <v>134.517697123392</v>
      </c>
      <c r="G168" s="24">
        <f>+'M. Opt0'!G187</f>
        <v>136.13190948887271</v>
      </c>
      <c r="H168" s="24">
        <f>+'M. Opt0'!H187</f>
        <v>137.76549240273914</v>
      </c>
      <c r="I168" s="24">
        <f>+'M. Opt0'!I187</f>
        <v>139.41867831157205</v>
      </c>
      <c r="J168" s="24">
        <f>+'M. Opt0'!J187</f>
        <v>141.09170245131091</v>
      </c>
      <c r="K168" s="24">
        <f>+'M. Opt0'!K187</f>
        <v>142.78480288072663</v>
      </c>
      <c r="L168" s="24">
        <f>+'M. Opt0'!L187</f>
        <v>144.49822051529534</v>
      </c>
      <c r="M168" s="24">
        <f>+'M. Opt0'!M187</f>
        <v>146.23219916147889</v>
      </c>
      <c r="N168" s="24">
        <f>+'M. Opt0'!N187</f>
        <v>147.98698555141664</v>
      </c>
      <c r="O168" s="24">
        <f>+'M. Opt0'!O187</f>
        <v>149.76282937803362</v>
      </c>
      <c r="P168" s="24">
        <f>+'M. Opt0'!P187</f>
        <v>151.55998333057002</v>
      </c>
      <c r="Q168" s="24">
        <f>+'M. Opt0'!Q187</f>
        <v>153.37870313053691</v>
      </c>
      <c r="R168" s="24">
        <f>+'M. Opt0'!R187</f>
        <v>155.21924756810333</v>
      </c>
      <c r="S168" s="24">
        <f>+'M. Opt0'!S187</f>
        <v>157.08187853892059</v>
      </c>
      <c r="T168" s="24">
        <f>+'M. Opt0'!T187</f>
        <v>158.96686108138761</v>
      </c>
      <c r="U168" s="24">
        <f>+'M. Opt0'!U187</f>
        <v>160.87446341436427</v>
      </c>
      <c r="V168" s="24">
        <f>+'M. Opt0'!V187</f>
        <v>162.80495697533664</v>
      </c>
      <c r="W168" s="24">
        <f>+'M. Opt0'!W187</f>
        <v>164.7586164590407</v>
      </c>
      <c r="X168" s="24">
        <f>+'M. Opt0'!X187</f>
        <v>166.73571985654914</v>
      </c>
      <c r="Y168" s="24">
        <f>+'M. Opt0'!Y187</f>
        <v>168.73654849482779</v>
      </c>
      <c r="Z168" s="24">
        <f>+'M. Opt0'!Z187</f>
        <v>170.76138707676569</v>
      </c>
      <c r="AA168" s="24">
        <f>+'M. Opt0'!AA187</f>
        <v>172.81052372168685</v>
      </c>
    </row>
    <row r="169" spans="1:27" s="6" customFormat="1" x14ac:dyDescent="0.3">
      <c r="A169" s="30"/>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x14ac:dyDescent="0.3">
      <c r="A170" s="17" t="s">
        <v>72</v>
      </c>
      <c r="B170" s="17">
        <f t="shared" ref="B170:AA170" si="102">+B158</f>
        <v>2021</v>
      </c>
      <c r="C170" s="17">
        <f t="shared" si="102"/>
        <v>2022</v>
      </c>
      <c r="D170" s="17">
        <f t="shared" si="102"/>
        <v>2023</v>
      </c>
      <c r="E170" s="17">
        <f t="shared" si="102"/>
        <v>2024</v>
      </c>
      <c r="F170" s="17">
        <f t="shared" si="102"/>
        <v>2025</v>
      </c>
      <c r="G170" s="17">
        <f t="shared" si="102"/>
        <v>2026</v>
      </c>
      <c r="H170" s="17">
        <f t="shared" si="102"/>
        <v>2027</v>
      </c>
      <c r="I170" s="17">
        <f t="shared" si="102"/>
        <v>2028</v>
      </c>
      <c r="J170" s="17">
        <f t="shared" si="102"/>
        <v>2029</v>
      </c>
      <c r="K170" s="17">
        <f t="shared" si="102"/>
        <v>2030</v>
      </c>
      <c r="L170" s="17">
        <f t="shared" si="102"/>
        <v>2031</v>
      </c>
      <c r="M170" s="17">
        <f t="shared" si="102"/>
        <v>2032</v>
      </c>
      <c r="N170" s="17">
        <f t="shared" si="102"/>
        <v>2033</v>
      </c>
      <c r="O170" s="17">
        <f t="shared" si="102"/>
        <v>2034</v>
      </c>
      <c r="P170" s="17">
        <f t="shared" si="102"/>
        <v>2035</v>
      </c>
      <c r="Q170" s="17">
        <f t="shared" si="102"/>
        <v>2036</v>
      </c>
      <c r="R170" s="17">
        <f t="shared" si="102"/>
        <v>2037</v>
      </c>
      <c r="S170" s="17">
        <f t="shared" si="102"/>
        <v>2038</v>
      </c>
      <c r="T170" s="17">
        <f t="shared" si="102"/>
        <v>2039</v>
      </c>
      <c r="U170" s="17">
        <f t="shared" si="102"/>
        <v>2040</v>
      </c>
      <c r="V170" s="17">
        <f t="shared" si="102"/>
        <v>2041</v>
      </c>
      <c r="W170" s="17">
        <f t="shared" si="102"/>
        <v>2042</v>
      </c>
      <c r="X170" s="17">
        <f t="shared" si="102"/>
        <v>2043</v>
      </c>
      <c r="Y170" s="17">
        <f t="shared" si="102"/>
        <v>2044</v>
      </c>
      <c r="Z170" s="17">
        <f t="shared" si="102"/>
        <v>2045</v>
      </c>
      <c r="AA170" s="17">
        <f t="shared" si="102"/>
        <v>2046</v>
      </c>
    </row>
    <row r="171" spans="1:27" s="1" customFormat="1" ht="15" thickBot="1" x14ac:dyDescent="0.35">
      <c r="A171" s="38" t="s">
        <v>197</v>
      </c>
      <c r="B171" s="39">
        <f>+B168</f>
        <v>128.25</v>
      </c>
      <c r="C171" s="39">
        <f t="shared" ref="C171:AA171" si="103">+C168</f>
        <v>129.78899999999999</v>
      </c>
      <c r="D171" s="39">
        <f t="shared" si="103"/>
        <v>131.34646799999999</v>
      </c>
      <c r="E171" s="39">
        <f t="shared" si="103"/>
        <v>132.922625616</v>
      </c>
      <c r="F171" s="39">
        <f t="shared" si="103"/>
        <v>134.517697123392</v>
      </c>
      <c r="G171" s="39">
        <f t="shared" si="103"/>
        <v>136.13190948887271</v>
      </c>
      <c r="H171" s="39">
        <f t="shared" si="103"/>
        <v>137.76549240273914</v>
      </c>
      <c r="I171" s="39">
        <f t="shared" si="103"/>
        <v>139.41867831157205</v>
      </c>
      <c r="J171" s="39">
        <f t="shared" si="103"/>
        <v>141.09170245131091</v>
      </c>
      <c r="K171" s="39">
        <f t="shared" si="103"/>
        <v>142.78480288072663</v>
      </c>
      <c r="L171" s="39">
        <f t="shared" si="103"/>
        <v>144.49822051529534</v>
      </c>
      <c r="M171" s="39">
        <f t="shared" si="103"/>
        <v>146.23219916147889</v>
      </c>
      <c r="N171" s="39">
        <f t="shared" si="103"/>
        <v>147.98698555141664</v>
      </c>
      <c r="O171" s="39">
        <f t="shared" si="103"/>
        <v>149.76282937803362</v>
      </c>
      <c r="P171" s="39">
        <f t="shared" si="103"/>
        <v>151.55998333057002</v>
      </c>
      <c r="Q171" s="39">
        <f t="shared" si="103"/>
        <v>153.37870313053691</v>
      </c>
      <c r="R171" s="39">
        <f t="shared" si="103"/>
        <v>155.21924756810333</v>
      </c>
      <c r="S171" s="39">
        <f t="shared" si="103"/>
        <v>157.08187853892059</v>
      </c>
      <c r="T171" s="39">
        <f t="shared" si="103"/>
        <v>158.96686108138761</v>
      </c>
      <c r="U171" s="39">
        <f t="shared" si="103"/>
        <v>160.87446341436427</v>
      </c>
      <c r="V171" s="39">
        <f t="shared" si="103"/>
        <v>162.80495697533664</v>
      </c>
      <c r="W171" s="39">
        <f t="shared" si="103"/>
        <v>164.7586164590407</v>
      </c>
      <c r="X171" s="39">
        <f t="shared" si="103"/>
        <v>166.73571985654914</v>
      </c>
      <c r="Y171" s="39">
        <f t="shared" si="103"/>
        <v>168.73654849482779</v>
      </c>
      <c r="Z171" s="39">
        <f t="shared" si="103"/>
        <v>170.76138707676569</v>
      </c>
      <c r="AA171" s="39">
        <f t="shared" si="103"/>
        <v>172.81052372168685</v>
      </c>
    </row>
  </sheetData>
  <pageMargins left="0.7" right="0.7" top="0.75" bottom="0.75" header="0.3" footer="0.3"/>
  <pageSetup paperSize="9" orientation="portrait" r:id="rId1"/>
  <ignoredErrors>
    <ignoredError sqref="B10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130E-A209-49E7-BD6C-A086A1AD2243}">
  <sheetPr>
    <tabColor rgb="FF7030A0"/>
  </sheetPr>
  <dimension ref="A1"/>
  <sheetViews>
    <sheetView showGridLines="0" showRowColHeaders="0" view="pageBreakPreview" zoomScale="80" zoomScaleNormal="100" zoomScaleSheetLayoutView="80" workbookViewId="0"/>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4E4DF-0C0F-4712-881C-571752473873}">
  <sheetPr>
    <tabColor rgb="FF7030A0"/>
  </sheetPr>
  <dimension ref="A1:AA48"/>
  <sheetViews>
    <sheetView showGridLines="0" topLeftCell="A13" zoomScale="80" zoomScaleNormal="80" workbookViewId="0">
      <selection activeCell="B42" sqref="B42"/>
    </sheetView>
  </sheetViews>
  <sheetFormatPr defaultColWidth="8.77734375" defaultRowHeight="14.4" x14ac:dyDescent="0.3"/>
  <cols>
    <col min="1" max="1" width="40.44140625" style="124" customWidth="1"/>
    <col min="2" max="2" width="11" style="124" customWidth="1"/>
    <col min="3" max="5" width="9.33203125" style="124" bestFit="1" customWidth="1"/>
    <col min="6" max="7" width="9.44140625" style="124" bestFit="1" customWidth="1"/>
    <col min="8" max="27" width="9.33203125" style="124" bestFit="1" customWidth="1"/>
    <col min="28" max="16384" width="8.77734375" style="124"/>
  </cols>
  <sheetData>
    <row r="1" spans="1:27" ht="21" x14ac:dyDescent="0.4">
      <c r="A1" s="2" t="s">
        <v>0</v>
      </c>
    </row>
    <row r="2" spans="1:27" x14ac:dyDescent="0.3">
      <c r="A2" s="10" t="str">
        <f>'Inputs &amp; Summary'!B5</f>
        <v>All values shown are costs, expressed in $000 as at June 2021 unless otherwise stated.</v>
      </c>
      <c r="G2" s="82" t="s">
        <v>131</v>
      </c>
      <c r="H2" s="83"/>
      <c r="I2" s="83"/>
      <c r="J2" s="83"/>
      <c r="K2" s="83"/>
      <c r="L2" s="83"/>
      <c r="M2" s="83"/>
      <c r="N2" s="83"/>
      <c r="O2" s="83"/>
      <c r="P2" s="83"/>
      <c r="Q2" s="83"/>
      <c r="R2" s="83"/>
      <c r="S2" s="83"/>
      <c r="T2" s="83"/>
      <c r="U2" s="84"/>
    </row>
    <row r="3" spans="1:27" x14ac:dyDescent="0.3">
      <c r="A3" s="4" t="s">
        <v>5</v>
      </c>
      <c r="B3" s="124" t="str">
        <f>'Inputs &amp; Summary'!B14</f>
        <v>Keysborough</v>
      </c>
      <c r="G3" s="85" t="s">
        <v>132</v>
      </c>
      <c r="H3" s="72"/>
      <c r="I3" s="72"/>
      <c r="J3" s="72"/>
      <c r="K3" s="72"/>
      <c r="L3" s="72"/>
      <c r="M3" s="72"/>
      <c r="N3" s="72"/>
      <c r="O3" s="72"/>
      <c r="P3" s="72"/>
      <c r="Q3" s="72"/>
      <c r="R3" s="72"/>
      <c r="S3" s="72"/>
      <c r="T3" s="72"/>
      <c r="U3" s="86"/>
    </row>
    <row r="4" spans="1:27" x14ac:dyDescent="0.3">
      <c r="A4" s="5" t="s">
        <v>6</v>
      </c>
      <c r="B4" s="172">
        <f>'Inputs &amp; Summary'!E21</f>
        <v>2.75E-2</v>
      </c>
      <c r="C4" s="124" t="s">
        <v>2</v>
      </c>
    </row>
    <row r="5" spans="1:27" x14ac:dyDescent="0.3">
      <c r="A5" s="3" t="s">
        <v>3</v>
      </c>
      <c r="B5" s="124">
        <v>0</v>
      </c>
      <c r="C5" s="124">
        <f t="shared" ref="C5:AA5" si="0">+B5+1</f>
        <v>1</v>
      </c>
      <c r="D5" s="124">
        <f t="shared" si="0"/>
        <v>2</v>
      </c>
      <c r="E5" s="124">
        <f t="shared" si="0"/>
        <v>3</v>
      </c>
      <c r="F5" s="124">
        <f t="shared" si="0"/>
        <v>4</v>
      </c>
      <c r="G5" s="124">
        <f t="shared" si="0"/>
        <v>5</v>
      </c>
      <c r="H5" s="124">
        <f t="shared" si="0"/>
        <v>6</v>
      </c>
      <c r="I5" s="124">
        <f t="shared" si="0"/>
        <v>7</v>
      </c>
      <c r="J5" s="124">
        <f t="shared" si="0"/>
        <v>8</v>
      </c>
      <c r="K5" s="124">
        <f t="shared" si="0"/>
        <v>9</v>
      </c>
      <c r="L5" s="124">
        <f t="shared" si="0"/>
        <v>10</v>
      </c>
      <c r="M5" s="124">
        <f t="shared" si="0"/>
        <v>11</v>
      </c>
      <c r="N5" s="124">
        <f t="shared" si="0"/>
        <v>12</v>
      </c>
      <c r="O5" s="124">
        <f t="shared" si="0"/>
        <v>13</v>
      </c>
      <c r="P5" s="124">
        <f t="shared" si="0"/>
        <v>14</v>
      </c>
      <c r="Q5" s="124">
        <f t="shared" si="0"/>
        <v>15</v>
      </c>
      <c r="R5" s="124">
        <f t="shared" si="0"/>
        <v>16</v>
      </c>
      <c r="S5" s="124">
        <f t="shared" si="0"/>
        <v>17</v>
      </c>
      <c r="T5" s="124">
        <f t="shared" si="0"/>
        <v>18</v>
      </c>
      <c r="U5" s="124">
        <f t="shared" si="0"/>
        <v>19</v>
      </c>
      <c r="V5" s="124">
        <f t="shared" si="0"/>
        <v>20</v>
      </c>
      <c r="W5" s="124">
        <f t="shared" si="0"/>
        <v>21</v>
      </c>
      <c r="X5" s="124">
        <f t="shared" si="0"/>
        <v>22</v>
      </c>
      <c r="Y5" s="124">
        <f t="shared" si="0"/>
        <v>23</v>
      </c>
      <c r="Z5" s="124">
        <f t="shared" si="0"/>
        <v>24</v>
      </c>
      <c r="AA5" s="124">
        <f t="shared" si="0"/>
        <v>25</v>
      </c>
    </row>
    <row r="6" spans="1:27" x14ac:dyDescent="0.3">
      <c r="A6" s="7" t="s">
        <v>399</v>
      </c>
      <c r="B6" s="8">
        <v>2021</v>
      </c>
      <c r="C6" s="8">
        <f t="shared" ref="C6:AA6" si="1">+B6+1</f>
        <v>2022</v>
      </c>
      <c r="D6" s="8">
        <f t="shared" si="1"/>
        <v>2023</v>
      </c>
      <c r="E6" s="8">
        <f t="shared" si="1"/>
        <v>2024</v>
      </c>
      <c r="F6" s="8">
        <f t="shared" si="1"/>
        <v>2025</v>
      </c>
      <c r="G6" s="8">
        <f t="shared" si="1"/>
        <v>2026</v>
      </c>
      <c r="H6" s="8">
        <f t="shared" si="1"/>
        <v>2027</v>
      </c>
      <c r="I6" s="8">
        <f t="shared" si="1"/>
        <v>2028</v>
      </c>
      <c r="J6" s="8">
        <f t="shared" si="1"/>
        <v>2029</v>
      </c>
      <c r="K6" s="8">
        <f t="shared" si="1"/>
        <v>2030</v>
      </c>
      <c r="L6" s="8">
        <f t="shared" si="1"/>
        <v>2031</v>
      </c>
      <c r="M6" s="8">
        <f t="shared" si="1"/>
        <v>2032</v>
      </c>
      <c r="N6" s="8">
        <f t="shared" si="1"/>
        <v>2033</v>
      </c>
      <c r="O6" s="8">
        <f t="shared" si="1"/>
        <v>2034</v>
      </c>
      <c r="P6" s="8">
        <f t="shared" si="1"/>
        <v>2035</v>
      </c>
      <c r="Q6" s="8">
        <f t="shared" si="1"/>
        <v>2036</v>
      </c>
      <c r="R6" s="8">
        <f t="shared" si="1"/>
        <v>2037</v>
      </c>
      <c r="S6" s="8">
        <f t="shared" si="1"/>
        <v>2038</v>
      </c>
      <c r="T6" s="8">
        <f t="shared" si="1"/>
        <v>2039</v>
      </c>
      <c r="U6" s="8">
        <f t="shared" si="1"/>
        <v>2040</v>
      </c>
      <c r="V6" s="8">
        <f t="shared" si="1"/>
        <v>2041</v>
      </c>
      <c r="W6" s="8">
        <f t="shared" si="1"/>
        <v>2042</v>
      </c>
      <c r="X6" s="8">
        <f t="shared" si="1"/>
        <v>2043</v>
      </c>
      <c r="Y6" s="8">
        <f t="shared" si="1"/>
        <v>2044</v>
      </c>
      <c r="Z6" s="8">
        <f t="shared" si="1"/>
        <v>2045</v>
      </c>
      <c r="AA6" s="8">
        <f t="shared" si="1"/>
        <v>2046</v>
      </c>
    </row>
    <row r="7" spans="1:27" ht="5.25" customHeight="1" x14ac:dyDescent="0.3"/>
    <row r="8" spans="1:27" x14ac:dyDescent="0.3">
      <c r="A8" s="1" t="str">
        <f>'Inputs &amp; Summary'!B66</f>
        <v>Keysborough: Do nothing</v>
      </c>
    </row>
    <row r="9" spans="1:27" ht="6" customHeight="1" x14ac:dyDescent="0.3">
      <c r="A9" s="1"/>
    </row>
    <row r="10" spans="1:27" x14ac:dyDescent="0.3">
      <c r="A10" s="124" t="s">
        <v>7</v>
      </c>
      <c r="B10" s="48">
        <f>+'K. Opt0'!B50</f>
        <v>335.21793875498207</v>
      </c>
      <c r="C10" s="48">
        <f>+'K. Opt0'!C50</f>
        <v>338.77077966903789</v>
      </c>
      <c r="D10" s="48">
        <f>+'K. Opt0'!D50</f>
        <v>342.36341240133112</v>
      </c>
      <c r="E10" s="48">
        <f>+'K. Opt0'!E50</f>
        <v>345.99628262022611</v>
      </c>
      <c r="F10" s="48">
        <f>+'K. Opt0'!F50</f>
        <v>349.66984098557265</v>
      </c>
      <c r="G10" s="48">
        <f>+'K. Opt0'!G50</f>
        <v>353.38454320461102</v>
      </c>
      <c r="H10" s="48">
        <f>+'K. Opt0'!H50</f>
        <v>357.1408500885027</v>
      </c>
      <c r="I10" s="48">
        <f>+'K. Opt0'!I50</f>
        <v>360.93922760949403</v>
      </c>
      <c r="J10" s="48">
        <f>+'K. Opt0'!J50</f>
        <v>364.78014695872031</v>
      </c>
      <c r="K10" s="48">
        <f>+'K. Opt0'!K50</f>
        <v>368.66408460465806</v>
      </c>
      <c r="L10" s="48">
        <f>+'K. Opt0'!L50</f>
        <v>372.59152235223024</v>
      </c>
      <c r="M10" s="48">
        <f>+'K. Opt0'!M50</f>
        <v>376.56294740257522</v>
      </c>
      <c r="N10" s="48">
        <f>+'K. Opt0'!N50</f>
        <v>380.57885241348407</v>
      </c>
      <c r="O10" s="48">
        <f>+'K. Opt0'!O50</f>
        <v>384.63973556051513</v>
      </c>
      <c r="P10" s="48">
        <f>+'K. Opt0'!P50</f>
        <v>388.74610059879296</v>
      </c>
      <c r="Q10" s="48">
        <f>+'K. Opt0'!Q50</f>
        <v>392.89845692549954</v>
      </c>
      <c r="R10" s="48">
        <f>+'K. Opt0'!R50</f>
        <v>397.09731964306508</v>
      </c>
      <c r="S10" s="48">
        <f>+'K. Opt0'!S50</f>
        <v>401.34320962306742</v>
      </c>
      <c r="T10" s="48">
        <f>+'K. Opt0'!T50</f>
        <v>405.63665357084579</v>
      </c>
      <c r="U10" s="48">
        <f>+'K. Opt0'!U50</f>
        <v>409.97818409083931</v>
      </c>
      <c r="V10" s="48">
        <f>+'K. Opt0'!V50</f>
        <v>414.36833975265677</v>
      </c>
      <c r="W10" s="48">
        <f>+'K. Opt0'!W50</f>
        <v>418.8076651578865</v>
      </c>
      <c r="X10" s="48">
        <f>+'K. Opt0'!X50</f>
        <v>423.29671100765495</v>
      </c>
      <c r="Y10" s="48">
        <f>+'K. Opt0'!Y50</f>
        <v>427.83603417094071</v>
      </c>
      <c r="Z10" s="48">
        <f>+'K. Opt0'!Z50</f>
        <v>432.42619775365517</v>
      </c>
      <c r="AA10" s="48">
        <f>+'K. Opt0'!AA50</f>
        <v>437.06777116849622</v>
      </c>
    </row>
    <row r="11" spans="1:27" x14ac:dyDescent="0.3">
      <c r="A11" s="124" t="s">
        <v>8</v>
      </c>
      <c r="B11" s="48">
        <f>+'K. Opt0'!B87</f>
        <v>831.13843875498208</v>
      </c>
      <c r="C11" s="48">
        <f>+'K. Opt0'!C87</f>
        <v>840.14967926903796</v>
      </c>
      <c r="D11" s="48">
        <f>+'K. Opt0'!D87</f>
        <v>849.26633955685122</v>
      </c>
      <c r="E11" s="48">
        <f>+'K. Opt0'!E87</f>
        <v>858.48965424644803</v>
      </c>
      <c r="F11" s="48">
        <f>+'K. Opt0'!F87</f>
        <v>867.82087244080685</v>
      </c>
      <c r="G11" s="48">
        <f>+'K. Opt0'!G87</f>
        <v>877.26125788774425</v>
      </c>
      <c r="H11" s="48">
        <f>+'K. Opt0'!H87</f>
        <v>886.81208915179445</v>
      </c>
      <c r="I11" s="48">
        <f>+'K. Opt0'!I87</f>
        <v>896.47465978811078</v>
      </c>
      <c r="J11" s="48">
        <f>+'K. Opt0'!J87</f>
        <v>906.2502785184073</v>
      </c>
      <c r="K11" s="48">
        <f>+'K. Opt0'!K87</f>
        <v>916.14026940897133</v>
      </c>
      <c r="L11" s="48">
        <f>+'K. Opt0'!L87</f>
        <v>926.14597205076359</v>
      </c>
      <c r="M11" s="48">
        <f>+'K. Opt0'!M87</f>
        <v>936.26874174163675</v>
      </c>
      <c r="N11" s="48">
        <f>+'K. Opt0'!N87</f>
        <v>946.5099496706946</v>
      </c>
      <c r="O11" s="48">
        <f>+'K. Opt0'!O87</f>
        <v>956.87098310481656</v>
      </c>
      <c r="P11" s="48">
        <f>+'K. Opt0'!P87</f>
        <v>967.35324557737431</v>
      </c>
      <c r="Q11" s="48">
        <f>+'K. Opt0'!Q87</f>
        <v>977.95815707916643</v>
      </c>
      <c r="R11" s="48">
        <f>+'K. Opt0'!R87</f>
        <v>988.68715425159417</v>
      </c>
      <c r="S11" s="48">
        <f>+'K. Opt0'!S87</f>
        <v>999.54169058211085</v>
      </c>
      <c r="T11" s="48">
        <f>+'K. Opt0'!T87</f>
        <v>1010.5232366019642</v>
      </c>
      <c r="U11" s="48">
        <f>+'K. Opt0'!U87</f>
        <v>1021.6332800862639</v>
      </c>
      <c r="V11" s="48">
        <f>+'K. Opt0'!V87</f>
        <v>1032.8733262564001</v>
      </c>
      <c r="W11" s="48">
        <f>+'K. Opt0'!W87</f>
        <v>1044.2448979848398</v>
      </c>
      <c r="X11" s="48">
        <f>+'K. Opt0'!X87</f>
        <v>1055.7495360023304</v>
      </c>
      <c r="Y11" s="48">
        <f>+'K. Opt0'!Y87</f>
        <v>1067.3887991075378</v>
      </c>
      <c r="Z11" s="48">
        <f>+'K. Opt0'!Z87</f>
        <v>1079.164264379147</v>
      </c>
      <c r="AA11" s="48">
        <f>+'K. Opt0'!AA87</f>
        <v>1091.0775273904576</v>
      </c>
    </row>
    <row r="12" spans="1:27" x14ac:dyDescent="0.3">
      <c r="A12" s="124" t="s">
        <v>9</v>
      </c>
      <c r="B12" s="48">
        <f>+'K. Opt0'!B112</f>
        <v>219.21</v>
      </c>
      <c r="C12" s="48">
        <f>+'K. Opt0'!C112</f>
        <v>221.08500000000001</v>
      </c>
      <c r="D12" s="48">
        <f>+'K. Opt0'!D112</f>
        <v>223.00687500000001</v>
      </c>
      <c r="E12" s="48">
        <f>+'K. Opt0'!E112</f>
        <v>224.97679687499999</v>
      </c>
      <c r="F12" s="48">
        <f>+'K. Opt0'!F112</f>
        <v>366.995966796875</v>
      </c>
      <c r="G12" s="48">
        <f>+'K. Opt0'!G112</f>
        <v>229.06561596679686</v>
      </c>
      <c r="H12" s="48">
        <f>+'K. Opt0'!H112</f>
        <v>231.18700636596677</v>
      </c>
      <c r="I12" s="48">
        <f>+'K. Opt0'!I112</f>
        <v>233.36143152511596</v>
      </c>
      <c r="J12" s="48">
        <f>+'K. Opt0'!J112</f>
        <v>235.59021731324384</v>
      </c>
      <c r="K12" s="48">
        <f>+'K. Opt0'!K112</f>
        <v>237.87472274607489</v>
      </c>
      <c r="L12" s="48">
        <f>+'K. Opt0'!L112</f>
        <v>240.21634081472678</v>
      </c>
      <c r="M12" s="48">
        <f>+'K. Opt0'!M112</f>
        <v>242.61649933509494</v>
      </c>
      <c r="N12" s="48">
        <f>+'K. Opt0'!N112</f>
        <v>245.0766618184723</v>
      </c>
      <c r="O12" s="48">
        <f>+'K. Opt0'!O112</f>
        <v>247.59832836393412</v>
      </c>
      <c r="P12" s="48">
        <f>+'K. Opt0'!P112</f>
        <v>250.18303657303247</v>
      </c>
      <c r="Q12" s="48">
        <f>+'K. Opt0'!Q112</f>
        <v>252.8323624873583</v>
      </c>
      <c r="R12" s="48">
        <f>+'K. Opt0'!R112</f>
        <v>255.54792154954225</v>
      </c>
      <c r="S12" s="48">
        <f>+'K. Opt0'!S112</f>
        <v>258.33136958828078</v>
      </c>
      <c r="T12" s="48">
        <f>+'K. Opt0'!T112</f>
        <v>261.18440382798781</v>
      </c>
      <c r="U12" s="48">
        <f>+'K. Opt0'!U112</f>
        <v>264.10876392368749</v>
      </c>
      <c r="V12" s="48">
        <f>+'K. Opt0'!V112</f>
        <v>267.10623302177964</v>
      </c>
      <c r="W12" s="48">
        <f>+'K. Opt0'!W112</f>
        <v>270.17863884732412</v>
      </c>
      <c r="X12" s="48">
        <f>+'K. Opt0'!X112</f>
        <v>273.32785481850726</v>
      </c>
      <c r="Y12" s="48">
        <f>+'K. Opt0'!Y112</f>
        <v>276.55580118896995</v>
      </c>
      <c r="Z12" s="48">
        <f>+'K. Opt0'!Z112</f>
        <v>279.86444621869418</v>
      </c>
      <c r="AA12" s="48">
        <f>+'K. Opt0'!AA112</f>
        <v>283.25580737416152</v>
      </c>
    </row>
    <row r="13" spans="1:27" x14ac:dyDescent="0.3">
      <c r="A13" s="124" t="s">
        <v>439</v>
      </c>
      <c r="B13" s="48">
        <f>+'K. Opt0'!B136</f>
        <v>1346.3550000000002</v>
      </c>
      <c r="C13" s="48">
        <f>+'K. Opt0'!C136</f>
        <v>1362.5112600000002</v>
      </c>
      <c r="D13" s="48">
        <f>+'K. Opt0'!D136</f>
        <v>1378.86139512</v>
      </c>
      <c r="E13" s="48">
        <f>+'K. Opt0'!E136</f>
        <v>1395.4077318614402</v>
      </c>
      <c r="F13" s="48">
        <f>+'K. Opt0'!F136</f>
        <v>1412.1526246437775</v>
      </c>
      <c r="G13" s="48">
        <f>+'K. Opt0'!G136</f>
        <v>1429.0984561395028</v>
      </c>
      <c r="H13" s="48">
        <f>+'K. Opt0'!H136</f>
        <v>1446.2476376131767</v>
      </c>
      <c r="I13" s="48">
        <f>+'K. Opt0'!I136</f>
        <v>1463.602609264535</v>
      </c>
      <c r="J13" s="48">
        <f>+'K. Opt0'!J136</f>
        <v>1481.1658405757094</v>
      </c>
      <c r="K13" s="48">
        <f>+'K. Opt0'!K136</f>
        <v>1498.9398306626179</v>
      </c>
      <c r="L13" s="48">
        <f>+'K. Opt0'!L136</f>
        <v>1516.9271086305694</v>
      </c>
      <c r="M13" s="48">
        <f>+'K. Opt0'!M136</f>
        <v>1535.130233934136</v>
      </c>
      <c r="N13" s="48">
        <f>+'K. Opt0'!N136</f>
        <v>1553.5517967413457</v>
      </c>
      <c r="O13" s="48">
        <f>+'K. Opt0'!O136</f>
        <v>1572.1944183022417</v>
      </c>
      <c r="P13" s="48">
        <f>+'K. Opt0'!P136</f>
        <v>1591.0607513218686</v>
      </c>
      <c r="Q13" s="48">
        <f>+'K. Opt0'!Q136</f>
        <v>1610.1534803377313</v>
      </c>
      <c r="R13" s="48">
        <f>+'K. Opt0'!R136</f>
        <v>1629.4753221017841</v>
      </c>
      <c r="S13" s="48">
        <f>+'K. Opt0'!S136</f>
        <v>1649.0290259670055</v>
      </c>
      <c r="T13" s="48">
        <f>+'K. Opt0'!T136</f>
        <v>1668.8173742786093</v>
      </c>
      <c r="U13" s="48">
        <f>+'K. Opt0'!U136</f>
        <v>1688.8431827699528</v>
      </c>
      <c r="V13" s="48">
        <f>+'K. Opt0'!V136</f>
        <v>1709.109300963192</v>
      </c>
      <c r="W13" s="48">
        <f>+'K. Opt0'!W136</f>
        <v>1729.6186125747504</v>
      </c>
      <c r="X13" s="48">
        <f>+'K. Opt0'!X136</f>
        <v>1750.3740359256471</v>
      </c>
      <c r="Y13" s="48">
        <f>+'K. Opt0'!Y136</f>
        <v>1771.3785243567554</v>
      </c>
      <c r="Z13" s="48">
        <f>+'K. Opt0'!Z136</f>
        <v>1792.6350666490362</v>
      </c>
      <c r="AA13" s="48">
        <f>+'K. Opt0'!AA136</f>
        <v>1814.1466874488247</v>
      </c>
    </row>
    <row r="14" spans="1:27" x14ac:dyDescent="0.3">
      <c r="A14" s="124" t="s">
        <v>10</v>
      </c>
      <c r="B14" s="48">
        <f>+'K. Opt0'!B162</f>
        <v>283.42</v>
      </c>
      <c r="C14" s="48">
        <f>+'K. Opt0'!C162</f>
        <v>283.42</v>
      </c>
      <c r="D14" s="48">
        <f>+'K. Opt0'!D162</f>
        <v>283.42</v>
      </c>
      <c r="E14" s="48">
        <f>+'K. Opt0'!E162</f>
        <v>283.42</v>
      </c>
      <c r="F14" s="48">
        <f>+'K. Opt0'!F162</f>
        <v>283.42</v>
      </c>
      <c r="G14" s="48">
        <f>+'K. Opt0'!G162</f>
        <v>283.42</v>
      </c>
      <c r="H14" s="48">
        <f>+'K. Opt0'!H162</f>
        <v>283.42</v>
      </c>
      <c r="I14" s="48">
        <f>+'K. Opt0'!I162</f>
        <v>283.42</v>
      </c>
      <c r="J14" s="48">
        <f>+'K. Opt0'!J162</f>
        <v>283.42</v>
      </c>
      <c r="K14" s="48">
        <f>+'K. Opt0'!K162</f>
        <v>283.42</v>
      </c>
      <c r="L14" s="48">
        <f>+'K. Opt0'!L162</f>
        <v>283.42</v>
      </c>
      <c r="M14" s="48">
        <f>+'K. Opt0'!M162</f>
        <v>283.42</v>
      </c>
      <c r="N14" s="48">
        <f>+'K. Opt0'!N162</f>
        <v>283.42</v>
      </c>
      <c r="O14" s="48">
        <f>+'K. Opt0'!O162</f>
        <v>283.42</v>
      </c>
      <c r="P14" s="48">
        <f>+'K. Opt0'!P162</f>
        <v>283.42</v>
      </c>
      <c r="Q14" s="48">
        <f>+'K. Opt0'!Q162</f>
        <v>283.42</v>
      </c>
      <c r="R14" s="48">
        <f>+'K. Opt0'!R162</f>
        <v>283.42</v>
      </c>
      <c r="S14" s="48">
        <f>+'K. Opt0'!S162</f>
        <v>283.42</v>
      </c>
      <c r="T14" s="48">
        <f>+'K. Opt0'!T162</f>
        <v>283.42</v>
      </c>
      <c r="U14" s="48">
        <f>+'K. Opt0'!U162</f>
        <v>283.42</v>
      </c>
      <c r="V14" s="48">
        <f>+'K. Opt0'!V162</f>
        <v>283.42</v>
      </c>
      <c r="W14" s="48">
        <f>+'K. Opt0'!W162</f>
        <v>283.42</v>
      </c>
      <c r="X14" s="48">
        <f>+'K. Opt0'!X162</f>
        <v>283.42</v>
      </c>
      <c r="Y14" s="48">
        <f>+'K. Opt0'!Y162</f>
        <v>283.42</v>
      </c>
      <c r="Z14" s="48">
        <f>+'K. Opt0'!Z162</f>
        <v>283.42</v>
      </c>
      <c r="AA14" s="48">
        <f>+'K. Opt0'!AA162</f>
        <v>283.42</v>
      </c>
    </row>
    <row r="15" spans="1:27" x14ac:dyDescent="0.3">
      <c r="A15" s="1" t="s">
        <v>11</v>
      </c>
      <c r="B15" s="16">
        <f t="shared" ref="B15:AA15" si="2">+SUM(B10:B14)</f>
        <v>3015.3413775099643</v>
      </c>
      <c r="C15" s="16">
        <f t="shared" si="2"/>
        <v>3045.9367189380764</v>
      </c>
      <c r="D15" s="16">
        <f t="shared" si="2"/>
        <v>3076.9180220781827</v>
      </c>
      <c r="E15" s="16">
        <f t="shared" si="2"/>
        <v>3108.2904656031142</v>
      </c>
      <c r="F15" s="16">
        <f t="shared" si="2"/>
        <v>3280.0593048670321</v>
      </c>
      <c r="G15" s="16">
        <f t="shared" si="2"/>
        <v>3172.2298731986548</v>
      </c>
      <c r="H15" s="16">
        <f t="shared" si="2"/>
        <v>3204.8075832194409</v>
      </c>
      <c r="I15" s="16">
        <f t="shared" si="2"/>
        <v>3237.7979281872558</v>
      </c>
      <c r="J15" s="16">
        <f t="shared" si="2"/>
        <v>3271.2064833660806</v>
      </c>
      <c r="K15" s="16">
        <f t="shared" si="2"/>
        <v>3305.0389074223222</v>
      </c>
      <c r="L15" s="16">
        <f t="shared" si="2"/>
        <v>3339.30094384829</v>
      </c>
      <c r="M15" s="16">
        <f t="shared" si="2"/>
        <v>3373.9984224134428</v>
      </c>
      <c r="N15" s="16">
        <f t="shared" si="2"/>
        <v>3409.1372606439968</v>
      </c>
      <c r="O15" s="16">
        <f t="shared" si="2"/>
        <v>3444.7234653315077</v>
      </c>
      <c r="P15" s="16">
        <f t="shared" si="2"/>
        <v>3480.7631340710686</v>
      </c>
      <c r="Q15" s="16">
        <f t="shared" si="2"/>
        <v>3517.2624568297556</v>
      </c>
      <c r="R15" s="16">
        <f t="shared" si="2"/>
        <v>3554.2277175459858</v>
      </c>
      <c r="S15" s="16">
        <f t="shared" si="2"/>
        <v>3591.6652957604647</v>
      </c>
      <c r="T15" s="16">
        <f t="shared" si="2"/>
        <v>3629.5816682794075</v>
      </c>
      <c r="U15" s="16">
        <f t="shared" si="2"/>
        <v>3667.9834108707437</v>
      </c>
      <c r="V15" s="16">
        <f t="shared" si="2"/>
        <v>3706.8771999940286</v>
      </c>
      <c r="W15" s="16">
        <f t="shared" si="2"/>
        <v>3746.269814564801</v>
      </c>
      <c r="X15" s="16">
        <f t="shared" si="2"/>
        <v>3786.1681377541399</v>
      </c>
      <c r="Y15" s="16">
        <f t="shared" si="2"/>
        <v>3826.5791588242037</v>
      </c>
      <c r="Z15" s="16">
        <f t="shared" si="2"/>
        <v>3867.5099750005329</v>
      </c>
      <c r="AA15" s="16">
        <f t="shared" si="2"/>
        <v>3908.9677933819403</v>
      </c>
    </row>
    <row r="16" spans="1:27" x14ac:dyDescent="0.3">
      <c r="A16" s="4" t="s">
        <v>74</v>
      </c>
      <c r="B16" s="171">
        <f>NPV(B4,C15:AA15)+B15</f>
        <v>64144.55400678295</v>
      </c>
      <c r="C16" s="364" t="s">
        <v>396</v>
      </c>
      <c r="D16" s="365">
        <f>SUM(B15:AA15)-SUM('K. Opt0'!B13:AA13)</f>
        <v>0</v>
      </c>
    </row>
    <row r="17" spans="1:27" ht="5.25" customHeight="1" x14ac:dyDescent="0.3">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row>
    <row r="18" spans="1:27" x14ac:dyDescent="0.3">
      <c r="A18" s="1" t="str">
        <f>'Inputs &amp; Summary'!B67</f>
        <v>Keysborough: Redevelop existing site</v>
      </c>
    </row>
    <row r="19" spans="1:27" x14ac:dyDescent="0.3">
      <c r="A19" s="124" t="s">
        <v>12</v>
      </c>
      <c r="B19" s="48">
        <f>+'K. Opt1'!B10</f>
        <v>17900</v>
      </c>
      <c r="C19" s="48">
        <f>+'K. Opt1'!C10</f>
        <v>0</v>
      </c>
      <c r="D19" s="48">
        <f>+'K. Opt1'!D10</f>
        <v>0</v>
      </c>
      <c r="E19" s="48">
        <f>+'K. Opt1'!E10</f>
        <v>0</v>
      </c>
      <c r="F19" s="48">
        <f>+'K. Opt1'!F10</f>
        <v>0</v>
      </c>
      <c r="G19" s="48">
        <f>+'K. Opt1'!G10</f>
        <v>0</v>
      </c>
      <c r="H19" s="48">
        <f>+'K. Opt1'!H10</f>
        <v>0</v>
      </c>
      <c r="I19" s="48">
        <f>+'K. Opt1'!I10</f>
        <v>0</v>
      </c>
      <c r="J19" s="48">
        <f>+'K. Opt1'!J10</f>
        <v>0</v>
      </c>
      <c r="K19" s="48">
        <f>+'K. Opt1'!K10</f>
        <v>0</v>
      </c>
      <c r="L19" s="48">
        <f>+'K. Opt1'!L10</f>
        <v>0</v>
      </c>
      <c r="M19" s="48">
        <f>+'K. Opt1'!M10</f>
        <v>0</v>
      </c>
      <c r="N19" s="48">
        <f>+'K. Opt1'!N10</f>
        <v>0</v>
      </c>
      <c r="O19" s="48">
        <f>+'K. Opt1'!O10</f>
        <v>0</v>
      </c>
      <c r="P19" s="48">
        <f>+'K. Opt1'!P10</f>
        <v>0</v>
      </c>
      <c r="Q19" s="48">
        <f>+'K. Opt1'!Q10</f>
        <v>0</v>
      </c>
      <c r="R19" s="48">
        <f>+'K. Opt1'!R10</f>
        <v>0</v>
      </c>
      <c r="S19" s="48">
        <f>+'K. Opt1'!S10</f>
        <v>0</v>
      </c>
      <c r="T19" s="48">
        <f>+'K. Opt1'!T10</f>
        <v>0</v>
      </c>
      <c r="U19" s="48">
        <f>+'K. Opt1'!U10</f>
        <v>0</v>
      </c>
      <c r="V19" s="48">
        <f>+'K. Opt1'!V10</f>
        <v>0</v>
      </c>
      <c r="W19" s="48">
        <f>+'K. Opt1'!W10</f>
        <v>0</v>
      </c>
      <c r="X19" s="48">
        <f>+'K. Opt1'!X10</f>
        <v>0</v>
      </c>
      <c r="Y19" s="48">
        <f>+'K. Opt1'!Y10</f>
        <v>0</v>
      </c>
      <c r="Z19" s="48">
        <f>+'K. Opt1'!Z10</f>
        <v>0</v>
      </c>
      <c r="AA19" s="48">
        <f>+'K. Opt1'!AA10</f>
        <v>0</v>
      </c>
    </row>
    <row r="20" spans="1:27" x14ac:dyDescent="0.3">
      <c r="A20" s="124" t="s">
        <v>125</v>
      </c>
      <c r="B20" s="48">
        <f>+'K. Opt1'!B11</f>
        <v>3688.5188775099646</v>
      </c>
      <c r="C20" s="48">
        <f>+'K. Opt1'!C11</f>
        <v>0</v>
      </c>
      <c r="D20" s="48">
        <f>+'K. Opt1'!D11</f>
        <v>0</v>
      </c>
      <c r="E20" s="48">
        <f>+'K. Opt1'!E11</f>
        <v>0</v>
      </c>
      <c r="F20" s="48">
        <f>+'K. Opt1'!F11</f>
        <v>0</v>
      </c>
      <c r="G20" s="48">
        <f>+'K. Opt1'!G11</f>
        <v>0</v>
      </c>
      <c r="H20" s="48">
        <f>+'K. Opt1'!H11</f>
        <v>0</v>
      </c>
      <c r="I20" s="48">
        <f>+'K. Opt1'!I11</f>
        <v>0</v>
      </c>
      <c r="J20" s="48">
        <f>+'K. Opt1'!J11</f>
        <v>0</v>
      </c>
      <c r="K20" s="48">
        <f>+'K. Opt1'!K11</f>
        <v>0</v>
      </c>
      <c r="L20" s="48">
        <f>+'K. Opt1'!L11</f>
        <v>0</v>
      </c>
      <c r="M20" s="48">
        <f>+'K. Opt1'!M11</f>
        <v>0</v>
      </c>
      <c r="N20" s="48">
        <f>+'K. Opt1'!N11</f>
        <v>0</v>
      </c>
      <c r="O20" s="48">
        <f>+'K. Opt1'!O11</f>
        <v>0</v>
      </c>
      <c r="P20" s="48">
        <f>+'K. Opt1'!P11</f>
        <v>0</v>
      </c>
      <c r="Q20" s="48">
        <f>+'K. Opt1'!Q11</f>
        <v>0</v>
      </c>
      <c r="R20" s="48">
        <f>+'K. Opt1'!R11</f>
        <v>0</v>
      </c>
      <c r="S20" s="48">
        <f>+'K. Opt1'!S11</f>
        <v>0</v>
      </c>
      <c r="T20" s="48">
        <f>+'K. Opt1'!T11</f>
        <v>0</v>
      </c>
      <c r="U20" s="48">
        <f>+'K. Opt1'!U11</f>
        <v>0</v>
      </c>
      <c r="V20" s="48">
        <f>+'K. Opt1'!V11</f>
        <v>0</v>
      </c>
      <c r="W20" s="48">
        <f>+'K. Opt1'!W11</f>
        <v>0</v>
      </c>
      <c r="X20" s="48">
        <f>+'K. Opt1'!X11</f>
        <v>0</v>
      </c>
      <c r="Y20" s="48">
        <f>+'K. Opt1'!Y11</f>
        <v>0</v>
      </c>
      <c r="Z20" s="48">
        <f>+'K. Opt1'!Z11</f>
        <v>0</v>
      </c>
      <c r="AA20" s="48">
        <f>+'K. Opt1'!AA11</f>
        <v>0</v>
      </c>
    </row>
    <row r="21" spans="1:27" x14ac:dyDescent="0.3">
      <c r="A21" s="10" t="s">
        <v>126</v>
      </c>
      <c r="B21" s="79">
        <f>+'K. Opt1'!B12</f>
        <v>0</v>
      </c>
      <c r="C21" s="79">
        <f>+'K. Opt1'!C12</f>
        <v>1178.9204589380759</v>
      </c>
      <c r="D21" s="79">
        <f>+'K. Opt1'!D12</f>
        <v>1191.6297519581824</v>
      </c>
      <c r="E21" s="79">
        <f>+'K. Opt1'!E12</f>
        <v>1204.4859368666741</v>
      </c>
      <c r="F21" s="79">
        <f>+'K. Opt1'!F12</f>
        <v>1217.4907134263794</v>
      </c>
      <c r="G21" s="79">
        <f>+'K. Opt1'!G12</f>
        <v>1230.6458010923552</v>
      </c>
      <c r="H21" s="79">
        <f>+'K. Opt1'!H12</f>
        <v>1243.9529392402972</v>
      </c>
      <c r="I21" s="79">
        <f>+'K. Opt1'!I12</f>
        <v>1257.4138873976049</v>
      </c>
      <c r="J21" s="79">
        <f>+'K. Opt1'!J12</f>
        <v>1271.0304254771277</v>
      </c>
      <c r="K21" s="79">
        <f>+'K. Opt1'!K12</f>
        <v>1284.8043540136293</v>
      </c>
      <c r="L21" s="79">
        <f>+'K. Opt1'!L12</f>
        <v>1298.7374944029939</v>
      </c>
      <c r="M21" s="79">
        <f>+'K. Opt1'!M12</f>
        <v>1312.8316891442119</v>
      </c>
      <c r="N21" s="79">
        <f>+'K. Opt1'!N12</f>
        <v>1327.0888020841787</v>
      </c>
      <c r="O21" s="79">
        <f>+'K. Opt1'!O12</f>
        <v>1341.5107186653318</v>
      </c>
      <c r="P21" s="79">
        <f>+'K. Opt1'!P12</f>
        <v>1356.0993461761673</v>
      </c>
      <c r="Q21" s="79">
        <f>+'K. Opt1'!Q12</f>
        <v>1370.856614004666</v>
      </c>
      <c r="R21" s="79">
        <f>+'K. Opt1'!R12</f>
        <v>1385.7844738946592</v>
      </c>
      <c r="S21" s="79">
        <f>+'K. Opt1'!S12</f>
        <v>1400.8849002051784</v>
      </c>
      <c r="T21" s="79">
        <f>+'K. Opt1'!T12</f>
        <v>1416.15989017281</v>
      </c>
      <c r="U21" s="79">
        <f>+'K. Opt1'!U12</f>
        <v>1431.6114641771032</v>
      </c>
      <c r="V21" s="79">
        <f>+'K. Opt1'!V12</f>
        <v>1447.2416660090569</v>
      </c>
      <c r="W21" s="79">
        <f>+'K. Opt1'!W12</f>
        <v>1463.0525631427263</v>
      </c>
      <c r="X21" s="79">
        <f>+'K. Opt1'!X12</f>
        <v>1479.0462470099853</v>
      </c>
      <c r="Y21" s="79">
        <f>+'K. Opt1'!Y12</f>
        <v>1495.2248332784784</v>
      </c>
      <c r="Z21" s="79">
        <f>+'K. Opt1'!Z12</f>
        <v>1511.5904621328023</v>
      </c>
      <c r="AA21" s="79">
        <f>+'K. Opt1'!AA12</f>
        <v>1528.1452985589538</v>
      </c>
    </row>
    <row r="22" spans="1:27" x14ac:dyDescent="0.3">
      <c r="A22" s="1" t="s">
        <v>13</v>
      </c>
      <c r="B22" s="16">
        <f t="shared" ref="B22:AA22" si="3">+SUM(B19:B21)</f>
        <v>21588.518877509963</v>
      </c>
      <c r="C22" s="16">
        <f t="shared" si="3"/>
        <v>1178.9204589380759</v>
      </c>
      <c r="D22" s="16">
        <f t="shared" si="3"/>
        <v>1191.6297519581824</v>
      </c>
      <c r="E22" s="16">
        <f t="shared" si="3"/>
        <v>1204.4859368666741</v>
      </c>
      <c r="F22" s="16">
        <f t="shared" si="3"/>
        <v>1217.4907134263794</v>
      </c>
      <c r="G22" s="16">
        <f t="shared" si="3"/>
        <v>1230.6458010923552</v>
      </c>
      <c r="H22" s="16">
        <f t="shared" si="3"/>
        <v>1243.9529392402972</v>
      </c>
      <c r="I22" s="16">
        <f t="shared" si="3"/>
        <v>1257.4138873976049</v>
      </c>
      <c r="J22" s="16">
        <f t="shared" si="3"/>
        <v>1271.0304254771277</v>
      </c>
      <c r="K22" s="16">
        <f t="shared" si="3"/>
        <v>1284.8043540136293</v>
      </c>
      <c r="L22" s="16">
        <f t="shared" si="3"/>
        <v>1298.7374944029939</v>
      </c>
      <c r="M22" s="16">
        <f t="shared" si="3"/>
        <v>1312.8316891442119</v>
      </c>
      <c r="N22" s="16">
        <f t="shared" si="3"/>
        <v>1327.0888020841787</v>
      </c>
      <c r="O22" s="16">
        <f t="shared" si="3"/>
        <v>1341.5107186653318</v>
      </c>
      <c r="P22" s="16">
        <f t="shared" si="3"/>
        <v>1356.0993461761673</v>
      </c>
      <c r="Q22" s="16">
        <f t="shared" si="3"/>
        <v>1370.856614004666</v>
      </c>
      <c r="R22" s="16">
        <f t="shared" si="3"/>
        <v>1385.7844738946592</v>
      </c>
      <c r="S22" s="16">
        <f t="shared" si="3"/>
        <v>1400.8849002051784</v>
      </c>
      <c r="T22" s="16">
        <f t="shared" si="3"/>
        <v>1416.15989017281</v>
      </c>
      <c r="U22" s="16">
        <f t="shared" si="3"/>
        <v>1431.6114641771032</v>
      </c>
      <c r="V22" s="16">
        <f t="shared" si="3"/>
        <v>1447.2416660090569</v>
      </c>
      <c r="W22" s="16">
        <f t="shared" si="3"/>
        <v>1463.0525631427263</v>
      </c>
      <c r="X22" s="16">
        <f t="shared" si="3"/>
        <v>1479.0462470099853</v>
      </c>
      <c r="Y22" s="16">
        <f t="shared" si="3"/>
        <v>1495.2248332784784</v>
      </c>
      <c r="Z22" s="16">
        <f t="shared" si="3"/>
        <v>1511.5904621328023</v>
      </c>
      <c r="AA22" s="16">
        <f t="shared" si="3"/>
        <v>1528.1452985589538</v>
      </c>
    </row>
    <row r="23" spans="1:27" x14ac:dyDescent="0.3">
      <c r="A23" s="4" t="s">
        <v>73</v>
      </c>
      <c r="B23" s="171">
        <f>NPV(B4,C22:AA22)+B22</f>
        <v>45327.18580825939</v>
      </c>
      <c r="C23" s="364" t="s">
        <v>396</v>
      </c>
      <c r="D23" s="365">
        <f>SUM(B22:AA22)-SUM('K. Opt1'!B13:AA13)</f>
        <v>0</v>
      </c>
    </row>
    <row r="24" spans="1:27" ht="5.25" customHeight="1" x14ac:dyDescent="0.3">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row>
    <row r="25" spans="1:27" x14ac:dyDescent="0.3">
      <c r="A25" s="1" t="str">
        <f>'Inputs &amp; Summary'!B68</f>
        <v>Keysborough: Expansion develop current depot</v>
      </c>
    </row>
    <row r="26" spans="1:27" x14ac:dyDescent="0.3">
      <c r="A26" s="124" t="s">
        <v>12</v>
      </c>
      <c r="B26" s="48">
        <f>+'K. Opt2'!B11</f>
        <v>19765.5290122193</v>
      </c>
      <c r="C26" s="48">
        <f>+'K. Opt2'!C11</f>
        <v>0</v>
      </c>
      <c r="D26" s="48">
        <f>+'K. Opt2'!D11</f>
        <v>0</v>
      </c>
      <c r="E26" s="48">
        <f>+'K. Opt2'!E11</f>
        <v>0</v>
      </c>
      <c r="F26" s="48">
        <f>+'K. Opt2'!F11</f>
        <v>0</v>
      </c>
      <c r="G26" s="48">
        <f>+'K. Opt2'!G11</f>
        <v>0</v>
      </c>
      <c r="H26" s="48">
        <f>+'K. Opt2'!H11</f>
        <v>0</v>
      </c>
      <c r="I26" s="48">
        <f>+'K. Opt2'!I11</f>
        <v>0</v>
      </c>
      <c r="J26" s="48">
        <f>+'K. Opt2'!J11</f>
        <v>0</v>
      </c>
      <c r="K26" s="48">
        <f>+'K. Opt2'!K11</f>
        <v>0</v>
      </c>
      <c r="L26" s="48">
        <f>+'K. Opt2'!L11</f>
        <v>0</v>
      </c>
      <c r="M26" s="48">
        <f>+'K. Opt2'!M11</f>
        <v>0</v>
      </c>
      <c r="N26" s="48">
        <f>+'K. Opt2'!N11</f>
        <v>0</v>
      </c>
      <c r="O26" s="48">
        <f>+'K. Opt2'!O11</f>
        <v>0</v>
      </c>
      <c r="P26" s="48">
        <f>+'K. Opt2'!P11</f>
        <v>0</v>
      </c>
      <c r="Q26" s="48">
        <f>+'K. Opt2'!Q11</f>
        <v>0</v>
      </c>
      <c r="R26" s="48">
        <f>+'K. Opt2'!R11</f>
        <v>0</v>
      </c>
      <c r="S26" s="48">
        <f>+'K. Opt2'!S11</f>
        <v>0</v>
      </c>
      <c r="T26" s="48">
        <f>+'K. Opt2'!T11</f>
        <v>0</v>
      </c>
      <c r="U26" s="48">
        <f>+'K. Opt2'!U11</f>
        <v>0</v>
      </c>
      <c r="V26" s="48">
        <f>+'K. Opt2'!V11</f>
        <v>0</v>
      </c>
      <c r="W26" s="48">
        <f>+'K. Opt2'!W11</f>
        <v>0</v>
      </c>
      <c r="X26" s="48">
        <f>+'K. Opt2'!X11</f>
        <v>0</v>
      </c>
      <c r="Y26" s="48">
        <f>+'K. Opt2'!Y11</f>
        <v>0</v>
      </c>
      <c r="Z26" s="48">
        <f>+'K. Opt2'!Z11</f>
        <v>0</v>
      </c>
      <c r="AA26" s="48">
        <f>+'K. Opt2'!AA11</f>
        <v>0</v>
      </c>
    </row>
    <row r="27" spans="1:27" x14ac:dyDescent="0.3">
      <c r="A27" s="124" t="s">
        <v>128</v>
      </c>
      <c r="B27" s="48">
        <f>+'K. Opt2'!B12</f>
        <v>3015.3413775099643</v>
      </c>
      <c r="C27" s="48">
        <f>+'K. Opt2'!C12</f>
        <v>0</v>
      </c>
      <c r="D27" s="48">
        <f>+'K. Opt2'!D12</f>
        <v>0</v>
      </c>
      <c r="E27" s="48">
        <f>+'K. Opt2'!E12</f>
        <v>0</v>
      </c>
      <c r="F27" s="48">
        <f>+'K. Opt2'!F12</f>
        <v>0</v>
      </c>
      <c r="G27" s="48">
        <f>+'K. Opt2'!G12</f>
        <v>0</v>
      </c>
      <c r="H27" s="48">
        <f>+'K. Opt2'!H12</f>
        <v>0</v>
      </c>
      <c r="I27" s="48">
        <f>+'K. Opt2'!I12</f>
        <v>0</v>
      </c>
      <c r="J27" s="48">
        <f>+'K. Opt2'!J12</f>
        <v>0</v>
      </c>
      <c r="K27" s="48">
        <f>+'K. Opt2'!K12</f>
        <v>0</v>
      </c>
      <c r="L27" s="48">
        <f>+'K. Opt2'!L12</f>
        <v>0</v>
      </c>
      <c r="M27" s="48">
        <f>+'K. Opt2'!M12</f>
        <v>0</v>
      </c>
      <c r="N27" s="48">
        <f>+'K. Opt2'!N12</f>
        <v>0</v>
      </c>
      <c r="O27" s="48">
        <f>+'K. Opt2'!O12</f>
        <v>0</v>
      </c>
      <c r="P27" s="48">
        <f>+'K. Opt2'!P12</f>
        <v>0</v>
      </c>
      <c r="Q27" s="48">
        <f>+'K. Opt2'!Q12</f>
        <v>0</v>
      </c>
      <c r="R27" s="48">
        <f>+'K. Opt2'!R12</f>
        <v>0</v>
      </c>
      <c r="S27" s="48">
        <f>+'K. Opt2'!S12</f>
        <v>0</v>
      </c>
      <c r="T27" s="48">
        <f>+'K. Opt2'!T12</f>
        <v>0</v>
      </c>
      <c r="U27" s="48">
        <f>+'K. Opt2'!U12</f>
        <v>0</v>
      </c>
      <c r="V27" s="48">
        <f>+'K. Opt2'!V12</f>
        <v>0</v>
      </c>
      <c r="W27" s="48">
        <f>+'K. Opt2'!W12</f>
        <v>0</v>
      </c>
      <c r="X27" s="48">
        <f>+'K. Opt2'!X12</f>
        <v>0</v>
      </c>
      <c r="Y27" s="48">
        <f>+'K. Opt2'!Y12</f>
        <v>0</v>
      </c>
      <c r="Z27" s="48">
        <f>+'K. Opt2'!Z12</f>
        <v>0</v>
      </c>
      <c r="AA27" s="48">
        <f>+'K. Opt2'!AA12</f>
        <v>0</v>
      </c>
    </row>
    <row r="28" spans="1:27" x14ac:dyDescent="0.3">
      <c r="A28" s="10" t="s">
        <v>252</v>
      </c>
      <c r="B28" s="48">
        <f>+'K. Opt2'!B13</f>
        <v>673.17750000000012</v>
      </c>
      <c r="C28" s="48">
        <f>+'K. Opt2'!C13</f>
        <v>0</v>
      </c>
      <c r="D28" s="48">
        <f>+'K. Opt2'!D13</f>
        <v>0</v>
      </c>
      <c r="E28" s="48">
        <f>+'K. Opt2'!E13</f>
        <v>0</v>
      </c>
      <c r="F28" s="48">
        <f>+'K. Opt2'!F13</f>
        <v>0</v>
      </c>
      <c r="G28" s="48">
        <f>+'K. Opt2'!G13</f>
        <v>0</v>
      </c>
      <c r="H28" s="48">
        <f>+'K. Opt2'!H13</f>
        <v>0</v>
      </c>
      <c r="I28" s="48">
        <f>+'K. Opt2'!I13</f>
        <v>0</v>
      </c>
      <c r="J28" s="48">
        <f>+'K. Opt2'!J13</f>
        <v>0</v>
      </c>
      <c r="K28" s="48">
        <f>+'K. Opt2'!K13</f>
        <v>0</v>
      </c>
      <c r="L28" s="48">
        <f>+'K. Opt2'!L13</f>
        <v>0</v>
      </c>
      <c r="M28" s="48">
        <f>+'K. Opt2'!M13</f>
        <v>0</v>
      </c>
      <c r="N28" s="48">
        <f>+'K. Opt2'!N13</f>
        <v>0</v>
      </c>
      <c r="O28" s="48">
        <f>+'K. Opt2'!O13</f>
        <v>0</v>
      </c>
      <c r="P28" s="48">
        <f>+'K. Opt2'!P13</f>
        <v>0</v>
      </c>
      <c r="Q28" s="48">
        <f>+'K. Opt2'!Q13</f>
        <v>0</v>
      </c>
      <c r="R28" s="48">
        <f>+'K. Opt2'!R13</f>
        <v>0</v>
      </c>
      <c r="S28" s="48">
        <f>+'K. Opt2'!S13</f>
        <v>0</v>
      </c>
      <c r="T28" s="48">
        <f>+'K. Opt2'!T13</f>
        <v>0</v>
      </c>
      <c r="U28" s="48">
        <f>+'K. Opt2'!U13</f>
        <v>0</v>
      </c>
      <c r="V28" s="48">
        <f>+'K. Opt2'!V13</f>
        <v>0</v>
      </c>
      <c r="W28" s="48">
        <f>+'K. Opt2'!W13</f>
        <v>0</v>
      </c>
      <c r="X28" s="48">
        <f>+'K. Opt2'!X13</f>
        <v>0</v>
      </c>
      <c r="Y28" s="48">
        <f>+'K. Opt2'!Y13</f>
        <v>0</v>
      </c>
      <c r="Z28" s="48">
        <f>+'K. Opt2'!Z13</f>
        <v>0</v>
      </c>
      <c r="AA28" s="48">
        <f>+'K. Opt2'!AA13</f>
        <v>0</v>
      </c>
    </row>
    <row r="29" spans="1:27" x14ac:dyDescent="0.3">
      <c r="A29" s="1" t="s">
        <v>14</v>
      </c>
      <c r="B29" s="21">
        <f t="shared" ref="B29:AA29" si="4">SUM(B26:B28)</f>
        <v>23454.047889729267</v>
      </c>
      <c r="C29" s="21">
        <f t="shared" si="4"/>
        <v>0</v>
      </c>
      <c r="D29" s="21">
        <f t="shared" si="4"/>
        <v>0</v>
      </c>
      <c r="E29" s="21">
        <f t="shared" si="4"/>
        <v>0</v>
      </c>
      <c r="F29" s="21">
        <f t="shared" si="4"/>
        <v>0</v>
      </c>
      <c r="G29" s="21">
        <f t="shared" si="4"/>
        <v>0</v>
      </c>
      <c r="H29" s="21">
        <f t="shared" si="4"/>
        <v>0</v>
      </c>
      <c r="I29" s="21">
        <f t="shared" si="4"/>
        <v>0</v>
      </c>
      <c r="J29" s="21">
        <f t="shared" si="4"/>
        <v>0</v>
      </c>
      <c r="K29" s="21">
        <f t="shared" si="4"/>
        <v>0</v>
      </c>
      <c r="L29" s="21">
        <f t="shared" si="4"/>
        <v>0</v>
      </c>
      <c r="M29" s="21">
        <f t="shared" si="4"/>
        <v>0</v>
      </c>
      <c r="N29" s="21">
        <f t="shared" si="4"/>
        <v>0</v>
      </c>
      <c r="O29" s="21">
        <f t="shared" si="4"/>
        <v>0</v>
      </c>
      <c r="P29" s="21">
        <f t="shared" si="4"/>
        <v>0</v>
      </c>
      <c r="Q29" s="21">
        <f t="shared" si="4"/>
        <v>0</v>
      </c>
      <c r="R29" s="21">
        <f t="shared" si="4"/>
        <v>0</v>
      </c>
      <c r="S29" s="21">
        <f t="shared" si="4"/>
        <v>0</v>
      </c>
      <c r="T29" s="21">
        <f t="shared" si="4"/>
        <v>0</v>
      </c>
      <c r="U29" s="21">
        <f t="shared" si="4"/>
        <v>0</v>
      </c>
      <c r="V29" s="21">
        <f t="shared" si="4"/>
        <v>0</v>
      </c>
      <c r="W29" s="21">
        <f t="shared" si="4"/>
        <v>0</v>
      </c>
      <c r="X29" s="21">
        <f t="shared" si="4"/>
        <v>0</v>
      </c>
      <c r="Y29" s="21">
        <f t="shared" si="4"/>
        <v>0</v>
      </c>
      <c r="Z29" s="21">
        <f t="shared" si="4"/>
        <v>0</v>
      </c>
      <c r="AA29" s="21">
        <f t="shared" si="4"/>
        <v>0</v>
      </c>
    </row>
    <row r="30" spans="1:27" x14ac:dyDescent="0.3">
      <c r="A30" s="4" t="s">
        <v>75</v>
      </c>
      <c r="B30" s="171">
        <f>NPV(B4,C29:AA29)+B29</f>
        <v>23454.047889729267</v>
      </c>
      <c r="C30" s="364" t="s">
        <v>396</v>
      </c>
      <c r="D30" s="365">
        <f>SUM(B29:AA29)-SUM('K. Opt2'!B14:AA14)</f>
        <v>0</v>
      </c>
    </row>
    <row r="31" spans="1:27" ht="5.25" customHeight="1" x14ac:dyDescent="0.3">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row>
    <row r="32" spans="1:27" x14ac:dyDescent="0.3">
      <c r="A32" s="1" t="str">
        <f>'Inputs &amp; Summary'!B69</f>
        <v>Keysborough: Purchase brownfield site</v>
      </c>
    </row>
    <row r="33" spans="1:27" x14ac:dyDescent="0.3">
      <c r="A33" s="124" t="s">
        <v>12</v>
      </c>
      <c r="B33" s="48">
        <f>+'K. Opt3'!B11</f>
        <v>17500</v>
      </c>
      <c r="C33" s="48">
        <f>+'K. Opt3'!C11</f>
        <v>18000</v>
      </c>
      <c r="D33" s="48">
        <f>+'K. Opt3'!D11</f>
        <v>0</v>
      </c>
      <c r="E33" s="48">
        <f>+'K. Opt3'!E11</f>
        <v>0</v>
      </c>
      <c r="F33" s="48">
        <f>+'K. Opt3'!F11</f>
        <v>0</v>
      </c>
      <c r="G33" s="48">
        <f>+'K. Opt3'!G11</f>
        <v>0</v>
      </c>
      <c r="H33" s="48">
        <f>+'K. Opt3'!H11</f>
        <v>0</v>
      </c>
      <c r="I33" s="48">
        <f>+'K. Opt3'!I11</f>
        <v>0</v>
      </c>
      <c r="J33" s="48">
        <f>+'K. Opt3'!J11</f>
        <v>0</v>
      </c>
      <c r="K33" s="48">
        <f>+'K. Opt3'!K11</f>
        <v>0</v>
      </c>
      <c r="L33" s="48">
        <f>+'K. Opt3'!L11</f>
        <v>0</v>
      </c>
      <c r="M33" s="48">
        <f>+'K. Opt3'!M11</f>
        <v>0</v>
      </c>
      <c r="N33" s="48">
        <f>+'K. Opt3'!N11</f>
        <v>0</v>
      </c>
      <c r="O33" s="48">
        <f>+'K. Opt3'!O11</f>
        <v>0</v>
      </c>
      <c r="P33" s="48">
        <f>+'K. Opt3'!P11</f>
        <v>0</v>
      </c>
      <c r="Q33" s="48">
        <f>+'K. Opt3'!Q11</f>
        <v>0</v>
      </c>
      <c r="R33" s="48">
        <f>+'K. Opt3'!R11</f>
        <v>0</v>
      </c>
      <c r="S33" s="48">
        <f>+'K. Opt3'!S11</f>
        <v>0</v>
      </c>
      <c r="T33" s="48">
        <f>+'K. Opt3'!T11</f>
        <v>0</v>
      </c>
      <c r="U33" s="48">
        <f>+'K. Opt3'!U11</f>
        <v>0</v>
      </c>
      <c r="V33" s="48">
        <f>+'K. Opt3'!V11</f>
        <v>0</v>
      </c>
      <c r="W33" s="48">
        <f>+'K. Opt3'!W11</f>
        <v>0</v>
      </c>
      <c r="X33" s="48">
        <f>+'K. Opt3'!X11</f>
        <v>0</v>
      </c>
      <c r="Y33" s="48">
        <f>+'K. Opt3'!Y11</f>
        <v>0</v>
      </c>
      <c r="Z33" s="48">
        <f>+'K. Opt3'!Z11</f>
        <v>0</v>
      </c>
      <c r="AA33" s="48">
        <f>+'K. Opt3'!AA11</f>
        <v>0</v>
      </c>
    </row>
    <row r="34" spans="1:27" x14ac:dyDescent="0.3">
      <c r="A34" s="124" t="s">
        <v>128</v>
      </c>
      <c r="B34" s="48">
        <f>+'K. Opt3'!B12</f>
        <v>3015.3413775099643</v>
      </c>
      <c r="C34" s="48">
        <f>+'K. Opt3'!C12</f>
        <v>3045.9367189380764</v>
      </c>
      <c r="D34" s="48">
        <f>+'K. Opt3'!D12</f>
        <v>0</v>
      </c>
      <c r="E34" s="48">
        <f>+'K. Opt3'!E12</f>
        <v>0</v>
      </c>
      <c r="F34" s="48">
        <f>+'K. Opt3'!F12</f>
        <v>0</v>
      </c>
      <c r="G34" s="48">
        <f>+'K. Opt3'!G12</f>
        <v>0</v>
      </c>
      <c r="H34" s="48">
        <f>+'K. Opt3'!H12</f>
        <v>0</v>
      </c>
      <c r="I34" s="48">
        <f>+'K. Opt3'!I12</f>
        <v>0</v>
      </c>
      <c r="J34" s="48">
        <f>+'K. Opt3'!J12</f>
        <v>0</v>
      </c>
      <c r="K34" s="48">
        <f>+'K. Opt3'!K12</f>
        <v>0</v>
      </c>
      <c r="L34" s="48">
        <f>+'K. Opt3'!L12</f>
        <v>0</v>
      </c>
      <c r="M34" s="48">
        <f>+'K. Opt3'!M12</f>
        <v>0</v>
      </c>
      <c r="N34" s="48">
        <f>+'K. Opt3'!N12</f>
        <v>0</v>
      </c>
      <c r="O34" s="48">
        <f>+'K. Opt3'!O12</f>
        <v>0</v>
      </c>
      <c r="P34" s="48">
        <f>+'K. Opt3'!P12</f>
        <v>0</v>
      </c>
      <c r="Q34" s="48">
        <f>+'K. Opt3'!Q12</f>
        <v>0</v>
      </c>
      <c r="R34" s="48">
        <f>+'K. Opt3'!R12</f>
        <v>0</v>
      </c>
      <c r="S34" s="48">
        <f>+'K. Opt3'!S12</f>
        <v>0</v>
      </c>
      <c r="T34" s="48">
        <f>+'K. Opt3'!T12</f>
        <v>0</v>
      </c>
      <c r="U34" s="48">
        <f>+'K. Opt3'!U12</f>
        <v>0</v>
      </c>
      <c r="V34" s="48">
        <f>+'K. Opt3'!V12</f>
        <v>0</v>
      </c>
      <c r="W34" s="48">
        <f>+'K. Opt3'!W12</f>
        <v>0</v>
      </c>
      <c r="X34" s="48">
        <f>+'K. Opt3'!X12</f>
        <v>0</v>
      </c>
      <c r="Y34" s="48">
        <f>+'K. Opt3'!Y12</f>
        <v>0</v>
      </c>
      <c r="Z34" s="48">
        <f>+'K. Opt3'!Z12</f>
        <v>0</v>
      </c>
      <c r="AA34" s="48">
        <f>+'K. Opt3'!AA12</f>
        <v>0</v>
      </c>
    </row>
    <row r="35" spans="1:27" x14ac:dyDescent="0.3">
      <c r="A35" s="10" t="s">
        <v>252</v>
      </c>
      <c r="B35" s="48">
        <f>+'K. Opt3'!B13</f>
        <v>673.17750000000012</v>
      </c>
      <c r="C35" s="48">
        <f>+'K. Opt3'!C13</f>
        <v>681.25563000000011</v>
      </c>
      <c r="D35" s="48">
        <f>+'K. Opt3'!D13</f>
        <v>0</v>
      </c>
      <c r="E35" s="48">
        <f>+'K. Opt3'!E13</f>
        <v>0</v>
      </c>
      <c r="F35" s="48">
        <f>+'K. Opt3'!F13</f>
        <v>0</v>
      </c>
      <c r="G35" s="48">
        <f>+'K. Opt3'!G13</f>
        <v>0</v>
      </c>
      <c r="H35" s="48">
        <f>+'K. Opt3'!H13</f>
        <v>0</v>
      </c>
      <c r="I35" s="48">
        <f>+'K. Opt3'!I13</f>
        <v>0</v>
      </c>
      <c r="J35" s="48">
        <f>+'K. Opt3'!J13</f>
        <v>0</v>
      </c>
      <c r="K35" s="48">
        <f>+'K. Opt3'!K13</f>
        <v>0</v>
      </c>
      <c r="L35" s="48">
        <f>+'K. Opt3'!L13</f>
        <v>0</v>
      </c>
      <c r="M35" s="48">
        <f>+'K. Opt3'!M13</f>
        <v>0</v>
      </c>
      <c r="N35" s="48">
        <f>+'K. Opt3'!N13</f>
        <v>0</v>
      </c>
      <c r="O35" s="48">
        <f>+'K. Opt3'!O13</f>
        <v>0</v>
      </c>
      <c r="P35" s="48">
        <f>+'K. Opt3'!P13</f>
        <v>0</v>
      </c>
      <c r="Q35" s="48">
        <f>+'K. Opt3'!Q13</f>
        <v>0</v>
      </c>
      <c r="R35" s="48">
        <f>+'K. Opt3'!R13</f>
        <v>0</v>
      </c>
      <c r="S35" s="48">
        <f>+'K. Opt3'!S13</f>
        <v>0</v>
      </c>
      <c r="T35" s="48">
        <f>+'K. Opt3'!T13</f>
        <v>0</v>
      </c>
      <c r="U35" s="48">
        <f>+'K. Opt3'!U13</f>
        <v>0</v>
      </c>
      <c r="V35" s="48">
        <f>+'K. Opt3'!V13</f>
        <v>0</v>
      </c>
      <c r="W35" s="48">
        <f>+'K. Opt3'!W13</f>
        <v>0</v>
      </c>
      <c r="X35" s="48">
        <f>+'K. Opt3'!X13</f>
        <v>0</v>
      </c>
      <c r="Y35" s="48">
        <f>+'K. Opt3'!Y13</f>
        <v>0</v>
      </c>
      <c r="Z35" s="48">
        <f>+'K. Opt3'!Z13</f>
        <v>0</v>
      </c>
      <c r="AA35" s="48">
        <f>+'K. Opt3'!AA13</f>
        <v>0</v>
      </c>
    </row>
    <row r="36" spans="1:27" x14ac:dyDescent="0.3">
      <c r="A36" s="1" t="s">
        <v>15</v>
      </c>
      <c r="B36" s="25">
        <f t="shared" ref="B36:AA36" si="5">+SUM(B33:B35)</f>
        <v>21188.518877509967</v>
      </c>
      <c r="C36" s="25">
        <f t="shared" si="5"/>
        <v>21727.192348938075</v>
      </c>
      <c r="D36" s="25">
        <f t="shared" si="5"/>
        <v>0</v>
      </c>
      <c r="E36" s="25">
        <f t="shared" si="5"/>
        <v>0</v>
      </c>
      <c r="F36" s="25">
        <f t="shared" si="5"/>
        <v>0</v>
      </c>
      <c r="G36" s="25">
        <f t="shared" si="5"/>
        <v>0</v>
      </c>
      <c r="H36" s="25">
        <f t="shared" si="5"/>
        <v>0</v>
      </c>
      <c r="I36" s="25">
        <f t="shared" si="5"/>
        <v>0</v>
      </c>
      <c r="J36" s="25">
        <f t="shared" si="5"/>
        <v>0</v>
      </c>
      <c r="K36" s="25">
        <f t="shared" si="5"/>
        <v>0</v>
      </c>
      <c r="L36" s="25">
        <f t="shared" si="5"/>
        <v>0</v>
      </c>
      <c r="M36" s="25">
        <f t="shared" si="5"/>
        <v>0</v>
      </c>
      <c r="N36" s="25">
        <f t="shared" si="5"/>
        <v>0</v>
      </c>
      <c r="O36" s="25">
        <f t="shared" si="5"/>
        <v>0</v>
      </c>
      <c r="P36" s="25">
        <f t="shared" si="5"/>
        <v>0</v>
      </c>
      <c r="Q36" s="25">
        <f t="shared" si="5"/>
        <v>0</v>
      </c>
      <c r="R36" s="25">
        <f t="shared" si="5"/>
        <v>0</v>
      </c>
      <c r="S36" s="25">
        <f t="shared" si="5"/>
        <v>0</v>
      </c>
      <c r="T36" s="25">
        <f t="shared" si="5"/>
        <v>0</v>
      </c>
      <c r="U36" s="25">
        <f t="shared" si="5"/>
        <v>0</v>
      </c>
      <c r="V36" s="25">
        <f t="shared" si="5"/>
        <v>0</v>
      </c>
      <c r="W36" s="25">
        <f t="shared" si="5"/>
        <v>0</v>
      </c>
      <c r="X36" s="25">
        <f t="shared" si="5"/>
        <v>0</v>
      </c>
      <c r="Y36" s="25">
        <f t="shared" si="5"/>
        <v>0</v>
      </c>
      <c r="Z36" s="25">
        <f t="shared" si="5"/>
        <v>0</v>
      </c>
      <c r="AA36" s="25">
        <f t="shared" si="5"/>
        <v>0</v>
      </c>
    </row>
    <row r="37" spans="1:27" x14ac:dyDescent="0.3">
      <c r="A37" s="4" t="s">
        <v>76</v>
      </c>
      <c r="B37" s="171">
        <f>NPV(B4,C36:AA36)+B36</f>
        <v>42334.204861877923</v>
      </c>
      <c r="C37" s="364" t="s">
        <v>396</v>
      </c>
      <c r="D37" s="365">
        <f>SUM(B36:AA36)-SUM('K. Opt3'!B14:AA14)</f>
        <v>0</v>
      </c>
    </row>
    <row r="38" spans="1:27" ht="5.25" customHeight="1" x14ac:dyDescent="0.3">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row>
    <row r="39" spans="1:27" x14ac:dyDescent="0.3">
      <c r="A39" s="1" t="str">
        <f>'Inputs &amp; Summary'!B70</f>
        <v>Keysborough: Minimum spend</v>
      </c>
    </row>
    <row r="40" spans="1:27" x14ac:dyDescent="0.3">
      <c r="A40" s="124" t="s">
        <v>7</v>
      </c>
      <c r="B40" s="52">
        <f>+'K. Opt4'!B48</f>
        <v>335.21793875498207</v>
      </c>
      <c r="C40" s="52">
        <f>+'K. Opt4'!C48</f>
        <v>338.77077966903789</v>
      </c>
      <c r="D40" s="52">
        <f>+'K. Opt4'!D48</f>
        <v>342.36341240133112</v>
      </c>
      <c r="E40" s="52">
        <f>+'K. Opt4'!E48</f>
        <v>345.99628262022611</v>
      </c>
      <c r="F40" s="52">
        <f>+'K. Opt4'!F48</f>
        <v>349.66984098557265</v>
      </c>
      <c r="G40" s="52">
        <f>+'K. Opt4'!G48</f>
        <v>353.38454320461102</v>
      </c>
      <c r="H40" s="52">
        <f>+'K. Opt4'!H48</f>
        <v>357.1408500885027</v>
      </c>
      <c r="I40" s="52">
        <f>+'K. Opt4'!I48</f>
        <v>360.93922760949403</v>
      </c>
      <c r="J40" s="52">
        <f>+'K. Opt4'!J48</f>
        <v>364.78014695872031</v>
      </c>
      <c r="K40" s="52">
        <f>+'K. Opt4'!K48</f>
        <v>368.66408460465806</v>
      </c>
      <c r="L40" s="52">
        <f>+'K. Opt4'!L48</f>
        <v>372.59152235223024</v>
      </c>
      <c r="M40" s="52">
        <f>+'K. Opt4'!M48</f>
        <v>376.56294740257522</v>
      </c>
      <c r="N40" s="52">
        <f>+'K. Opt4'!N48</f>
        <v>380.57885241348407</v>
      </c>
      <c r="O40" s="52">
        <f>+'K. Opt4'!O48</f>
        <v>384.63973556051513</v>
      </c>
      <c r="P40" s="52">
        <f>+'K. Opt4'!P48</f>
        <v>388.74610059879296</v>
      </c>
      <c r="Q40" s="52">
        <f>+'K. Opt4'!Q48</f>
        <v>392.89845692549954</v>
      </c>
      <c r="R40" s="52">
        <f>+'K. Opt4'!R48</f>
        <v>397.09731964306508</v>
      </c>
      <c r="S40" s="52">
        <f>+'K. Opt4'!S48</f>
        <v>401.34320962306742</v>
      </c>
      <c r="T40" s="52">
        <f>+'K. Opt4'!T48</f>
        <v>405.63665357084579</v>
      </c>
      <c r="U40" s="52">
        <f>+'K. Opt4'!U48</f>
        <v>409.97818409083931</v>
      </c>
      <c r="V40" s="52">
        <f>+'K. Opt4'!V48</f>
        <v>414.36833975265677</v>
      </c>
      <c r="W40" s="52">
        <f>+'K. Opt4'!W48</f>
        <v>418.8076651578865</v>
      </c>
      <c r="X40" s="52">
        <f>+'K. Opt4'!X48</f>
        <v>423.29671100765495</v>
      </c>
      <c r="Y40" s="52">
        <f>+'K. Opt4'!Y48</f>
        <v>427.83603417094071</v>
      </c>
      <c r="Z40" s="52">
        <f>+'K. Opt4'!Z48</f>
        <v>432.42619775365517</v>
      </c>
      <c r="AA40" s="52">
        <f>+'K. Opt4'!AA48</f>
        <v>437.06777116849622</v>
      </c>
    </row>
    <row r="41" spans="1:27" x14ac:dyDescent="0.3">
      <c r="A41" s="124" t="s">
        <v>8</v>
      </c>
      <c r="B41" s="52">
        <f>+'K. Opt4'!B84</f>
        <v>831.13843875498208</v>
      </c>
      <c r="C41" s="52">
        <f>+'K. Opt4'!C84</f>
        <v>840.14967926903796</v>
      </c>
      <c r="D41" s="52">
        <f>+'K. Opt4'!D84</f>
        <v>849.26633955685122</v>
      </c>
      <c r="E41" s="52">
        <f>+'K. Opt4'!E84</f>
        <v>858.48965424644803</v>
      </c>
      <c r="F41" s="52">
        <f>+'K. Opt4'!F84</f>
        <v>867.82087244080685</v>
      </c>
      <c r="G41" s="52">
        <f>+'K. Opt4'!G84</f>
        <v>877.26125788774425</v>
      </c>
      <c r="H41" s="52">
        <f>+'K. Opt4'!H84</f>
        <v>886.81208915179445</v>
      </c>
      <c r="I41" s="52">
        <f>+'K. Opt4'!I84</f>
        <v>896.47465978811078</v>
      </c>
      <c r="J41" s="52">
        <f>+'K. Opt4'!J84</f>
        <v>906.25027851840741</v>
      </c>
      <c r="K41" s="52">
        <f>+'K. Opt4'!K84</f>
        <v>916.14026940897133</v>
      </c>
      <c r="L41" s="52">
        <f>+'K. Opt4'!L84</f>
        <v>926.14597205076359</v>
      </c>
      <c r="M41" s="52">
        <f>+'K. Opt4'!M84</f>
        <v>936.26874174163686</v>
      </c>
      <c r="N41" s="52">
        <f>+'K. Opt4'!N84</f>
        <v>946.50994967069482</v>
      </c>
      <c r="O41" s="52">
        <f>+'K. Opt4'!O84</f>
        <v>956.87098310481679</v>
      </c>
      <c r="P41" s="52">
        <f>+'K. Opt4'!P84</f>
        <v>967.35324557737454</v>
      </c>
      <c r="Q41" s="52">
        <f>+'K. Opt4'!Q84</f>
        <v>977.95815707916654</v>
      </c>
      <c r="R41" s="52">
        <f>+'K. Opt4'!R84</f>
        <v>988.68715425159439</v>
      </c>
      <c r="S41" s="52">
        <f>+'K. Opt4'!S84</f>
        <v>999.54169058211107</v>
      </c>
      <c r="T41" s="52">
        <f>+'K. Opt4'!T84</f>
        <v>1010.5232366019644</v>
      </c>
      <c r="U41" s="52">
        <f>+'K. Opt4'!U84</f>
        <v>1021.6332800862641</v>
      </c>
      <c r="V41" s="52">
        <f>+'K. Opt4'!V84</f>
        <v>1032.8733262564001</v>
      </c>
      <c r="W41" s="52">
        <f>+'K. Opt4'!W84</f>
        <v>1044.24489798484</v>
      </c>
      <c r="X41" s="52">
        <f>+'K. Opt4'!X84</f>
        <v>1055.7495360023304</v>
      </c>
      <c r="Y41" s="52">
        <f>+'K. Opt4'!Y84</f>
        <v>1067.388799107538</v>
      </c>
      <c r="Z41" s="52">
        <f>+'K. Opt4'!Z84</f>
        <v>1079.1642643791472</v>
      </c>
      <c r="AA41" s="52">
        <f>+'K. Opt4'!AA84</f>
        <v>1091.0775273904578</v>
      </c>
    </row>
    <row r="42" spans="1:27" s="196" customFormat="1" x14ac:dyDescent="0.3">
      <c r="A42" s="196" t="s">
        <v>294</v>
      </c>
      <c r="B42" s="52">
        <f>+'K. Opt4'!B116-B43</f>
        <v>11400</v>
      </c>
      <c r="C42" s="52">
        <f>+'K. Opt4'!C116-C43</f>
        <v>0</v>
      </c>
      <c r="D42" s="52">
        <f>+'K. Opt4'!D116-D43</f>
        <v>0</v>
      </c>
      <c r="E42" s="52">
        <f>+'K. Opt4'!E116-E43</f>
        <v>0</v>
      </c>
      <c r="F42" s="52">
        <f>+'K. Opt4'!F116-F43</f>
        <v>140</v>
      </c>
      <c r="G42" s="52">
        <f>+'K. Opt4'!G116-G43</f>
        <v>0</v>
      </c>
      <c r="H42" s="52">
        <f>+'K. Opt4'!H116-H43</f>
        <v>0</v>
      </c>
      <c r="I42" s="52">
        <f>+'K. Opt4'!I116-I43</f>
        <v>0</v>
      </c>
      <c r="J42" s="52">
        <f>+'K. Opt4'!J116-J43</f>
        <v>0</v>
      </c>
      <c r="K42" s="52">
        <f>+'K. Opt4'!K116-K43</f>
        <v>0</v>
      </c>
      <c r="L42" s="52">
        <f>+'K. Opt4'!L116-L43</f>
        <v>0</v>
      </c>
      <c r="M42" s="52">
        <f>+'K. Opt4'!M116-M43</f>
        <v>0</v>
      </c>
      <c r="N42" s="52">
        <f>+'K. Opt4'!N116-N43</f>
        <v>0</v>
      </c>
      <c r="O42" s="52">
        <f>+'K. Opt4'!O116-O43</f>
        <v>0</v>
      </c>
      <c r="P42" s="52">
        <f>+'K. Opt4'!P116-P43</f>
        <v>0</v>
      </c>
      <c r="Q42" s="52">
        <f>+'K. Opt4'!Q116-Q43</f>
        <v>0</v>
      </c>
      <c r="R42" s="52">
        <f>+'K. Opt4'!R116-R43</f>
        <v>0</v>
      </c>
      <c r="S42" s="52">
        <f>+'K. Opt4'!S116-S43</f>
        <v>0</v>
      </c>
      <c r="T42" s="52">
        <f>+'K. Opt4'!T116-T43</f>
        <v>0</v>
      </c>
      <c r="U42" s="52">
        <f>+'K. Opt4'!U116-U43</f>
        <v>0</v>
      </c>
      <c r="V42" s="52">
        <f>+'K. Opt4'!V116-V43</f>
        <v>0</v>
      </c>
      <c r="W42" s="52">
        <f>+'K. Opt4'!W116-W43</f>
        <v>0</v>
      </c>
      <c r="X42" s="52">
        <f>+'K. Opt4'!X116-X43</f>
        <v>0</v>
      </c>
      <c r="Y42" s="52">
        <f>+'K. Opt4'!Y116-Y43</f>
        <v>0</v>
      </c>
      <c r="Z42" s="52">
        <f>+'K. Opt4'!Z116-Z43</f>
        <v>0</v>
      </c>
      <c r="AA42" s="52">
        <f>+'K. Opt4'!AA116-AA43</f>
        <v>0</v>
      </c>
    </row>
    <row r="43" spans="1:27" x14ac:dyDescent="0.3">
      <c r="A43" s="124" t="s">
        <v>172</v>
      </c>
      <c r="B43" s="363">
        <f>'K. Opt4'!B112</f>
        <v>219.21</v>
      </c>
      <c r="C43" s="52">
        <f>'K. Opt4'!C112</f>
        <v>221.08500000000001</v>
      </c>
      <c r="D43" s="52">
        <f>'K. Opt4'!D112</f>
        <v>223.00687500000001</v>
      </c>
      <c r="E43" s="52">
        <f>'K. Opt4'!E112</f>
        <v>224.97679687499999</v>
      </c>
      <c r="F43" s="52">
        <f>'K. Opt4'!F112</f>
        <v>0</v>
      </c>
      <c r="G43" s="52">
        <f>'K. Opt4'!G112</f>
        <v>0</v>
      </c>
      <c r="H43" s="52">
        <f>'K. Opt4'!H112</f>
        <v>0</v>
      </c>
      <c r="I43" s="52">
        <f>'K. Opt4'!I112</f>
        <v>0</v>
      </c>
      <c r="J43" s="52">
        <f>'K. Opt4'!J112</f>
        <v>0</v>
      </c>
      <c r="K43" s="52">
        <f>'K. Opt4'!K112</f>
        <v>0</v>
      </c>
      <c r="L43" s="52">
        <f>'K. Opt4'!L112</f>
        <v>0</v>
      </c>
      <c r="M43" s="52">
        <f>'K. Opt4'!M112</f>
        <v>0</v>
      </c>
      <c r="N43" s="52">
        <f>'K. Opt4'!N112</f>
        <v>0</v>
      </c>
      <c r="O43" s="52">
        <f>'K. Opt4'!O112</f>
        <v>0</v>
      </c>
      <c r="P43" s="52">
        <f>'K. Opt4'!P112</f>
        <v>0</v>
      </c>
      <c r="Q43" s="52">
        <f>'K. Opt4'!Q112</f>
        <v>0</v>
      </c>
      <c r="R43" s="52">
        <f>'K. Opt4'!R112</f>
        <v>0</v>
      </c>
      <c r="S43" s="52">
        <f>'K. Opt4'!S112</f>
        <v>0</v>
      </c>
      <c r="T43" s="52">
        <f>'K. Opt4'!T112</f>
        <v>0</v>
      </c>
      <c r="U43" s="52">
        <f>'K. Opt4'!U112</f>
        <v>0</v>
      </c>
      <c r="V43" s="52">
        <f>'K. Opt4'!V112</f>
        <v>0</v>
      </c>
      <c r="W43" s="52">
        <f>'K. Opt4'!W112</f>
        <v>0</v>
      </c>
      <c r="X43" s="52">
        <f>'K. Opt4'!X112</f>
        <v>0</v>
      </c>
      <c r="Y43" s="52">
        <f>'K. Opt4'!Y112</f>
        <v>0</v>
      </c>
      <c r="Z43" s="52">
        <f>'K. Opt4'!Z112</f>
        <v>0</v>
      </c>
      <c r="AA43" s="52">
        <f>'K. Opt4'!AA112</f>
        <v>0</v>
      </c>
    </row>
    <row r="44" spans="1:27" x14ac:dyDescent="0.3">
      <c r="A44" s="124" t="s">
        <v>439</v>
      </c>
      <c r="B44" s="52">
        <f>+'K. Opt4'!B139</f>
        <v>1056.5775000000001</v>
      </c>
      <c r="C44" s="52">
        <f>+'K. Opt4'!C139</f>
        <v>1069.2564299999999</v>
      </c>
      <c r="D44" s="52">
        <f>+'K. Opt4'!D139</f>
        <v>1082.0875071599999</v>
      </c>
      <c r="E44" s="52">
        <f>+'K. Opt4'!E139</f>
        <v>1095.0725572459201</v>
      </c>
      <c r="F44" s="52">
        <f>+'K. Opt4'!F139</f>
        <v>1108.2134279328711</v>
      </c>
      <c r="G44" s="52">
        <f>+'K. Opt4'!G139</f>
        <v>1121.5119890680653</v>
      </c>
      <c r="H44" s="52">
        <f>+'K. Opt4'!H139</f>
        <v>1134.970132936882</v>
      </c>
      <c r="I44" s="52">
        <f>+'K. Opt4'!I139</f>
        <v>1148.5897745321249</v>
      </c>
      <c r="J44" s="52">
        <f>+'K. Opt4'!J139</f>
        <v>1162.3728518265104</v>
      </c>
      <c r="K44" s="52">
        <f>+'K. Opt4'!K139</f>
        <v>1176.3213260484285</v>
      </c>
      <c r="L44" s="52">
        <f>+'K. Opt4'!L139</f>
        <v>1190.4371819610096</v>
      </c>
      <c r="M44" s="52">
        <f>+'K. Opt4'!M139</f>
        <v>1204.7224281445417</v>
      </c>
      <c r="N44" s="52">
        <f>+'K. Opt4'!N139</f>
        <v>1219.1790972822762</v>
      </c>
      <c r="O44" s="52">
        <f>+'K. Opt4'!O139</f>
        <v>1233.8092464496635</v>
      </c>
      <c r="P44" s="52">
        <f>+'K. Opt4'!P139</f>
        <v>1248.6149574070594</v>
      </c>
      <c r="Q44" s="52">
        <f>+'K. Opt4'!Q139</f>
        <v>1263.5983368959444</v>
      </c>
      <c r="R44" s="52">
        <f>+'K. Opt4'!R139</f>
        <v>1278.7615169386956</v>
      </c>
      <c r="S44" s="52">
        <f>+'K. Opt4'!S139</f>
        <v>1294.1066551419599</v>
      </c>
      <c r="T44" s="52">
        <f>+'K. Opt4'!T139</f>
        <v>1309.6359350036632</v>
      </c>
      <c r="U44" s="52">
        <f>+'K. Opt4'!U139</f>
        <v>1325.3515662237073</v>
      </c>
      <c r="V44" s="52">
        <f>+'K. Opt4'!V139</f>
        <v>1341.2557850183916</v>
      </c>
      <c r="W44" s="52">
        <f>+'K. Opt4'!W139</f>
        <v>1357.3508544386127</v>
      </c>
      <c r="X44" s="52">
        <f>+'K. Opt4'!X139</f>
        <v>1373.6390646918758</v>
      </c>
      <c r="Y44" s="52">
        <f>+'K. Opt4'!Y139</f>
        <v>1390.1227334681787</v>
      </c>
      <c r="Z44" s="52">
        <f>+'K. Opt4'!Z139</f>
        <v>1406.8042062697966</v>
      </c>
      <c r="AA44" s="52">
        <f>+'K. Opt4'!AA139</f>
        <v>1423.685856745034</v>
      </c>
    </row>
    <row r="45" spans="1:27" x14ac:dyDescent="0.3">
      <c r="A45" s="124" t="s">
        <v>171</v>
      </c>
      <c r="B45" s="52">
        <f>+'K. Opt4'!B151</f>
        <v>283.42</v>
      </c>
      <c r="C45" s="52">
        <f>+'K. Opt4'!C151</f>
        <v>283.42</v>
      </c>
      <c r="D45" s="52">
        <f>+'K. Opt4'!D151</f>
        <v>283.42</v>
      </c>
      <c r="E45" s="52">
        <f>+'K. Opt4'!E151</f>
        <v>283.42</v>
      </c>
      <c r="F45" s="52">
        <f>+'K. Opt4'!F151</f>
        <v>283.42</v>
      </c>
      <c r="G45" s="52">
        <f>+'K. Opt4'!G151</f>
        <v>141.71</v>
      </c>
      <c r="H45" s="52">
        <f>+'K. Opt4'!H151</f>
        <v>141.71</v>
      </c>
      <c r="I45" s="52">
        <f>+'K. Opt4'!I151</f>
        <v>141.71</v>
      </c>
      <c r="J45" s="52">
        <f>+'K. Opt4'!J151</f>
        <v>141.71</v>
      </c>
      <c r="K45" s="52">
        <f>+'K. Opt4'!K151</f>
        <v>141.71</v>
      </c>
      <c r="L45" s="52">
        <f>+'K. Opt4'!L151</f>
        <v>141.71</v>
      </c>
      <c r="M45" s="52">
        <f>+'K. Opt4'!M151</f>
        <v>141.71</v>
      </c>
      <c r="N45" s="52">
        <f>+'K. Opt4'!N151</f>
        <v>141.71</v>
      </c>
      <c r="O45" s="52">
        <f>+'K. Opt4'!O151</f>
        <v>141.71</v>
      </c>
      <c r="P45" s="52">
        <f>+'K. Opt4'!P151</f>
        <v>141.71</v>
      </c>
      <c r="Q45" s="52">
        <f>+'K. Opt4'!Q151</f>
        <v>141.71</v>
      </c>
      <c r="R45" s="52">
        <f>+'K. Opt4'!R151</f>
        <v>141.71</v>
      </c>
      <c r="S45" s="52">
        <f>+'K. Opt4'!S151</f>
        <v>141.71</v>
      </c>
      <c r="T45" s="52">
        <f>+'K. Opt4'!T151</f>
        <v>141.71</v>
      </c>
      <c r="U45" s="52">
        <f>+'K. Opt4'!U151</f>
        <v>141.71</v>
      </c>
      <c r="V45" s="52">
        <f>+'K. Opt4'!V151</f>
        <v>141.71</v>
      </c>
      <c r="W45" s="52">
        <f>+'K. Opt4'!W151</f>
        <v>141.71</v>
      </c>
      <c r="X45" s="52">
        <f>+'K. Opt4'!X151</f>
        <v>141.71</v>
      </c>
      <c r="Y45" s="52">
        <f>+'K. Opt4'!Y151</f>
        <v>141.71</v>
      </c>
      <c r="Z45" s="52">
        <f>+'K. Opt4'!Z151</f>
        <v>141.71</v>
      </c>
      <c r="AA45" s="52">
        <f>+'K. Opt4'!AA151</f>
        <v>141.71</v>
      </c>
    </row>
    <row r="46" spans="1:27" x14ac:dyDescent="0.3">
      <c r="A46" s="1" t="s">
        <v>17</v>
      </c>
      <c r="B46" s="25">
        <f t="shared" ref="B46:AA46" si="6">+SUM(B40:B45)</f>
        <v>14125.563877509963</v>
      </c>
      <c r="C46" s="25">
        <f t="shared" si="6"/>
        <v>2752.6818889380756</v>
      </c>
      <c r="D46" s="25">
        <f t="shared" si="6"/>
        <v>2780.1441341181826</v>
      </c>
      <c r="E46" s="25">
        <f t="shared" si="6"/>
        <v>2807.9552909875943</v>
      </c>
      <c r="F46" s="25">
        <f t="shared" si="6"/>
        <v>2749.1241413592506</v>
      </c>
      <c r="G46" s="25">
        <f t="shared" si="6"/>
        <v>2493.8677901604206</v>
      </c>
      <c r="H46" s="25">
        <f t="shared" si="6"/>
        <v>2520.6330721771792</v>
      </c>
      <c r="I46" s="25">
        <f t="shared" si="6"/>
        <v>2547.7136619297298</v>
      </c>
      <c r="J46" s="25">
        <f t="shared" si="6"/>
        <v>2575.1132773036379</v>
      </c>
      <c r="K46" s="25">
        <f t="shared" si="6"/>
        <v>2602.8356800620577</v>
      </c>
      <c r="L46" s="25">
        <f t="shared" si="6"/>
        <v>2630.8846763640036</v>
      </c>
      <c r="M46" s="25">
        <f t="shared" si="6"/>
        <v>2659.2641172887538</v>
      </c>
      <c r="N46" s="25">
        <f t="shared" si="6"/>
        <v>2687.9778993664549</v>
      </c>
      <c r="O46" s="25">
        <f t="shared" si="6"/>
        <v>2717.0299651149953</v>
      </c>
      <c r="P46" s="25">
        <f t="shared" si="6"/>
        <v>2746.4243035832269</v>
      </c>
      <c r="Q46" s="25">
        <f t="shared" si="6"/>
        <v>2776.1649509006102</v>
      </c>
      <c r="R46" s="25">
        <f t="shared" si="6"/>
        <v>2806.2559908333551</v>
      </c>
      <c r="S46" s="25">
        <f t="shared" si="6"/>
        <v>2836.7015553471383</v>
      </c>
      <c r="T46" s="25">
        <f t="shared" si="6"/>
        <v>2867.5058251764735</v>
      </c>
      <c r="U46" s="25">
        <f t="shared" si="6"/>
        <v>2898.6730304008106</v>
      </c>
      <c r="V46" s="25">
        <f t="shared" si="6"/>
        <v>2930.2074510274488</v>
      </c>
      <c r="W46" s="25">
        <f t="shared" si="6"/>
        <v>2962.1134175813395</v>
      </c>
      <c r="X46" s="25">
        <f t="shared" si="6"/>
        <v>2994.3953117018609</v>
      </c>
      <c r="Y46" s="25">
        <f t="shared" si="6"/>
        <v>3027.0575667466574</v>
      </c>
      <c r="Z46" s="25">
        <f t="shared" si="6"/>
        <v>3060.1046684025987</v>
      </c>
      <c r="AA46" s="25">
        <f t="shared" si="6"/>
        <v>3093.541155303988</v>
      </c>
    </row>
    <row r="47" spans="1:27" x14ac:dyDescent="0.3">
      <c r="A47" s="4" t="s">
        <v>79</v>
      </c>
      <c r="B47" s="171">
        <f>NPV(B4,C46:AA46)+B46</f>
        <v>63500.034317195503</v>
      </c>
      <c r="C47" s="364" t="s">
        <v>396</v>
      </c>
      <c r="D47" s="365">
        <f>SUM(B46:AA46)-SUM('K. Opt4'!B15:AA15)</f>
        <v>0</v>
      </c>
    </row>
    <row r="48" spans="1:27" ht="5.25" customHeight="1" x14ac:dyDescent="0.3">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6234-89CD-4D50-A1F4-FD1CF78C5C68}">
  <sheetPr>
    <tabColor rgb="FF7030A0"/>
  </sheetPr>
  <dimension ref="A1:AB162"/>
  <sheetViews>
    <sheetView showGridLines="0" zoomScale="80" zoomScaleNormal="80" workbookViewId="0">
      <selection activeCell="F95" sqref="F95"/>
    </sheetView>
  </sheetViews>
  <sheetFormatPr defaultColWidth="8.77734375" defaultRowHeight="14.4" x14ac:dyDescent="0.3"/>
  <cols>
    <col min="1" max="1" width="44.109375" style="124" customWidth="1"/>
    <col min="2" max="2" width="9.44140625" style="124" customWidth="1"/>
    <col min="3" max="16384" width="8.77734375" style="124"/>
  </cols>
  <sheetData>
    <row r="1" spans="1:28" ht="21" x14ac:dyDescent="0.4">
      <c r="A1" s="2" t="str">
        <f>'Inputs &amp; Summary'!B66</f>
        <v>Keysborough: Do nothing</v>
      </c>
    </row>
    <row r="2" spans="1:28" x14ac:dyDescent="0.3">
      <c r="A2" s="10" t="str">
        <f>'Inputs &amp; Summary'!B5</f>
        <v>All values shown are costs, expressed in $000 as at June 2021 unless otherwise stated.</v>
      </c>
      <c r="B2" s="4"/>
      <c r="C2" s="1"/>
      <c r="D2" s="1"/>
      <c r="E2" s="1"/>
      <c r="F2" s="93" t="s">
        <v>134</v>
      </c>
      <c r="G2" s="96"/>
      <c r="H2" s="96"/>
      <c r="I2" s="96"/>
      <c r="J2" s="96"/>
      <c r="K2" s="96"/>
      <c r="L2" s="96"/>
      <c r="M2" s="96"/>
      <c r="N2" s="96"/>
      <c r="O2" s="96"/>
      <c r="P2" s="97"/>
      <c r="Q2" s="1"/>
      <c r="R2" s="1"/>
      <c r="S2" s="1"/>
      <c r="T2" s="1"/>
      <c r="U2" s="1"/>
      <c r="V2" s="1"/>
      <c r="W2" s="1"/>
      <c r="X2" s="1"/>
      <c r="Y2" s="1"/>
      <c r="Z2" s="1"/>
      <c r="AA2" s="1"/>
      <c r="AB2" s="1"/>
    </row>
    <row r="3" spans="1:28" x14ac:dyDescent="0.3">
      <c r="A3" s="10"/>
      <c r="B3" s="4"/>
      <c r="C3" s="1"/>
      <c r="D3" s="1"/>
      <c r="E3" s="1"/>
      <c r="F3" s="85" t="s">
        <v>135</v>
      </c>
      <c r="G3" s="71"/>
      <c r="H3" s="71"/>
      <c r="I3" s="71"/>
      <c r="J3" s="71"/>
      <c r="K3" s="71"/>
      <c r="L3" s="71"/>
      <c r="M3" s="71"/>
      <c r="N3" s="71"/>
      <c r="O3" s="71"/>
      <c r="P3" s="98"/>
      <c r="Q3" s="1"/>
      <c r="R3" s="1"/>
      <c r="S3" s="1"/>
      <c r="T3" s="1"/>
      <c r="U3" s="1"/>
      <c r="V3" s="1"/>
      <c r="W3" s="1"/>
      <c r="X3" s="1"/>
      <c r="Y3" s="1"/>
      <c r="Z3" s="1"/>
      <c r="AA3" s="1"/>
      <c r="AB3" s="1"/>
    </row>
    <row r="5" spans="1:28" ht="18" x14ac:dyDescent="0.35">
      <c r="A5" s="94" t="s">
        <v>117</v>
      </c>
      <c r="B5" s="95"/>
      <c r="C5" s="95"/>
      <c r="D5" s="95"/>
      <c r="E5" s="95"/>
      <c r="F5" s="95"/>
      <c r="G5" s="95"/>
      <c r="H5" s="95"/>
      <c r="I5" s="95"/>
      <c r="J5" s="95"/>
      <c r="K5" s="95"/>
      <c r="L5" s="95"/>
      <c r="M5" s="95"/>
      <c r="N5" s="95"/>
      <c r="O5" s="95"/>
      <c r="P5" s="95"/>
      <c r="Q5" s="95"/>
      <c r="R5" s="95"/>
      <c r="S5" s="95"/>
      <c r="T5" s="95"/>
      <c r="U5" s="95"/>
      <c r="V5" s="95"/>
      <c r="W5" s="95"/>
      <c r="X5" s="95"/>
      <c r="Y5" s="95"/>
      <c r="Z5" s="95"/>
      <c r="AA5" s="95"/>
    </row>
    <row r="6" spans="1:28" x14ac:dyDescent="0.3">
      <c r="A6" s="3" t="s">
        <v>3</v>
      </c>
      <c r="B6" s="124">
        <v>0</v>
      </c>
      <c r="C6" s="124">
        <f t="shared" ref="C6:AA6" si="0">+B6+1</f>
        <v>1</v>
      </c>
      <c r="D6" s="124">
        <f t="shared" si="0"/>
        <v>2</v>
      </c>
      <c r="E6" s="124">
        <f t="shared" si="0"/>
        <v>3</v>
      </c>
      <c r="F6" s="124">
        <f t="shared" si="0"/>
        <v>4</v>
      </c>
      <c r="G6" s="124">
        <f t="shared" si="0"/>
        <v>5</v>
      </c>
      <c r="H6" s="124">
        <f t="shared" si="0"/>
        <v>6</v>
      </c>
      <c r="I6" s="124">
        <f t="shared" si="0"/>
        <v>7</v>
      </c>
      <c r="J6" s="124">
        <f t="shared" si="0"/>
        <v>8</v>
      </c>
      <c r="K6" s="124">
        <f t="shared" si="0"/>
        <v>9</v>
      </c>
      <c r="L6" s="124">
        <f t="shared" si="0"/>
        <v>10</v>
      </c>
      <c r="M6" s="124">
        <f t="shared" si="0"/>
        <v>11</v>
      </c>
      <c r="N6" s="124">
        <f t="shared" si="0"/>
        <v>12</v>
      </c>
      <c r="O6" s="124">
        <f t="shared" si="0"/>
        <v>13</v>
      </c>
      <c r="P6" s="124">
        <f t="shared" si="0"/>
        <v>14</v>
      </c>
      <c r="Q6" s="124">
        <f t="shared" si="0"/>
        <v>15</v>
      </c>
      <c r="R6" s="124">
        <f t="shared" si="0"/>
        <v>16</v>
      </c>
      <c r="S6" s="124">
        <f t="shared" si="0"/>
        <v>17</v>
      </c>
      <c r="T6" s="124">
        <f t="shared" si="0"/>
        <v>18</v>
      </c>
      <c r="U6" s="124">
        <f t="shared" si="0"/>
        <v>19</v>
      </c>
      <c r="V6" s="124">
        <f t="shared" si="0"/>
        <v>20</v>
      </c>
      <c r="W6" s="124">
        <f t="shared" si="0"/>
        <v>21</v>
      </c>
      <c r="X6" s="124">
        <f t="shared" si="0"/>
        <v>22</v>
      </c>
      <c r="Y6" s="124">
        <f t="shared" si="0"/>
        <v>23</v>
      </c>
      <c r="Z6" s="124">
        <f t="shared" si="0"/>
        <v>24</v>
      </c>
      <c r="AA6" s="124">
        <f t="shared" si="0"/>
        <v>25</v>
      </c>
    </row>
    <row r="7" spans="1:28" x14ac:dyDescent="0.3">
      <c r="A7" s="175" t="s">
        <v>400</v>
      </c>
      <c r="B7" s="174">
        <v>2021</v>
      </c>
      <c r="C7" s="174">
        <f t="shared" ref="C7:AA7" si="1">+B7+1</f>
        <v>2022</v>
      </c>
      <c r="D7" s="174">
        <f t="shared" si="1"/>
        <v>2023</v>
      </c>
      <c r="E7" s="174">
        <f t="shared" si="1"/>
        <v>2024</v>
      </c>
      <c r="F7" s="174">
        <f t="shared" si="1"/>
        <v>2025</v>
      </c>
      <c r="G7" s="174">
        <f t="shared" si="1"/>
        <v>2026</v>
      </c>
      <c r="H7" s="174">
        <f t="shared" si="1"/>
        <v>2027</v>
      </c>
      <c r="I7" s="174">
        <f t="shared" si="1"/>
        <v>2028</v>
      </c>
      <c r="J7" s="174">
        <f t="shared" si="1"/>
        <v>2029</v>
      </c>
      <c r="K7" s="174">
        <f t="shared" si="1"/>
        <v>2030</v>
      </c>
      <c r="L7" s="174">
        <f t="shared" si="1"/>
        <v>2031</v>
      </c>
      <c r="M7" s="174">
        <f t="shared" si="1"/>
        <v>2032</v>
      </c>
      <c r="N7" s="174">
        <f t="shared" si="1"/>
        <v>2033</v>
      </c>
      <c r="O7" s="174">
        <f t="shared" si="1"/>
        <v>2034</v>
      </c>
      <c r="P7" s="174">
        <f t="shared" si="1"/>
        <v>2035</v>
      </c>
      <c r="Q7" s="174">
        <f t="shared" si="1"/>
        <v>2036</v>
      </c>
      <c r="R7" s="174">
        <f t="shared" si="1"/>
        <v>2037</v>
      </c>
      <c r="S7" s="174">
        <f t="shared" si="1"/>
        <v>2038</v>
      </c>
      <c r="T7" s="174">
        <f t="shared" si="1"/>
        <v>2039</v>
      </c>
      <c r="U7" s="174">
        <f t="shared" si="1"/>
        <v>2040</v>
      </c>
      <c r="V7" s="174">
        <f t="shared" si="1"/>
        <v>2041</v>
      </c>
      <c r="W7" s="174">
        <f t="shared" si="1"/>
        <v>2042</v>
      </c>
      <c r="X7" s="174">
        <f t="shared" si="1"/>
        <v>2043</v>
      </c>
      <c r="Y7" s="174">
        <f t="shared" si="1"/>
        <v>2044</v>
      </c>
      <c r="Z7" s="174">
        <f t="shared" si="1"/>
        <v>2045</v>
      </c>
      <c r="AA7" s="174">
        <f t="shared" si="1"/>
        <v>2046</v>
      </c>
    </row>
    <row r="8" spans="1:28" x14ac:dyDescent="0.3">
      <c r="A8" s="124" t="str">
        <f>+A19</f>
        <v>(A) Cost of inadequate depot capacity</v>
      </c>
      <c r="B8" s="73">
        <f t="shared" ref="B8:AA8" si="2">+B50</f>
        <v>335.21793875498207</v>
      </c>
      <c r="C8" s="73">
        <f t="shared" si="2"/>
        <v>338.77077966903789</v>
      </c>
      <c r="D8" s="73">
        <f t="shared" si="2"/>
        <v>342.36341240133112</v>
      </c>
      <c r="E8" s="73">
        <f t="shared" si="2"/>
        <v>345.99628262022611</v>
      </c>
      <c r="F8" s="73">
        <f t="shared" si="2"/>
        <v>349.66984098557265</v>
      </c>
      <c r="G8" s="73">
        <f t="shared" si="2"/>
        <v>353.38454320461102</v>
      </c>
      <c r="H8" s="73">
        <f t="shared" si="2"/>
        <v>357.1408500885027</v>
      </c>
      <c r="I8" s="73">
        <f t="shared" si="2"/>
        <v>360.93922760949403</v>
      </c>
      <c r="J8" s="73">
        <f t="shared" si="2"/>
        <v>364.78014695872031</v>
      </c>
      <c r="K8" s="73">
        <f t="shared" si="2"/>
        <v>368.66408460465806</v>
      </c>
      <c r="L8" s="73">
        <f t="shared" si="2"/>
        <v>372.59152235223024</v>
      </c>
      <c r="M8" s="73">
        <f t="shared" si="2"/>
        <v>376.56294740257522</v>
      </c>
      <c r="N8" s="73">
        <f t="shared" si="2"/>
        <v>380.57885241348407</v>
      </c>
      <c r="O8" s="73">
        <f t="shared" si="2"/>
        <v>384.63973556051513</v>
      </c>
      <c r="P8" s="73">
        <f t="shared" si="2"/>
        <v>388.74610059879296</v>
      </c>
      <c r="Q8" s="73">
        <f t="shared" si="2"/>
        <v>392.89845692549954</v>
      </c>
      <c r="R8" s="73">
        <f t="shared" si="2"/>
        <v>397.09731964306508</v>
      </c>
      <c r="S8" s="73">
        <f t="shared" si="2"/>
        <v>401.34320962306742</v>
      </c>
      <c r="T8" s="73">
        <f t="shared" si="2"/>
        <v>405.63665357084579</v>
      </c>
      <c r="U8" s="73">
        <f t="shared" si="2"/>
        <v>409.97818409083931</v>
      </c>
      <c r="V8" s="73">
        <f t="shared" si="2"/>
        <v>414.36833975265677</v>
      </c>
      <c r="W8" s="73">
        <f t="shared" si="2"/>
        <v>418.8076651578865</v>
      </c>
      <c r="X8" s="73">
        <f t="shared" si="2"/>
        <v>423.29671100765495</v>
      </c>
      <c r="Y8" s="73">
        <f t="shared" si="2"/>
        <v>427.83603417094071</v>
      </c>
      <c r="Z8" s="73">
        <f t="shared" si="2"/>
        <v>432.42619775365517</v>
      </c>
      <c r="AA8" s="73">
        <f t="shared" si="2"/>
        <v>437.06777116849622</v>
      </c>
    </row>
    <row r="9" spans="1:28" x14ac:dyDescent="0.3">
      <c r="A9" s="124" t="str">
        <f>+A52</f>
        <v>(B) Cost of inadequate storage</v>
      </c>
      <c r="B9" s="73">
        <f t="shared" ref="B9:AA9" si="3">+B87</f>
        <v>831.13843875498208</v>
      </c>
      <c r="C9" s="73">
        <f t="shared" si="3"/>
        <v>840.14967926903796</v>
      </c>
      <c r="D9" s="73">
        <f t="shared" si="3"/>
        <v>849.26633955685122</v>
      </c>
      <c r="E9" s="73">
        <f t="shared" si="3"/>
        <v>858.48965424644803</v>
      </c>
      <c r="F9" s="73">
        <f t="shared" si="3"/>
        <v>867.82087244080685</v>
      </c>
      <c r="G9" s="73">
        <f t="shared" si="3"/>
        <v>877.26125788774425</v>
      </c>
      <c r="H9" s="73">
        <f t="shared" si="3"/>
        <v>886.81208915179445</v>
      </c>
      <c r="I9" s="73">
        <f t="shared" si="3"/>
        <v>896.47465978811078</v>
      </c>
      <c r="J9" s="73">
        <f t="shared" si="3"/>
        <v>906.2502785184073</v>
      </c>
      <c r="K9" s="73">
        <f t="shared" si="3"/>
        <v>916.14026940897133</v>
      </c>
      <c r="L9" s="73">
        <f t="shared" si="3"/>
        <v>926.14597205076359</v>
      </c>
      <c r="M9" s="73">
        <f t="shared" si="3"/>
        <v>936.26874174163675</v>
      </c>
      <c r="N9" s="73">
        <f t="shared" si="3"/>
        <v>946.5099496706946</v>
      </c>
      <c r="O9" s="73">
        <f t="shared" si="3"/>
        <v>956.87098310481656</v>
      </c>
      <c r="P9" s="73">
        <f t="shared" si="3"/>
        <v>967.35324557737431</v>
      </c>
      <c r="Q9" s="73">
        <f t="shared" si="3"/>
        <v>977.95815707916643</v>
      </c>
      <c r="R9" s="73">
        <f t="shared" si="3"/>
        <v>988.68715425159417</v>
      </c>
      <c r="S9" s="73">
        <f t="shared" si="3"/>
        <v>999.54169058211085</v>
      </c>
      <c r="T9" s="73">
        <f t="shared" si="3"/>
        <v>1010.5232366019642</v>
      </c>
      <c r="U9" s="73">
        <f t="shared" si="3"/>
        <v>1021.6332800862639</v>
      </c>
      <c r="V9" s="73">
        <f t="shared" si="3"/>
        <v>1032.8733262564001</v>
      </c>
      <c r="W9" s="73">
        <f t="shared" si="3"/>
        <v>1044.2448979848398</v>
      </c>
      <c r="X9" s="73">
        <f t="shared" si="3"/>
        <v>1055.7495360023304</v>
      </c>
      <c r="Y9" s="73">
        <f t="shared" si="3"/>
        <v>1067.3887991075378</v>
      </c>
      <c r="Z9" s="73">
        <f t="shared" si="3"/>
        <v>1079.164264379147</v>
      </c>
      <c r="AA9" s="73">
        <f t="shared" si="3"/>
        <v>1091.0775273904576</v>
      </c>
    </row>
    <row r="10" spans="1:28" x14ac:dyDescent="0.3">
      <c r="A10" s="124" t="str">
        <f>+A89</f>
        <v xml:space="preserve">(C) Cost of not addressing structural issues </v>
      </c>
      <c r="B10" s="73">
        <f t="shared" ref="B10:AA10" si="4">+B112</f>
        <v>219.21</v>
      </c>
      <c r="C10" s="73">
        <f t="shared" si="4"/>
        <v>221.08500000000001</v>
      </c>
      <c r="D10" s="73">
        <f t="shared" si="4"/>
        <v>223.00687500000001</v>
      </c>
      <c r="E10" s="73">
        <f t="shared" si="4"/>
        <v>224.97679687499999</v>
      </c>
      <c r="F10" s="73">
        <f t="shared" si="4"/>
        <v>366.995966796875</v>
      </c>
      <c r="G10" s="73">
        <f t="shared" si="4"/>
        <v>229.06561596679686</v>
      </c>
      <c r="H10" s="73">
        <f t="shared" si="4"/>
        <v>231.18700636596677</v>
      </c>
      <c r="I10" s="73">
        <f t="shared" si="4"/>
        <v>233.36143152511596</v>
      </c>
      <c r="J10" s="73">
        <f t="shared" si="4"/>
        <v>235.59021731324384</v>
      </c>
      <c r="K10" s="73">
        <f t="shared" si="4"/>
        <v>237.87472274607489</v>
      </c>
      <c r="L10" s="73">
        <f t="shared" si="4"/>
        <v>240.21634081472678</v>
      </c>
      <c r="M10" s="73">
        <f t="shared" si="4"/>
        <v>242.61649933509494</v>
      </c>
      <c r="N10" s="73">
        <f t="shared" si="4"/>
        <v>245.0766618184723</v>
      </c>
      <c r="O10" s="73">
        <f t="shared" si="4"/>
        <v>247.59832836393412</v>
      </c>
      <c r="P10" s="73">
        <f t="shared" si="4"/>
        <v>250.18303657303247</v>
      </c>
      <c r="Q10" s="73">
        <f t="shared" si="4"/>
        <v>252.8323624873583</v>
      </c>
      <c r="R10" s="73">
        <f t="shared" si="4"/>
        <v>255.54792154954225</v>
      </c>
      <c r="S10" s="73">
        <f t="shared" si="4"/>
        <v>258.33136958828078</v>
      </c>
      <c r="T10" s="73">
        <f t="shared" si="4"/>
        <v>261.18440382798781</v>
      </c>
      <c r="U10" s="73">
        <f t="shared" si="4"/>
        <v>264.10876392368749</v>
      </c>
      <c r="V10" s="73">
        <f t="shared" si="4"/>
        <v>267.10623302177964</v>
      </c>
      <c r="W10" s="73">
        <f t="shared" si="4"/>
        <v>270.17863884732412</v>
      </c>
      <c r="X10" s="73">
        <f t="shared" si="4"/>
        <v>273.32785481850726</v>
      </c>
      <c r="Y10" s="73">
        <f t="shared" si="4"/>
        <v>276.55580118896995</v>
      </c>
      <c r="Z10" s="73">
        <f t="shared" si="4"/>
        <v>279.86444621869418</v>
      </c>
      <c r="AA10" s="73">
        <f t="shared" si="4"/>
        <v>283.25580737416152</v>
      </c>
    </row>
    <row r="11" spans="1:28" x14ac:dyDescent="0.3">
      <c r="A11" s="124" t="str">
        <f>+A114</f>
        <v>(D) Costs of outdated facilities</v>
      </c>
      <c r="B11" s="73">
        <f t="shared" ref="B11:AA11" si="5">+B136</f>
        <v>1346.3550000000002</v>
      </c>
      <c r="C11" s="73">
        <f t="shared" si="5"/>
        <v>1362.5112600000002</v>
      </c>
      <c r="D11" s="73">
        <f t="shared" si="5"/>
        <v>1378.86139512</v>
      </c>
      <c r="E11" s="73">
        <f t="shared" si="5"/>
        <v>1395.4077318614402</v>
      </c>
      <c r="F11" s="73">
        <f t="shared" si="5"/>
        <v>1412.1526246437775</v>
      </c>
      <c r="G11" s="73">
        <f t="shared" si="5"/>
        <v>1429.0984561395028</v>
      </c>
      <c r="H11" s="73">
        <f t="shared" si="5"/>
        <v>1446.2476376131767</v>
      </c>
      <c r="I11" s="73">
        <f t="shared" si="5"/>
        <v>1463.602609264535</v>
      </c>
      <c r="J11" s="73">
        <f t="shared" si="5"/>
        <v>1481.1658405757094</v>
      </c>
      <c r="K11" s="73">
        <f t="shared" si="5"/>
        <v>1498.9398306626179</v>
      </c>
      <c r="L11" s="73">
        <f t="shared" si="5"/>
        <v>1516.9271086305694</v>
      </c>
      <c r="M11" s="73">
        <f t="shared" si="5"/>
        <v>1535.130233934136</v>
      </c>
      <c r="N11" s="73">
        <f t="shared" si="5"/>
        <v>1553.5517967413457</v>
      </c>
      <c r="O11" s="73">
        <f t="shared" si="5"/>
        <v>1572.1944183022417</v>
      </c>
      <c r="P11" s="73">
        <f t="shared" si="5"/>
        <v>1591.0607513218686</v>
      </c>
      <c r="Q11" s="73">
        <f t="shared" si="5"/>
        <v>1610.1534803377313</v>
      </c>
      <c r="R11" s="73">
        <f t="shared" si="5"/>
        <v>1629.4753221017841</v>
      </c>
      <c r="S11" s="73">
        <f t="shared" si="5"/>
        <v>1649.0290259670055</v>
      </c>
      <c r="T11" s="73">
        <f t="shared" si="5"/>
        <v>1668.8173742786093</v>
      </c>
      <c r="U11" s="73">
        <f t="shared" si="5"/>
        <v>1688.8431827699528</v>
      </c>
      <c r="V11" s="73">
        <f t="shared" si="5"/>
        <v>1709.109300963192</v>
      </c>
      <c r="W11" s="73">
        <f t="shared" si="5"/>
        <v>1729.6186125747504</v>
      </c>
      <c r="X11" s="73">
        <f t="shared" si="5"/>
        <v>1750.3740359256471</v>
      </c>
      <c r="Y11" s="73">
        <f t="shared" si="5"/>
        <v>1771.3785243567554</v>
      </c>
      <c r="Z11" s="73">
        <f t="shared" si="5"/>
        <v>1792.6350666490362</v>
      </c>
      <c r="AA11" s="73">
        <f t="shared" si="5"/>
        <v>1814.1466874488247</v>
      </c>
    </row>
    <row r="12" spans="1:28" x14ac:dyDescent="0.3">
      <c r="A12" s="124" t="str">
        <f>+A138</f>
        <v>(E) Costs of not addressing safety risks</v>
      </c>
      <c r="B12" s="73">
        <f t="shared" ref="B12:AA12" si="6">+B162</f>
        <v>283.42</v>
      </c>
      <c r="C12" s="73">
        <f t="shared" si="6"/>
        <v>283.42</v>
      </c>
      <c r="D12" s="73">
        <f t="shared" si="6"/>
        <v>283.42</v>
      </c>
      <c r="E12" s="73">
        <f t="shared" si="6"/>
        <v>283.42</v>
      </c>
      <c r="F12" s="73">
        <f t="shared" si="6"/>
        <v>283.42</v>
      </c>
      <c r="G12" s="73">
        <f t="shared" si="6"/>
        <v>283.42</v>
      </c>
      <c r="H12" s="73">
        <f t="shared" si="6"/>
        <v>283.42</v>
      </c>
      <c r="I12" s="73">
        <f t="shared" si="6"/>
        <v>283.42</v>
      </c>
      <c r="J12" s="73">
        <f t="shared" si="6"/>
        <v>283.42</v>
      </c>
      <c r="K12" s="73">
        <f t="shared" si="6"/>
        <v>283.42</v>
      </c>
      <c r="L12" s="73">
        <f t="shared" si="6"/>
        <v>283.42</v>
      </c>
      <c r="M12" s="73">
        <f t="shared" si="6"/>
        <v>283.42</v>
      </c>
      <c r="N12" s="73">
        <f t="shared" si="6"/>
        <v>283.42</v>
      </c>
      <c r="O12" s="73">
        <f t="shared" si="6"/>
        <v>283.42</v>
      </c>
      <c r="P12" s="73">
        <f t="shared" si="6"/>
        <v>283.42</v>
      </c>
      <c r="Q12" s="73">
        <f t="shared" si="6"/>
        <v>283.42</v>
      </c>
      <c r="R12" s="73">
        <f t="shared" si="6"/>
        <v>283.42</v>
      </c>
      <c r="S12" s="73">
        <f t="shared" si="6"/>
        <v>283.42</v>
      </c>
      <c r="T12" s="73">
        <f t="shared" si="6"/>
        <v>283.42</v>
      </c>
      <c r="U12" s="73">
        <f t="shared" si="6"/>
        <v>283.42</v>
      </c>
      <c r="V12" s="73">
        <f t="shared" si="6"/>
        <v>283.42</v>
      </c>
      <c r="W12" s="73">
        <f t="shared" si="6"/>
        <v>283.42</v>
      </c>
      <c r="X12" s="73">
        <f t="shared" si="6"/>
        <v>283.42</v>
      </c>
      <c r="Y12" s="73">
        <f t="shared" si="6"/>
        <v>283.42</v>
      </c>
      <c r="Z12" s="73">
        <f t="shared" si="6"/>
        <v>283.42</v>
      </c>
      <c r="AA12" s="73">
        <f t="shared" si="6"/>
        <v>283.42</v>
      </c>
    </row>
    <row r="13" spans="1:28" ht="15" thickBot="1" x14ac:dyDescent="0.35">
      <c r="A13" s="69" t="s">
        <v>124</v>
      </c>
      <c r="B13" s="164">
        <f t="shared" ref="B13:AA13" si="7">+SUM(B8:B12)</f>
        <v>3015.3413775099643</v>
      </c>
      <c r="C13" s="70">
        <f t="shared" si="7"/>
        <v>3045.9367189380764</v>
      </c>
      <c r="D13" s="70">
        <f t="shared" si="7"/>
        <v>3076.9180220781827</v>
      </c>
      <c r="E13" s="70">
        <f t="shared" si="7"/>
        <v>3108.2904656031142</v>
      </c>
      <c r="F13" s="70">
        <f t="shared" si="7"/>
        <v>3280.0593048670321</v>
      </c>
      <c r="G13" s="70">
        <f t="shared" si="7"/>
        <v>3172.2298731986548</v>
      </c>
      <c r="H13" s="70">
        <f t="shared" si="7"/>
        <v>3204.8075832194409</v>
      </c>
      <c r="I13" s="70">
        <f t="shared" si="7"/>
        <v>3237.7979281872558</v>
      </c>
      <c r="J13" s="70">
        <f t="shared" si="7"/>
        <v>3271.2064833660806</v>
      </c>
      <c r="K13" s="70">
        <f t="shared" si="7"/>
        <v>3305.0389074223222</v>
      </c>
      <c r="L13" s="70">
        <f t="shared" si="7"/>
        <v>3339.30094384829</v>
      </c>
      <c r="M13" s="70">
        <f t="shared" si="7"/>
        <v>3373.9984224134428</v>
      </c>
      <c r="N13" s="70">
        <f t="shared" si="7"/>
        <v>3409.1372606439968</v>
      </c>
      <c r="O13" s="70">
        <f t="shared" si="7"/>
        <v>3444.7234653315077</v>
      </c>
      <c r="P13" s="70">
        <f t="shared" si="7"/>
        <v>3480.7631340710686</v>
      </c>
      <c r="Q13" s="70">
        <f t="shared" si="7"/>
        <v>3517.2624568297556</v>
      </c>
      <c r="R13" s="70">
        <f t="shared" si="7"/>
        <v>3554.2277175459858</v>
      </c>
      <c r="S13" s="70">
        <f t="shared" si="7"/>
        <v>3591.6652957604647</v>
      </c>
      <c r="T13" s="70">
        <f t="shared" si="7"/>
        <v>3629.5816682794075</v>
      </c>
      <c r="U13" s="70">
        <f t="shared" si="7"/>
        <v>3667.9834108707437</v>
      </c>
      <c r="V13" s="70">
        <f t="shared" si="7"/>
        <v>3706.8771999940286</v>
      </c>
      <c r="W13" s="70">
        <f t="shared" si="7"/>
        <v>3746.269814564801</v>
      </c>
      <c r="X13" s="70">
        <f t="shared" si="7"/>
        <v>3786.1681377541399</v>
      </c>
      <c r="Y13" s="70">
        <f t="shared" si="7"/>
        <v>3826.5791588242037</v>
      </c>
      <c r="Z13" s="70">
        <f t="shared" si="7"/>
        <v>3867.5099750005329</v>
      </c>
      <c r="AA13" s="70">
        <f t="shared" si="7"/>
        <v>3908.9677933819403</v>
      </c>
    </row>
    <row r="15" spans="1:28" ht="18" x14ac:dyDescent="0.35">
      <c r="A15" s="94" t="s">
        <v>118</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row>
    <row r="17" spans="1:27" x14ac:dyDescent="0.3">
      <c r="A17" s="53" t="str">
        <f>'Inputs &amp; Summary'!$B$6</f>
        <v>Yellow shaded cells are input cells</v>
      </c>
      <c r="C17" s="364" t="s">
        <v>396</v>
      </c>
      <c r="D17" s="365">
        <f>ROUND(SUM(B13:AA13)-SUM(B28:AA28,B39:AA39,B46:AA46,B63:AA63,B73:AA73,B84:AA84,B97:AA97,B109:AA109,B123:AA123,B133:AA133,B147:AA147,B159:AA159),2)</f>
        <v>0</v>
      </c>
    </row>
    <row r="19" spans="1:27" ht="18" x14ac:dyDescent="0.35">
      <c r="A19" s="108" t="s">
        <v>161</v>
      </c>
    </row>
    <row r="20" spans="1:27" x14ac:dyDescent="0.3">
      <c r="A20" s="45" t="s">
        <v>19</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row>
    <row r="21" spans="1:27" x14ac:dyDescent="0.3">
      <c r="C21" s="46" t="s">
        <v>181</v>
      </c>
    </row>
    <row r="22" spans="1:27" x14ac:dyDescent="0.3">
      <c r="A22" s="124" t="s">
        <v>18</v>
      </c>
      <c r="B22" s="173">
        <f>'Inputs &amp; Summary'!P86</f>
        <v>3548</v>
      </c>
      <c r="C22" s="1" t="s">
        <v>184</v>
      </c>
    </row>
    <row r="23" spans="1:27" x14ac:dyDescent="0.3">
      <c r="A23" s="124" t="s">
        <v>44</v>
      </c>
      <c r="B23" s="178">
        <f>'Inputs &amp; Summary'!P85</f>
        <v>1.12E-2</v>
      </c>
      <c r="C23" s="1" t="s">
        <v>184</v>
      </c>
      <c r="F23" s="93" t="s">
        <v>137</v>
      </c>
      <c r="G23" s="83"/>
      <c r="H23" s="83"/>
      <c r="I23" s="83"/>
      <c r="J23" s="83"/>
      <c r="K23" s="83"/>
      <c r="L23" s="83"/>
      <c r="M23" s="83"/>
      <c r="N23" s="83"/>
      <c r="O23" s="83"/>
      <c r="P23" s="83"/>
      <c r="Q23" s="83"/>
      <c r="R23" s="83"/>
      <c r="S23" s="83"/>
      <c r="T23" s="83"/>
      <c r="U23" s="84"/>
    </row>
    <row r="24" spans="1:27" x14ac:dyDescent="0.3">
      <c r="A24" s="124" t="s">
        <v>53</v>
      </c>
      <c r="B24" s="157">
        <f>'Inputs &amp; Summary'!P108</f>
        <v>0.05</v>
      </c>
      <c r="C24" s="1" t="s">
        <v>185</v>
      </c>
      <c r="F24" s="85" t="s">
        <v>136</v>
      </c>
      <c r="G24" s="72"/>
      <c r="H24" s="72"/>
      <c r="I24" s="72"/>
      <c r="J24" s="72"/>
      <c r="K24" s="72"/>
      <c r="L24" s="72"/>
      <c r="M24" s="72"/>
      <c r="N24" s="72"/>
      <c r="O24" s="72"/>
      <c r="P24" s="72"/>
      <c r="Q24" s="72"/>
      <c r="R24" s="72"/>
      <c r="S24" s="72"/>
      <c r="T24" s="72"/>
      <c r="U24" s="86"/>
    </row>
    <row r="25" spans="1:27" x14ac:dyDescent="0.3">
      <c r="A25" s="124" t="s">
        <v>54</v>
      </c>
      <c r="B25" s="65">
        <f>'Inputs &amp; Summary'!P109</f>
        <v>80</v>
      </c>
      <c r="C25" s="1" t="s">
        <v>186</v>
      </c>
    </row>
    <row r="26" spans="1:27" x14ac:dyDescent="0.3">
      <c r="A26" s="3" t="s">
        <v>3</v>
      </c>
      <c r="B26" s="124">
        <v>0</v>
      </c>
      <c r="C26" s="124">
        <f t="shared" ref="C26:AA26" si="8">+B26+1</f>
        <v>1</v>
      </c>
      <c r="D26" s="124">
        <f t="shared" si="8"/>
        <v>2</v>
      </c>
      <c r="E26" s="124">
        <f t="shared" si="8"/>
        <v>3</v>
      </c>
      <c r="F26" s="124">
        <f t="shared" si="8"/>
        <v>4</v>
      </c>
      <c r="G26" s="124">
        <f t="shared" si="8"/>
        <v>5</v>
      </c>
      <c r="H26" s="124">
        <f t="shared" si="8"/>
        <v>6</v>
      </c>
      <c r="I26" s="124">
        <f t="shared" si="8"/>
        <v>7</v>
      </c>
      <c r="J26" s="124">
        <f t="shared" si="8"/>
        <v>8</v>
      </c>
      <c r="K26" s="124">
        <f t="shared" si="8"/>
        <v>9</v>
      </c>
      <c r="L26" s="124">
        <f t="shared" si="8"/>
        <v>10</v>
      </c>
      <c r="M26" s="124">
        <f t="shared" si="8"/>
        <v>11</v>
      </c>
      <c r="N26" s="124">
        <f t="shared" si="8"/>
        <v>12</v>
      </c>
      <c r="O26" s="124">
        <f t="shared" si="8"/>
        <v>13</v>
      </c>
      <c r="P26" s="124">
        <f t="shared" si="8"/>
        <v>14</v>
      </c>
      <c r="Q26" s="124">
        <f t="shared" si="8"/>
        <v>15</v>
      </c>
      <c r="R26" s="124">
        <f t="shared" si="8"/>
        <v>16</v>
      </c>
      <c r="S26" s="124">
        <f t="shared" si="8"/>
        <v>17</v>
      </c>
      <c r="T26" s="124">
        <f t="shared" si="8"/>
        <v>18</v>
      </c>
      <c r="U26" s="124">
        <f t="shared" si="8"/>
        <v>19</v>
      </c>
      <c r="V26" s="124">
        <f t="shared" si="8"/>
        <v>20</v>
      </c>
      <c r="W26" s="124">
        <f t="shared" si="8"/>
        <v>21</v>
      </c>
      <c r="X26" s="124">
        <f t="shared" si="8"/>
        <v>22</v>
      </c>
      <c r="Y26" s="124">
        <f t="shared" si="8"/>
        <v>23</v>
      </c>
      <c r="Z26" s="124">
        <f t="shared" si="8"/>
        <v>24</v>
      </c>
      <c r="AA26" s="124">
        <f t="shared" si="8"/>
        <v>25</v>
      </c>
    </row>
    <row r="27" spans="1:27" x14ac:dyDescent="0.3">
      <c r="A27" s="175" t="s">
        <v>400</v>
      </c>
      <c r="B27" s="174">
        <v>2021</v>
      </c>
      <c r="C27" s="174">
        <f t="shared" ref="C27:AA27" si="9">+B27+1</f>
        <v>2022</v>
      </c>
      <c r="D27" s="174">
        <f t="shared" si="9"/>
        <v>2023</v>
      </c>
      <c r="E27" s="174">
        <f t="shared" si="9"/>
        <v>2024</v>
      </c>
      <c r="F27" s="174">
        <f t="shared" si="9"/>
        <v>2025</v>
      </c>
      <c r="G27" s="174">
        <f t="shared" si="9"/>
        <v>2026</v>
      </c>
      <c r="H27" s="174">
        <f t="shared" si="9"/>
        <v>2027</v>
      </c>
      <c r="I27" s="174">
        <f t="shared" si="9"/>
        <v>2028</v>
      </c>
      <c r="J27" s="174">
        <f t="shared" si="9"/>
        <v>2029</v>
      </c>
      <c r="K27" s="174">
        <f t="shared" si="9"/>
        <v>2030</v>
      </c>
      <c r="L27" s="174">
        <f t="shared" si="9"/>
        <v>2031</v>
      </c>
      <c r="M27" s="174">
        <f t="shared" si="9"/>
        <v>2032</v>
      </c>
      <c r="N27" s="174">
        <f t="shared" si="9"/>
        <v>2033</v>
      </c>
      <c r="O27" s="174">
        <f t="shared" si="9"/>
        <v>2034</v>
      </c>
      <c r="P27" s="174">
        <f t="shared" si="9"/>
        <v>2035</v>
      </c>
      <c r="Q27" s="174">
        <f t="shared" si="9"/>
        <v>2036</v>
      </c>
      <c r="R27" s="174">
        <f t="shared" si="9"/>
        <v>2037</v>
      </c>
      <c r="S27" s="174">
        <f t="shared" si="9"/>
        <v>2038</v>
      </c>
      <c r="T27" s="174">
        <f t="shared" si="9"/>
        <v>2039</v>
      </c>
      <c r="U27" s="174">
        <f t="shared" si="9"/>
        <v>2040</v>
      </c>
      <c r="V27" s="174">
        <f t="shared" si="9"/>
        <v>2041</v>
      </c>
      <c r="W27" s="174">
        <f t="shared" si="9"/>
        <v>2042</v>
      </c>
      <c r="X27" s="174">
        <f t="shared" si="9"/>
        <v>2043</v>
      </c>
      <c r="Y27" s="174">
        <f t="shared" si="9"/>
        <v>2044</v>
      </c>
      <c r="Z27" s="174">
        <f t="shared" si="9"/>
        <v>2045</v>
      </c>
      <c r="AA27" s="174">
        <f t="shared" si="9"/>
        <v>2046</v>
      </c>
    </row>
    <row r="28" spans="1:27" s="1" customFormat="1" x14ac:dyDescent="0.3">
      <c r="A28" s="1" t="s">
        <v>57</v>
      </c>
      <c r="B28" s="44">
        <f>+B22*B24*B25/1000</f>
        <v>14.192</v>
      </c>
      <c r="C28" s="44">
        <f t="shared" ref="C28:AA28" si="10">+B28*(1+$B$23)</f>
        <v>14.350950400000002</v>
      </c>
      <c r="D28" s="44">
        <f t="shared" si="10"/>
        <v>14.511681044480003</v>
      </c>
      <c r="E28" s="44">
        <f t="shared" si="10"/>
        <v>14.67421187217818</v>
      </c>
      <c r="F28" s="44">
        <f t="shared" si="10"/>
        <v>14.838563045146577</v>
      </c>
      <c r="G28" s="44">
        <f t="shared" si="10"/>
        <v>15.00475495125222</v>
      </c>
      <c r="H28" s="44">
        <f t="shared" si="10"/>
        <v>15.172808206706247</v>
      </c>
      <c r="I28" s="44">
        <f t="shared" si="10"/>
        <v>15.342743658621359</v>
      </c>
      <c r="J28" s="44">
        <f t="shared" si="10"/>
        <v>15.514582387597919</v>
      </c>
      <c r="K28" s="44">
        <f t="shared" si="10"/>
        <v>15.688345710339018</v>
      </c>
      <c r="L28" s="44">
        <f t="shared" si="10"/>
        <v>15.864055182294816</v>
      </c>
      <c r="M28" s="44">
        <f t="shared" si="10"/>
        <v>16.04173260033652</v>
      </c>
      <c r="N28" s="44">
        <f t="shared" si="10"/>
        <v>16.221400005460289</v>
      </c>
      <c r="O28" s="44">
        <f t="shared" si="10"/>
        <v>16.403079685521448</v>
      </c>
      <c r="P28" s="44">
        <f t="shared" si="10"/>
        <v>16.586794177999291</v>
      </c>
      <c r="Q28" s="44">
        <f t="shared" si="10"/>
        <v>16.772566272792886</v>
      </c>
      <c r="R28" s="44">
        <f t="shared" si="10"/>
        <v>16.960419015048167</v>
      </c>
      <c r="S28" s="44">
        <f t="shared" si="10"/>
        <v>17.150375708016707</v>
      </c>
      <c r="T28" s="44">
        <f t="shared" si="10"/>
        <v>17.342459915946495</v>
      </c>
      <c r="U28" s="44">
        <f t="shared" si="10"/>
        <v>17.536695467005099</v>
      </c>
      <c r="V28" s="44">
        <f t="shared" si="10"/>
        <v>17.733106456235557</v>
      </c>
      <c r="W28" s="44">
        <f t="shared" si="10"/>
        <v>17.931717248545397</v>
      </c>
      <c r="X28" s="44">
        <f t="shared" si="10"/>
        <v>18.132552481729107</v>
      </c>
      <c r="Y28" s="44">
        <f t="shared" si="10"/>
        <v>18.335637069524473</v>
      </c>
      <c r="Z28" s="44">
        <f t="shared" si="10"/>
        <v>18.540996204703148</v>
      </c>
      <c r="AA28" s="44">
        <f t="shared" si="10"/>
        <v>18.748655362195827</v>
      </c>
    </row>
    <row r="30" spans="1:27" x14ac:dyDescent="0.3">
      <c r="A30" s="45" t="s">
        <v>20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row>
    <row r="31" spans="1:27" x14ac:dyDescent="0.3">
      <c r="C31" s="46" t="s">
        <v>181</v>
      </c>
    </row>
    <row r="32" spans="1:27" x14ac:dyDescent="0.3">
      <c r="A32" s="124" t="s">
        <v>113</v>
      </c>
      <c r="B32" s="179">
        <f>'Inputs &amp; Summary'!P81</f>
        <v>47.828616539314339</v>
      </c>
      <c r="C32" s="1" t="s">
        <v>262</v>
      </c>
    </row>
    <row r="33" spans="1:27" x14ac:dyDescent="0.3">
      <c r="A33" s="124" t="s">
        <v>114</v>
      </c>
      <c r="B33" s="32">
        <f>'Inputs &amp; Summary'!F84</f>
        <v>316783.09000000003</v>
      </c>
      <c r="C33" s="1" t="s">
        <v>184</v>
      </c>
      <c r="F33" s="82" t="s">
        <v>140</v>
      </c>
      <c r="G33" s="83"/>
      <c r="H33" s="83"/>
      <c r="I33" s="83"/>
      <c r="J33" s="83"/>
      <c r="K33" s="83"/>
      <c r="L33" s="83"/>
      <c r="M33" s="83"/>
      <c r="N33" s="83"/>
      <c r="O33" s="83"/>
      <c r="P33" s="83"/>
      <c r="Q33" s="83"/>
      <c r="R33" s="83"/>
      <c r="S33" s="83"/>
      <c r="T33" s="83"/>
      <c r="U33" s="84"/>
    </row>
    <row r="34" spans="1:27" x14ac:dyDescent="0.3">
      <c r="A34" s="124" t="s">
        <v>44</v>
      </c>
      <c r="B34" s="178">
        <f>'Inputs &amp; Summary'!P85</f>
        <v>1.12E-2</v>
      </c>
      <c r="C34" s="1" t="s">
        <v>184</v>
      </c>
      <c r="F34" s="87" t="s">
        <v>138</v>
      </c>
      <c r="G34" s="119"/>
      <c r="H34" s="119"/>
      <c r="I34" s="119"/>
      <c r="J34" s="119"/>
      <c r="K34" s="119"/>
      <c r="L34" s="119"/>
      <c r="M34" s="119"/>
      <c r="N34" s="119"/>
      <c r="O34" s="119"/>
      <c r="P34" s="119"/>
      <c r="Q34" s="119"/>
      <c r="R34" s="119"/>
      <c r="S34" s="119"/>
      <c r="T34" s="119"/>
      <c r="U34" s="89"/>
    </row>
    <row r="35" spans="1:27" x14ac:dyDescent="0.3">
      <c r="A35" s="124" t="s">
        <v>115</v>
      </c>
      <c r="B35" s="157">
        <f>'Inputs &amp; Summary'!P111</f>
        <v>0.02</v>
      </c>
      <c r="C35" s="1" t="s">
        <v>185</v>
      </c>
      <c r="F35" s="85" t="s">
        <v>139</v>
      </c>
      <c r="G35" s="72"/>
      <c r="H35" s="72"/>
      <c r="I35" s="72"/>
      <c r="J35" s="72"/>
      <c r="K35" s="72"/>
      <c r="L35" s="72"/>
      <c r="M35" s="72"/>
      <c r="N35" s="72"/>
      <c r="O35" s="72"/>
      <c r="P35" s="72"/>
      <c r="Q35" s="72"/>
      <c r="R35" s="72"/>
      <c r="S35" s="72"/>
      <c r="T35" s="72"/>
      <c r="U35" s="86"/>
    </row>
    <row r="36" spans="1:27" x14ac:dyDescent="0.3">
      <c r="A36" s="124" t="s">
        <v>116</v>
      </c>
      <c r="B36" s="118">
        <f>+B32*B33*B35/1000</f>
        <v>303.02593875498206</v>
      </c>
      <c r="C36" s="1" t="s">
        <v>188</v>
      </c>
    </row>
    <row r="37" spans="1:27" x14ac:dyDescent="0.3">
      <c r="A37" s="3" t="s">
        <v>3</v>
      </c>
      <c r="B37" s="124">
        <v>0</v>
      </c>
      <c r="C37" s="124">
        <f t="shared" ref="C37:AA37" si="11">+B37+1</f>
        <v>1</v>
      </c>
      <c r="D37" s="124">
        <f t="shared" si="11"/>
        <v>2</v>
      </c>
      <c r="E37" s="124">
        <f t="shared" si="11"/>
        <v>3</v>
      </c>
      <c r="F37" s="124">
        <f t="shared" si="11"/>
        <v>4</v>
      </c>
      <c r="G37" s="124">
        <f t="shared" si="11"/>
        <v>5</v>
      </c>
      <c r="H37" s="124">
        <f t="shared" si="11"/>
        <v>6</v>
      </c>
      <c r="I37" s="124">
        <f t="shared" si="11"/>
        <v>7</v>
      </c>
      <c r="J37" s="124">
        <f t="shared" si="11"/>
        <v>8</v>
      </c>
      <c r="K37" s="124">
        <f t="shared" si="11"/>
        <v>9</v>
      </c>
      <c r="L37" s="124">
        <f t="shared" si="11"/>
        <v>10</v>
      </c>
      <c r="M37" s="124">
        <f t="shared" si="11"/>
        <v>11</v>
      </c>
      <c r="N37" s="124">
        <f t="shared" si="11"/>
        <v>12</v>
      </c>
      <c r="O37" s="124">
        <f t="shared" si="11"/>
        <v>13</v>
      </c>
      <c r="P37" s="124">
        <f t="shared" si="11"/>
        <v>14</v>
      </c>
      <c r="Q37" s="124">
        <f t="shared" si="11"/>
        <v>15</v>
      </c>
      <c r="R37" s="124">
        <f t="shared" si="11"/>
        <v>16</v>
      </c>
      <c r="S37" s="124">
        <f t="shared" si="11"/>
        <v>17</v>
      </c>
      <c r="T37" s="124">
        <f t="shared" si="11"/>
        <v>18</v>
      </c>
      <c r="U37" s="124">
        <f t="shared" si="11"/>
        <v>19</v>
      </c>
      <c r="V37" s="124">
        <f t="shared" si="11"/>
        <v>20</v>
      </c>
      <c r="W37" s="124">
        <f t="shared" si="11"/>
        <v>21</v>
      </c>
      <c r="X37" s="124">
        <f t="shared" si="11"/>
        <v>22</v>
      </c>
      <c r="Y37" s="124">
        <f t="shared" si="11"/>
        <v>23</v>
      </c>
      <c r="Z37" s="124">
        <f t="shared" si="11"/>
        <v>24</v>
      </c>
      <c r="AA37" s="124">
        <f t="shared" si="11"/>
        <v>25</v>
      </c>
    </row>
    <row r="38" spans="1:27" x14ac:dyDescent="0.3">
      <c r="A38" s="175" t="s">
        <v>400</v>
      </c>
      <c r="B38" s="174">
        <v>2021</v>
      </c>
      <c r="C38" s="174">
        <f t="shared" ref="C38:AA38" si="12">+B38+1</f>
        <v>2022</v>
      </c>
      <c r="D38" s="174">
        <f t="shared" si="12"/>
        <v>2023</v>
      </c>
      <c r="E38" s="174">
        <f t="shared" si="12"/>
        <v>2024</v>
      </c>
      <c r="F38" s="174">
        <f t="shared" si="12"/>
        <v>2025</v>
      </c>
      <c r="G38" s="174">
        <f t="shared" si="12"/>
        <v>2026</v>
      </c>
      <c r="H38" s="174">
        <f t="shared" si="12"/>
        <v>2027</v>
      </c>
      <c r="I38" s="174">
        <f t="shared" si="12"/>
        <v>2028</v>
      </c>
      <c r="J38" s="174">
        <f t="shared" si="12"/>
        <v>2029</v>
      </c>
      <c r="K38" s="174">
        <f t="shared" si="12"/>
        <v>2030</v>
      </c>
      <c r="L38" s="174">
        <f t="shared" si="12"/>
        <v>2031</v>
      </c>
      <c r="M38" s="174">
        <f t="shared" si="12"/>
        <v>2032</v>
      </c>
      <c r="N38" s="174">
        <f t="shared" si="12"/>
        <v>2033</v>
      </c>
      <c r="O38" s="174">
        <f t="shared" si="12"/>
        <v>2034</v>
      </c>
      <c r="P38" s="174">
        <f t="shared" si="12"/>
        <v>2035</v>
      </c>
      <c r="Q38" s="174">
        <f t="shared" si="12"/>
        <v>2036</v>
      </c>
      <c r="R38" s="174">
        <f t="shared" si="12"/>
        <v>2037</v>
      </c>
      <c r="S38" s="174">
        <f t="shared" si="12"/>
        <v>2038</v>
      </c>
      <c r="T38" s="174">
        <f t="shared" si="12"/>
        <v>2039</v>
      </c>
      <c r="U38" s="174">
        <f t="shared" si="12"/>
        <v>2040</v>
      </c>
      <c r="V38" s="174">
        <f t="shared" si="12"/>
        <v>2041</v>
      </c>
      <c r="W38" s="174">
        <f t="shared" si="12"/>
        <v>2042</v>
      </c>
      <c r="X38" s="174">
        <f t="shared" si="12"/>
        <v>2043</v>
      </c>
      <c r="Y38" s="174">
        <f t="shared" si="12"/>
        <v>2044</v>
      </c>
      <c r="Z38" s="174">
        <f t="shared" si="12"/>
        <v>2045</v>
      </c>
      <c r="AA38" s="174">
        <f t="shared" si="12"/>
        <v>2046</v>
      </c>
    </row>
    <row r="39" spans="1:27" x14ac:dyDescent="0.3">
      <c r="A39" s="180" t="s">
        <v>58</v>
      </c>
      <c r="B39" s="68">
        <f>+B36</f>
        <v>303.02593875498206</v>
      </c>
      <c r="C39" s="68">
        <f t="shared" ref="C39:AA39" si="13">+$B$39*(1+$B$34)^C37</f>
        <v>306.4198292690379</v>
      </c>
      <c r="D39" s="68">
        <f t="shared" si="13"/>
        <v>309.85173135685113</v>
      </c>
      <c r="E39" s="68">
        <f t="shared" si="13"/>
        <v>313.32207074804791</v>
      </c>
      <c r="F39" s="68">
        <f t="shared" si="13"/>
        <v>316.83127794042605</v>
      </c>
      <c r="G39" s="68">
        <f t="shared" si="13"/>
        <v>320.37978825335881</v>
      </c>
      <c r="H39" s="68">
        <f t="shared" si="13"/>
        <v>323.96804188179647</v>
      </c>
      <c r="I39" s="68">
        <f t="shared" si="13"/>
        <v>327.59648395087265</v>
      </c>
      <c r="J39" s="68">
        <f t="shared" si="13"/>
        <v>331.26556457112241</v>
      </c>
      <c r="K39" s="68">
        <f t="shared" si="13"/>
        <v>334.97573889431902</v>
      </c>
      <c r="L39" s="68">
        <f t="shared" si="13"/>
        <v>338.72746716993544</v>
      </c>
      <c r="M39" s="68">
        <f t="shared" si="13"/>
        <v>342.52121480223872</v>
      </c>
      <c r="N39" s="68">
        <f t="shared" si="13"/>
        <v>346.35745240802379</v>
      </c>
      <c r="O39" s="68">
        <f t="shared" si="13"/>
        <v>350.23665587499369</v>
      </c>
      <c r="P39" s="68">
        <f t="shared" si="13"/>
        <v>354.15930642079365</v>
      </c>
      <c r="Q39" s="68">
        <f t="shared" si="13"/>
        <v>358.12589065270663</v>
      </c>
      <c r="R39" s="68">
        <f t="shared" si="13"/>
        <v>362.13690062801692</v>
      </c>
      <c r="S39" s="68">
        <f t="shared" si="13"/>
        <v>366.1928339150507</v>
      </c>
      <c r="T39" s="68">
        <f t="shared" si="13"/>
        <v>370.29419365489929</v>
      </c>
      <c r="U39" s="68">
        <f t="shared" si="13"/>
        <v>374.44148862383423</v>
      </c>
      <c r="V39" s="68">
        <f t="shared" si="13"/>
        <v>378.63523329642123</v>
      </c>
      <c r="W39" s="68">
        <f t="shared" si="13"/>
        <v>382.87594790934111</v>
      </c>
      <c r="X39" s="68">
        <f t="shared" si="13"/>
        <v>387.16415852592581</v>
      </c>
      <c r="Y39" s="68">
        <f t="shared" si="13"/>
        <v>391.50039710141624</v>
      </c>
      <c r="Z39" s="68">
        <f t="shared" si="13"/>
        <v>395.88520154895201</v>
      </c>
      <c r="AA39" s="68">
        <f t="shared" si="13"/>
        <v>400.31911580630037</v>
      </c>
    </row>
    <row r="40" spans="1:27" x14ac:dyDescent="0.3">
      <c r="A40" s="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row>
    <row r="41" spans="1:27" x14ac:dyDescent="0.3">
      <c r="A41" s="45" t="s">
        <v>149</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1:27" x14ac:dyDescent="0.3">
      <c r="A42" s="1"/>
      <c r="C42" s="46" t="s">
        <v>181</v>
      </c>
    </row>
    <row r="43" spans="1:27" x14ac:dyDescent="0.3">
      <c r="A43" s="124" t="s">
        <v>261</v>
      </c>
      <c r="B43" s="6">
        <f>'Inputs &amp; Summary'!P113</f>
        <v>18</v>
      </c>
      <c r="C43" s="177"/>
    </row>
    <row r="44" spans="1:27" x14ac:dyDescent="0.3">
      <c r="A44" s="1"/>
      <c r="C44" s="1"/>
      <c r="F44" s="90" t="s">
        <v>150</v>
      </c>
      <c r="G44" s="91"/>
      <c r="H44" s="91"/>
      <c r="I44" s="91"/>
      <c r="J44" s="91"/>
      <c r="K44" s="91"/>
      <c r="L44" s="91"/>
      <c r="M44" s="91"/>
      <c r="N44" s="91"/>
      <c r="O44" s="91"/>
      <c r="P44" s="91"/>
      <c r="Q44" s="91"/>
      <c r="R44" s="91"/>
      <c r="S44" s="91"/>
      <c r="T44" s="92"/>
    </row>
    <row r="45" spans="1:27" x14ac:dyDescent="0.3">
      <c r="A45" s="175" t="s">
        <v>400</v>
      </c>
      <c r="B45" s="174">
        <v>2021</v>
      </c>
      <c r="C45" s="174">
        <f t="shared" ref="C45:AA45" si="14">+B45+1</f>
        <v>2022</v>
      </c>
      <c r="D45" s="174">
        <f t="shared" si="14"/>
        <v>2023</v>
      </c>
      <c r="E45" s="174">
        <f t="shared" si="14"/>
        <v>2024</v>
      </c>
      <c r="F45" s="174">
        <f t="shared" si="14"/>
        <v>2025</v>
      </c>
      <c r="G45" s="174">
        <f t="shared" si="14"/>
        <v>2026</v>
      </c>
      <c r="H45" s="174">
        <f t="shared" si="14"/>
        <v>2027</v>
      </c>
      <c r="I45" s="174">
        <f t="shared" si="14"/>
        <v>2028</v>
      </c>
      <c r="J45" s="174">
        <f t="shared" si="14"/>
        <v>2029</v>
      </c>
      <c r="K45" s="174">
        <f t="shared" si="14"/>
        <v>2030</v>
      </c>
      <c r="L45" s="174">
        <f t="shared" si="14"/>
        <v>2031</v>
      </c>
      <c r="M45" s="174">
        <f t="shared" si="14"/>
        <v>2032</v>
      </c>
      <c r="N45" s="174">
        <f t="shared" si="14"/>
        <v>2033</v>
      </c>
      <c r="O45" s="174">
        <f t="shared" si="14"/>
        <v>2034</v>
      </c>
      <c r="P45" s="174">
        <f t="shared" si="14"/>
        <v>2035</v>
      </c>
      <c r="Q45" s="174">
        <f t="shared" si="14"/>
        <v>2036</v>
      </c>
      <c r="R45" s="174">
        <f t="shared" si="14"/>
        <v>2037</v>
      </c>
      <c r="S45" s="174">
        <f t="shared" si="14"/>
        <v>2038</v>
      </c>
      <c r="T45" s="174">
        <f t="shared" si="14"/>
        <v>2039</v>
      </c>
      <c r="U45" s="174">
        <f t="shared" si="14"/>
        <v>2040</v>
      </c>
      <c r="V45" s="174">
        <f t="shared" si="14"/>
        <v>2041</v>
      </c>
      <c r="W45" s="174">
        <f t="shared" si="14"/>
        <v>2042</v>
      </c>
      <c r="X45" s="174">
        <f t="shared" si="14"/>
        <v>2043</v>
      </c>
      <c r="Y45" s="174">
        <f t="shared" si="14"/>
        <v>2044</v>
      </c>
      <c r="Z45" s="174">
        <f t="shared" si="14"/>
        <v>2045</v>
      </c>
      <c r="AA45" s="174">
        <f t="shared" si="14"/>
        <v>2046</v>
      </c>
    </row>
    <row r="46" spans="1:27" x14ac:dyDescent="0.3">
      <c r="A46" s="1" t="s">
        <v>59</v>
      </c>
      <c r="B46" s="25">
        <f>B43</f>
        <v>18</v>
      </c>
      <c r="C46" s="25">
        <f t="shared" ref="C46:AA46" si="15">+B46</f>
        <v>18</v>
      </c>
      <c r="D46" s="25">
        <f t="shared" si="15"/>
        <v>18</v>
      </c>
      <c r="E46" s="25">
        <f t="shared" si="15"/>
        <v>18</v>
      </c>
      <c r="F46" s="25">
        <f t="shared" si="15"/>
        <v>18</v>
      </c>
      <c r="G46" s="25">
        <f t="shared" si="15"/>
        <v>18</v>
      </c>
      <c r="H46" s="25">
        <f t="shared" si="15"/>
        <v>18</v>
      </c>
      <c r="I46" s="25">
        <f t="shared" si="15"/>
        <v>18</v>
      </c>
      <c r="J46" s="25">
        <f t="shared" si="15"/>
        <v>18</v>
      </c>
      <c r="K46" s="25">
        <f t="shared" si="15"/>
        <v>18</v>
      </c>
      <c r="L46" s="25">
        <f t="shared" si="15"/>
        <v>18</v>
      </c>
      <c r="M46" s="25">
        <f t="shared" si="15"/>
        <v>18</v>
      </c>
      <c r="N46" s="25">
        <f t="shared" si="15"/>
        <v>18</v>
      </c>
      <c r="O46" s="25">
        <f t="shared" si="15"/>
        <v>18</v>
      </c>
      <c r="P46" s="25">
        <f t="shared" si="15"/>
        <v>18</v>
      </c>
      <c r="Q46" s="25">
        <f t="shared" si="15"/>
        <v>18</v>
      </c>
      <c r="R46" s="25">
        <f t="shared" si="15"/>
        <v>18</v>
      </c>
      <c r="S46" s="25">
        <f t="shared" si="15"/>
        <v>18</v>
      </c>
      <c r="T46" s="25">
        <f t="shared" si="15"/>
        <v>18</v>
      </c>
      <c r="U46" s="25">
        <f t="shared" si="15"/>
        <v>18</v>
      </c>
      <c r="V46" s="25">
        <f t="shared" si="15"/>
        <v>18</v>
      </c>
      <c r="W46" s="25">
        <f t="shared" si="15"/>
        <v>18</v>
      </c>
      <c r="X46" s="25">
        <f t="shared" si="15"/>
        <v>18</v>
      </c>
      <c r="Y46" s="25">
        <f t="shared" si="15"/>
        <v>18</v>
      </c>
      <c r="Z46" s="25">
        <f t="shared" si="15"/>
        <v>18</v>
      </c>
      <c r="AA46" s="25">
        <f t="shared" si="15"/>
        <v>18</v>
      </c>
    </row>
    <row r="47" spans="1:27" x14ac:dyDescent="0.3">
      <c r="A47" s="1"/>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9" spans="1:27" x14ac:dyDescent="0.3">
      <c r="A49" s="17" t="s">
        <v>68</v>
      </c>
      <c r="B49" s="17">
        <f t="shared" ref="B49:AA49" si="16">+B27</f>
        <v>2021</v>
      </c>
      <c r="C49" s="17">
        <f t="shared" si="16"/>
        <v>2022</v>
      </c>
      <c r="D49" s="17">
        <f t="shared" si="16"/>
        <v>2023</v>
      </c>
      <c r="E49" s="17">
        <f t="shared" si="16"/>
        <v>2024</v>
      </c>
      <c r="F49" s="17">
        <f t="shared" si="16"/>
        <v>2025</v>
      </c>
      <c r="G49" s="17">
        <f t="shared" si="16"/>
        <v>2026</v>
      </c>
      <c r="H49" s="17">
        <f t="shared" si="16"/>
        <v>2027</v>
      </c>
      <c r="I49" s="17">
        <f t="shared" si="16"/>
        <v>2028</v>
      </c>
      <c r="J49" s="17">
        <f t="shared" si="16"/>
        <v>2029</v>
      </c>
      <c r="K49" s="17">
        <f t="shared" si="16"/>
        <v>2030</v>
      </c>
      <c r="L49" s="17">
        <f t="shared" si="16"/>
        <v>2031</v>
      </c>
      <c r="M49" s="17">
        <f t="shared" si="16"/>
        <v>2032</v>
      </c>
      <c r="N49" s="17">
        <f t="shared" si="16"/>
        <v>2033</v>
      </c>
      <c r="O49" s="17">
        <f t="shared" si="16"/>
        <v>2034</v>
      </c>
      <c r="P49" s="17">
        <f t="shared" si="16"/>
        <v>2035</v>
      </c>
      <c r="Q49" s="17">
        <f t="shared" si="16"/>
        <v>2036</v>
      </c>
      <c r="R49" s="17">
        <f t="shared" si="16"/>
        <v>2037</v>
      </c>
      <c r="S49" s="17">
        <f t="shared" si="16"/>
        <v>2038</v>
      </c>
      <c r="T49" s="17">
        <f t="shared" si="16"/>
        <v>2039</v>
      </c>
      <c r="U49" s="17">
        <f t="shared" si="16"/>
        <v>2040</v>
      </c>
      <c r="V49" s="17">
        <f t="shared" si="16"/>
        <v>2041</v>
      </c>
      <c r="W49" s="17">
        <f t="shared" si="16"/>
        <v>2042</v>
      </c>
      <c r="X49" s="17">
        <f t="shared" si="16"/>
        <v>2043</v>
      </c>
      <c r="Y49" s="17">
        <f t="shared" si="16"/>
        <v>2044</v>
      </c>
      <c r="Z49" s="17">
        <f t="shared" si="16"/>
        <v>2045</v>
      </c>
      <c r="AA49" s="17">
        <f t="shared" si="16"/>
        <v>2046</v>
      </c>
    </row>
    <row r="50" spans="1:27" s="1" customFormat="1" ht="15" thickBot="1" x14ac:dyDescent="0.35">
      <c r="A50" s="38" t="s">
        <v>55</v>
      </c>
      <c r="B50" s="39">
        <f t="shared" ref="B50:AA50" si="17">+B39+B28+B46</f>
        <v>335.21793875498207</v>
      </c>
      <c r="C50" s="39">
        <f t="shared" si="17"/>
        <v>338.77077966903789</v>
      </c>
      <c r="D50" s="39">
        <f t="shared" si="17"/>
        <v>342.36341240133112</v>
      </c>
      <c r="E50" s="39">
        <f t="shared" si="17"/>
        <v>345.99628262022611</v>
      </c>
      <c r="F50" s="39">
        <f t="shared" si="17"/>
        <v>349.66984098557265</v>
      </c>
      <c r="G50" s="39">
        <f t="shared" si="17"/>
        <v>353.38454320461102</v>
      </c>
      <c r="H50" s="39">
        <f t="shared" si="17"/>
        <v>357.1408500885027</v>
      </c>
      <c r="I50" s="39">
        <f t="shared" si="17"/>
        <v>360.93922760949403</v>
      </c>
      <c r="J50" s="39">
        <f t="shared" si="17"/>
        <v>364.78014695872031</v>
      </c>
      <c r="K50" s="39">
        <f t="shared" si="17"/>
        <v>368.66408460465806</v>
      </c>
      <c r="L50" s="39">
        <f t="shared" si="17"/>
        <v>372.59152235223024</v>
      </c>
      <c r="M50" s="39">
        <f t="shared" si="17"/>
        <v>376.56294740257522</v>
      </c>
      <c r="N50" s="39">
        <f t="shared" si="17"/>
        <v>380.57885241348407</v>
      </c>
      <c r="O50" s="39">
        <f t="shared" si="17"/>
        <v>384.63973556051513</v>
      </c>
      <c r="P50" s="39">
        <f t="shared" si="17"/>
        <v>388.74610059879296</v>
      </c>
      <c r="Q50" s="39">
        <f t="shared" si="17"/>
        <v>392.89845692549954</v>
      </c>
      <c r="R50" s="39">
        <f t="shared" si="17"/>
        <v>397.09731964306508</v>
      </c>
      <c r="S50" s="39">
        <f t="shared" si="17"/>
        <v>401.34320962306742</v>
      </c>
      <c r="T50" s="39">
        <f t="shared" si="17"/>
        <v>405.63665357084579</v>
      </c>
      <c r="U50" s="39">
        <f t="shared" si="17"/>
        <v>409.97818409083931</v>
      </c>
      <c r="V50" s="39">
        <f t="shared" si="17"/>
        <v>414.36833975265677</v>
      </c>
      <c r="W50" s="39">
        <f t="shared" si="17"/>
        <v>418.8076651578865</v>
      </c>
      <c r="X50" s="39">
        <f t="shared" si="17"/>
        <v>423.29671100765495</v>
      </c>
      <c r="Y50" s="39">
        <f t="shared" si="17"/>
        <v>427.83603417094071</v>
      </c>
      <c r="Z50" s="39">
        <f t="shared" si="17"/>
        <v>432.42619775365517</v>
      </c>
      <c r="AA50" s="39">
        <f t="shared" si="17"/>
        <v>437.06777116849622</v>
      </c>
    </row>
    <row r="52" spans="1:27" ht="18" x14ac:dyDescent="0.35">
      <c r="A52" s="108" t="s">
        <v>162</v>
      </c>
    </row>
    <row r="53" spans="1:27" x14ac:dyDescent="0.3">
      <c r="A53" s="45" t="s">
        <v>51</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row>
    <row r="54" spans="1:27" x14ac:dyDescent="0.3">
      <c r="C54" s="46" t="s">
        <v>181</v>
      </c>
    </row>
    <row r="55" spans="1:27" x14ac:dyDescent="0.3">
      <c r="A55" s="124" t="s">
        <v>40</v>
      </c>
      <c r="B55" s="173">
        <f>'Inputs &amp; Summary'!F95</f>
        <v>138.70000000000002</v>
      </c>
      <c r="C55" s="1" t="s">
        <v>184</v>
      </c>
      <c r="F55" s="82" t="s">
        <v>141</v>
      </c>
      <c r="G55" s="83"/>
      <c r="H55" s="83"/>
      <c r="I55" s="83"/>
      <c r="J55" s="83"/>
      <c r="K55" s="83"/>
      <c r="L55" s="83"/>
      <c r="M55" s="83"/>
      <c r="N55" s="83"/>
      <c r="O55" s="83"/>
      <c r="P55" s="84"/>
    </row>
    <row r="56" spans="1:27" x14ac:dyDescent="0.3">
      <c r="A56" s="124" t="s">
        <v>56</v>
      </c>
      <c r="B56" s="124">
        <f>'Inputs &amp; Summary'!F96</f>
        <v>135</v>
      </c>
      <c r="C56" s="1" t="s">
        <v>184</v>
      </c>
      <c r="F56" s="85" t="s">
        <v>142</v>
      </c>
      <c r="G56" s="72"/>
      <c r="H56" s="72"/>
      <c r="I56" s="72"/>
      <c r="J56" s="72"/>
      <c r="K56" s="72"/>
      <c r="L56" s="72"/>
      <c r="M56" s="72"/>
      <c r="N56" s="72"/>
      <c r="O56" s="72"/>
      <c r="P56" s="86"/>
    </row>
    <row r="57" spans="1:27" x14ac:dyDescent="0.3">
      <c r="A57" s="124" t="s">
        <v>260</v>
      </c>
      <c r="B57" s="158">
        <f>'Inputs &amp; Summary'!P117</f>
        <v>0.01</v>
      </c>
      <c r="C57" s="1" t="s">
        <v>185</v>
      </c>
    </row>
    <row r="58" spans="1:27" x14ac:dyDescent="0.3">
      <c r="A58" s="124" t="s">
        <v>39</v>
      </c>
      <c r="B58" s="160">
        <f>'Inputs &amp; Summary'!P118</f>
        <v>1.2E-2</v>
      </c>
      <c r="C58" s="1" t="s">
        <v>194</v>
      </c>
    </row>
    <row r="59" spans="1:27" x14ac:dyDescent="0.3">
      <c r="A59" s="3" t="s">
        <v>3</v>
      </c>
      <c r="B59" s="124">
        <v>0</v>
      </c>
      <c r="C59" s="124">
        <f t="shared" ref="C59:AA59" si="18">+B59+1</f>
        <v>1</v>
      </c>
      <c r="D59" s="124">
        <f t="shared" si="18"/>
        <v>2</v>
      </c>
      <c r="E59" s="124">
        <f t="shared" si="18"/>
        <v>3</v>
      </c>
      <c r="F59" s="124">
        <f t="shared" si="18"/>
        <v>4</v>
      </c>
      <c r="G59" s="124">
        <f t="shared" si="18"/>
        <v>5</v>
      </c>
      <c r="H59" s="124">
        <f t="shared" si="18"/>
        <v>6</v>
      </c>
      <c r="I59" s="124">
        <f t="shared" si="18"/>
        <v>7</v>
      </c>
      <c r="J59" s="124">
        <f t="shared" si="18"/>
        <v>8</v>
      </c>
      <c r="K59" s="124">
        <f t="shared" si="18"/>
        <v>9</v>
      </c>
      <c r="L59" s="124">
        <f t="shared" si="18"/>
        <v>10</v>
      </c>
      <c r="M59" s="124">
        <f t="shared" si="18"/>
        <v>11</v>
      </c>
      <c r="N59" s="124">
        <f t="shared" si="18"/>
        <v>12</v>
      </c>
      <c r="O59" s="124">
        <f t="shared" si="18"/>
        <v>13</v>
      </c>
      <c r="P59" s="124">
        <f t="shared" si="18"/>
        <v>14</v>
      </c>
      <c r="Q59" s="124">
        <f t="shared" si="18"/>
        <v>15</v>
      </c>
      <c r="R59" s="124">
        <f t="shared" si="18"/>
        <v>16</v>
      </c>
      <c r="S59" s="124">
        <f t="shared" si="18"/>
        <v>17</v>
      </c>
      <c r="T59" s="124">
        <f t="shared" si="18"/>
        <v>18</v>
      </c>
      <c r="U59" s="124">
        <f t="shared" si="18"/>
        <v>19</v>
      </c>
      <c r="V59" s="124">
        <f t="shared" si="18"/>
        <v>20</v>
      </c>
      <c r="W59" s="124">
        <f t="shared" si="18"/>
        <v>21</v>
      </c>
      <c r="X59" s="124">
        <f t="shared" si="18"/>
        <v>22</v>
      </c>
      <c r="Y59" s="124">
        <f t="shared" si="18"/>
        <v>23</v>
      </c>
      <c r="Z59" s="124">
        <f t="shared" si="18"/>
        <v>24</v>
      </c>
      <c r="AA59" s="124">
        <f t="shared" si="18"/>
        <v>25</v>
      </c>
    </row>
    <row r="60" spans="1:27" x14ac:dyDescent="0.3">
      <c r="A60" s="175" t="s">
        <v>400</v>
      </c>
      <c r="B60" s="174">
        <v>2021</v>
      </c>
      <c r="C60" s="174">
        <f t="shared" ref="C60:AA60" si="19">+B60+1</f>
        <v>2022</v>
      </c>
      <c r="D60" s="174">
        <f t="shared" si="19"/>
        <v>2023</v>
      </c>
      <c r="E60" s="174">
        <f t="shared" si="19"/>
        <v>2024</v>
      </c>
      <c r="F60" s="174">
        <f t="shared" si="19"/>
        <v>2025</v>
      </c>
      <c r="G60" s="174">
        <f t="shared" si="19"/>
        <v>2026</v>
      </c>
      <c r="H60" s="174">
        <f t="shared" si="19"/>
        <v>2027</v>
      </c>
      <c r="I60" s="174">
        <f t="shared" si="19"/>
        <v>2028</v>
      </c>
      <c r="J60" s="174">
        <f t="shared" si="19"/>
        <v>2029</v>
      </c>
      <c r="K60" s="174">
        <f t="shared" si="19"/>
        <v>2030</v>
      </c>
      <c r="L60" s="174">
        <f t="shared" si="19"/>
        <v>2031</v>
      </c>
      <c r="M60" s="174">
        <f t="shared" si="19"/>
        <v>2032</v>
      </c>
      <c r="N60" s="174">
        <f t="shared" si="19"/>
        <v>2033</v>
      </c>
      <c r="O60" s="174">
        <f t="shared" si="19"/>
        <v>2034</v>
      </c>
      <c r="P60" s="174">
        <f t="shared" si="19"/>
        <v>2035</v>
      </c>
      <c r="Q60" s="174">
        <f t="shared" si="19"/>
        <v>2036</v>
      </c>
      <c r="R60" s="174">
        <f t="shared" si="19"/>
        <v>2037</v>
      </c>
      <c r="S60" s="174">
        <f t="shared" si="19"/>
        <v>2038</v>
      </c>
      <c r="T60" s="174">
        <f t="shared" si="19"/>
        <v>2039</v>
      </c>
      <c r="U60" s="174">
        <f t="shared" si="19"/>
        <v>2040</v>
      </c>
      <c r="V60" s="174">
        <f t="shared" si="19"/>
        <v>2041</v>
      </c>
      <c r="W60" s="174">
        <f t="shared" si="19"/>
        <v>2042</v>
      </c>
      <c r="X60" s="174">
        <f t="shared" si="19"/>
        <v>2043</v>
      </c>
      <c r="Y60" s="174">
        <f t="shared" si="19"/>
        <v>2044</v>
      </c>
      <c r="Z60" s="174">
        <f t="shared" si="19"/>
        <v>2045</v>
      </c>
      <c r="AA60" s="174">
        <f t="shared" si="19"/>
        <v>2046</v>
      </c>
    </row>
    <row r="61" spans="1:27" x14ac:dyDescent="0.3">
      <c r="A61" s="124" t="s">
        <v>259</v>
      </c>
      <c r="B61" s="182">
        <f>+(B55*B56*B57)</f>
        <v>187.24500000000003</v>
      </c>
      <c r="C61" s="182">
        <f t="shared" ref="C61:AA61" si="20">$B61*(1+$B58)^C59</f>
        <v>189.49194000000003</v>
      </c>
      <c r="D61" s="182">
        <f t="shared" si="20"/>
        <v>191.76584328000001</v>
      </c>
      <c r="E61" s="182">
        <f t="shared" si="20"/>
        <v>194.06703339936004</v>
      </c>
      <c r="F61" s="182">
        <f t="shared" si="20"/>
        <v>196.39583780015235</v>
      </c>
      <c r="G61" s="182">
        <f t="shared" si="20"/>
        <v>198.75258785375416</v>
      </c>
      <c r="H61" s="182">
        <f t="shared" si="20"/>
        <v>201.13761890799918</v>
      </c>
      <c r="I61" s="182">
        <f t="shared" si="20"/>
        <v>203.55127033489524</v>
      </c>
      <c r="J61" s="182">
        <f t="shared" si="20"/>
        <v>205.99388557891396</v>
      </c>
      <c r="K61" s="182">
        <f t="shared" si="20"/>
        <v>208.46581220586091</v>
      </c>
      <c r="L61" s="182">
        <f t="shared" si="20"/>
        <v>210.96740195233124</v>
      </c>
      <c r="M61" s="182">
        <f t="shared" si="20"/>
        <v>213.49901077575922</v>
      </c>
      <c r="N61" s="182">
        <f t="shared" si="20"/>
        <v>216.06099890506832</v>
      </c>
      <c r="O61" s="182">
        <f t="shared" si="20"/>
        <v>218.65373089192914</v>
      </c>
      <c r="P61" s="182">
        <f t="shared" si="20"/>
        <v>221.27757566263227</v>
      </c>
      <c r="Q61" s="182">
        <f t="shared" si="20"/>
        <v>223.93290657058392</v>
      </c>
      <c r="R61" s="182">
        <f t="shared" si="20"/>
        <v>226.6201014494309</v>
      </c>
      <c r="S61" s="182">
        <f t="shared" si="20"/>
        <v>229.33954266682409</v>
      </c>
      <c r="T61" s="182">
        <f t="shared" si="20"/>
        <v>232.09161717882594</v>
      </c>
      <c r="U61" s="182">
        <f t="shared" si="20"/>
        <v>234.87671658497189</v>
      </c>
      <c r="V61" s="182">
        <f t="shared" si="20"/>
        <v>237.69523718399151</v>
      </c>
      <c r="W61" s="182">
        <f t="shared" si="20"/>
        <v>240.54758003019944</v>
      </c>
      <c r="X61" s="182">
        <f t="shared" si="20"/>
        <v>243.43415099056179</v>
      </c>
      <c r="Y61" s="182">
        <f t="shared" si="20"/>
        <v>246.35536080244862</v>
      </c>
      <c r="Z61" s="182">
        <f t="shared" si="20"/>
        <v>249.31162513207795</v>
      </c>
      <c r="AA61" s="182">
        <f t="shared" si="20"/>
        <v>252.30336463366285</v>
      </c>
    </row>
    <row r="62" spans="1:27" x14ac:dyDescent="0.3">
      <c r="A62" s="181" t="s">
        <v>258</v>
      </c>
      <c r="B62" s="124">
        <f>+'Inputs &amp; Summary'!$P$119</f>
        <v>60</v>
      </c>
      <c r="C62" s="326">
        <f>+'Inputs &amp; Summary'!$P$119</f>
        <v>60</v>
      </c>
      <c r="D62" s="326">
        <f>+'Inputs &amp; Summary'!$P$119</f>
        <v>60</v>
      </c>
      <c r="E62" s="326">
        <f>+'Inputs &amp; Summary'!$P$119</f>
        <v>60</v>
      </c>
      <c r="F62" s="326">
        <f>+'Inputs &amp; Summary'!$P$119</f>
        <v>60</v>
      </c>
      <c r="G62" s="326">
        <f>+'Inputs &amp; Summary'!$P$119</f>
        <v>60</v>
      </c>
      <c r="H62" s="326">
        <f>+'Inputs &amp; Summary'!$P$119</f>
        <v>60</v>
      </c>
      <c r="I62" s="326">
        <f>+'Inputs &amp; Summary'!$P$119</f>
        <v>60</v>
      </c>
      <c r="J62" s="326">
        <f>+'Inputs &amp; Summary'!$P$119</f>
        <v>60</v>
      </c>
      <c r="K62" s="326">
        <f>+'Inputs &amp; Summary'!$P$119</f>
        <v>60</v>
      </c>
      <c r="L62" s="326">
        <f>+'Inputs &amp; Summary'!$P$119</f>
        <v>60</v>
      </c>
      <c r="M62" s="326">
        <f>+'Inputs &amp; Summary'!$P$119</f>
        <v>60</v>
      </c>
      <c r="N62" s="326">
        <f>+'Inputs &amp; Summary'!$P$119</f>
        <v>60</v>
      </c>
      <c r="O62" s="326">
        <f>+'Inputs &amp; Summary'!$P$119</f>
        <v>60</v>
      </c>
      <c r="P62" s="326">
        <f>+'Inputs &amp; Summary'!$P$119</f>
        <v>60</v>
      </c>
      <c r="Q62" s="326">
        <f>+'Inputs &amp; Summary'!$P$119</f>
        <v>60</v>
      </c>
      <c r="R62" s="326">
        <f>+'Inputs &amp; Summary'!$P$119</f>
        <v>60</v>
      </c>
      <c r="S62" s="326">
        <f>+'Inputs &amp; Summary'!$P$119</f>
        <v>60</v>
      </c>
      <c r="T62" s="326">
        <f>+'Inputs &amp; Summary'!$P$119</f>
        <v>60</v>
      </c>
      <c r="U62" s="326">
        <f>+'Inputs &amp; Summary'!$P$119</f>
        <v>60</v>
      </c>
      <c r="V62" s="326">
        <f>+'Inputs &amp; Summary'!$P$119</f>
        <v>60</v>
      </c>
      <c r="W62" s="326">
        <f>+'Inputs &amp; Summary'!$P$119</f>
        <v>60</v>
      </c>
      <c r="X62" s="326">
        <f>+'Inputs &amp; Summary'!$P$119</f>
        <v>60</v>
      </c>
      <c r="Y62" s="326">
        <f>+'Inputs &amp; Summary'!$P$119</f>
        <v>60</v>
      </c>
      <c r="Z62" s="326">
        <f>+'Inputs &amp; Summary'!$P$119</f>
        <v>60</v>
      </c>
      <c r="AA62" s="326">
        <f>+'Inputs &amp; Summary'!$P$119</f>
        <v>60</v>
      </c>
    </row>
    <row r="63" spans="1:27" x14ac:dyDescent="0.3">
      <c r="A63" s="180" t="s">
        <v>57</v>
      </c>
      <c r="B63" s="68">
        <f t="shared" ref="B63:AA63" si="21">B62+B61</f>
        <v>247.24500000000003</v>
      </c>
      <c r="C63" s="68">
        <f t="shared" si="21"/>
        <v>249.49194000000003</v>
      </c>
      <c r="D63" s="68">
        <f t="shared" si="21"/>
        <v>251.76584328000001</v>
      </c>
      <c r="E63" s="68">
        <f t="shared" si="21"/>
        <v>254.06703339936004</v>
      </c>
      <c r="F63" s="68">
        <f t="shared" si="21"/>
        <v>256.39583780015232</v>
      </c>
      <c r="G63" s="68">
        <f t="shared" si="21"/>
        <v>258.75258785375416</v>
      </c>
      <c r="H63" s="68">
        <f t="shared" si="21"/>
        <v>261.13761890799918</v>
      </c>
      <c r="I63" s="68">
        <f t="shared" si="21"/>
        <v>263.55127033489521</v>
      </c>
      <c r="J63" s="68">
        <f t="shared" si="21"/>
        <v>265.99388557891393</v>
      </c>
      <c r="K63" s="68">
        <f t="shared" si="21"/>
        <v>268.46581220586091</v>
      </c>
      <c r="L63" s="68">
        <f t="shared" si="21"/>
        <v>270.96740195233122</v>
      </c>
      <c r="M63" s="68">
        <f t="shared" si="21"/>
        <v>273.49901077575919</v>
      </c>
      <c r="N63" s="68">
        <f t="shared" si="21"/>
        <v>276.06099890506835</v>
      </c>
      <c r="O63" s="68">
        <f t="shared" si="21"/>
        <v>278.65373089192917</v>
      </c>
      <c r="P63" s="68">
        <f t="shared" si="21"/>
        <v>281.27757566263227</v>
      </c>
      <c r="Q63" s="68">
        <f t="shared" si="21"/>
        <v>283.9329065705839</v>
      </c>
      <c r="R63" s="68">
        <f t="shared" si="21"/>
        <v>286.62010144943088</v>
      </c>
      <c r="S63" s="68">
        <f t="shared" si="21"/>
        <v>289.33954266682406</v>
      </c>
      <c r="T63" s="68">
        <f t="shared" si="21"/>
        <v>292.09161717882591</v>
      </c>
      <c r="U63" s="68">
        <f t="shared" si="21"/>
        <v>294.87671658497186</v>
      </c>
      <c r="V63" s="68">
        <f t="shared" si="21"/>
        <v>297.69523718399148</v>
      </c>
      <c r="W63" s="68">
        <f t="shared" si="21"/>
        <v>300.54758003019947</v>
      </c>
      <c r="X63" s="68">
        <f t="shared" si="21"/>
        <v>303.43415099056176</v>
      </c>
      <c r="Y63" s="68">
        <f t="shared" si="21"/>
        <v>306.35536080244862</v>
      </c>
      <c r="Z63" s="68">
        <f t="shared" si="21"/>
        <v>309.31162513207795</v>
      </c>
      <c r="AA63" s="68">
        <f t="shared" si="21"/>
        <v>312.30336463366285</v>
      </c>
    </row>
    <row r="65" spans="1:27" x14ac:dyDescent="0.3">
      <c r="A65" s="45" t="s">
        <v>50</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spans="1:27" x14ac:dyDescent="0.3">
      <c r="C66" s="46" t="s">
        <v>181</v>
      </c>
    </row>
    <row r="67" spans="1:27" x14ac:dyDescent="0.3">
      <c r="A67" s="124" t="s">
        <v>40</v>
      </c>
      <c r="B67" s="173">
        <f>'Inputs &amp; Summary'!F95</f>
        <v>138.70000000000002</v>
      </c>
      <c r="C67" s="1" t="s">
        <v>184</v>
      </c>
    </row>
    <row r="68" spans="1:27" x14ac:dyDescent="0.3">
      <c r="A68" s="124" t="s">
        <v>56</v>
      </c>
      <c r="B68" s="124">
        <f>'Inputs &amp; Summary'!F96</f>
        <v>135</v>
      </c>
      <c r="C68" s="1" t="s">
        <v>184</v>
      </c>
      <c r="F68" s="82" t="s">
        <v>143</v>
      </c>
      <c r="G68" s="83"/>
      <c r="H68" s="83"/>
      <c r="I68" s="83"/>
      <c r="J68" s="83"/>
      <c r="K68" s="83"/>
      <c r="L68" s="83"/>
      <c r="M68" s="83"/>
      <c r="N68" s="83"/>
      <c r="O68" s="83"/>
      <c r="P68" s="83"/>
      <c r="Q68" s="83"/>
      <c r="R68" s="83"/>
      <c r="S68" s="83"/>
      <c r="T68" s="83"/>
      <c r="U68" s="84"/>
    </row>
    <row r="69" spans="1:27" x14ac:dyDescent="0.3">
      <c r="A69" s="124" t="s">
        <v>257</v>
      </c>
      <c r="B69" s="158">
        <f>'Inputs &amp; Summary'!P121</f>
        <v>1.4999999999999999E-2</v>
      </c>
      <c r="C69" s="1" t="s">
        <v>185</v>
      </c>
      <c r="F69" s="85" t="s">
        <v>142</v>
      </c>
      <c r="G69" s="72"/>
      <c r="H69" s="72"/>
      <c r="I69" s="72"/>
      <c r="J69" s="72"/>
      <c r="K69" s="72"/>
      <c r="L69" s="72"/>
      <c r="M69" s="72"/>
      <c r="N69" s="72"/>
      <c r="O69" s="72"/>
      <c r="P69" s="72"/>
      <c r="Q69" s="72"/>
      <c r="R69" s="72"/>
      <c r="S69" s="72"/>
      <c r="T69" s="72"/>
      <c r="U69" s="86"/>
    </row>
    <row r="70" spans="1:27" x14ac:dyDescent="0.3">
      <c r="A70" s="124" t="s">
        <v>39</v>
      </c>
      <c r="B70" s="160">
        <f>'Inputs &amp; Summary'!P122</f>
        <v>1.2E-2</v>
      </c>
      <c r="C70" s="1" t="s">
        <v>194</v>
      </c>
    </row>
    <row r="71" spans="1:27" x14ac:dyDescent="0.3">
      <c r="A71" s="3" t="s">
        <v>3</v>
      </c>
      <c r="B71" s="124">
        <v>0</v>
      </c>
      <c r="C71" s="124">
        <f t="shared" ref="C71:AA71" si="22">+B71+1</f>
        <v>1</v>
      </c>
      <c r="D71" s="124">
        <f t="shared" si="22"/>
        <v>2</v>
      </c>
      <c r="E71" s="124">
        <f t="shared" si="22"/>
        <v>3</v>
      </c>
      <c r="F71" s="124">
        <f t="shared" si="22"/>
        <v>4</v>
      </c>
      <c r="G71" s="124">
        <f t="shared" si="22"/>
        <v>5</v>
      </c>
      <c r="H71" s="124">
        <f t="shared" si="22"/>
        <v>6</v>
      </c>
      <c r="I71" s="124">
        <f t="shared" si="22"/>
        <v>7</v>
      </c>
      <c r="J71" s="124">
        <f t="shared" si="22"/>
        <v>8</v>
      </c>
      <c r="K71" s="124">
        <f t="shared" si="22"/>
        <v>9</v>
      </c>
      <c r="L71" s="124">
        <f t="shared" si="22"/>
        <v>10</v>
      </c>
      <c r="M71" s="124">
        <f t="shared" si="22"/>
        <v>11</v>
      </c>
      <c r="N71" s="124">
        <f t="shared" si="22"/>
        <v>12</v>
      </c>
      <c r="O71" s="124">
        <f t="shared" si="22"/>
        <v>13</v>
      </c>
      <c r="P71" s="124">
        <f t="shared" si="22"/>
        <v>14</v>
      </c>
      <c r="Q71" s="124">
        <f t="shared" si="22"/>
        <v>15</v>
      </c>
      <c r="R71" s="124">
        <f t="shared" si="22"/>
        <v>16</v>
      </c>
      <c r="S71" s="124">
        <f t="shared" si="22"/>
        <v>17</v>
      </c>
      <c r="T71" s="124">
        <f t="shared" si="22"/>
        <v>18</v>
      </c>
      <c r="U71" s="124">
        <f t="shared" si="22"/>
        <v>19</v>
      </c>
      <c r="V71" s="124">
        <f t="shared" si="22"/>
        <v>20</v>
      </c>
      <c r="W71" s="124">
        <f t="shared" si="22"/>
        <v>21</v>
      </c>
      <c r="X71" s="124">
        <f t="shared" si="22"/>
        <v>22</v>
      </c>
      <c r="Y71" s="124">
        <f t="shared" si="22"/>
        <v>23</v>
      </c>
      <c r="Z71" s="124">
        <f t="shared" si="22"/>
        <v>24</v>
      </c>
      <c r="AA71" s="124">
        <f t="shared" si="22"/>
        <v>25</v>
      </c>
    </row>
    <row r="72" spans="1:27" x14ac:dyDescent="0.3">
      <c r="A72" s="175" t="s">
        <v>400</v>
      </c>
      <c r="B72" s="174">
        <v>2021</v>
      </c>
      <c r="C72" s="174">
        <f t="shared" ref="C72:AA72" si="23">+B72+1</f>
        <v>2022</v>
      </c>
      <c r="D72" s="174">
        <f t="shared" si="23"/>
        <v>2023</v>
      </c>
      <c r="E72" s="174">
        <f t="shared" si="23"/>
        <v>2024</v>
      </c>
      <c r="F72" s="174">
        <f t="shared" si="23"/>
        <v>2025</v>
      </c>
      <c r="G72" s="174">
        <f t="shared" si="23"/>
        <v>2026</v>
      </c>
      <c r="H72" s="174">
        <f t="shared" si="23"/>
        <v>2027</v>
      </c>
      <c r="I72" s="174">
        <f t="shared" si="23"/>
        <v>2028</v>
      </c>
      <c r="J72" s="174">
        <f t="shared" si="23"/>
        <v>2029</v>
      </c>
      <c r="K72" s="174">
        <f t="shared" si="23"/>
        <v>2030</v>
      </c>
      <c r="L72" s="174">
        <f t="shared" si="23"/>
        <v>2031</v>
      </c>
      <c r="M72" s="174">
        <f t="shared" si="23"/>
        <v>2032</v>
      </c>
      <c r="N72" s="174">
        <f t="shared" si="23"/>
        <v>2033</v>
      </c>
      <c r="O72" s="174">
        <f t="shared" si="23"/>
        <v>2034</v>
      </c>
      <c r="P72" s="174">
        <f t="shared" si="23"/>
        <v>2035</v>
      </c>
      <c r="Q72" s="174">
        <f t="shared" si="23"/>
        <v>2036</v>
      </c>
      <c r="R72" s="174">
        <f t="shared" si="23"/>
        <v>2037</v>
      </c>
      <c r="S72" s="174">
        <f t="shared" si="23"/>
        <v>2038</v>
      </c>
      <c r="T72" s="174">
        <f t="shared" si="23"/>
        <v>2039</v>
      </c>
      <c r="U72" s="174">
        <f t="shared" si="23"/>
        <v>2040</v>
      </c>
      <c r="V72" s="174">
        <f t="shared" si="23"/>
        <v>2041</v>
      </c>
      <c r="W72" s="174">
        <f t="shared" si="23"/>
        <v>2042</v>
      </c>
      <c r="X72" s="174">
        <f t="shared" si="23"/>
        <v>2043</v>
      </c>
      <c r="Y72" s="174">
        <f t="shared" si="23"/>
        <v>2044</v>
      </c>
      <c r="Z72" s="174">
        <f t="shared" si="23"/>
        <v>2045</v>
      </c>
      <c r="AA72" s="174">
        <f t="shared" si="23"/>
        <v>2046</v>
      </c>
    </row>
    <row r="73" spans="1:27" x14ac:dyDescent="0.3">
      <c r="A73" s="1" t="s">
        <v>58</v>
      </c>
      <c r="B73" s="24">
        <f>+(B67*B68*B69)</f>
        <v>280.86750000000006</v>
      </c>
      <c r="C73" s="24">
        <f t="shared" ref="C73:AA73" si="24">+$B$73*(1+$B$70)^C71</f>
        <v>284.23791000000006</v>
      </c>
      <c r="D73" s="24">
        <f t="shared" si="24"/>
        <v>287.64876492000008</v>
      </c>
      <c r="E73" s="24">
        <f t="shared" si="24"/>
        <v>291.10055009904005</v>
      </c>
      <c r="F73" s="24">
        <f t="shared" si="24"/>
        <v>294.59375670022854</v>
      </c>
      <c r="G73" s="24">
        <f t="shared" si="24"/>
        <v>298.12888178063127</v>
      </c>
      <c r="H73" s="24">
        <f t="shared" si="24"/>
        <v>301.7064283619988</v>
      </c>
      <c r="I73" s="24">
        <f t="shared" si="24"/>
        <v>305.32690550234287</v>
      </c>
      <c r="J73" s="24">
        <f t="shared" si="24"/>
        <v>308.99082836837096</v>
      </c>
      <c r="K73" s="24">
        <f t="shared" si="24"/>
        <v>312.6987183087914</v>
      </c>
      <c r="L73" s="24">
        <f t="shared" si="24"/>
        <v>316.45110292849688</v>
      </c>
      <c r="M73" s="24">
        <f t="shared" si="24"/>
        <v>320.24851616363884</v>
      </c>
      <c r="N73" s="24">
        <f t="shared" si="24"/>
        <v>324.09149835760252</v>
      </c>
      <c r="O73" s="24">
        <f t="shared" si="24"/>
        <v>327.9805963378937</v>
      </c>
      <c r="P73" s="24">
        <f t="shared" si="24"/>
        <v>331.91636349394844</v>
      </c>
      <c r="Q73" s="24">
        <f t="shared" si="24"/>
        <v>335.8993598558759</v>
      </c>
      <c r="R73" s="24">
        <f t="shared" si="24"/>
        <v>339.93015217414637</v>
      </c>
      <c r="S73" s="24">
        <f t="shared" si="24"/>
        <v>344.00931400023615</v>
      </c>
      <c r="T73" s="24">
        <f t="shared" si="24"/>
        <v>348.13742576823893</v>
      </c>
      <c r="U73" s="24">
        <f t="shared" si="24"/>
        <v>352.31507487745785</v>
      </c>
      <c r="V73" s="24">
        <f t="shared" si="24"/>
        <v>356.54285577598728</v>
      </c>
      <c r="W73" s="24">
        <f t="shared" si="24"/>
        <v>360.8213700452992</v>
      </c>
      <c r="X73" s="24">
        <f t="shared" si="24"/>
        <v>365.1512264858427</v>
      </c>
      <c r="Y73" s="24">
        <f t="shared" si="24"/>
        <v>369.53304120367295</v>
      </c>
      <c r="Z73" s="24">
        <f t="shared" si="24"/>
        <v>373.96743769811695</v>
      </c>
      <c r="AA73" s="24">
        <f t="shared" si="24"/>
        <v>378.45504695049431</v>
      </c>
    </row>
    <row r="75" spans="1:27" x14ac:dyDescent="0.3">
      <c r="A75" s="45" t="s">
        <v>21</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row>
    <row r="76" spans="1:27" x14ac:dyDescent="0.3">
      <c r="C76" s="46" t="s">
        <v>181</v>
      </c>
    </row>
    <row r="77" spans="1:27" x14ac:dyDescent="0.3">
      <c r="A77" s="124" t="s">
        <v>113</v>
      </c>
      <c r="B77" s="179">
        <f>'Inputs &amp; Summary'!P81</f>
        <v>47.828616539314339</v>
      </c>
      <c r="C77" s="1" t="s">
        <v>184</v>
      </c>
    </row>
    <row r="78" spans="1:27" x14ac:dyDescent="0.3">
      <c r="A78" s="124" t="s">
        <v>114</v>
      </c>
      <c r="B78" s="32">
        <f>'Inputs &amp; Summary'!F84</f>
        <v>316783.09000000003</v>
      </c>
      <c r="C78" s="1" t="s">
        <v>184</v>
      </c>
      <c r="F78" s="82" t="s">
        <v>145</v>
      </c>
      <c r="G78" s="83"/>
      <c r="H78" s="83"/>
      <c r="I78" s="83"/>
      <c r="J78" s="83"/>
      <c r="K78" s="83"/>
      <c r="L78" s="83"/>
      <c r="M78" s="83"/>
      <c r="N78" s="83"/>
      <c r="O78" s="83"/>
      <c r="P78" s="83"/>
      <c r="Q78" s="83"/>
      <c r="R78" s="83"/>
      <c r="S78" s="83"/>
      <c r="T78" s="84"/>
    </row>
    <row r="79" spans="1:27" x14ac:dyDescent="0.3">
      <c r="A79" s="124" t="s">
        <v>44</v>
      </c>
      <c r="B79" s="178">
        <f>'Inputs &amp; Summary'!P85</f>
        <v>1.12E-2</v>
      </c>
      <c r="C79" s="1" t="s">
        <v>184</v>
      </c>
      <c r="F79" s="87" t="s">
        <v>138</v>
      </c>
      <c r="G79" s="119"/>
      <c r="H79" s="119"/>
      <c r="I79" s="119"/>
      <c r="J79" s="119"/>
      <c r="K79" s="119"/>
      <c r="L79" s="119"/>
      <c r="M79" s="119"/>
      <c r="N79" s="119"/>
      <c r="O79" s="119"/>
      <c r="P79" s="119"/>
      <c r="Q79" s="119"/>
      <c r="R79" s="119"/>
      <c r="S79" s="119"/>
      <c r="T79" s="89"/>
    </row>
    <row r="80" spans="1:27" x14ac:dyDescent="0.3">
      <c r="A80" s="124" t="s">
        <v>115</v>
      </c>
      <c r="B80" s="157">
        <f>'Inputs &amp; Summary'!P124</f>
        <v>0.02</v>
      </c>
      <c r="C80" s="1" t="s">
        <v>185</v>
      </c>
      <c r="F80" s="85" t="s">
        <v>144</v>
      </c>
      <c r="G80" s="72"/>
      <c r="H80" s="72"/>
      <c r="I80" s="72"/>
      <c r="J80" s="72"/>
      <c r="K80" s="72"/>
      <c r="L80" s="72"/>
      <c r="M80" s="72"/>
      <c r="N80" s="72"/>
      <c r="O80" s="72"/>
      <c r="P80" s="72"/>
      <c r="Q80" s="72"/>
      <c r="R80" s="72"/>
      <c r="S80" s="72"/>
      <c r="T80" s="86"/>
    </row>
    <row r="81" spans="1:27" x14ac:dyDescent="0.3">
      <c r="A81" s="124" t="s">
        <v>116</v>
      </c>
      <c r="B81" s="118">
        <f>+B77*B78*B80/1000</f>
        <v>303.02593875498206</v>
      </c>
      <c r="C81" s="1" t="s">
        <v>188</v>
      </c>
    </row>
    <row r="82" spans="1:27" x14ac:dyDescent="0.3">
      <c r="A82" s="3" t="s">
        <v>3</v>
      </c>
      <c r="B82" s="124">
        <v>0</v>
      </c>
      <c r="C82" s="124">
        <f t="shared" ref="C82:AA82" si="25">+B82+1</f>
        <v>1</v>
      </c>
      <c r="D82" s="124">
        <f t="shared" si="25"/>
        <v>2</v>
      </c>
      <c r="E82" s="124">
        <f t="shared" si="25"/>
        <v>3</v>
      </c>
      <c r="F82" s="124">
        <f t="shared" si="25"/>
        <v>4</v>
      </c>
      <c r="G82" s="124">
        <f t="shared" si="25"/>
        <v>5</v>
      </c>
      <c r="H82" s="124">
        <f t="shared" si="25"/>
        <v>6</v>
      </c>
      <c r="I82" s="124">
        <f t="shared" si="25"/>
        <v>7</v>
      </c>
      <c r="J82" s="124">
        <f t="shared" si="25"/>
        <v>8</v>
      </c>
      <c r="K82" s="124">
        <f t="shared" si="25"/>
        <v>9</v>
      </c>
      <c r="L82" s="124">
        <f t="shared" si="25"/>
        <v>10</v>
      </c>
      <c r="M82" s="124">
        <f t="shared" si="25"/>
        <v>11</v>
      </c>
      <c r="N82" s="124">
        <f t="shared" si="25"/>
        <v>12</v>
      </c>
      <c r="O82" s="124">
        <f t="shared" si="25"/>
        <v>13</v>
      </c>
      <c r="P82" s="124">
        <f t="shared" si="25"/>
        <v>14</v>
      </c>
      <c r="Q82" s="124">
        <f t="shared" si="25"/>
        <v>15</v>
      </c>
      <c r="R82" s="124">
        <f t="shared" si="25"/>
        <v>16</v>
      </c>
      <c r="S82" s="124">
        <f t="shared" si="25"/>
        <v>17</v>
      </c>
      <c r="T82" s="124">
        <f t="shared" si="25"/>
        <v>18</v>
      </c>
      <c r="U82" s="124">
        <f t="shared" si="25"/>
        <v>19</v>
      </c>
      <c r="V82" s="124">
        <f t="shared" si="25"/>
        <v>20</v>
      </c>
      <c r="W82" s="124">
        <f t="shared" si="25"/>
        <v>21</v>
      </c>
      <c r="X82" s="124">
        <f t="shared" si="25"/>
        <v>22</v>
      </c>
      <c r="Y82" s="124">
        <f t="shared" si="25"/>
        <v>23</v>
      </c>
      <c r="Z82" s="124">
        <f t="shared" si="25"/>
        <v>24</v>
      </c>
      <c r="AA82" s="124">
        <f t="shared" si="25"/>
        <v>25</v>
      </c>
    </row>
    <row r="83" spans="1:27" x14ac:dyDescent="0.3">
      <c r="A83" s="175" t="s">
        <v>400</v>
      </c>
      <c r="B83" s="174">
        <v>2021</v>
      </c>
      <c r="C83" s="174">
        <f t="shared" ref="C83:AA83" si="26">+B83+1</f>
        <v>2022</v>
      </c>
      <c r="D83" s="174">
        <f t="shared" si="26"/>
        <v>2023</v>
      </c>
      <c r="E83" s="174">
        <f t="shared" si="26"/>
        <v>2024</v>
      </c>
      <c r="F83" s="174">
        <f t="shared" si="26"/>
        <v>2025</v>
      </c>
      <c r="G83" s="174">
        <f t="shared" si="26"/>
        <v>2026</v>
      </c>
      <c r="H83" s="174">
        <f t="shared" si="26"/>
        <v>2027</v>
      </c>
      <c r="I83" s="174">
        <f t="shared" si="26"/>
        <v>2028</v>
      </c>
      <c r="J83" s="174">
        <f t="shared" si="26"/>
        <v>2029</v>
      </c>
      <c r="K83" s="174">
        <f t="shared" si="26"/>
        <v>2030</v>
      </c>
      <c r="L83" s="174">
        <f t="shared" si="26"/>
        <v>2031</v>
      </c>
      <c r="M83" s="174">
        <f t="shared" si="26"/>
        <v>2032</v>
      </c>
      <c r="N83" s="174">
        <f t="shared" si="26"/>
        <v>2033</v>
      </c>
      <c r="O83" s="174">
        <f t="shared" si="26"/>
        <v>2034</v>
      </c>
      <c r="P83" s="174">
        <f t="shared" si="26"/>
        <v>2035</v>
      </c>
      <c r="Q83" s="174">
        <f t="shared" si="26"/>
        <v>2036</v>
      </c>
      <c r="R83" s="174">
        <f t="shared" si="26"/>
        <v>2037</v>
      </c>
      <c r="S83" s="174">
        <f t="shared" si="26"/>
        <v>2038</v>
      </c>
      <c r="T83" s="174">
        <f t="shared" si="26"/>
        <v>2039</v>
      </c>
      <c r="U83" s="174">
        <f t="shared" si="26"/>
        <v>2040</v>
      </c>
      <c r="V83" s="174">
        <f t="shared" si="26"/>
        <v>2041</v>
      </c>
      <c r="W83" s="174">
        <f t="shared" si="26"/>
        <v>2042</v>
      </c>
      <c r="X83" s="174">
        <f t="shared" si="26"/>
        <v>2043</v>
      </c>
      <c r="Y83" s="174">
        <f t="shared" si="26"/>
        <v>2044</v>
      </c>
      <c r="Z83" s="174">
        <f t="shared" si="26"/>
        <v>2045</v>
      </c>
      <c r="AA83" s="174">
        <f t="shared" si="26"/>
        <v>2046</v>
      </c>
    </row>
    <row r="84" spans="1:27" x14ac:dyDescent="0.3">
      <c r="A84" s="1" t="s">
        <v>59</v>
      </c>
      <c r="B84" s="24">
        <f>+B81</f>
        <v>303.02593875498206</v>
      </c>
      <c r="C84" s="24">
        <f t="shared" ref="C84:AA84" si="27">+$B$84*(1+$B$79)^C82</f>
        <v>306.4198292690379</v>
      </c>
      <c r="D84" s="24">
        <f t="shared" si="27"/>
        <v>309.85173135685113</v>
      </c>
      <c r="E84" s="24">
        <f t="shared" si="27"/>
        <v>313.32207074804791</v>
      </c>
      <c r="F84" s="24">
        <f t="shared" si="27"/>
        <v>316.83127794042605</v>
      </c>
      <c r="G84" s="24">
        <f t="shared" si="27"/>
        <v>320.37978825335881</v>
      </c>
      <c r="H84" s="24">
        <f t="shared" si="27"/>
        <v>323.96804188179647</v>
      </c>
      <c r="I84" s="24">
        <f t="shared" si="27"/>
        <v>327.59648395087265</v>
      </c>
      <c r="J84" s="24">
        <f t="shared" si="27"/>
        <v>331.26556457112241</v>
      </c>
      <c r="K84" s="24">
        <f t="shared" si="27"/>
        <v>334.97573889431902</v>
      </c>
      <c r="L84" s="24">
        <f t="shared" si="27"/>
        <v>338.72746716993544</v>
      </c>
      <c r="M84" s="24">
        <f t="shared" si="27"/>
        <v>342.52121480223872</v>
      </c>
      <c r="N84" s="24">
        <f t="shared" si="27"/>
        <v>346.35745240802379</v>
      </c>
      <c r="O84" s="24">
        <f t="shared" si="27"/>
        <v>350.23665587499369</v>
      </c>
      <c r="P84" s="24">
        <f t="shared" si="27"/>
        <v>354.15930642079365</v>
      </c>
      <c r="Q84" s="24">
        <f t="shared" si="27"/>
        <v>358.12589065270663</v>
      </c>
      <c r="R84" s="24">
        <f t="shared" si="27"/>
        <v>362.13690062801692</v>
      </c>
      <c r="S84" s="24">
        <f t="shared" si="27"/>
        <v>366.1928339150507</v>
      </c>
      <c r="T84" s="24">
        <f t="shared" si="27"/>
        <v>370.29419365489929</v>
      </c>
      <c r="U84" s="24">
        <f t="shared" si="27"/>
        <v>374.44148862383423</v>
      </c>
      <c r="V84" s="24">
        <f t="shared" si="27"/>
        <v>378.63523329642123</v>
      </c>
      <c r="W84" s="24">
        <f t="shared" si="27"/>
        <v>382.87594790934111</v>
      </c>
      <c r="X84" s="24">
        <f t="shared" si="27"/>
        <v>387.16415852592581</v>
      </c>
      <c r="Y84" s="24">
        <f t="shared" si="27"/>
        <v>391.50039710141624</v>
      </c>
      <c r="Z84" s="24">
        <f t="shared" si="27"/>
        <v>395.88520154895201</v>
      </c>
      <c r="AA84" s="24">
        <f t="shared" si="27"/>
        <v>400.31911580630037</v>
      </c>
    </row>
    <row r="86" spans="1:27" x14ac:dyDescent="0.3">
      <c r="A86" s="17" t="s">
        <v>69</v>
      </c>
      <c r="B86" s="17">
        <f t="shared" ref="B86:AA86" si="28">+B60</f>
        <v>2021</v>
      </c>
      <c r="C86" s="17">
        <f t="shared" si="28"/>
        <v>2022</v>
      </c>
      <c r="D86" s="17">
        <f t="shared" si="28"/>
        <v>2023</v>
      </c>
      <c r="E86" s="17">
        <f t="shared" si="28"/>
        <v>2024</v>
      </c>
      <c r="F86" s="17">
        <f t="shared" si="28"/>
        <v>2025</v>
      </c>
      <c r="G86" s="17">
        <f t="shared" si="28"/>
        <v>2026</v>
      </c>
      <c r="H86" s="17">
        <f t="shared" si="28"/>
        <v>2027</v>
      </c>
      <c r="I86" s="17">
        <f t="shared" si="28"/>
        <v>2028</v>
      </c>
      <c r="J86" s="17">
        <f t="shared" si="28"/>
        <v>2029</v>
      </c>
      <c r="K86" s="17">
        <f t="shared" si="28"/>
        <v>2030</v>
      </c>
      <c r="L86" s="17">
        <f t="shared" si="28"/>
        <v>2031</v>
      </c>
      <c r="M86" s="17">
        <f t="shared" si="28"/>
        <v>2032</v>
      </c>
      <c r="N86" s="17">
        <f t="shared" si="28"/>
        <v>2033</v>
      </c>
      <c r="O86" s="17">
        <f t="shared" si="28"/>
        <v>2034</v>
      </c>
      <c r="P86" s="17">
        <f t="shared" si="28"/>
        <v>2035</v>
      </c>
      <c r="Q86" s="17">
        <f t="shared" si="28"/>
        <v>2036</v>
      </c>
      <c r="R86" s="17">
        <f t="shared" si="28"/>
        <v>2037</v>
      </c>
      <c r="S86" s="17">
        <f t="shared" si="28"/>
        <v>2038</v>
      </c>
      <c r="T86" s="17">
        <f t="shared" si="28"/>
        <v>2039</v>
      </c>
      <c r="U86" s="17">
        <f t="shared" si="28"/>
        <v>2040</v>
      </c>
      <c r="V86" s="17">
        <f t="shared" si="28"/>
        <v>2041</v>
      </c>
      <c r="W86" s="17">
        <f t="shared" si="28"/>
        <v>2042</v>
      </c>
      <c r="X86" s="17">
        <f t="shared" si="28"/>
        <v>2043</v>
      </c>
      <c r="Y86" s="17">
        <f t="shared" si="28"/>
        <v>2044</v>
      </c>
      <c r="Z86" s="17">
        <f t="shared" si="28"/>
        <v>2045</v>
      </c>
      <c r="AA86" s="17">
        <f t="shared" si="28"/>
        <v>2046</v>
      </c>
    </row>
    <row r="87" spans="1:27" s="1" customFormat="1" ht="15" thickBot="1" x14ac:dyDescent="0.35">
      <c r="A87" s="38" t="s">
        <v>55</v>
      </c>
      <c r="B87" s="39">
        <f t="shared" ref="B87:AA87" si="29">+B84+B73+B63</f>
        <v>831.13843875498208</v>
      </c>
      <c r="C87" s="39">
        <f t="shared" si="29"/>
        <v>840.14967926903796</v>
      </c>
      <c r="D87" s="39">
        <f t="shared" si="29"/>
        <v>849.26633955685122</v>
      </c>
      <c r="E87" s="39">
        <f t="shared" si="29"/>
        <v>858.48965424644803</v>
      </c>
      <c r="F87" s="39">
        <f t="shared" si="29"/>
        <v>867.82087244080685</v>
      </c>
      <c r="G87" s="39">
        <f t="shared" si="29"/>
        <v>877.26125788774425</v>
      </c>
      <c r="H87" s="39">
        <f t="shared" si="29"/>
        <v>886.81208915179445</v>
      </c>
      <c r="I87" s="39">
        <f t="shared" si="29"/>
        <v>896.47465978811078</v>
      </c>
      <c r="J87" s="39">
        <f t="shared" si="29"/>
        <v>906.2502785184073</v>
      </c>
      <c r="K87" s="39">
        <f t="shared" si="29"/>
        <v>916.14026940897133</v>
      </c>
      <c r="L87" s="39">
        <f t="shared" si="29"/>
        <v>926.14597205076359</v>
      </c>
      <c r="M87" s="39">
        <f t="shared" si="29"/>
        <v>936.26874174163675</v>
      </c>
      <c r="N87" s="39">
        <f t="shared" si="29"/>
        <v>946.5099496706946</v>
      </c>
      <c r="O87" s="39">
        <f t="shared" si="29"/>
        <v>956.87098310481656</v>
      </c>
      <c r="P87" s="39">
        <f t="shared" si="29"/>
        <v>967.35324557737431</v>
      </c>
      <c r="Q87" s="39">
        <f t="shared" si="29"/>
        <v>977.95815707916643</v>
      </c>
      <c r="R87" s="39">
        <f t="shared" si="29"/>
        <v>988.68715425159417</v>
      </c>
      <c r="S87" s="39">
        <f t="shared" si="29"/>
        <v>999.54169058211085</v>
      </c>
      <c r="T87" s="39">
        <f t="shared" si="29"/>
        <v>1010.5232366019642</v>
      </c>
      <c r="U87" s="39">
        <f t="shared" si="29"/>
        <v>1021.6332800862639</v>
      </c>
      <c r="V87" s="39">
        <f t="shared" si="29"/>
        <v>1032.8733262564001</v>
      </c>
      <c r="W87" s="39">
        <f t="shared" si="29"/>
        <v>1044.2448979848398</v>
      </c>
      <c r="X87" s="39">
        <f t="shared" si="29"/>
        <v>1055.7495360023304</v>
      </c>
      <c r="Y87" s="39">
        <f t="shared" si="29"/>
        <v>1067.3887991075378</v>
      </c>
      <c r="Z87" s="39">
        <f t="shared" si="29"/>
        <v>1079.164264379147</v>
      </c>
      <c r="AA87" s="39">
        <f t="shared" si="29"/>
        <v>1091.0775273904576</v>
      </c>
    </row>
    <row r="89" spans="1:27" ht="18" x14ac:dyDescent="0.35">
      <c r="A89" s="108" t="s">
        <v>163</v>
      </c>
    </row>
    <row r="90" spans="1:27" ht="15" customHeight="1" x14ac:dyDescent="0.3">
      <c r="A90" s="124" t="s">
        <v>61</v>
      </c>
    </row>
    <row r="91" spans="1:27" x14ac:dyDescent="0.3">
      <c r="A91" s="45" t="s">
        <v>22</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row>
    <row r="92" spans="1:27" x14ac:dyDescent="0.3">
      <c r="C92" s="46" t="s">
        <v>181</v>
      </c>
    </row>
    <row r="93" spans="1:27" x14ac:dyDescent="0.3">
      <c r="C93" s="177">
        <f>C43</f>
        <v>0</v>
      </c>
      <c r="D93" s="177"/>
      <c r="E93" s="177"/>
      <c r="F93" s="177"/>
      <c r="G93" s="177"/>
      <c r="H93" s="177"/>
    </row>
    <row r="94" spans="1:27" x14ac:dyDescent="0.3">
      <c r="C94" s="1"/>
      <c r="F94" s="90" t="s">
        <v>445</v>
      </c>
      <c r="G94" s="91"/>
      <c r="H94" s="91"/>
      <c r="I94" s="91"/>
      <c r="J94" s="91"/>
      <c r="K94" s="91"/>
      <c r="L94" s="91"/>
      <c r="M94" s="91"/>
      <c r="N94" s="91"/>
      <c r="O94" s="91"/>
      <c r="P94" s="91"/>
      <c r="Q94" s="91"/>
      <c r="R94" s="91"/>
      <c r="S94" s="92"/>
    </row>
    <row r="95" spans="1:27" x14ac:dyDescent="0.3">
      <c r="A95" s="3" t="s">
        <v>3</v>
      </c>
      <c r="B95" s="124">
        <v>0</v>
      </c>
      <c r="C95" s="124">
        <f t="shared" ref="C95:AA95" si="30">+B95+1</f>
        <v>1</v>
      </c>
      <c r="D95" s="124">
        <f t="shared" si="30"/>
        <v>2</v>
      </c>
      <c r="E95" s="124">
        <f t="shared" si="30"/>
        <v>3</v>
      </c>
      <c r="F95" s="124">
        <f t="shared" si="30"/>
        <v>4</v>
      </c>
      <c r="G95" s="124">
        <f t="shared" si="30"/>
        <v>5</v>
      </c>
      <c r="H95" s="124">
        <f t="shared" si="30"/>
        <v>6</v>
      </c>
      <c r="I95" s="124">
        <f t="shared" si="30"/>
        <v>7</v>
      </c>
      <c r="J95" s="124">
        <f t="shared" si="30"/>
        <v>8</v>
      </c>
      <c r="K95" s="124">
        <f t="shared" si="30"/>
        <v>9</v>
      </c>
      <c r="L95" s="124">
        <f t="shared" si="30"/>
        <v>10</v>
      </c>
      <c r="M95" s="124">
        <f t="shared" si="30"/>
        <v>11</v>
      </c>
      <c r="N95" s="124">
        <f t="shared" si="30"/>
        <v>12</v>
      </c>
      <c r="O95" s="124">
        <f t="shared" si="30"/>
        <v>13</v>
      </c>
      <c r="P95" s="124">
        <f t="shared" si="30"/>
        <v>14</v>
      </c>
      <c r="Q95" s="124">
        <f t="shared" si="30"/>
        <v>15</v>
      </c>
      <c r="R95" s="124">
        <f t="shared" si="30"/>
        <v>16</v>
      </c>
      <c r="S95" s="124">
        <f t="shared" si="30"/>
        <v>17</v>
      </c>
      <c r="T95" s="124">
        <f t="shared" si="30"/>
        <v>18</v>
      </c>
      <c r="U95" s="124">
        <f t="shared" si="30"/>
        <v>19</v>
      </c>
      <c r="V95" s="124">
        <f t="shared" si="30"/>
        <v>20</v>
      </c>
      <c r="W95" s="124">
        <f t="shared" si="30"/>
        <v>21</v>
      </c>
      <c r="X95" s="124">
        <f t="shared" si="30"/>
        <v>22</v>
      </c>
      <c r="Y95" s="124">
        <f t="shared" si="30"/>
        <v>23</v>
      </c>
      <c r="Z95" s="124">
        <f t="shared" si="30"/>
        <v>24</v>
      </c>
      <c r="AA95" s="124">
        <f t="shared" si="30"/>
        <v>25</v>
      </c>
    </row>
    <row r="96" spans="1:27" x14ac:dyDescent="0.3">
      <c r="A96" s="175" t="s">
        <v>400</v>
      </c>
      <c r="B96" s="174">
        <v>2021</v>
      </c>
      <c r="C96" s="174">
        <f t="shared" ref="C96:AA96" si="31">+B96+1</f>
        <v>2022</v>
      </c>
      <c r="D96" s="174">
        <f t="shared" si="31"/>
        <v>2023</v>
      </c>
      <c r="E96" s="174">
        <f t="shared" si="31"/>
        <v>2024</v>
      </c>
      <c r="F96" s="174">
        <f t="shared" si="31"/>
        <v>2025</v>
      </c>
      <c r="G96" s="174">
        <f t="shared" si="31"/>
        <v>2026</v>
      </c>
      <c r="H96" s="174">
        <f t="shared" si="31"/>
        <v>2027</v>
      </c>
      <c r="I96" s="174">
        <f t="shared" si="31"/>
        <v>2028</v>
      </c>
      <c r="J96" s="174">
        <f t="shared" si="31"/>
        <v>2029</v>
      </c>
      <c r="K96" s="174">
        <f t="shared" si="31"/>
        <v>2030</v>
      </c>
      <c r="L96" s="174">
        <f t="shared" si="31"/>
        <v>2031</v>
      </c>
      <c r="M96" s="174">
        <f t="shared" si="31"/>
        <v>2032</v>
      </c>
      <c r="N96" s="174">
        <f t="shared" si="31"/>
        <v>2033</v>
      </c>
      <c r="O96" s="174">
        <f t="shared" si="31"/>
        <v>2034</v>
      </c>
      <c r="P96" s="174">
        <f t="shared" si="31"/>
        <v>2035</v>
      </c>
      <c r="Q96" s="174">
        <f t="shared" si="31"/>
        <v>2036</v>
      </c>
      <c r="R96" s="174">
        <f t="shared" si="31"/>
        <v>2037</v>
      </c>
      <c r="S96" s="174">
        <f t="shared" si="31"/>
        <v>2038</v>
      </c>
      <c r="T96" s="174">
        <f t="shared" si="31"/>
        <v>2039</v>
      </c>
      <c r="U96" s="174">
        <f t="shared" si="31"/>
        <v>2040</v>
      </c>
      <c r="V96" s="174">
        <f t="shared" si="31"/>
        <v>2041</v>
      </c>
      <c r="W96" s="174">
        <f t="shared" si="31"/>
        <v>2042</v>
      </c>
      <c r="X96" s="174">
        <f t="shared" si="31"/>
        <v>2043</v>
      </c>
      <c r="Y96" s="174">
        <f t="shared" si="31"/>
        <v>2044</v>
      </c>
      <c r="Z96" s="174">
        <f t="shared" si="31"/>
        <v>2045</v>
      </c>
      <c r="AA96" s="174">
        <f t="shared" si="31"/>
        <v>2046</v>
      </c>
    </row>
    <row r="97" spans="1:27" x14ac:dyDescent="0.3">
      <c r="A97" s="1" t="s">
        <v>57</v>
      </c>
      <c r="B97" s="162"/>
      <c r="C97" s="162"/>
      <c r="D97" s="162"/>
      <c r="E97" s="162"/>
      <c r="F97" s="24">
        <f>'Inputs &amp; Summary'!P128</f>
        <v>140</v>
      </c>
      <c r="G97" s="162"/>
      <c r="H97" s="162"/>
      <c r="I97" s="162"/>
      <c r="J97" s="162"/>
      <c r="K97" s="162"/>
      <c r="L97" s="162"/>
      <c r="M97" s="162"/>
      <c r="N97" s="162"/>
      <c r="O97" s="162"/>
      <c r="P97" s="162"/>
      <c r="Q97" s="162"/>
      <c r="R97" s="162"/>
      <c r="S97" s="162"/>
      <c r="T97" s="162"/>
      <c r="U97" s="162"/>
      <c r="V97" s="162"/>
      <c r="W97" s="162"/>
      <c r="X97" s="162"/>
      <c r="Y97" s="162"/>
      <c r="Z97" s="162"/>
      <c r="AA97" s="162"/>
    </row>
    <row r="98" spans="1:27" x14ac:dyDescent="0.3">
      <c r="A98" s="1"/>
    </row>
    <row r="99" spans="1:27" x14ac:dyDescent="0.3">
      <c r="A99" s="45" t="s">
        <v>256</v>
      </c>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row>
    <row r="100" spans="1:27" x14ac:dyDescent="0.3">
      <c r="A100" s="1"/>
      <c r="C100" s="46" t="s">
        <v>181</v>
      </c>
    </row>
    <row r="101" spans="1:27" x14ac:dyDescent="0.3">
      <c r="A101" s="124" t="s">
        <v>28</v>
      </c>
      <c r="B101" s="32">
        <f>'Inputs &amp; Summary'!F98</f>
        <v>4557</v>
      </c>
      <c r="C101" s="1" t="s">
        <v>184</v>
      </c>
    </row>
    <row r="102" spans="1:27" x14ac:dyDescent="0.3">
      <c r="A102" s="124" t="s">
        <v>29</v>
      </c>
      <c r="B102" s="124">
        <f>'Inputs &amp; Summary'!P99</f>
        <v>3</v>
      </c>
      <c r="C102" s="1" t="s">
        <v>184</v>
      </c>
      <c r="F102" s="82" t="s">
        <v>148</v>
      </c>
      <c r="G102" s="83"/>
      <c r="H102" s="83"/>
      <c r="I102" s="83"/>
      <c r="J102" s="83"/>
      <c r="K102" s="83"/>
      <c r="L102" s="83"/>
      <c r="M102" s="83"/>
      <c r="N102" s="83"/>
      <c r="O102" s="83"/>
      <c r="P102" s="83"/>
      <c r="Q102" s="84"/>
    </row>
    <row r="103" spans="1:27" x14ac:dyDescent="0.3">
      <c r="A103" s="124" t="s">
        <v>34</v>
      </c>
      <c r="B103" s="161">
        <f>'Inputs &amp; Summary'!P137</f>
        <v>0.01</v>
      </c>
      <c r="C103" s="1" t="s">
        <v>189</v>
      </c>
      <c r="D103" s="31"/>
      <c r="F103" s="85" t="s">
        <v>147</v>
      </c>
      <c r="G103" s="72"/>
      <c r="H103" s="72"/>
      <c r="I103" s="72"/>
      <c r="J103" s="72"/>
      <c r="K103" s="72"/>
      <c r="L103" s="72"/>
      <c r="M103" s="72"/>
      <c r="N103" s="72"/>
      <c r="O103" s="72"/>
      <c r="P103" s="72"/>
      <c r="Q103" s="86"/>
    </row>
    <row r="104" spans="1:27" x14ac:dyDescent="0.3">
      <c r="A104" s="124" t="s">
        <v>33</v>
      </c>
      <c r="B104" s="6">
        <f>'Inputs &amp; Summary'!P138</f>
        <v>750</v>
      </c>
      <c r="C104" s="1" t="s">
        <v>190</v>
      </c>
    </row>
    <row r="105" spans="1:27" x14ac:dyDescent="0.3">
      <c r="A105" s="124" t="s">
        <v>32</v>
      </c>
      <c r="B105" s="6">
        <f>'Inputs &amp; Summary'!P139</f>
        <v>75</v>
      </c>
      <c r="C105" s="1" t="s">
        <v>190</v>
      </c>
    </row>
    <row r="106" spans="1:27" x14ac:dyDescent="0.3">
      <c r="A106" s="124" t="s">
        <v>62</v>
      </c>
      <c r="B106" s="54">
        <f>'Inputs &amp; Summary'!P140</f>
        <v>2.5000000000000001E-2</v>
      </c>
      <c r="C106" s="1" t="s">
        <v>191</v>
      </c>
    </row>
    <row r="107" spans="1:27" x14ac:dyDescent="0.3">
      <c r="A107" s="3" t="s">
        <v>3</v>
      </c>
      <c r="B107" s="124">
        <v>0</v>
      </c>
      <c r="C107" s="124">
        <f t="shared" ref="C107:AA107" si="32">+B107+1</f>
        <v>1</v>
      </c>
      <c r="D107" s="124">
        <f t="shared" si="32"/>
        <v>2</v>
      </c>
      <c r="E107" s="124">
        <f t="shared" si="32"/>
        <v>3</v>
      </c>
      <c r="F107" s="124">
        <f t="shared" si="32"/>
        <v>4</v>
      </c>
      <c r="G107" s="124">
        <f t="shared" si="32"/>
        <v>5</v>
      </c>
      <c r="H107" s="124">
        <f t="shared" si="32"/>
        <v>6</v>
      </c>
      <c r="I107" s="124">
        <f t="shared" si="32"/>
        <v>7</v>
      </c>
      <c r="J107" s="124">
        <f t="shared" si="32"/>
        <v>8</v>
      </c>
      <c r="K107" s="124">
        <f t="shared" si="32"/>
        <v>9</v>
      </c>
      <c r="L107" s="124">
        <f t="shared" si="32"/>
        <v>10</v>
      </c>
      <c r="M107" s="124">
        <f t="shared" si="32"/>
        <v>11</v>
      </c>
      <c r="N107" s="124">
        <f t="shared" si="32"/>
        <v>12</v>
      </c>
      <c r="O107" s="124">
        <f t="shared" si="32"/>
        <v>13</v>
      </c>
      <c r="P107" s="124">
        <f t="shared" si="32"/>
        <v>14</v>
      </c>
      <c r="Q107" s="124">
        <f t="shared" si="32"/>
        <v>15</v>
      </c>
      <c r="R107" s="124">
        <f t="shared" si="32"/>
        <v>16</v>
      </c>
      <c r="S107" s="124">
        <f t="shared" si="32"/>
        <v>17</v>
      </c>
      <c r="T107" s="124">
        <f t="shared" si="32"/>
        <v>18</v>
      </c>
      <c r="U107" s="124">
        <f t="shared" si="32"/>
        <v>19</v>
      </c>
      <c r="V107" s="124">
        <f t="shared" si="32"/>
        <v>20</v>
      </c>
      <c r="W107" s="124">
        <f t="shared" si="32"/>
        <v>21</v>
      </c>
      <c r="X107" s="124">
        <f t="shared" si="32"/>
        <v>22</v>
      </c>
      <c r="Y107" s="124">
        <f t="shared" si="32"/>
        <v>23</v>
      </c>
      <c r="Z107" s="124">
        <f t="shared" si="32"/>
        <v>24</v>
      </c>
      <c r="AA107" s="124">
        <f t="shared" si="32"/>
        <v>25</v>
      </c>
    </row>
    <row r="108" spans="1:27" x14ac:dyDescent="0.3">
      <c r="A108" s="175" t="s">
        <v>400</v>
      </c>
      <c r="B108" s="174">
        <v>2021</v>
      </c>
      <c r="C108" s="174">
        <f t="shared" ref="C108:AA108" si="33">+B108+1</f>
        <v>2022</v>
      </c>
      <c r="D108" s="174">
        <f t="shared" si="33"/>
        <v>2023</v>
      </c>
      <c r="E108" s="174">
        <f t="shared" si="33"/>
        <v>2024</v>
      </c>
      <c r="F108" s="174">
        <f t="shared" si="33"/>
        <v>2025</v>
      </c>
      <c r="G108" s="174">
        <f t="shared" si="33"/>
        <v>2026</v>
      </c>
      <c r="H108" s="174">
        <f t="shared" si="33"/>
        <v>2027</v>
      </c>
      <c r="I108" s="174">
        <f t="shared" si="33"/>
        <v>2028</v>
      </c>
      <c r="J108" s="174">
        <f t="shared" si="33"/>
        <v>2029</v>
      </c>
      <c r="K108" s="174">
        <f t="shared" si="33"/>
        <v>2030</v>
      </c>
      <c r="L108" s="174">
        <f t="shared" si="33"/>
        <v>2031</v>
      </c>
      <c r="M108" s="174">
        <f t="shared" si="33"/>
        <v>2032</v>
      </c>
      <c r="N108" s="174">
        <f t="shared" si="33"/>
        <v>2033</v>
      </c>
      <c r="O108" s="174">
        <f t="shared" si="33"/>
        <v>2034</v>
      </c>
      <c r="P108" s="174">
        <f t="shared" si="33"/>
        <v>2035</v>
      </c>
      <c r="Q108" s="174">
        <f t="shared" si="33"/>
        <v>2036</v>
      </c>
      <c r="R108" s="174">
        <f t="shared" si="33"/>
        <v>2037</v>
      </c>
      <c r="S108" s="174">
        <f t="shared" si="33"/>
        <v>2038</v>
      </c>
      <c r="T108" s="174">
        <f t="shared" si="33"/>
        <v>2039</v>
      </c>
      <c r="U108" s="174">
        <f t="shared" si="33"/>
        <v>2040</v>
      </c>
      <c r="V108" s="174">
        <f t="shared" si="33"/>
        <v>2041</v>
      </c>
      <c r="W108" s="174">
        <f t="shared" si="33"/>
        <v>2042</v>
      </c>
      <c r="X108" s="174">
        <f t="shared" si="33"/>
        <v>2043</v>
      </c>
      <c r="Y108" s="174">
        <f t="shared" si="33"/>
        <v>2044</v>
      </c>
      <c r="Z108" s="174">
        <f t="shared" si="33"/>
        <v>2045</v>
      </c>
      <c r="AA108" s="174">
        <f t="shared" si="33"/>
        <v>2046</v>
      </c>
    </row>
    <row r="109" spans="1:27" x14ac:dyDescent="0.3">
      <c r="A109" s="1" t="s">
        <v>58</v>
      </c>
      <c r="B109" s="25">
        <f t="shared" ref="B109:AA109" si="34">+($B$101*$B$102*$B$103)+($B$104*$B$103)+($B$105*(1+$B$106)^B107)</f>
        <v>219.21</v>
      </c>
      <c r="C109" s="25">
        <f t="shared" si="34"/>
        <v>221.08500000000001</v>
      </c>
      <c r="D109" s="25">
        <f t="shared" si="34"/>
        <v>223.00687500000001</v>
      </c>
      <c r="E109" s="25">
        <f t="shared" si="34"/>
        <v>224.97679687499999</v>
      </c>
      <c r="F109" s="25">
        <f t="shared" si="34"/>
        <v>226.995966796875</v>
      </c>
      <c r="G109" s="25">
        <f t="shared" si="34"/>
        <v>229.06561596679686</v>
      </c>
      <c r="H109" s="25">
        <f t="shared" si="34"/>
        <v>231.18700636596677</v>
      </c>
      <c r="I109" s="25">
        <f t="shared" si="34"/>
        <v>233.36143152511596</v>
      </c>
      <c r="J109" s="25">
        <f t="shared" si="34"/>
        <v>235.59021731324384</v>
      </c>
      <c r="K109" s="25">
        <f t="shared" si="34"/>
        <v>237.87472274607489</v>
      </c>
      <c r="L109" s="25">
        <f t="shared" si="34"/>
        <v>240.21634081472678</v>
      </c>
      <c r="M109" s="25">
        <f t="shared" si="34"/>
        <v>242.61649933509494</v>
      </c>
      <c r="N109" s="25">
        <f t="shared" si="34"/>
        <v>245.0766618184723</v>
      </c>
      <c r="O109" s="25">
        <f t="shared" si="34"/>
        <v>247.59832836393412</v>
      </c>
      <c r="P109" s="25">
        <f t="shared" si="34"/>
        <v>250.18303657303247</v>
      </c>
      <c r="Q109" s="25">
        <f t="shared" si="34"/>
        <v>252.8323624873583</v>
      </c>
      <c r="R109" s="25">
        <f t="shared" si="34"/>
        <v>255.54792154954225</v>
      </c>
      <c r="S109" s="25">
        <f t="shared" si="34"/>
        <v>258.33136958828078</v>
      </c>
      <c r="T109" s="25">
        <f t="shared" si="34"/>
        <v>261.18440382798781</v>
      </c>
      <c r="U109" s="25">
        <f t="shared" si="34"/>
        <v>264.10876392368749</v>
      </c>
      <c r="V109" s="25">
        <f t="shared" si="34"/>
        <v>267.10623302177964</v>
      </c>
      <c r="W109" s="25">
        <f t="shared" si="34"/>
        <v>270.17863884732412</v>
      </c>
      <c r="X109" s="25">
        <f t="shared" si="34"/>
        <v>273.32785481850726</v>
      </c>
      <c r="Y109" s="25">
        <f t="shared" si="34"/>
        <v>276.55580118896995</v>
      </c>
      <c r="Z109" s="25">
        <f t="shared" si="34"/>
        <v>279.86444621869418</v>
      </c>
      <c r="AA109" s="25">
        <f t="shared" si="34"/>
        <v>283.25580737416152</v>
      </c>
    </row>
    <row r="110" spans="1:27" x14ac:dyDescent="0.3">
      <c r="A110" s="1"/>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row>
    <row r="111" spans="1:27" x14ac:dyDescent="0.3">
      <c r="A111" s="17" t="s">
        <v>70</v>
      </c>
      <c r="B111" s="17">
        <f t="shared" ref="B111:AA111" si="35">+B96</f>
        <v>2021</v>
      </c>
      <c r="C111" s="17">
        <f t="shared" si="35"/>
        <v>2022</v>
      </c>
      <c r="D111" s="17">
        <f t="shared" si="35"/>
        <v>2023</v>
      </c>
      <c r="E111" s="17">
        <f t="shared" si="35"/>
        <v>2024</v>
      </c>
      <c r="F111" s="17">
        <f t="shared" si="35"/>
        <v>2025</v>
      </c>
      <c r="G111" s="17">
        <f t="shared" si="35"/>
        <v>2026</v>
      </c>
      <c r="H111" s="17">
        <f t="shared" si="35"/>
        <v>2027</v>
      </c>
      <c r="I111" s="17">
        <f t="shared" si="35"/>
        <v>2028</v>
      </c>
      <c r="J111" s="17">
        <f t="shared" si="35"/>
        <v>2029</v>
      </c>
      <c r="K111" s="17">
        <f t="shared" si="35"/>
        <v>2030</v>
      </c>
      <c r="L111" s="17">
        <f t="shared" si="35"/>
        <v>2031</v>
      </c>
      <c r="M111" s="17">
        <f t="shared" si="35"/>
        <v>2032</v>
      </c>
      <c r="N111" s="17">
        <f t="shared" si="35"/>
        <v>2033</v>
      </c>
      <c r="O111" s="17">
        <f t="shared" si="35"/>
        <v>2034</v>
      </c>
      <c r="P111" s="17">
        <f t="shared" si="35"/>
        <v>2035</v>
      </c>
      <c r="Q111" s="17">
        <f t="shared" si="35"/>
        <v>2036</v>
      </c>
      <c r="R111" s="17">
        <f t="shared" si="35"/>
        <v>2037</v>
      </c>
      <c r="S111" s="17">
        <f t="shared" si="35"/>
        <v>2038</v>
      </c>
      <c r="T111" s="17">
        <f t="shared" si="35"/>
        <v>2039</v>
      </c>
      <c r="U111" s="17">
        <f t="shared" si="35"/>
        <v>2040</v>
      </c>
      <c r="V111" s="17">
        <f t="shared" si="35"/>
        <v>2041</v>
      </c>
      <c r="W111" s="17">
        <f t="shared" si="35"/>
        <v>2042</v>
      </c>
      <c r="X111" s="17">
        <f t="shared" si="35"/>
        <v>2043</v>
      </c>
      <c r="Y111" s="17">
        <f t="shared" si="35"/>
        <v>2044</v>
      </c>
      <c r="Z111" s="17">
        <f t="shared" si="35"/>
        <v>2045</v>
      </c>
      <c r="AA111" s="17">
        <f t="shared" si="35"/>
        <v>2046</v>
      </c>
    </row>
    <row r="112" spans="1:27" s="1" customFormat="1" ht="15" thickBot="1" x14ac:dyDescent="0.35">
      <c r="A112" s="38" t="s">
        <v>55</v>
      </c>
      <c r="B112" s="206">
        <f t="shared" ref="B112:AA112" si="36">+B109+B97</f>
        <v>219.21</v>
      </c>
      <c r="C112" s="206">
        <f t="shared" si="36"/>
        <v>221.08500000000001</v>
      </c>
      <c r="D112" s="206">
        <f t="shared" si="36"/>
        <v>223.00687500000001</v>
      </c>
      <c r="E112" s="206">
        <f t="shared" si="36"/>
        <v>224.97679687499999</v>
      </c>
      <c r="F112" s="206">
        <f t="shared" si="36"/>
        <v>366.995966796875</v>
      </c>
      <c r="G112" s="206">
        <f t="shared" si="36"/>
        <v>229.06561596679686</v>
      </c>
      <c r="H112" s="206">
        <f t="shared" si="36"/>
        <v>231.18700636596677</v>
      </c>
      <c r="I112" s="206">
        <f t="shared" si="36"/>
        <v>233.36143152511596</v>
      </c>
      <c r="J112" s="206">
        <f t="shared" si="36"/>
        <v>235.59021731324384</v>
      </c>
      <c r="K112" s="206">
        <f t="shared" si="36"/>
        <v>237.87472274607489</v>
      </c>
      <c r="L112" s="206">
        <f t="shared" si="36"/>
        <v>240.21634081472678</v>
      </c>
      <c r="M112" s="206">
        <f t="shared" si="36"/>
        <v>242.61649933509494</v>
      </c>
      <c r="N112" s="206">
        <f t="shared" si="36"/>
        <v>245.0766618184723</v>
      </c>
      <c r="O112" s="206">
        <f t="shared" si="36"/>
        <v>247.59832836393412</v>
      </c>
      <c r="P112" s="206">
        <f t="shared" si="36"/>
        <v>250.18303657303247</v>
      </c>
      <c r="Q112" s="206">
        <f t="shared" si="36"/>
        <v>252.8323624873583</v>
      </c>
      <c r="R112" s="206">
        <f t="shared" si="36"/>
        <v>255.54792154954225</v>
      </c>
      <c r="S112" s="206">
        <f t="shared" si="36"/>
        <v>258.33136958828078</v>
      </c>
      <c r="T112" s="206">
        <f t="shared" si="36"/>
        <v>261.18440382798781</v>
      </c>
      <c r="U112" s="206">
        <f t="shared" si="36"/>
        <v>264.10876392368749</v>
      </c>
      <c r="V112" s="206">
        <f t="shared" si="36"/>
        <v>267.10623302177964</v>
      </c>
      <c r="W112" s="206">
        <f t="shared" si="36"/>
        <v>270.17863884732412</v>
      </c>
      <c r="X112" s="206">
        <f t="shared" si="36"/>
        <v>273.32785481850726</v>
      </c>
      <c r="Y112" s="206">
        <f t="shared" si="36"/>
        <v>276.55580118896995</v>
      </c>
      <c r="Z112" s="206">
        <f t="shared" si="36"/>
        <v>279.86444621869418</v>
      </c>
      <c r="AA112" s="206">
        <f t="shared" si="36"/>
        <v>283.25580737416152</v>
      </c>
    </row>
    <row r="113" spans="1:27" x14ac:dyDescent="0.3">
      <c r="A113" s="170"/>
    </row>
    <row r="114" spans="1:27" ht="18" x14ac:dyDescent="0.35">
      <c r="A114" s="108" t="s">
        <v>164</v>
      </c>
    </row>
    <row r="115" spans="1:27" x14ac:dyDescent="0.3">
      <c r="A115" s="45" t="s">
        <v>42</v>
      </c>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row>
    <row r="116" spans="1:27" x14ac:dyDescent="0.3">
      <c r="C116" s="46" t="s">
        <v>181</v>
      </c>
    </row>
    <row r="117" spans="1:27" x14ac:dyDescent="0.3">
      <c r="A117" s="124" t="s">
        <v>36</v>
      </c>
      <c r="B117" s="173">
        <f>'Inputs &amp; Summary'!F90</f>
        <v>60.759999999999991</v>
      </c>
      <c r="C117" s="1" t="s">
        <v>184</v>
      </c>
    </row>
    <row r="118" spans="1:27" x14ac:dyDescent="0.3">
      <c r="A118" s="124" t="s">
        <v>37</v>
      </c>
      <c r="B118" s="124">
        <f>'Inputs &amp; Summary'!F91</f>
        <v>135</v>
      </c>
      <c r="C118" s="1" t="s">
        <v>184</v>
      </c>
      <c r="F118" s="82" t="s">
        <v>151</v>
      </c>
      <c r="G118" s="83"/>
      <c r="H118" s="83"/>
      <c r="I118" s="83"/>
      <c r="J118" s="83"/>
      <c r="K118" s="83"/>
      <c r="L118" s="83"/>
      <c r="M118" s="83"/>
      <c r="N118" s="83"/>
      <c r="O118" s="83"/>
      <c r="P118" s="83"/>
      <c r="Q118" s="84"/>
    </row>
    <row r="119" spans="1:27" x14ac:dyDescent="0.3">
      <c r="A119" s="124" t="s">
        <v>203</v>
      </c>
      <c r="B119" s="158">
        <f>'Inputs &amp; Summary'!P144</f>
        <v>0.05</v>
      </c>
      <c r="C119" s="1" t="s">
        <v>185</v>
      </c>
      <c r="F119" s="107"/>
      <c r="G119" s="72"/>
      <c r="H119" s="72"/>
      <c r="I119" s="72"/>
      <c r="J119" s="72"/>
      <c r="K119" s="72"/>
      <c r="L119" s="72"/>
      <c r="M119" s="72"/>
      <c r="N119" s="72"/>
      <c r="O119" s="72"/>
      <c r="P119" s="72"/>
      <c r="Q119" s="86"/>
    </row>
    <row r="120" spans="1:27" x14ac:dyDescent="0.3">
      <c r="A120" s="124" t="s">
        <v>39</v>
      </c>
      <c r="B120" s="160">
        <f>'Inputs &amp; Summary'!P145</f>
        <v>1.2E-2</v>
      </c>
      <c r="C120" s="1" t="s">
        <v>183</v>
      </c>
    </row>
    <row r="121" spans="1:27" x14ac:dyDescent="0.3">
      <c r="A121" s="3" t="s">
        <v>3</v>
      </c>
      <c r="B121" s="124">
        <v>0</v>
      </c>
      <c r="C121" s="124">
        <f t="shared" ref="C121:AA121" si="37">+B121+1</f>
        <v>1</v>
      </c>
      <c r="D121" s="124">
        <f t="shared" si="37"/>
        <v>2</v>
      </c>
      <c r="E121" s="124">
        <f t="shared" si="37"/>
        <v>3</v>
      </c>
      <c r="F121" s="124">
        <f t="shared" si="37"/>
        <v>4</v>
      </c>
      <c r="G121" s="124">
        <f t="shared" si="37"/>
        <v>5</v>
      </c>
      <c r="H121" s="124">
        <f t="shared" si="37"/>
        <v>6</v>
      </c>
      <c r="I121" s="124">
        <f t="shared" si="37"/>
        <v>7</v>
      </c>
      <c r="J121" s="124">
        <f t="shared" si="37"/>
        <v>8</v>
      </c>
      <c r="K121" s="124">
        <f t="shared" si="37"/>
        <v>9</v>
      </c>
      <c r="L121" s="124">
        <f t="shared" si="37"/>
        <v>10</v>
      </c>
      <c r="M121" s="124">
        <f t="shared" si="37"/>
        <v>11</v>
      </c>
      <c r="N121" s="124">
        <f t="shared" si="37"/>
        <v>12</v>
      </c>
      <c r="O121" s="124">
        <f t="shared" si="37"/>
        <v>13</v>
      </c>
      <c r="P121" s="124">
        <f t="shared" si="37"/>
        <v>14</v>
      </c>
      <c r="Q121" s="124">
        <f t="shared" si="37"/>
        <v>15</v>
      </c>
      <c r="R121" s="124">
        <f t="shared" si="37"/>
        <v>16</v>
      </c>
      <c r="S121" s="124">
        <f t="shared" si="37"/>
        <v>17</v>
      </c>
      <c r="T121" s="124">
        <f t="shared" si="37"/>
        <v>18</v>
      </c>
      <c r="U121" s="124">
        <f t="shared" si="37"/>
        <v>19</v>
      </c>
      <c r="V121" s="124">
        <f t="shared" si="37"/>
        <v>20</v>
      </c>
      <c r="W121" s="124">
        <f t="shared" si="37"/>
        <v>21</v>
      </c>
      <c r="X121" s="124">
        <f t="shared" si="37"/>
        <v>22</v>
      </c>
      <c r="Y121" s="124">
        <f t="shared" si="37"/>
        <v>23</v>
      </c>
      <c r="Z121" s="124">
        <f t="shared" si="37"/>
        <v>24</v>
      </c>
      <c r="AA121" s="124">
        <f t="shared" si="37"/>
        <v>25</v>
      </c>
    </row>
    <row r="122" spans="1:27" x14ac:dyDescent="0.3">
      <c r="A122" s="175" t="s">
        <v>400</v>
      </c>
      <c r="B122" s="174">
        <v>2021</v>
      </c>
      <c r="C122" s="174">
        <f t="shared" ref="C122:AA122" si="38">+B122+1</f>
        <v>2022</v>
      </c>
      <c r="D122" s="174">
        <f t="shared" si="38"/>
        <v>2023</v>
      </c>
      <c r="E122" s="174">
        <f t="shared" si="38"/>
        <v>2024</v>
      </c>
      <c r="F122" s="174">
        <f t="shared" si="38"/>
        <v>2025</v>
      </c>
      <c r="G122" s="174">
        <f t="shared" si="38"/>
        <v>2026</v>
      </c>
      <c r="H122" s="174">
        <f t="shared" si="38"/>
        <v>2027</v>
      </c>
      <c r="I122" s="174">
        <f t="shared" si="38"/>
        <v>2028</v>
      </c>
      <c r="J122" s="174">
        <f t="shared" si="38"/>
        <v>2029</v>
      </c>
      <c r="K122" s="174">
        <f t="shared" si="38"/>
        <v>2030</v>
      </c>
      <c r="L122" s="174">
        <f t="shared" si="38"/>
        <v>2031</v>
      </c>
      <c r="M122" s="174">
        <f t="shared" si="38"/>
        <v>2032</v>
      </c>
      <c r="N122" s="174">
        <f t="shared" si="38"/>
        <v>2033</v>
      </c>
      <c r="O122" s="174">
        <f t="shared" si="38"/>
        <v>2034</v>
      </c>
      <c r="P122" s="174">
        <f t="shared" si="38"/>
        <v>2035</v>
      </c>
      <c r="Q122" s="174">
        <f t="shared" si="38"/>
        <v>2036</v>
      </c>
      <c r="R122" s="174">
        <f t="shared" si="38"/>
        <v>2037</v>
      </c>
      <c r="S122" s="174">
        <f t="shared" si="38"/>
        <v>2038</v>
      </c>
      <c r="T122" s="174">
        <f t="shared" si="38"/>
        <v>2039</v>
      </c>
      <c r="U122" s="174">
        <f t="shared" si="38"/>
        <v>2040</v>
      </c>
      <c r="V122" s="174">
        <f t="shared" si="38"/>
        <v>2041</v>
      </c>
      <c r="W122" s="174">
        <f t="shared" si="38"/>
        <v>2042</v>
      </c>
      <c r="X122" s="174">
        <f t="shared" si="38"/>
        <v>2043</v>
      </c>
      <c r="Y122" s="174">
        <f t="shared" si="38"/>
        <v>2044</v>
      </c>
      <c r="Z122" s="174">
        <f t="shared" si="38"/>
        <v>2045</v>
      </c>
      <c r="AA122" s="174">
        <f t="shared" si="38"/>
        <v>2046</v>
      </c>
    </row>
    <row r="123" spans="1:27" x14ac:dyDescent="0.3">
      <c r="A123" s="1" t="s">
        <v>57</v>
      </c>
      <c r="B123" s="24">
        <f>+B117*B118*B119</f>
        <v>410.12999999999994</v>
      </c>
      <c r="C123" s="24">
        <f t="shared" ref="C123:AA123" si="39">+$B$123*(1+$B$120)^C121</f>
        <v>415.05155999999994</v>
      </c>
      <c r="D123" s="24">
        <f t="shared" si="39"/>
        <v>420.03217871999993</v>
      </c>
      <c r="E123" s="24">
        <f t="shared" si="39"/>
        <v>425.07256486463996</v>
      </c>
      <c r="F123" s="24">
        <f t="shared" si="39"/>
        <v>430.17343564301558</v>
      </c>
      <c r="G123" s="24">
        <f t="shared" si="39"/>
        <v>435.33551687073179</v>
      </c>
      <c r="H123" s="24">
        <f t="shared" si="39"/>
        <v>440.55954307318052</v>
      </c>
      <c r="I123" s="24">
        <f t="shared" si="39"/>
        <v>445.84625759005877</v>
      </c>
      <c r="J123" s="24">
        <f t="shared" si="39"/>
        <v>451.19641268113946</v>
      </c>
      <c r="K123" s="24">
        <f t="shared" si="39"/>
        <v>456.61076963331311</v>
      </c>
      <c r="L123" s="24">
        <f t="shared" si="39"/>
        <v>462.09009886891283</v>
      </c>
      <c r="M123" s="24">
        <f t="shared" si="39"/>
        <v>467.63518005533979</v>
      </c>
      <c r="N123" s="24">
        <f t="shared" si="39"/>
        <v>473.24680221600386</v>
      </c>
      <c r="O123" s="24">
        <f t="shared" si="39"/>
        <v>478.92576384259587</v>
      </c>
      <c r="P123" s="24">
        <f t="shared" si="39"/>
        <v>484.67287300870703</v>
      </c>
      <c r="Q123" s="24">
        <f t="shared" si="39"/>
        <v>490.4889474848116</v>
      </c>
      <c r="R123" s="24">
        <f t="shared" si="39"/>
        <v>496.37481485462934</v>
      </c>
      <c r="S123" s="24">
        <f t="shared" si="39"/>
        <v>502.33131263288493</v>
      </c>
      <c r="T123" s="24">
        <f t="shared" si="39"/>
        <v>508.35928838447944</v>
      </c>
      <c r="U123" s="24">
        <f t="shared" si="39"/>
        <v>514.45959984509329</v>
      </c>
      <c r="V123" s="24">
        <f t="shared" si="39"/>
        <v>520.63311504323428</v>
      </c>
      <c r="W123" s="24">
        <f t="shared" si="39"/>
        <v>526.88071242375315</v>
      </c>
      <c r="X123" s="24">
        <f t="shared" si="39"/>
        <v>533.20328097283812</v>
      </c>
      <c r="Y123" s="24">
        <f t="shared" si="39"/>
        <v>539.60172034451239</v>
      </c>
      <c r="Z123" s="24">
        <f t="shared" si="39"/>
        <v>546.07694098864636</v>
      </c>
      <c r="AA123" s="24">
        <f t="shared" si="39"/>
        <v>552.62986428051011</v>
      </c>
    </row>
    <row r="124" spans="1:27" x14ac:dyDescent="0.3">
      <c r="A124" s="1"/>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x14ac:dyDescent="0.3">
      <c r="A125" s="45" t="s">
        <v>43</v>
      </c>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row>
    <row r="126" spans="1:27" x14ac:dyDescent="0.3">
      <c r="C126" s="46" t="s">
        <v>181</v>
      </c>
    </row>
    <row r="127" spans="1:27" x14ac:dyDescent="0.3">
      <c r="A127" s="124" t="s">
        <v>40</v>
      </c>
      <c r="B127" s="173">
        <f>'Inputs &amp; Summary'!F95</f>
        <v>138.70000000000002</v>
      </c>
      <c r="C127" s="1" t="s">
        <v>184</v>
      </c>
    </row>
    <row r="128" spans="1:27" x14ac:dyDescent="0.3">
      <c r="A128" s="124" t="s">
        <v>41</v>
      </c>
      <c r="B128" s="124">
        <f>'Inputs &amp; Summary'!F96</f>
        <v>135</v>
      </c>
      <c r="C128" s="1" t="s">
        <v>184</v>
      </c>
      <c r="F128" s="82" t="s">
        <v>151</v>
      </c>
      <c r="G128" s="83"/>
      <c r="H128" s="83"/>
      <c r="I128" s="83"/>
      <c r="J128" s="83"/>
      <c r="K128" s="83"/>
      <c r="L128" s="83"/>
      <c r="M128" s="83"/>
      <c r="N128" s="83"/>
      <c r="O128" s="83"/>
      <c r="P128" s="83"/>
      <c r="Q128" s="84"/>
    </row>
    <row r="129" spans="1:27" x14ac:dyDescent="0.3">
      <c r="A129" s="124" t="s">
        <v>204</v>
      </c>
      <c r="B129" s="158">
        <f>'Inputs &amp; Summary'!P147</f>
        <v>0.05</v>
      </c>
      <c r="C129" s="1" t="s">
        <v>185</v>
      </c>
      <c r="F129" s="107"/>
      <c r="G129" s="72"/>
      <c r="H129" s="72"/>
      <c r="I129" s="72"/>
      <c r="J129" s="72"/>
      <c r="K129" s="72"/>
      <c r="L129" s="72"/>
      <c r="M129" s="72"/>
      <c r="N129" s="72"/>
      <c r="O129" s="72"/>
      <c r="P129" s="72"/>
      <c r="Q129" s="86"/>
    </row>
    <row r="130" spans="1:27" x14ac:dyDescent="0.3">
      <c r="A130" s="124" t="s">
        <v>39</v>
      </c>
      <c r="B130" s="160">
        <f>'Inputs &amp; Summary'!P148</f>
        <v>1.2E-2</v>
      </c>
      <c r="C130" s="1" t="s">
        <v>183</v>
      </c>
    </row>
    <row r="131" spans="1:27" x14ac:dyDescent="0.3">
      <c r="A131" s="3" t="s">
        <v>3</v>
      </c>
      <c r="B131" s="124">
        <v>0</v>
      </c>
      <c r="C131" s="124">
        <f t="shared" ref="C131:AA131" si="40">+B131+1</f>
        <v>1</v>
      </c>
      <c r="D131" s="124">
        <f t="shared" si="40"/>
        <v>2</v>
      </c>
      <c r="E131" s="124">
        <f t="shared" si="40"/>
        <v>3</v>
      </c>
      <c r="F131" s="124">
        <f t="shared" si="40"/>
        <v>4</v>
      </c>
      <c r="G131" s="124">
        <f t="shared" si="40"/>
        <v>5</v>
      </c>
      <c r="H131" s="124">
        <f t="shared" si="40"/>
        <v>6</v>
      </c>
      <c r="I131" s="124">
        <f t="shared" si="40"/>
        <v>7</v>
      </c>
      <c r="J131" s="124">
        <f t="shared" si="40"/>
        <v>8</v>
      </c>
      <c r="K131" s="124">
        <f t="shared" si="40"/>
        <v>9</v>
      </c>
      <c r="L131" s="124">
        <f t="shared" si="40"/>
        <v>10</v>
      </c>
      <c r="M131" s="124">
        <f t="shared" si="40"/>
        <v>11</v>
      </c>
      <c r="N131" s="124">
        <f t="shared" si="40"/>
        <v>12</v>
      </c>
      <c r="O131" s="124">
        <f t="shared" si="40"/>
        <v>13</v>
      </c>
      <c r="P131" s="124">
        <f t="shared" si="40"/>
        <v>14</v>
      </c>
      <c r="Q131" s="124">
        <f t="shared" si="40"/>
        <v>15</v>
      </c>
      <c r="R131" s="124">
        <f t="shared" si="40"/>
        <v>16</v>
      </c>
      <c r="S131" s="124">
        <f t="shared" si="40"/>
        <v>17</v>
      </c>
      <c r="T131" s="124">
        <f t="shared" si="40"/>
        <v>18</v>
      </c>
      <c r="U131" s="124">
        <f t="shared" si="40"/>
        <v>19</v>
      </c>
      <c r="V131" s="124">
        <f t="shared" si="40"/>
        <v>20</v>
      </c>
      <c r="W131" s="124">
        <f t="shared" si="40"/>
        <v>21</v>
      </c>
      <c r="X131" s="124">
        <f t="shared" si="40"/>
        <v>22</v>
      </c>
      <c r="Y131" s="124">
        <f t="shared" si="40"/>
        <v>23</v>
      </c>
      <c r="Z131" s="124">
        <f t="shared" si="40"/>
        <v>24</v>
      </c>
      <c r="AA131" s="124">
        <f t="shared" si="40"/>
        <v>25</v>
      </c>
    </row>
    <row r="132" spans="1:27" x14ac:dyDescent="0.3">
      <c r="A132" s="175" t="s">
        <v>400</v>
      </c>
      <c r="B132" s="174">
        <v>2021</v>
      </c>
      <c r="C132" s="174">
        <f t="shared" ref="C132:AA132" si="41">+B132+1</f>
        <v>2022</v>
      </c>
      <c r="D132" s="174">
        <f t="shared" si="41"/>
        <v>2023</v>
      </c>
      <c r="E132" s="174">
        <f t="shared" si="41"/>
        <v>2024</v>
      </c>
      <c r="F132" s="174">
        <f t="shared" si="41"/>
        <v>2025</v>
      </c>
      <c r="G132" s="174">
        <f t="shared" si="41"/>
        <v>2026</v>
      </c>
      <c r="H132" s="174">
        <f t="shared" si="41"/>
        <v>2027</v>
      </c>
      <c r="I132" s="174">
        <f t="shared" si="41"/>
        <v>2028</v>
      </c>
      <c r="J132" s="174">
        <f t="shared" si="41"/>
        <v>2029</v>
      </c>
      <c r="K132" s="174">
        <f t="shared" si="41"/>
        <v>2030</v>
      </c>
      <c r="L132" s="174">
        <f t="shared" si="41"/>
        <v>2031</v>
      </c>
      <c r="M132" s="174">
        <f t="shared" si="41"/>
        <v>2032</v>
      </c>
      <c r="N132" s="174">
        <f t="shared" si="41"/>
        <v>2033</v>
      </c>
      <c r="O132" s="174">
        <f t="shared" si="41"/>
        <v>2034</v>
      </c>
      <c r="P132" s="174">
        <f t="shared" si="41"/>
        <v>2035</v>
      </c>
      <c r="Q132" s="174">
        <f t="shared" si="41"/>
        <v>2036</v>
      </c>
      <c r="R132" s="174">
        <f t="shared" si="41"/>
        <v>2037</v>
      </c>
      <c r="S132" s="174">
        <f t="shared" si="41"/>
        <v>2038</v>
      </c>
      <c r="T132" s="174">
        <f t="shared" si="41"/>
        <v>2039</v>
      </c>
      <c r="U132" s="174">
        <f t="shared" si="41"/>
        <v>2040</v>
      </c>
      <c r="V132" s="174">
        <f t="shared" si="41"/>
        <v>2041</v>
      </c>
      <c r="W132" s="174">
        <f t="shared" si="41"/>
        <v>2042</v>
      </c>
      <c r="X132" s="174">
        <f t="shared" si="41"/>
        <v>2043</v>
      </c>
      <c r="Y132" s="174">
        <f t="shared" si="41"/>
        <v>2044</v>
      </c>
      <c r="Z132" s="174">
        <f t="shared" si="41"/>
        <v>2045</v>
      </c>
      <c r="AA132" s="174">
        <f t="shared" si="41"/>
        <v>2046</v>
      </c>
    </row>
    <row r="133" spans="1:27" x14ac:dyDescent="0.3">
      <c r="A133" s="1" t="s">
        <v>58</v>
      </c>
      <c r="B133" s="24">
        <f>+(B127*B128*B129)</f>
        <v>936.22500000000025</v>
      </c>
      <c r="C133" s="24">
        <f t="shared" ref="C133:AA133" si="42">+$B$133*(1+$B$130)^C131</f>
        <v>947.45970000000023</v>
      </c>
      <c r="D133" s="24">
        <f t="shared" si="42"/>
        <v>958.82921640000018</v>
      </c>
      <c r="E133" s="24">
        <f t="shared" si="42"/>
        <v>970.33516699680024</v>
      </c>
      <c r="F133" s="24">
        <f t="shared" si="42"/>
        <v>981.97918900076183</v>
      </c>
      <c r="G133" s="24">
        <f t="shared" si="42"/>
        <v>993.76293926877099</v>
      </c>
      <c r="H133" s="24">
        <f t="shared" si="42"/>
        <v>1005.6880945399961</v>
      </c>
      <c r="I133" s="24">
        <f t="shared" si="42"/>
        <v>1017.7563516744763</v>
      </c>
      <c r="J133" s="24">
        <f t="shared" si="42"/>
        <v>1029.9694278945699</v>
      </c>
      <c r="K133" s="24">
        <f t="shared" si="42"/>
        <v>1042.3290610293047</v>
      </c>
      <c r="L133" s="24">
        <f t="shared" si="42"/>
        <v>1054.8370097616564</v>
      </c>
      <c r="M133" s="24">
        <f t="shared" si="42"/>
        <v>1067.4950538787962</v>
      </c>
      <c r="N133" s="24">
        <f t="shared" si="42"/>
        <v>1080.3049945253417</v>
      </c>
      <c r="O133" s="24">
        <f t="shared" si="42"/>
        <v>1093.2686544596459</v>
      </c>
      <c r="P133" s="24">
        <f t="shared" si="42"/>
        <v>1106.3878783131615</v>
      </c>
      <c r="Q133" s="24">
        <f t="shared" si="42"/>
        <v>1119.6645328529196</v>
      </c>
      <c r="R133" s="24">
        <f t="shared" si="42"/>
        <v>1133.1005072471546</v>
      </c>
      <c r="S133" s="24">
        <f t="shared" si="42"/>
        <v>1146.6977133341206</v>
      </c>
      <c r="T133" s="24">
        <f t="shared" si="42"/>
        <v>1160.4580858941299</v>
      </c>
      <c r="U133" s="24">
        <f t="shared" si="42"/>
        <v>1174.3835829248596</v>
      </c>
      <c r="V133" s="24">
        <f t="shared" si="42"/>
        <v>1188.4761859199577</v>
      </c>
      <c r="W133" s="24">
        <f t="shared" si="42"/>
        <v>1202.7379001509973</v>
      </c>
      <c r="X133" s="24">
        <f t="shared" si="42"/>
        <v>1217.1707549528091</v>
      </c>
      <c r="Y133" s="24">
        <f t="shared" si="42"/>
        <v>1231.776804012243</v>
      </c>
      <c r="Z133" s="24">
        <f t="shared" si="42"/>
        <v>1246.5581256603898</v>
      </c>
      <c r="AA133" s="24">
        <f t="shared" si="42"/>
        <v>1261.5168231683144</v>
      </c>
    </row>
    <row r="135" spans="1:27" x14ac:dyDescent="0.3">
      <c r="A135" s="17" t="s">
        <v>173</v>
      </c>
      <c r="B135" s="17">
        <f t="shared" ref="B135:AA135" si="43">+B122</f>
        <v>2021</v>
      </c>
      <c r="C135" s="17">
        <f t="shared" si="43"/>
        <v>2022</v>
      </c>
      <c r="D135" s="17">
        <f t="shared" si="43"/>
        <v>2023</v>
      </c>
      <c r="E135" s="17">
        <f t="shared" si="43"/>
        <v>2024</v>
      </c>
      <c r="F135" s="17">
        <f t="shared" si="43"/>
        <v>2025</v>
      </c>
      <c r="G135" s="17">
        <f t="shared" si="43"/>
        <v>2026</v>
      </c>
      <c r="H135" s="17">
        <f t="shared" si="43"/>
        <v>2027</v>
      </c>
      <c r="I135" s="17">
        <f t="shared" si="43"/>
        <v>2028</v>
      </c>
      <c r="J135" s="17">
        <f t="shared" si="43"/>
        <v>2029</v>
      </c>
      <c r="K135" s="17">
        <f t="shared" si="43"/>
        <v>2030</v>
      </c>
      <c r="L135" s="17">
        <f t="shared" si="43"/>
        <v>2031</v>
      </c>
      <c r="M135" s="17">
        <f t="shared" si="43"/>
        <v>2032</v>
      </c>
      <c r="N135" s="17">
        <f t="shared" si="43"/>
        <v>2033</v>
      </c>
      <c r="O135" s="17">
        <f t="shared" si="43"/>
        <v>2034</v>
      </c>
      <c r="P135" s="17">
        <f t="shared" si="43"/>
        <v>2035</v>
      </c>
      <c r="Q135" s="17">
        <f t="shared" si="43"/>
        <v>2036</v>
      </c>
      <c r="R135" s="17">
        <f t="shared" si="43"/>
        <v>2037</v>
      </c>
      <c r="S135" s="17">
        <f t="shared" si="43"/>
        <v>2038</v>
      </c>
      <c r="T135" s="17">
        <f t="shared" si="43"/>
        <v>2039</v>
      </c>
      <c r="U135" s="17">
        <f t="shared" si="43"/>
        <v>2040</v>
      </c>
      <c r="V135" s="17">
        <f t="shared" si="43"/>
        <v>2041</v>
      </c>
      <c r="W135" s="17">
        <f t="shared" si="43"/>
        <v>2042</v>
      </c>
      <c r="X135" s="17">
        <f t="shared" si="43"/>
        <v>2043</v>
      </c>
      <c r="Y135" s="17">
        <f t="shared" si="43"/>
        <v>2044</v>
      </c>
      <c r="Z135" s="17">
        <f t="shared" si="43"/>
        <v>2045</v>
      </c>
      <c r="AA135" s="17">
        <f t="shared" si="43"/>
        <v>2046</v>
      </c>
    </row>
    <row r="136" spans="1:27" s="1" customFormat="1" ht="15" thickBot="1" x14ac:dyDescent="0.35">
      <c r="A136" s="38" t="s">
        <v>55</v>
      </c>
      <c r="B136" s="39">
        <f t="shared" ref="B136:AA136" si="44">+B133+B123</f>
        <v>1346.3550000000002</v>
      </c>
      <c r="C136" s="39">
        <f t="shared" si="44"/>
        <v>1362.5112600000002</v>
      </c>
      <c r="D136" s="39">
        <f t="shared" si="44"/>
        <v>1378.86139512</v>
      </c>
      <c r="E136" s="39">
        <f t="shared" si="44"/>
        <v>1395.4077318614402</v>
      </c>
      <c r="F136" s="39">
        <f t="shared" si="44"/>
        <v>1412.1526246437775</v>
      </c>
      <c r="G136" s="39">
        <f t="shared" si="44"/>
        <v>1429.0984561395028</v>
      </c>
      <c r="H136" s="39">
        <f t="shared" si="44"/>
        <v>1446.2476376131767</v>
      </c>
      <c r="I136" s="39">
        <f t="shared" si="44"/>
        <v>1463.602609264535</v>
      </c>
      <c r="J136" s="39">
        <f t="shared" si="44"/>
        <v>1481.1658405757094</v>
      </c>
      <c r="K136" s="39">
        <f t="shared" si="44"/>
        <v>1498.9398306626179</v>
      </c>
      <c r="L136" s="39">
        <f t="shared" si="44"/>
        <v>1516.9271086305694</v>
      </c>
      <c r="M136" s="39">
        <f t="shared" si="44"/>
        <v>1535.130233934136</v>
      </c>
      <c r="N136" s="39">
        <f t="shared" si="44"/>
        <v>1553.5517967413457</v>
      </c>
      <c r="O136" s="39">
        <f t="shared" si="44"/>
        <v>1572.1944183022417</v>
      </c>
      <c r="P136" s="39">
        <f t="shared" si="44"/>
        <v>1591.0607513218686</v>
      </c>
      <c r="Q136" s="39">
        <f t="shared" si="44"/>
        <v>1610.1534803377313</v>
      </c>
      <c r="R136" s="39">
        <f t="shared" si="44"/>
        <v>1629.4753221017841</v>
      </c>
      <c r="S136" s="39">
        <f t="shared" si="44"/>
        <v>1649.0290259670055</v>
      </c>
      <c r="T136" s="39">
        <f t="shared" si="44"/>
        <v>1668.8173742786093</v>
      </c>
      <c r="U136" s="39">
        <f t="shared" si="44"/>
        <v>1688.8431827699528</v>
      </c>
      <c r="V136" s="39">
        <f t="shared" si="44"/>
        <v>1709.109300963192</v>
      </c>
      <c r="W136" s="39">
        <f t="shared" si="44"/>
        <v>1729.6186125747504</v>
      </c>
      <c r="X136" s="39">
        <f t="shared" si="44"/>
        <v>1750.3740359256471</v>
      </c>
      <c r="Y136" s="39">
        <f t="shared" si="44"/>
        <v>1771.3785243567554</v>
      </c>
      <c r="Z136" s="39">
        <f t="shared" si="44"/>
        <v>1792.6350666490362</v>
      </c>
      <c r="AA136" s="39">
        <f t="shared" si="44"/>
        <v>1814.1466874488247</v>
      </c>
    </row>
    <row r="138" spans="1:27" ht="18" x14ac:dyDescent="0.35">
      <c r="A138" s="109" t="s">
        <v>199</v>
      </c>
    </row>
    <row r="139" spans="1:27" x14ac:dyDescent="0.3">
      <c r="A139" s="45" t="s">
        <v>46</v>
      </c>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row>
    <row r="140" spans="1:27" x14ac:dyDescent="0.3">
      <c r="C140" s="46" t="s">
        <v>181</v>
      </c>
    </row>
    <row r="141" spans="1:27" x14ac:dyDescent="0.3">
      <c r="A141" s="124" t="s">
        <v>48</v>
      </c>
      <c r="B141" s="32">
        <f>'Inputs &amp; Summary'!F98</f>
        <v>4557</v>
      </c>
      <c r="C141" s="1" t="s">
        <v>184</v>
      </c>
    </row>
    <row r="142" spans="1:27" x14ac:dyDescent="0.3">
      <c r="A142" s="124" t="s">
        <v>29</v>
      </c>
      <c r="B142" s="124">
        <f>'Inputs &amp; Summary'!P99</f>
        <v>3</v>
      </c>
      <c r="C142" s="1" t="s">
        <v>184</v>
      </c>
      <c r="F142" s="82" t="s">
        <v>255</v>
      </c>
      <c r="G142" s="83"/>
      <c r="H142" s="83"/>
      <c r="I142" s="83"/>
      <c r="J142" s="83"/>
      <c r="K142" s="83"/>
      <c r="L142" s="83"/>
      <c r="M142" s="83"/>
      <c r="N142" s="83"/>
      <c r="O142" s="84"/>
    </row>
    <row r="143" spans="1:27" x14ac:dyDescent="0.3">
      <c r="A143" s="124" t="s">
        <v>254</v>
      </c>
      <c r="B143" s="188">
        <f>'Inputs &amp; Summary'!P152</f>
        <v>0.01</v>
      </c>
      <c r="C143" s="1" t="s">
        <v>183</v>
      </c>
      <c r="F143" s="85" t="s">
        <v>152</v>
      </c>
      <c r="G143" s="72"/>
      <c r="H143" s="72"/>
      <c r="I143" s="72"/>
      <c r="J143" s="72"/>
      <c r="K143" s="72"/>
      <c r="L143" s="72"/>
      <c r="M143" s="72"/>
      <c r="N143" s="72"/>
      <c r="O143" s="86"/>
    </row>
    <row r="144" spans="1:27" x14ac:dyDescent="0.3">
      <c r="A144" s="124" t="s">
        <v>45</v>
      </c>
      <c r="B144" s="6">
        <f>'Inputs &amp; Summary'!P153</f>
        <v>500</v>
      </c>
      <c r="C144" s="1" t="s">
        <v>183</v>
      </c>
    </row>
    <row r="145" spans="1:27" x14ac:dyDescent="0.3">
      <c r="A145" s="3" t="s">
        <v>3</v>
      </c>
      <c r="B145" s="124">
        <v>0</v>
      </c>
      <c r="C145" s="124">
        <f t="shared" ref="C145:AA145" si="45">+B145+1</f>
        <v>1</v>
      </c>
      <c r="D145" s="124">
        <f t="shared" si="45"/>
        <v>2</v>
      </c>
      <c r="E145" s="124">
        <f t="shared" si="45"/>
        <v>3</v>
      </c>
      <c r="F145" s="124">
        <f t="shared" si="45"/>
        <v>4</v>
      </c>
      <c r="G145" s="124">
        <f t="shared" si="45"/>
        <v>5</v>
      </c>
      <c r="H145" s="124">
        <f t="shared" si="45"/>
        <v>6</v>
      </c>
      <c r="I145" s="124">
        <f t="shared" si="45"/>
        <v>7</v>
      </c>
      <c r="J145" s="124">
        <f t="shared" si="45"/>
        <v>8</v>
      </c>
      <c r="K145" s="124">
        <f t="shared" si="45"/>
        <v>9</v>
      </c>
      <c r="L145" s="124">
        <f t="shared" si="45"/>
        <v>10</v>
      </c>
      <c r="M145" s="124">
        <f t="shared" si="45"/>
        <v>11</v>
      </c>
      <c r="N145" s="124">
        <f t="shared" si="45"/>
        <v>12</v>
      </c>
      <c r="O145" s="124">
        <f t="shared" si="45"/>
        <v>13</v>
      </c>
      <c r="P145" s="124">
        <f t="shared" si="45"/>
        <v>14</v>
      </c>
      <c r="Q145" s="124">
        <f t="shared" si="45"/>
        <v>15</v>
      </c>
      <c r="R145" s="124">
        <f t="shared" si="45"/>
        <v>16</v>
      </c>
      <c r="S145" s="124">
        <f t="shared" si="45"/>
        <v>17</v>
      </c>
      <c r="T145" s="124">
        <f t="shared" si="45"/>
        <v>18</v>
      </c>
      <c r="U145" s="124">
        <f t="shared" si="45"/>
        <v>19</v>
      </c>
      <c r="V145" s="124">
        <f t="shared" si="45"/>
        <v>20</v>
      </c>
      <c r="W145" s="124">
        <f t="shared" si="45"/>
        <v>21</v>
      </c>
      <c r="X145" s="124">
        <f t="shared" si="45"/>
        <v>22</v>
      </c>
      <c r="Y145" s="124">
        <f t="shared" si="45"/>
        <v>23</v>
      </c>
      <c r="Z145" s="124">
        <f t="shared" si="45"/>
        <v>24</v>
      </c>
      <c r="AA145" s="124">
        <f t="shared" si="45"/>
        <v>25</v>
      </c>
    </row>
    <row r="146" spans="1:27" x14ac:dyDescent="0.3">
      <c r="A146" s="175" t="s">
        <v>400</v>
      </c>
      <c r="B146" s="174">
        <v>2021</v>
      </c>
      <c r="C146" s="174">
        <f t="shared" ref="C146:AA146" si="46">+B146+1</f>
        <v>2022</v>
      </c>
      <c r="D146" s="174">
        <f t="shared" si="46"/>
        <v>2023</v>
      </c>
      <c r="E146" s="174">
        <f t="shared" si="46"/>
        <v>2024</v>
      </c>
      <c r="F146" s="174">
        <f t="shared" si="46"/>
        <v>2025</v>
      </c>
      <c r="G146" s="174">
        <f t="shared" si="46"/>
        <v>2026</v>
      </c>
      <c r="H146" s="174">
        <f t="shared" si="46"/>
        <v>2027</v>
      </c>
      <c r="I146" s="174">
        <f t="shared" si="46"/>
        <v>2028</v>
      </c>
      <c r="J146" s="174">
        <f t="shared" si="46"/>
        <v>2029</v>
      </c>
      <c r="K146" s="174">
        <f t="shared" si="46"/>
        <v>2030</v>
      </c>
      <c r="L146" s="174">
        <f t="shared" si="46"/>
        <v>2031</v>
      </c>
      <c r="M146" s="174">
        <f t="shared" si="46"/>
        <v>2032</v>
      </c>
      <c r="N146" s="174">
        <f t="shared" si="46"/>
        <v>2033</v>
      </c>
      <c r="O146" s="174">
        <f t="shared" si="46"/>
        <v>2034</v>
      </c>
      <c r="P146" s="174">
        <f t="shared" si="46"/>
        <v>2035</v>
      </c>
      <c r="Q146" s="174">
        <f t="shared" si="46"/>
        <v>2036</v>
      </c>
      <c r="R146" s="174">
        <f t="shared" si="46"/>
        <v>2037</v>
      </c>
      <c r="S146" s="174">
        <f t="shared" si="46"/>
        <v>2038</v>
      </c>
      <c r="T146" s="174">
        <f t="shared" si="46"/>
        <v>2039</v>
      </c>
      <c r="U146" s="174">
        <f t="shared" si="46"/>
        <v>2040</v>
      </c>
      <c r="V146" s="174">
        <f t="shared" si="46"/>
        <v>2041</v>
      </c>
      <c r="W146" s="174">
        <f t="shared" si="46"/>
        <v>2042</v>
      </c>
      <c r="X146" s="174">
        <f t="shared" si="46"/>
        <v>2043</v>
      </c>
      <c r="Y146" s="174">
        <f t="shared" si="46"/>
        <v>2044</v>
      </c>
      <c r="Z146" s="174">
        <f t="shared" si="46"/>
        <v>2045</v>
      </c>
      <c r="AA146" s="174">
        <f t="shared" si="46"/>
        <v>2046</v>
      </c>
    </row>
    <row r="147" spans="1:27" x14ac:dyDescent="0.3">
      <c r="A147" s="1" t="s">
        <v>57</v>
      </c>
      <c r="B147" s="25">
        <f>+(B141*B142*B143)+(B143*B144)</f>
        <v>141.71</v>
      </c>
      <c r="C147" s="25">
        <f t="shared" ref="C147:AA147" si="47">+B147</f>
        <v>141.71</v>
      </c>
      <c r="D147" s="25">
        <f t="shared" si="47"/>
        <v>141.71</v>
      </c>
      <c r="E147" s="25">
        <f t="shared" si="47"/>
        <v>141.71</v>
      </c>
      <c r="F147" s="25">
        <f t="shared" si="47"/>
        <v>141.71</v>
      </c>
      <c r="G147" s="25">
        <f t="shared" si="47"/>
        <v>141.71</v>
      </c>
      <c r="H147" s="25">
        <f t="shared" si="47"/>
        <v>141.71</v>
      </c>
      <c r="I147" s="25">
        <f t="shared" si="47"/>
        <v>141.71</v>
      </c>
      <c r="J147" s="25">
        <f t="shared" si="47"/>
        <v>141.71</v>
      </c>
      <c r="K147" s="25">
        <f t="shared" si="47"/>
        <v>141.71</v>
      </c>
      <c r="L147" s="25">
        <f t="shared" si="47"/>
        <v>141.71</v>
      </c>
      <c r="M147" s="25">
        <f t="shared" si="47"/>
        <v>141.71</v>
      </c>
      <c r="N147" s="25">
        <f t="shared" si="47"/>
        <v>141.71</v>
      </c>
      <c r="O147" s="25">
        <f t="shared" si="47"/>
        <v>141.71</v>
      </c>
      <c r="P147" s="25">
        <f t="shared" si="47"/>
        <v>141.71</v>
      </c>
      <c r="Q147" s="25">
        <f t="shared" si="47"/>
        <v>141.71</v>
      </c>
      <c r="R147" s="25">
        <f t="shared" si="47"/>
        <v>141.71</v>
      </c>
      <c r="S147" s="25">
        <f t="shared" si="47"/>
        <v>141.71</v>
      </c>
      <c r="T147" s="25">
        <f t="shared" si="47"/>
        <v>141.71</v>
      </c>
      <c r="U147" s="25">
        <f t="shared" si="47"/>
        <v>141.71</v>
      </c>
      <c r="V147" s="25">
        <f t="shared" si="47"/>
        <v>141.71</v>
      </c>
      <c r="W147" s="25">
        <f t="shared" si="47"/>
        <v>141.71</v>
      </c>
      <c r="X147" s="25">
        <f t="shared" si="47"/>
        <v>141.71</v>
      </c>
      <c r="Y147" s="25">
        <f t="shared" si="47"/>
        <v>141.71</v>
      </c>
      <c r="Z147" s="25">
        <f t="shared" si="47"/>
        <v>141.71</v>
      </c>
      <c r="AA147" s="25">
        <f t="shared" si="47"/>
        <v>141.71</v>
      </c>
    </row>
    <row r="149" spans="1:27" x14ac:dyDescent="0.3">
      <c r="A149" s="45" t="s">
        <v>153</v>
      </c>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row>
    <row r="150" spans="1:27" x14ac:dyDescent="0.3">
      <c r="C150" s="46" t="s">
        <v>181</v>
      </c>
    </row>
    <row r="151" spans="1:27" x14ac:dyDescent="0.3">
      <c r="A151" s="124" t="s">
        <v>48</v>
      </c>
      <c r="B151" s="32">
        <f>'Inputs &amp; Summary'!F98</f>
        <v>4557</v>
      </c>
      <c r="C151" s="1" t="s">
        <v>184</v>
      </c>
    </row>
    <row r="152" spans="1:27" x14ac:dyDescent="0.3">
      <c r="A152" s="124" t="s">
        <v>29</v>
      </c>
      <c r="B152" s="124">
        <f>'Inputs &amp; Summary'!P99</f>
        <v>3</v>
      </c>
      <c r="C152" s="1" t="s">
        <v>184</v>
      </c>
      <c r="F152" s="82" t="s">
        <v>160</v>
      </c>
      <c r="G152" s="83"/>
      <c r="H152" s="83"/>
      <c r="I152" s="83"/>
      <c r="J152" s="83"/>
      <c r="K152" s="83"/>
      <c r="L152" s="83"/>
      <c r="M152" s="83"/>
      <c r="N152" s="83"/>
      <c r="O152" s="83"/>
      <c r="P152" s="84"/>
    </row>
    <row r="153" spans="1:27" x14ac:dyDescent="0.3">
      <c r="A153" s="124" t="s">
        <v>253</v>
      </c>
      <c r="B153" s="188">
        <f>'Inputs &amp; Summary'!P155</f>
        <v>0.01</v>
      </c>
      <c r="C153" s="1" t="s">
        <v>183</v>
      </c>
      <c r="F153" s="87" t="s">
        <v>152</v>
      </c>
      <c r="G153" s="119"/>
      <c r="H153" s="119"/>
      <c r="I153" s="119"/>
      <c r="J153" s="119"/>
      <c r="K153" s="119"/>
      <c r="L153" s="119"/>
      <c r="M153" s="119"/>
      <c r="N153" s="119"/>
      <c r="O153" s="119"/>
      <c r="P153" s="89"/>
    </row>
    <row r="154" spans="1:27" x14ac:dyDescent="0.3">
      <c r="A154" s="124" t="s">
        <v>47</v>
      </c>
      <c r="B154" s="6">
        <f>'Inputs &amp; Summary'!P156</f>
        <v>5</v>
      </c>
      <c r="C154" s="1" t="s">
        <v>183</v>
      </c>
      <c r="F154" s="85" t="s">
        <v>154</v>
      </c>
      <c r="G154" s="72"/>
      <c r="H154" s="72"/>
      <c r="I154" s="72"/>
      <c r="J154" s="72"/>
      <c r="K154" s="72"/>
      <c r="L154" s="72"/>
      <c r="M154" s="72"/>
      <c r="N154" s="72"/>
      <c r="O154" s="72"/>
      <c r="P154" s="86"/>
    </row>
    <row r="155" spans="1:27" x14ac:dyDescent="0.3">
      <c r="A155" s="3" t="s">
        <v>3</v>
      </c>
      <c r="B155" s="124">
        <v>0</v>
      </c>
      <c r="C155" s="124">
        <f t="shared" ref="C155:AA155" si="48">+B155+1</f>
        <v>1</v>
      </c>
      <c r="D155" s="124">
        <f t="shared" si="48"/>
        <v>2</v>
      </c>
      <c r="E155" s="124">
        <f t="shared" si="48"/>
        <v>3</v>
      </c>
      <c r="F155" s="124">
        <f t="shared" si="48"/>
        <v>4</v>
      </c>
      <c r="G155" s="124">
        <f t="shared" si="48"/>
        <v>5</v>
      </c>
      <c r="H155" s="124">
        <f t="shared" si="48"/>
        <v>6</v>
      </c>
      <c r="I155" s="124">
        <f t="shared" si="48"/>
        <v>7</v>
      </c>
      <c r="J155" s="124">
        <f t="shared" si="48"/>
        <v>8</v>
      </c>
      <c r="K155" s="124">
        <f t="shared" si="48"/>
        <v>9</v>
      </c>
      <c r="L155" s="124">
        <f t="shared" si="48"/>
        <v>10</v>
      </c>
      <c r="M155" s="124">
        <f t="shared" si="48"/>
        <v>11</v>
      </c>
      <c r="N155" s="124">
        <f t="shared" si="48"/>
        <v>12</v>
      </c>
      <c r="O155" s="124">
        <f t="shared" si="48"/>
        <v>13</v>
      </c>
      <c r="P155" s="124">
        <f t="shared" si="48"/>
        <v>14</v>
      </c>
      <c r="Q155" s="124">
        <f t="shared" si="48"/>
        <v>15</v>
      </c>
      <c r="R155" s="124">
        <f t="shared" si="48"/>
        <v>16</v>
      </c>
      <c r="S155" s="124">
        <f t="shared" si="48"/>
        <v>17</v>
      </c>
      <c r="T155" s="124">
        <f t="shared" si="48"/>
        <v>18</v>
      </c>
      <c r="U155" s="124">
        <f t="shared" si="48"/>
        <v>19</v>
      </c>
      <c r="V155" s="124">
        <f t="shared" si="48"/>
        <v>20</v>
      </c>
      <c r="W155" s="124">
        <f t="shared" si="48"/>
        <v>21</v>
      </c>
      <c r="X155" s="124">
        <f t="shared" si="48"/>
        <v>22</v>
      </c>
      <c r="Y155" s="124">
        <f t="shared" si="48"/>
        <v>23</v>
      </c>
      <c r="Z155" s="124">
        <f t="shared" si="48"/>
        <v>24</v>
      </c>
      <c r="AA155" s="124">
        <f t="shared" si="48"/>
        <v>25</v>
      </c>
    </row>
    <row r="156" spans="1:27" x14ac:dyDescent="0.3">
      <c r="A156" s="175" t="s">
        <v>400</v>
      </c>
      <c r="B156" s="174">
        <v>2021</v>
      </c>
      <c r="C156" s="174">
        <f t="shared" ref="C156:AA156" si="49">+B156+1</f>
        <v>2022</v>
      </c>
      <c r="D156" s="174">
        <f t="shared" si="49"/>
        <v>2023</v>
      </c>
      <c r="E156" s="174">
        <f t="shared" si="49"/>
        <v>2024</v>
      </c>
      <c r="F156" s="174">
        <f t="shared" si="49"/>
        <v>2025</v>
      </c>
      <c r="G156" s="174">
        <f t="shared" si="49"/>
        <v>2026</v>
      </c>
      <c r="H156" s="174">
        <f t="shared" si="49"/>
        <v>2027</v>
      </c>
      <c r="I156" s="174">
        <f t="shared" si="49"/>
        <v>2028</v>
      </c>
      <c r="J156" s="174">
        <f t="shared" si="49"/>
        <v>2029</v>
      </c>
      <c r="K156" s="174">
        <f t="shared" si="49"/>
        <v>2030</v>
      </c>
      <c r="L156" s="174">
        <f t="shared" si="49"/>
        <v>2031</v>
      </c>
      <c r="M156" s="174">
        <f t="shared" si="49"/>
        <v>2032</v>
      </c>
      <c r="N156" s="174">
        <f t="shared" si="49"/>
        <v>2033</v>
      </c>
      <c r="O156" s="174">
        <f t="shared" si="49"/>
        <v>2034</v>
      </c>
      <c r="P156" s="174">
        <f t="shared" si="49"/>
        <v>2035</v>
      </c>
      <c r="Q156" s="174">
        <f t="shared" si="49"/>
        <v>2036</v>
      </c>
      <c r="R156" s="174">
        <f t="shared" si="49"/>
        <v>2037</v>
      </c>
      <c r="S156" s="174">
        <f t="shared" si="49"/>
        <v>2038</v>
      </c>
      <c r="T156" s="174">
        <f t="shared" si="49"/>
        <v>2039</v>
      </c>
      <c r="U156" s="174">
        <f t="shared" si="49"/>
        <v>2040</v>
      </c>
      <c r="V156" s="174">
        <f t="shared" si="49"/>
        <v>2041</v>
      </c>
      <c r="W156" s="174">
        <f t="shared" si="49"/>
        <v>2042</v>
      </c>
      <c r="X156" s="174">
        <f t="shared" si="49"/>
        <v>2043</v>
      </c>
      <c r="Y156" s="174">
        <f t="shared" si="49"/>
        <v>2044</v>
      </c>
      <c r="Z156" s="174">
        <f t="shared" si="49"/>
        <v>2045</v>
      </c>
      <c r="AA156" s="174">
        <f t="shared" si="49"/>
        <v>2046</v>
      </c>
    </row>
    <row r="157" spans="1:27" x14ac:dyDescent="0.3">
      <c r="A157" s="124" t="s">
        <v>65</v>
      </c>
      <c r="B157" s="173">
        <f>+B151*B152*B153</f>
        <v>136.71</v>
      </c>
      <c r="C157" s="173">
        <f t="shared" ref="C157:AA157" si="50">+B157</f>
        <v>136.71</v>
      </c>
      <c r="D157" s="173">
        <f t="shared" si="50"/>
        <v>136.71</v>
      </c>
      <c r="E157" s="173">
        <f t="shared" si="50"/>
        <v>136.71</v>
      </c>
      <c r="F157" s="173">
        <f t="shared" si="50"/>
        <v>136.71</v>
      </c>
      <c r="G157" s="173">
        <f t="shared" si="50"/>
        <v>136.71</v>
      </c>
      <c r="H157" s="173">
        <f t="shared" si="50"/>
        <v>136.71</v>
      </c>
      <c r="I157" s="173">
        <f t="shared" si="50"/>
        <v>136.71</v>
      </c>
      <c r="J157" s="173">
        <f t="shared" si="50"/>
        <v>136.71</v>
      </c>
      <c r="K157" s="173">
        <f t="shared" si="50"/>
        <v>136.71</v>
      </c>
      <c r="L157" s="173">
        <f t="shared" si="50"/>
        <v>136.71</v>
      </c>
      <c r="M157" s="173">
        <f t="shared" si="50"/>
        <v>136.71</v>
      </c>
      <c r="N157" s="173">
        <f t="shared" si="50"/>
        <v>136.71</v>
      </c>
      <c r="O157" s="173">
        <f t="shared" si="50"/>
        <v>136.71</v>
      </c>
      <c r="P157" s="173">
        <f t="shared" si="50"/>
        <v>136.71</v>
      </c>
      <c r="Q157" s="173">
        <f t="shared" si="50"/>
        <v>136.71</v>
      </c>
      <c r="R157" s="173">
        <f t="shared" si="50"/>
        <v>136.71</v>
      </c>
      <c r="S157" s="173">
        <f t="shared" si="50"/>
        <v>136.71</v>
      </c>
      <c r="T157" s="173">
        <f t="shared" si="50"/>
        <v>136.71</v>
      </c>
      <c r="U157" s="173">
        <f t="shared" si="50"/>
        <v>136.71</v>
      </c>
      <c r="V157" s="173">
        <f t="shared" si="50"/>
        <v>136.71</v>
      </c>
      <c r="W157" s="173">
        <f t="shared" si="50"/>
        <v>136.71</v>
      </c>
      <c r="X157" s="173">
        <f t="shared" si="50"/>
        <v>136.71</v>
      </c>
      <c r="Y157" s="173">
        <f t="shared" si="50"/>
        <v>136.71</v>
      </c>
      <c r="Z157" s="173">
        <f t="shared" si="50"/>
        <v>136.71</v>
      </c>
      <c r="AA157" s="173">
        <f t="shared" si="50"/>
        <v>136.71</v>
      </c>
    </row>
    <row r="158" spans="1:27" x14ac:dyDescent="0.3">
      <c r="A158" s="124" t="s">
        <v>66</v>
      </c>
      <c r="B158" s="124">
        <f>+B154</f>
        <v>5</v>
      </c>
      <c r="C158" s="124">
        <f t="shared" ref="C158:AA158" si="51">+B158</f>
        <v>5</v>
      </c>
      <c r="D158" s="124">
        <f t="shared" si="51"/>
        <v>5</v>
      </c>
      <c r="E158" s="124">
        <f t="shared" si="51"/>
        <v>5</v>
      </c>
      <c r="F158" s="124">
        <f t="shared" si="51"/>
        <v>5</v>
      </c>
      <c r="G158" s="124">
        <f t="shared" si="51"/>
        <v>5</v>
      </c>
      <c r="H158" s="124">
        <f t="shared" si="51"/>
        <v>5</v>
      </c>
      <c r="I158" s="124">
        <f t="shared" si="51"/>
        <v>5</v>
      </c>
      <c r="J158" s="124">
        <f t="shared" si="51"/>
        <v>5</v>
      </c>
      <c r="K158" s="124">
        <f t="shared" si="51"/>
        <v>5</v>
      </c>
      <c r="L158" s="124">
        <f t="shared" si="51"/>
        <v>5</v>
      </c>
      <c r="M158" s="124">
        <f t="shared" si="51"/>
        <v>5</v>
      </c>
      <c r="N158" s="124">
        <f t="shared" si="51"/>
        <v>5</v>
      </c>
      <c r="O158" s="124">
        <f t="shared" si="51"/>
        <v>5</v>
      </c>
      <c r="P158" s="124">
        <f t="shared" si="51"/>
        <v>5</v>
      </c>
      <c r="Q158" s="124">
        <f t="shared" si="51"/>
        <v>5</v>
      </c>
      <c r="R158" s="124">
        <f t="shared" si="51"/>
        <v>5</v>
      </c>
      <c r="S158" s="124">
        <f t="shared" si="51"/>
        <v>5</v>
      </c>
      <c r="T158" s="124">
        <f t="shared" si="51"/>
        <v>5</v>
      </c>
      <c r="U158" s="124">
        <f t="shared" si="51"/>
        <v>5</v>
      </c>
      <c r="V158" s="124">
        <f t="shared" si="51"/>
        <v>5</v>
      </c>
      <c r="W158" s="124">
        <f t="shared" si="51"/>
        <v>5</v>
      </c>
      <c r="X158" s="124">
        <f t="shared" si="51"/>
        <v>5</v>
      </c>
      <c r="Y158" s="124">
        <f t="shared" si="51"/>
        <v>5</v>
      </c>
      <c r="Z158" s="124">
        <f t="shared" si="51"/>
        <v>5</v>
      </c>
      <c r="AA158" s="124">
        <f t="shared" si="51"/>
        <v>5</v>
      </c>
    </row>
    <row r="159" spans="1:27" x14ac:dyDescent="0.3">
      <c r="A159" s="1" t="s">
        <v>58</v>
      </c>
      <c r="B159" s="25">
        <f t="shared" ref="B159:AA159" si="52">+B158+B157</f>
        <v>141.71</v>
      </c>
      <c r="C159" s="25">
        <f t="shared" si="52"/>
        <v>141.71</v>
      </c>
      <c r="D159" s="25">
        <f t="shared" si="52"/>
        <v>141.71</v>
      </c>
      <c r="E159" s="25">
        <f t="shared" si="52"/>
        <v>141.71</v>
      </c>
      <c r="F159" s="25">
        <f t="shared" si="52"/>
        <v>141.71</v>
      </c>
      <c r="G159" s="25">
        <f t="shared" si="52"/>
        <v>141.71</v>
      </c>
      <c r="H159" s="25">
        <f t="shared" si="52"/>
        <v>141.71</v>
      </c>
      <c r="I159" s="25">
        <f t="shared" si="52"/>
        <v>141.71</v>
      </c>
      <c r="J159" s="25">
        <f t="shared" si="52"/>
        <v>141.71</v>
      </c>
      <c r="K159" s="25">
        <f t="shared" si="52"/>
        <v>141.71</v>
      </c>
      <c r="L159" s="25">
        <f t="shared" si="52"/>
        <v>141.71</v>
      </c>
      <c r="M159" s="25">
        <f t="shared" si="52"/>
        <v>141.71</v>
      </c>
      <c r="N159" s="25">
        <f t="shared" si="52"/>
        <v>141.71</v>
      </c>
      <c r="O159" s="25">
        <f t="shared" si="52"/>
        <v>141.71</v>
      </c>
      <c r="P159" s="25">
        <f t="shared" si="52"/>
        <v>141.71</v>
      </c>
      <c r="Q159" s="25">
        <f t="shared" si="52"/>
        <v>141.71</v>
      </c>
      <c r="R159" s="25">
        <f t="shared" si="52"/>
        <v>141.71</v>
      </c>
      <c r="S159" s="25">
        <f t="shared" si="52"/>
        <v>141.71</v>
      </c>
      <c r="T159" s="25">
        <f t="shared" si="52"/>
        <v>141.71</v>
      </c>
      <c r="U159" s="25">
        <f t="shared" si="52"/>
        <v>141.71</v>
      </c>
      <c r="V159" s="25">
        <f t="shared" si="52"/>
        <v>141.71</v>
      </c>
      <c r="W159" s="25">
        <f t="shared" si="52"/>
        <v>141.71</v>
      </c>
      <c r="X159" s="25">
        <f t="shared" si="52"/>
        <v>141.71</v>
      </c>
      <c r="Y159" s="25">
        <f t="shared" si="52"/>
        <v>141.71</v>
      </c>
      <c r="Z159" s="25">
        <f t="shared" si="52"/>
        <v>141.71</v>
      </c>
      <c r="AA159" s="25">
        <f t="shared" si="52"/>
        <v>141.71</v>
      </c>
    </row>
    <row r="161" spans="1:27" x14ac:dyDescent="0.3">
      <c r="A161" s="17" t="s">
        <v>71</v>
      </c>
      <c r="B161" s="17">
        <f t="shared" ref="B161:AA161" si="53">+B146</f>
        <v>2021</v>
      </c>
      <c r="C161" s="17">
        <f t="shared" si="53"/>
        <v>2022</v>
      </c>
      <c r="D161" s="17">
        <f t="shared" si="53"/>
        <v>2023</v>
      </c>
      <c r="E161" s="17">
        <f t="shared" si="53"/>
        <v>2024</v>
      </c>
      <c r="F161" s="17">
        <f t="shared" si="53"/>
        <v>2025</v>
      </c>
      <c r="G161" s="17">
        <f t="shared" si="53"/>
        <v>2026</v>
      </c>
      <c r="H161" s="17">
        <f t="shared" si="53"/>
        <v>2027</v>
      </c>
      <c r="I161" s="17">
        <f t="shared" si="53"/>
        <v>2028</v>
      </c>
      <c r="J161" s="17">
        <f t="shared" si="53"/>
        <v>2029</v>
      </c>
      <c r="K161" s="17">
        <f t="shared" si="53"/>
        <v>2030</v>
      </c>
      <c r="L161" s="17">
        <f t="shared" si="53"/>
        <v>2031</v>
      </c>
      <c r="M161" s="17">
        <f t="shared" si="53"/>
        <v>2032</v>
      </c>
      <c r="N161" s="17">
        <f t="shared" si="53"/>
        <v>2033</v>
      </c>
      <c r="O161" s="17">
        <f t="shared" si="53"/>
        <v>2034</v>
      </c>
      <c r="P161" s="17">
        <f t="shared" si="53"/>
        <v>2035</v>
      </c>
      <c r="Q161" s="17">
        <f t="shared" si="53"/>
        <v>2036</v>
      </c>
      <c r="R161" s="17">
        <f t="shared" si="53"/>
        <v>2037</v>
      </c>
      <c r="S161" s="17">
        <f t="shared" si="53"/>
        <v>2038</v>
      </c>
      <c r="T161" s="17">
        <f t="shared" si="53"/>
        <v>2039</v>
      </c>
      <c r="U161" s="17">
        <f t="shared" si="53"/>
        <v>2040</v>
      </c>
      <c r="V161" s="17">
        <f t="shared" si="53"/>
        <v>2041</v>
      </c>
      <c r="W161" s="17">
        <f t="shared" si="53"/>
        <v>2042</v>
      </c>
      <c r="X161" s="17">
        <f t="shared" si="53"/>
        <v>2043</v>
      </c>
      <c r="Y161" s="17">
        <f t="shared" si="53"/>
        <v>2044</v>
      </c>
      <c r="Z161" s="17">
        <f t="shared" si="53"/>
        <v>2045</v>
      </c>
      <c r="AA161" s="17">
        <f t="shared" si="53"/>
        <v>2046</v>
      </c>
    </row>
    <row r="162" spans="1:27" s="1" customFormat="1" ht="15" thickBot="1" x14ac:dyDescent="0.35">
      <c r="A162" s="38" t="s">
        <v>55</v>
      </c>
      <c r="B162" s="39">
        <f t="shared" ref="B162:AA162" si="54">+B159+B147</f>
        <v>283.42</v>
      </c>
      <c r="C162" s="39">
        <f t="shared" si="54"/>
        <v>283.42</v>
      </c>
      <c r="D162" s="39">
        <f t="shared" si="54"/>
        <v>283.42</v>
      </c>
      <c r="E162" s="39">
        <f t="shared" si="54"/>
        <v>283.42</v>
      </c>
      <c r="F162" s="39">
        <f t="shared" si="54"/>
        <v>283.42</v>
      </c>
      <c r="G162" s="39">
        <f t="shared" si="54"/>
        <v>283.42</v>
      </c>
      <c r="H162" s="39">
        <f t="shared" si="54"/>
        <v>283.42</v>
      </c>
      <c r="I162" s="39">
        <f t="shared" si="54"/>
        <v>283.42</v>
      </c>
      <c r="J162" s="39">
        <f t="shared" si="54"/>
        <v>283.42</v>
      </c>
      <c r="K162" s="39">
        <f t="shared" si="54"/>
        <v>283.42</v>
      </c>
      <c r="L162" s="39">
        <f t="shared" si="54"/>
        <v>283.42</v>
      </c>
      <c r="M162" s="39">
        <f t="shared" si="54"/>
        <v>283.42</v>
      </c>
      <c r="N162" s="39">
        <f t="shared" si="54"/>
        <v>283.42</v>
      </c>
      <c r="O162" s="39">
        <f t="shared" si="54"/>
        <v>283.42</v>
      </c>
      <c r="P162" s="39">
        <f t="shared" si="54"/>
        <v>283.42</v>
      </c>
      <c r="Q162" s="39">
        <f t="shared" si="54"/>
        <v>283.42</v>
      </c>
      <c r="R162" s="39">
        <f t="shared" si="54"/>
        <v>283.42</v>
      </c>
      <c r="S162" s="39">
        <f t="shared" si="54"/>
        <v>283.42</v>
      </c>
      <c r="T162" s="39">
        <f t="shared" si="54"/>
        <v>283.42</v>
      </c>
      <c r="U162" s="39">
        <f t="shared" si="54"/>
        <v>283.42</v>
      </c>
      <c r="V162" s="39">
        <f t="shared" si="54"/>
        <v>283.42</v>
      </c>
      <c r="W162" s="39">
        <f t="shared" si="54"/>
        <v>283.42</v>
      </c>
      <c r="X162" s="39">
        <f t="shared" si="54"/>
        <v>283.42</v>
      </c>
      <c r="Y162" s="39">
        <f t="shared" si="54"/>
        <v>283.42</v>
      </c>
      <c r="Z162" s="39">
        <f t="shared" si="54"/>
        <v>283.42</v>
      </c>
      <c r="AA162" s="39">
        <f t="shared" si="54"/>
        <v>283.42</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DDBB-A1FA-49BE-9B0F-2BA51544CF63}">
  <sheetPr>
    <tabColor rgb="FF7030A0"/>
  </sheetPr>
  <dimension ref="A1:AA97"/>
  <sheetViews>
    <sheetView showGridLines="0" zoomScale="80" zoomScaleNormal="80" workbookViewId="0">
      <selection activeCell="D17" sqref="D17"/>
    </sheetView>
  </sheetViews>
  <sheetFormatPr defaultColWidth="8.77734375" defaultRowHeight="14.4" x14ac:dyDescent="0.3"/>
  <cols>
    <col min="1" max="1" width="44.44140625" style="124" customWidth="1"/>
    <col min="2" max="7" width="9.44140625" style="124" bestFit="1" customWidth="1"/>
    <col min="8" max="27" width="9.33203125" style="124" bestFit="1" customWidth="1"/>
    <col min="28" max="16384" width="8.77734375" style="124"/>
  </cols>
  <sheetData>
    <row r="1" spans="1:27" ht="21" x14ac:dyDescent="0.4">
      <c r="A1" s="2" t="str">
        <f>'Inputs &amp; Summary'!B67</f>
        <v>Keysborough: Redevelop existing site</v>
      </c>
      <c r="G1" s="82" t="s">
        <v>156</v>
      </c>
      <c r="H1" s="83"/>
      <c r="I1" s="83"/>
      <c r="J1" s="83"/>
      <c r="K1" s="83"/>
      <c r="L1" s="83"/>
      <c r="M1" s="83"/>
      <c r="N1" s="83"/>
      <c r="O1" s="83"/>
      <c r="P1" s="83"/>
      <c r="Q1" s="83"/>
      <c r="R1" s="83"/>
      <c r="S1" s="83"/>
      <c r="T1" s="83"/>
      <c r="U1" s="83"/>
      <c r="V1" s="83"/>
      <c r="W1" s="83"/>
      <c r="X1" s="84"/>
    </row>
    <row r="2" spans="1:27" x14ac:dyDescent="0.3">
      <c r="A2" s="10" t="str">
        <f>'Inputs &amp; Summary'!B5</f>
        <v>All values shown are costs, expressed in $000 as at June 2021 unless otherwise stated.</v>
      </c>
      <c r="G2" s="85" t="s">
        <v>155</v>
      </c>
      <c r="H2" s="72"/>
      <c r="I2" s="72"/>
      <c r="J2" s="72"/>
      <c r="K2" s="72"/>
      <c r="L2" s="72"/>
      <c r="M2" s="72"/>
      <c r="N2" s="72"/>
      <c r="O2" s="72"/>
      <c r="P2" s="72"/>
      <c r="Q2" s="72"/>
      <c r="R2" s="72"/>
      <c r="S2" s="72"/>
      <c r="T2" s="72"/>
      <c r="U2" s="72"/>
      <c r="V2" s="72"/>
      <c r="W2" s="72"/>
      <c r="X2" s="86"/>
    </row>
    <row r="3" spans="1:27" x14ac:dyDescent="0.3">
      <c r="A3" s="53" t="str">
        <f>'Inputs &amp; Summary'!$B$6</f>
        <v>Yellow shaded cells are input cells</v>
      </c>
    </row>
    <row r="5" spans="1:27" s="196" customFormat="1" x14ac:dyDescent="0.3">
      <c r="A5" s="196" t="s">
        <v>287</v>
      </c>
      <c r="B5" s="173">
        <f>'Inputs &amp; Summary'!$P$67</f>
        <v>2021</v>
      </c>
    </row>
    <row r="6" spans="1:27" s="196" customFormat="1" x14ac:dyDescent="0.3"/>
    <row r="7" spans="1:27" ht="18" x14ac:dyDescent="0.35">
      <c r="A7" s="94" t="s">
        <v>117</v>
      </c>
      <c r="B7" s="95"/>
      <c r="C7" s="95"/>
      <c r="D7" s="95"/>
      <c r="E7" s="95"/>
      <c r="F7" s="95"/>
      <c r="G7" s="95"/>
      <c r="H7" s="95"/>
      <c r="I7" s="95"/>
      <c r="J7" s="95"/>
      <c r="K7" s="95"/>
      <c r="L7" s="95"/>
      <c r="M7" s="95"/>
      <c r="N7" s="95"/>
      <c r="O7" s="95"/>
      <c r="P7" s="95"/>
      <c r="Q7" s="95"/>
      <c r="R7" s="95"/>
      <c r="S7" s="95"/>
      <c r="T7" s="95"/>
      <c r="U7" s="95"/>
      <c r="V7" s="95"/>
      <c r="W7" s="95"/>
      <c r="X7" s="95"/>
      <c r="Y7" s="95"/>
      <c r="Z7" s="95"/>
      <c r="AA7" s="95"/>
    </row>
    <row r="8" spans="1:27" x14ac:dyDescent="0.3">
      <c r="A8" s="3" t="s">
        <v>3</v>
      </c>
      <c r="B8" s="124">
        <v>0</v>
      </c>
      <c r="C8" s="124">
        <f t="shared" ref="C8:AA8" si="0">+B8+1</f>
        <v>1</v>
      </c>
      <c r="D8" s="124">
        <f t="shared" si="0"/>
        <v>2</v>
      </c>
      <c r="E8" s="124">
        <f t="shared" si="0"/>
        <v>3</v>
      </c>
      <c r="F8" s="124">
        <f t="shared" si="0"/>
        <v>4</v>
      </c>
      <c r="G8" s="124">
        <f t="shared" si="0"/>
        <v>5</v>
      </c>
      <c r="H8" s="124">
        <f t="shared" si="0"/>
        <v>6</v>
      </c>
      <c r="I8" s="124">
        <f t="shared" si="0"/>
        <v>7</v>
      </c>
      <c r="J8" s="124">
        <f t="shared" si="0"/>
        <v>8</v>
      </c>
      <c r="K8" s="124">
        <f t="shared" si="0"/>
        <v>9</v>
      </c>
      <c r="L8" s="124">
        <f t="shared" si="0"/>
        <v>10</v>
      </c>
      <c r="M8" s="124">
        <f t="shared" si="0"/>
        <v>11</v>
      </c>
      <c r="N8" s="124">
        <f t="shared" si="0"/>
        <v>12</v>
      </c>
      <c r="O8" s="124">
        <f t="shared" si="0"/>
        <v>13</v>
      </c>
      <c r="P8" s="124">
        <f t="shared" si="0"/>
        <v>14</v>
      </c>
      <c r="Q8" s="124">
        <f t="shared" si="0"/>
        <v>15</v>
      </c>
      <c r="R8" s="124">
        <f t="shared" si="0"/>
        <v>16</v>
      </c>
      <c r="S8" s="124">
        <f t="shared" si="0"/>
        <v>17</v>
      </c>
      <c r="T8" s="124">
        <f t="shared" si="0"/>
        <v>18</v>
      </c>
      <c r="U8" s="124">
        <f t="shared" si="0"/>
        <v>19</v>
      </c>
      <c r="V8" s="124">
        <f t="shared" si="0"/>
        <v>20</v>
      </c>
      <c r="W8" s="124">
        <f t="shared" si="0"/>
        <v>21</v>
      </c>
      <c r="X8" s="124">
        <f t="shared" si="0"/>
        <v>22</v>
      </c>
      <c r="Y8" s="124">
        <f t="shared" si="0"/>
        <v>23</v>
      </c>
      <c r="Z8" s="124">
        <f t="shared" si="0"/>
        <v>24</v>
      </c>
      <c r="AA8" s="124">
        <f t="shared" si="0"/>
        <v>25</v>
      </c>
    </row>
    <row r="9" spans="1:27" x14ac:dyDescent="0.3">
      <c r="A9" s="175" t="s">
        <v>400</v>
      </c>
      <c r="B9" s="174">
        <v>2021</v>
      </c>
      <c r="C9" s="174">
        <f t="shared" ref="C9:AA9" si="1">+B9+1</f>
        <v>2022</v>
      </c>
      <c r="D9" s="174">
        <f t="shared" si="1"/>
        <v>2023</v>
      </c>
      <c r="E9" s="174">
        <f t="shared" si="1"/>
        <v>2024</v>
      </c>
      <c r="F9" s="174">
        <f t="shared" si="1"/>
        <v>2025</v>
      </c>
      <c r="G9" s="174">
        <f t="shared" si="1"/>
        <v>2026</v>
      </c>
      <c r="H9" s="174">
        <f t="shared" si="1"/>
        <v>2027</v>
      </c>
      <c r="I9" s="174">
        <f t="shared" si="1"/>
        <v>2028</v>
      </c>
      <c r="J9" s="174">
        <f t="shared" si="1"/>
        <v>2029</v>
      </c>
      <c r="K9" s="174">
        <f t="shared" si="1"/>
        <v>2030</v>
      </c>
      <c r="L9" s="174">
        <f t="shared" si="1"/>
        <v>2031</v>
      </c>
      <c r="M9" s="174">
        <f t="shared" si="1"/>
        <v>2032</v>
      </c>
      <c r="N9" s="174">
        <f t="shared" si="1"/>
        <v>2033</v>
      </c>
      <c r="O9" s="174">
        <f t="shared" si="1"/>
        <v>2034</v>
      </c>
      <c r="P9" s="174">
        <f t="shared" si="1"/>
        <v>2035</v>
      </c>
      <c r="Q9" s="174">
        <f t="shared" si="1"/>
        <v>2036</v>
      </c>
      <c r="R9" s="174">
        <f t="shared" si="1"/>
        <v>2037</v>
      </c>
      <c r="S9" s="174">
        <f t="shared" si="1"/>
        <v>2038</v>
      </c>
      <c r="T9" s="174">
        <f t="shared" si="1"/>
        <v>2039</v>
      </c>
      <c r="U9" s="174">
        <f t="shared" si="1"/>
        <v>2040</v>
      </c>
      <c r="V9" s="174">
        <f t="shared" si="1"/>
        <v>2041</v>
      </c>
      <c r="W9" s="174">
        <f t="shared" si="1"/>
        <v>2042</v>
      </c>
      <c r="X9" s="174">
        <f t="shared" si="1"/>
        <v>2043</v>
      </c>
      <c r="Y9" s="174">
        <f t="shared" si="1"/>
        <v>2044</v>
      </c>
      <c r="Z9" s="174">
        <f t="shared" si="1"/>
        <v>2045</v>
      </c>
      <c r="AA9" s="174">
        <f t="shared" si="1"/>
        <v>2046</v>
      </c>
    </row>
    <row r="10" spans="1:27" x14ac:dyDescent="0.3">
      <c r="A10" s="10" t="s">
        <v>122</v>
      </c>
      <c r="B10" s="156">
        <f>'Inputs &amp; Summary'!E67*'Inputs &amp; Summary'!$P$103</f>
        <v>17900</v>
      </c>
      <c r="C10" s="156">
        <f>'Inputs &amp; Summary'!F67*'Inputs &amp; Summary'!$P$103</f>
        <v>0</v>
      </c>
      <c r="D10" s="156">
        <f>'Inputs &amp; Summary'!G67*'Inputs &amp; Summary'!$P$103</f>
        <v>0</v>
      </c>
      <c r="E10" s="156">
        <f>'Inputs &amp; Summary'!H67*'Inputs &amp; Summary'!$P$103</f>
        <v>0</v>
      </c>
      <c r="F10" s="156">
        <f>'Inputs &amp; Summary'!I67*'Inputs &amp; Summary'!$P$103</f>
        <v>0</v>
      </c>
      <c r="G10" s="156">
        <f>'Inputs &amp; Summary'!J67*'Inputs &amp; Summary'!$P$103</f>
        <v>0</v>
      </c>
      <c r="H10" s="156">
        <f>'Inputs &amp; Summary'!K67*'Inputs &amp; Summary'!$P$103</f>
        <v>0</v>
      </c>
      <c r="I10" s="156">
        <f>'Inputs &amp; Summary'!L67*'Inputs &amp; Summary'!$P$103</f>
        <v>0</v>
      </c>
      <c r="J10" s="156">
        <f>'Inputs &amp; Summary'!M67*'Inputs &amp; Summary'!$P$103</f>
        <v>0</v>
      </c>
      <c r="K10" s="156">
        <f>'Inputs &amp; Summary'!N67*'Inputs &amp; Summary'!$P$103</f>
        <v>0</v>
      </c>
      <c r="L10" s="156">
        <f>'Inputs &amp; Summary'!O67*'Inputs &amp; Summary'!$P$103</f>
        <v>0</v>
      </c>
      <c r="M10" s="41"/>
      <c r="N10" s="41"/>
      <c r="O10" s="41"/>
      <c r="P10" s="41"/>
      <c r="Q10" s="41"/>
      <c r="R10" s="41"/>
      <c r="S10" s="41"/>
      <c r="T10" s="41"/>
      <c r="U10" s="41"/>
      <c r="V10" s="41"/>
      <c r="W10" s="41"/>
      <c r="X10" s="41"/>
      <c r="Y10" s="41"/>
      <c r="Z10" s="41"/>
      <c r="AA10" s="41"/>
    </row>
    <row r="11" spans="1:27" x14ac:dyDescent="0.3">
      <c r="A11" s="124" t="s">
        <v>268</v>
      </c>
      <c r="B11" s="156">
        <f>(B$9&lt;=$B$5)*('K. Opt0'!B13+B97)</f>
        <v>3688.5188775099646</v>
      </c>
      <c r="C11" s="156">
        <f>(C$9&lt;=$B$5)*(C47+C83+C97)*0+(C$9&lt;=$B$5)*'K. Opt0'!C13</f>
        <v>0</v>
      </c>
      <c r="D11" s="156">
        <f>(D$9&lt;=$B$5)*(D47+D83+D97)*0+(D$9&lt;=$B$5)*'K. Opt0'!D13</f>
        <v>0</v>
      </c>
      <c r="E11" s="156">
        <f>(E$9&lt;=$B$5)*(E47+E83+E97)*0+(E$9&lt;=$B$5)*'K. Opt0'!E13</f>
        <v>0</v>
      </c>
      <c r="F11" s="156">
        <f>(F$9&lt;=$B$5)*(F47+F83+F97)*0+(F$9&lt;=$B$5)*'K. Opt0'!F13</f>
        <v>0</v>
      </c>
      <c r="G11" s="156">
        <f>(G$9&lt;=$B$5)*(G47+G83+G97)*0+(G$9&lt;=$B$5)*'K. Opt0'!G13</f>
        <v>0</v>
      </c>
      <c r="H11" s="156">
        <f>(H$9&lt;=$B$5)*(H47+H83+H97)*0+(H$9&lt;=$B$5)*'K. Opt0'!H13</f>
        <v>0</v>
      </c>
      <c r="I11" s="156">
        <f>(I$9&lt;=$B$5)*(I47+I83+I97)*0+(I$9&lt;=$B$5)*'K. Opt0'!I13</f>
        <v>0</v>
      </c>
      <c r="J11" s="156">
        <f>(J$9&lt;=$B$5)*(J47+J83+J97)*0+(J$9&lt;=$B$5)*'K. Opt0'!J13</f>
        <v>0</v>
      </c>
      <c r="K11" s="156">
        <f>(K$9&lt;=$B$5)*(K47+K83+K97)*0+(K$9&lt;=$B$5)*'K. Opt0'!K13</f>
        <v>0</v>
      </c>
      <c r="L11" s="156">
        <f>(L$9&lt;=$B$5)*(L47+L83+L97)*0+(L$9&lt;=$B$5)*'K. Opt0'!L13</f>
        <v>0</v>
      </c>
      <c r="M11" s="156">
        <f>(M$9&lt;=$B$5)*(M47+M83+M97)*0+(M$9&lt;=$B$5)*'K. Opt0'!M13</f>
        <v>0</v>
      </c>
      <c r="N11" s="156">
        <f>(N$9&lt;=$B$5)*(N47+N83+N97)*0+(N$9&lt;=$B$5)*'K. Opt0'!N13</f>
        <v>0</v>
      </c>
      <c r="O11" s="156">
        <f>(O$9&lt;=$B$5)*(O47+O83+O97)*0+(O$9&lt;=$B$5)*'K. Opt0'!O13</f>
        <v>0</v>
      </c>
      <c r="P11" s="156">
        <f>(P$9&lt;=$B$5)*(P47+P83+P97)*0+(P$9&lt;=$B$5)*'K. Opt0'!P13</f>
        <v>0</v>
      </c>
      <c r="Q11" s="156">
        <f>(Q$9&lt;=$B$5)*(Q47+Q83+Q97)*0+(Q$9&lt;=$B$5)*'K. Opt0'!Q13</f>
        <v>0</v>
      </c>
      <c r="R11" s="156">
        <f>(R$9&lt;=$B$5)*(R47+R83+R97)*0+(R$9&lt;=$B$5)*'K. Opt0'!R13</f>
        <v>0</v>
      </c>
      <c r="S11" s="156">
        <f>(S$9&lt;=$B$5)*(S47+S83+S97)*0+(S$9&lt;=$B$5)*'K. Opt0'!S13</f>
        <v>0</v>
      </c>
      <c r="T11" s="156">
        <f>(T$9&lt;=$B$5)*(T47+T83+T97)*0+(T$9&lt;=$B$5)*'K. Opt0'!T13</f>
        <v>0</v>
      </c>
      <c r="U11" s="156">
        <f>(U$9&lt;=$B$5)*(U47+U83+U97)*0+(U$9&lt;=$B$5)*'K. Opt0'!U13</f>
        <v>0</v>
      </c>
      <c r="V11" s="156">
        <f>(V$9&lt;=$B$5)*(V47+V83+V97)*0+(V$9&lt;=$B$5)*'K. Opt0'!V13</f>
        <v>0</v>
      </c>
      <c r="W11" s="156">
        <f>(W$9&lt;=$B$5)*(W47+W83+W97)*0+(W$9&lt;=$B$5)*'K. Opt0'!W13</f>
        <v>0</v>
      </c>
      <c r="X11" s="156">
        <f>(X$9&lt;=$B$5)*(X47+X83+X97)*0+(X$9&lt;=$B$5)*'K. Opt0'!X13</f>
        <v>0</v>
      </c>
      <c r="Y11" s="156">
        <f>(Y$9&lt;=$B$5)*(Y47+Y83+Y97)*0+(Y$9&lt;=$B$5)*'K. Opt0'!Y13</f>
        <v>0</v>
      </c>
      <c r="Z11" s="156">
        <f>(Z$9&lt;=$B$5)*(Z47+Z83+Z97)*0+(Z$9&lt;=$B$5)*'K. Opt0'!Z13</f>
        <v>0</v>
      </c>
      <c r="AA11" s="156">
        <f>(AA$9&lt;=$B$5)*(AA47+AA83+AA97)*0+(AA$9&lt;=$B$5)*'K. Opt0'!AA13</f>
        <v>0</v>
      </c>
    </row>
    <row r="12" spans="1:27" x14ac:dyDescent="0.3">
      <c r="A12" s="75" t="s">
        <v>119</v>
      </c>
      <c r="B12" s="198">
        <f>(B$9&gt;$B$5)*(B47+B83)</f>
        <v>0</v>
      </c>
      <c r="C12" s="198">
        <f t="shared" ref="C12:AA12" si="2">(C$9&gt;$B$5)*(C47+C83)</f>
        <v>1178.9204589380759</v>
      </c>
      <c r="D12" s="198">
        <f t="shared" si="2"/>
        <v>1191.6297519581824</v>
      </c>
      <c r="E12" s="198">
        <f t="shared" si="2"/>
        <v>1204.4859368666741</v>
      </c>
      <c r="F12" s="198">
        <f t="shared" si="2"/>
        <v>1217.4907134263794</v>
      </c>
      <c r="G12" s="198">
        <f t="shared" si="2"/>
        <v>1230.6458010923552</v>
      </c>
      <c r="H12" s="198">
        <f t="shared" si="2"/>
        <v>1243.9529392402972</v>
      </c>
      <c r="I12" s="198">
        <f t="shared" si="2"/>
        <v>1257.4138873976049</v>
      </c>
      <c r="J12" s="198">
        <f t="shared" si="2"/>
        <v>1271.0304254771277</v>
      </c>
      <c r="K12" s="198">
        <f t="shared" si="2"/>
        <v>1284.8043540136293</v>
      </c>
      <c r="L12" s="198">
        <f t="shared" si="2"/>
        <v>1298.7374944029939</v>
      </c>
      <c r="M12" s="198">
        <f t="shared" si="2"/>
        <v>1312.8316891442119</v>
      </c>
      <c r="N12" s="198">
        <f t="shared" si="2"/>
        <v>1327.0888020841787</v>
      </c>
      <c r="O12" s="198">
        <f t="shared" si="2"/>
        <v>1341.5107186653318</v>
      </c>
      <c r="P12" s="198">
        <f t="shared" si="2"/>
        <v>1356.0993461761673</v>
      </c>
      <c r="Q12" s="198">
        <f t="shared" si="2"/>
        <v>1370.856614004666</v>
      </c>
      <c r="R12" s="198">
        <f t="shared" si="2"/>
        <v>1385.7844738946592</v>
      </c>
      <c r="S12" s="198">
        <f t="shared" si="2"/>
        <v>1400.8849002051784</v>
      </c>
      <c r="T12" s="198">
        <f t="shared" si="2"/>
        <v>1416.15989017281</v>
      </c>
      <c r="U12" s="198">
        <f t="shared" si="2"/>
        <v>1431.6114641771032</v>
      </c>
      <c r="V12" s="198">
        <f t="shared" si="2"/>
        <v>1447.2416660090569</v>
      </c>
      <c r="W12" s="198">
        <f t="shared" si="2"/>
        <v>1463.0525631427263</v>
      </c>
      <c r="X12" s="198">
        <f t="shared" si="2"/>
        <v>1479.0462470099853</v>
      </c>
      <c r="Y12" s="198">
        <f t="shared" si="2"/>
        <v>1495.2248332784784</v>
      </c>
      <c r="Z12" s="198">
        <f t="shared" si="2"/>
        <v>1511.5904621328023</v>
      </c>
      <c r="AA12" s="198">
        <f t="shared" si="2"/>
        <v>1528.1452985589538</v>
      </c>
    </row>
    <row r="13" spans="1:27" ht="15" thickBot="1" x14ac:dyDescent="0.35">
      <c r="A13" s="80" t="s">
        <v>13</v>
      </c>
      <c r="B13" s="105">
        <f t="shared" ref="B13:AA13" si="3">+SUM(B10:B12)</f>
        <v>21588.518877509963</v>
      </c>
      <c r="C13" s="105">
        <f t="shared" si="3"/>
        <v>1178.9204589380759</v>
      </c>
      <c r="D13" s="105">
        <f t="shared" si="3"/>
        <v>1191.6297519581824</v>
      </c>
      <c r="E13" s="105">
        <f t="shared" si="3"/>
        <v>1204.4859368666741</v>
      </c>
      <c r="F13" s="105">
        <f t="shared" si="3"/>
        <v>1217.4907134263794</v>
      </c>
      <c r="G13" s="105">
        <f t="shared" si="3"/>
        <v>1230.6458010923552</v>
      </c>
      <c r="H13" s="105">
        <f t="shared" si="3"/>
        <v>1243.9529392402972</v>
      </c>
      <c r="I13" s="105">
        <f t="shared" si="3"/>
        <v>1257.4138873976049</v>
      </c>
      <c r="J13" s="105">
        <f t="shared" si="3"/>
        <v>1271.0304254771277</v>
      </c>
      <c r="K13" s="105">
        <f t="shared" si="3"/>
        <v>1284.8043540136293</v>
      </c>
      <c r="L13" s="105">
        <f t="shared" si="3"/>
        <v>1298.7374944029939</v>
      </c>
      <c r="M13" s="105">
        <f t="shared" si="3"/>
        <v>1312.8316891442119</v>
      </c>
      <c r="N13" s="105">
        <f t="shared" si="3"/>
        <v>1327.0888020841787</v>
      </c>
      <c r="O13" s="105">
        <f t="shared" si="3"/>
        <v>1341.5107186653318</v>
      </c>
      <c r="P13" s="105">
        <f t="shared" si="3"/>
        <v>1356.0993461761673</v>
      </c>
      <c r="Q13" s="105">
        <f t="shared" si="3"/>
        <v>1370.856614004666</v>
      </c>
      <c r="R13" s="105">
        <f t="shared" si="3"/>
        <v>1385.7844738946592</v>
      </c>
      <c r="S13" s="105">
        <f t="shared" si="3"/>
        <v>1400.8849002051784</v>
      </c>
      <c r="T13" s="105">
        <f t="shared" si="3"/>
        <v>1416.15989017281</v>
      </c>
      <c r="U13" s="105">
        <f t="shared" si="3"/>
        <v>1431.6114641771032</v>
      </c>
      <c r="V13" s="105">
        <f t="shared" si="3"/>
        <v>1447.2416660090569</v>
      </c>
      <c r="W13" s="105">
        <f t="shared" si="3"/>
        <v>1463.0525631427263</v>
      </c>
      <c r="X13" s="105">
        <f t="shared" si="3"/>
        <v>1479.0462470099853</v>
      </c>
      <c r="Y13" s="105">
        <f t="shared" si="3"/>
        <v>1495.2248332784784</v>
      </c>
      <c r="Z13" s="105">
        <f t="shared" si="3"/>
        <v>1511.5904621328023</v>
      </c>
      <c r="AA13" s="105">
        <f t="shared" si="3"/>
        <v>1528.1452985589538</v>
      </c>
    </row>
    <row r="15" spans="1:27" ht="18" x14ac:dyDescent="0.35">
      <c r="A15" s="94" t="s">
        <v>118</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row>
    <row r="17" spans="1:27" x14ac:dyDescent="0.3">
      <c r="A17" s="53" t="str">
        <f>'Inputs &amp; Summary'!$B$6</f>
        <v>Yellow shaded cells are input cells</v>
      </c>
      <c r="C17" s="364" t="s">
        <v>396</v>
      </c>
      <c r="D17" s="365">
        <f>SUM(B13:AA13)-SUM(B28:AA28,B38:AA38,B44:AA44,B60:AA60,B70:AA70,B80:AA80,B10:AA11)</f>
        <v>0</v>
      </c>
    </row>
    <row r="18" spans="1:27" ht="16.5" customHeight="1" x14ac:dyDescent="0.35">
      <c r="A18" s="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27" ht="18" x14ac:dyDescent="0.35">
      <c r="A19" s="108" t="s">
        <v>165</v>
      </c>
      <c r="B19" s="110"/>
    </row>
    <row r="20" spans="1:27" x14ac:dyDescent="0.3">
      <c r="A20" s="45" t="s">
        <v>19</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row>
    <row r="21" spans="1:27" x14ac:dyDescent="0.3">
      <c r="A21" s="124" t="s">
        <v>18</v>
      </c>
      <c r="B21" s="173">
        <f>'Inputs &amp; Summary'!P86</f>
        <v>3548</v>
      </c>
    </row>
    <row r="22" spans="1:27" x14ac:dyDescent="0.3">
      <c r="A22" s="124" t="s">
        <v>44</v>
      </c>
      <c r="B22" s="178">
        <f>'Inputs &amp; Summary'!P85</f>
        <v>1.12E-2</v>
      </c>
      <c r="G22" s="93" t="s">
        <v>137</v>
      </c>
      <c r="H22" s="83"/>
      <c r="I22" s="83"/>
      <c r="J22" s="83"/>
      <c r="K22" s="83"/>
      <c r="L22" s="83"/>
      <c r="M22" s="83"/>
      <c r="N22" s="83"/>
      <c r="O22" s="83"/>
      <c r="P22" s="83"/>
      <c r="Q22" s="83"/>
      <c r="R22" s="83"/>
      <c r="S22" s="83"/>
      <c r="T22" s="83"/>
      <c r="U22" s="83"/>
      <c r="V22" s="84"/>
    </row>
    <row r="23" spans="1:27" x14ac:dyDescent="0.3">
      <c r="A23" s="124" t="s">
        <v>53</v>
      </c>
      <c r="B23" s="157">
        <f>'Inputs &amp; Summary'!P108</f>
        <v>0.05</v>
      </c>
      <c r="C23" s="1" t="s">
        <v>193</v>
      </c>
      <c r="G23" s="85" t="s">
        <v>136</v>
      </c>
      <c r="H23" s="72"/>
      <c r="I23" s="72"/>
      <c r="J23" s="72"/>
      <c r="K23" s="72"/>
      <c r="L23" s="72"/>
      <c r="M23" s="72"/>
      <c r="N23" s="72"/>
      <c r="O23" s="72"/>
      <c r="P23" s="72"/>
      <c r="Q23" s="72"/>
      <c r="R23" s="72"/>
      <c r="S23" s="72"/>
      <c r="T23" s="72"/>
      <c r="U23" s="72"/>
      <c r="V23" s="86"/>
    </row>
    <row r="24" spans="1:27" x14ac:dyDescent="0.3">
      <c r="A24" s="124" t="s">
        <v>54</v>
      </c>
      <c r="B24" s="65">
        <f>'Inputs &amp; Summary'!P109</f>
        <v>80</v>
      </c>
      <c r="C24" s="1" t="s">
        <v>186</v>
      </c>
    </row>
    <row r="25" spans="1:27" x14ac:dyDescent="0.3">
      <c r="A25" s="124" t="s">
        <v>120</v>
      </c>
      <c r="B25" s="66">
        <f>+B21*B23*B24/1000</f>
        <v>14.192</v>
      </c>
    </row>
    <row r="26" spans="1:27" x14ac:dyDescent="0.3">
      <c r="A26" s="3" t="s">
        <v>3</v>
      </c>
      <c r="B26" s="124">
        <v>0</v>
      </c>
      <c r="C26" s="124">
        <f t="shared" ref="C26:AA26" si="4">+B26+1</f>
        <v>1</v>
      </c>
      <c r="D26" s="124">
        <f t="shared" si="4"/>
        <v>2</v>
      </c>
      <c r="E26" s="124">
        <f t="shared" si="4"/>
        <v>3</v>
      </c>
      <c r="F26" s="124">
        <f t="shared" si="4"/>
        <v>4</v>
      </c>
      <c r="G26" s="124">
        <f t="shared" si="4"/>
        <v>5</v>
      </c>
      <c r="H26" s="124">
        <f t="shared" si="4"/>
        <v>6</v>
      </c>
      <c r="I26" s="124">
        <f t="shared" si="4"/>
        <v>7</v>
      </c>
      <c r="J26" s="124">
        <f t="shared" si="4"/>
        <v>8</v>
      </c>
      <c r="K26" s="124">
        <f t="shared" si="4"/>
        <v>9</v>
      </c>
      <c r="L26" s="124">
        <f t="shared" si="4"/>
        <v>10</v>
      </c>
      <c r="M26" s="124">
        <f t="shared" si="4"/>
        <v>11</v>
      </c>
      <c r="N26" s="124">
        <f t="shared" si="4"/>
        <v>12</v>
      </c>
      <c r="O26" s="124">
        <f t="shared" si="4"/>
        <v>13</v>
      </c>
      <c r="P26" s="124">
        <f t="shared" si="4"/>
        <v>14</v>
      </c>
      <c r="Q26" s="124">
        <f t="shared" si="4"/>
        <v>15</v>
      </c>
      <c r="R26" s="124">
        <f t="shared" si="4"/>
        <v>16</v>
      </c>
      <c r="S26" s="124">
        <f t="shared" si="4"/>
        <v>17</v>
      </c>
      <c r="T26" s="124">
        <f t="shared" si="4"/>
        <v>18</v>
      </c>
      <c r="U26" s="124">
        <f t="shared" si="4"/>
        <v>19</v>
      </c>
      <c r="V26" s="124">
        <f t="shared" si="4"/>
        <v>20</v>
      </c>
      <c r="W26" s="124">
        <f t="shared" si="4"/>
        <v>21</v>
      </c>
      <c r="X26" s="124">
        <f t="shared" si="4"/>
        <v>22</v>
      </c>
      <c r="Y26" s="124">
        <f t="shared" si="4"/>
        <v>23</v>
      </c>
      <c r="Z26" s="124">
        <f t="shared" si="4"/>
        <v>24</v>
      </c>
      <c r="AA26" s="124">
        <f t="shared" si="4"/>
        <v>25</v>
      </c>
    </row>
    <row r="27" spans="1:27" x14ac:dyDescent="0.3">
      <c r="A27" s="175" t="s">
        <v>400</v>
      </c>
      <c r="B27" s="174">
        <v>2021</v>
      </c>
      <c r="C27" s="174">
        <f t="shared" ref="C27:AA27" si="5">+B27+1</f>
        <v>2022</v>
      </c>
      <c r="D27" s="174">
        <f t="shared" si="5"/>
        <v>2023</v>
      </c>
      <c r="E27" s="174">
        <f t="shared" si="5"/>
        <v>2024</v>
      </c>
      <c r="F27" s="174">
        <f t="shared" si="5"/>
        <v>2025</v>
      </c>
      <c r="G27" s="174">
        <f t="shared" si="5"/>
        <v>2026</v>
      </c>
      <c r="H27" s="174">
        <f t="shared" si="5"/>
        <v>2027</v>
      </c>
      <c r="I27" s="174">
        <f t="shared" si="5"/>
        <v>2028</v>
      </c>
      <c r="J27" s="174">
        <f t="shared" si="5"/>
        <v>2029</v>
      </c>
      <c r="K27" s="174">
        <f t="shared" si="5"/>
        <v>2030</v>
      </c>
      <c r="L27" s="174">
        <f t="shared" si="5"/>
        <v>2031</v>
      </c>
      <c r="M27" s="174">
        <f t="shared" si="5"/>
        <v>2032</v>
      </c>
      <c r="N27" s="174">
        <f t="shared" si="5"/>
        <v>2033</v>
      </c>
      <c r="O27" s="174">
        <f t="shared" si="5"/>
        <v>2034</v>
      </c>
      <c r="P27" s="174">
        <f t="shared" si="5"/>
        <v>2035</v>
      </c>
      <c r="Q27" s="174">
        <f t="shared" si="5"/>
        <v>2036</v>
      </c>
      <c r="R27" s="174">
        <f t="shared" si="5"/>
        <v>2037</v>
      </c>
      <c r="S27" s="174">
        <f t="shared" si="5"/>
        <v>2038</v>
      </c>
      <c r="T27" s="174">
        <f t="shared" si="5"/>
        <v>2039</v>
      </c>
      <c r="U27" s="174">
        <f t="shared" si="5"/>
        <v>2040</v>
      </c>
      <c r="V27" s="174">
        <f t="shared" si="5"/>
        <v>2041</v>
      </c>
      <c r="W27" s="174">
        <f t="shared" si="5"/>
        <v>2042</v>
      </c>
      <c r="X27" s="174">
        <f t="shared" si="5"/>
        <v>2043</v>
      </c>
      <c r="Y27" s="174">
        <f t="shared" si="5"/>
        <v>2044</v>
      </c>
      <c r="Z27" s="174">
        <f t="shared" si="5"/>
        <v>2045</v>
      </c>
      <c r="AA27" s="174">
        <f t="shared" si="5"/>
        <v>2046</v>
      </c>
    </row>
    <row r="28" spans="1:27" s="1" customFormat="1" x14ac:dyDescent="0.3">
      <c r="A28" s="1" t="s">
        <v>57</v>
      </c>
      <c r="B28" s="44">
        <f>(B$9&gt;$B$5)*($B$25*(1+$B$22)^B26)</f>
        <v>0</v>
      </c>
      <c r="C28" s="44">
        <f t="shared" ref="C28:AA28" si="6">(C$9&gt;$B$5)*($B$25*(1+$B$22)^C26)</f>
        <v>14.350950400000002</v>
      </c>
      <c r="D28" s="44">
        <f t="shared" si="6"/>
        <v>14.511681044480001</v>
      </c>
      <c r="E28" s="44">
        <f t="shared" si="6"/>
        <v>14.67421187217818</v>
      </c>
      <c r="F28" s="44">
        <f t="shared" si="6"/>
        <v>14.838563045146577</v>
      </c>
      <c r="G28" s="44">
        <f t="shared" si="6"/>
        <v>15.004754951252218</v>
      </c>
      <c r="H28" s="44">
        <f t="shared" si="6"/>
        <v>15.172808206706245</v>
      </c>
      <c r="I28" s="44">
        <f t="shared" si="6"/>
        <v>15.342743658621357</v>
      </c>
      <c r="J28" s="44">
        <f t="shared" si="6"/>
        <v>15.514582387597915</v>
      </c>
      <c r="K28" s="44">
        <f t="shared" si="6"/>
        <v>15.688345710339014</v>
      </c>
      <c r="L28" s="44">
        <f t="shared" si="6"/>
        <v>15.864055182294811</v>
      </c>
      <c r="M28" s="44">
        <f t="shared" si="6"/>
        <v>16.041732600336516</v>
      </c>
      <c r="N28" s="44">
        <f t="shared" si="6"/>
        <v>16.221400005460286</v>
      </c>
      <c r="O28" s="44">
        <f t="shared" si="6"/>
        <v>16.40307968552144</v>
      </c>
      <c r="P28" s="44">
        <f t="shared" si="6"/>
        <v>16.58679417799928</v>
      </c>
      <c r="Q28" s="44">
        <f t="shared" si="6"/>
        <v>16.772566272792879</v>
      </c>
      <c r="R28" s="44">
        <f t="shared" si="6"/>
        <v>16.960419015048156</v>
      </c>
      <c r="S28" s="44">
        <f t="shared" si="6"/>
        <v>17.150375708016696</v>
      </c>
      <c r="T28" s="44">
        <f t="shared" si="6"/>
        <v>17.342459915946485</v>
      </c>
      <c r="U28" s="44">
        <f t="shared" si="6"/>
        <v>17.536695467005089</v>
      </c>
      <c r="V28" s="44">
        <f t="shared" si="6"/>
        <v>17.733106456235546</v>
      </c>
      <c r="W28" s="44">
        <f t="shared" si="6"/>
        <v>17.931717248545382</v>
      </c>
      <c r="X28" s="44">
        <f t="shared" si="6"/>
        <v>18.132552481729096</v>
      </c>
      <c r="Y28" s="44">
        <f t="shared" si="6"/>
        <v>18.335637069524463</v>
      </c>
      <c r="Z28" s="44">
        <f t="shared" si="6"/>
        <v>18.540996204703138</v>
      </c>
      <c r="AA28" s="44">
        <f t="shared" si="6"/>
        <v>18.748655362195816</v>
      </c>
    </row>
    <row r="30" spans="1:27" x14ac:dyDescent="0.3">
      <c r="A30" s="45" t="s">
        <v>20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row>
    <row r="31" spans="1:27" x14ac:dyDescent="0.3">
      <c r="A31" s="124" t="s">
        <v>113</v>
      </c>
      <c r="B31" s="179">
        <f>'Inputs &amp; Summary'!P81</f>
        <v>47.828616539314339</v>
      </c>
    </row>
    <row r="32" spans="1:27" x14ac:dyDescent="0.3">
      <c r="A32" s="124" t="s">
        <v>114</v>
      </c>
      <c r="B32" s="32">
        <f>'Inputs &amp; Summary'!F84</f>
        <v>316783.09000000003</v>
      </c>
      <c r="G32" s="82" t="s">
        <v>140</v>
      </c>
      <c r="H32" s="83"/>
      <c r="I32" s="83"/>
      <c r="J32" s="83"/>
      <c r="K32" s="83"/>
      <c r="L32" s="83"/>
      <c r="M32" s="83"/>
      <c r="N32" s="83"/>
      <c r="O32" s="83"/>
      <c r="P32" s="83"/>
      <c r="Q32" s="83"/>
      <c r="R32" s="83"/>
      <c r="S32" s="83"/>
      <c r="T32" s="83"/>
      <c r="U32" s="83"/>
      <c r="V32" s="84"/>
    </row>
    <row r="33" spans="1:27" x14ac:dyDescent="0.3">
      <c r="A33" s="124" t="s">
        <v>44</v>
      </c>
      <c r="B33" s="178">
        <f>'Inputs &amp; Summary'!P85</f>
        <v>1.12E-2</v>
      </c>
      <c r="G33" s="87" t="s">
        <v>138</v>
      </c>
      <c r="H33" s="119"/>
      <c r="I33" s="119"/>
      <c r="J33" s="119"/>
      <c r="K33" s="119"/>
      <c r="L33" s="119"/>
      <c r="M33" s="119"/>
      <c r="N33" s="119"/>
      <c r="O33" s="119"/>
      <c r="P33" s="119"/>
      <c r="Q33" s="119"/>
      <c r="R33" s="119"/>
      <c r="S33" s="119"/>
      <c r="T33" s="119"/>
      <c r="U33" s="119"/>
      <c r="V33" s="89"/>
    </row>
    <row r="34" spans="1:27" x14ac:dyDescent="0.3">
      <c r="A34" s="124" t="s">
        <v>115</v>
      </c>
      <c r="B34" s="157">
        <f>'Inputs &amp; Summary'!P111</f>
        <v>0.02</v>
      </c>
      <c r="C34" s="1" t="s">
        <v>193</v>
      </c>
      <c r="G34" s="85" t="s">
        <v>139</v>
      </c>
      <c r="H34" s="72"/>
      <c r="I34" s="72"/>
      <c r="J34" s="72"/>
      <c r="K34" s="72"/>
      <c r="L34" s="72"/>
      <c r="M34" s="72"/>
      <c r="N34" s="72"/>
      <c r="O34" s="72"/>
      <c r="P34" s="72"/>
      <c r="Q34" s="72"/>
      <c r="R34" s="72"/>
      <c r="S34" s="72"/>
      <c r="T34" s="72"/>
      <c r="U34" s="72"/>
      <c r="V34" s="86"/>
    </row>
    <row r="35" spans="1:27" x14ac:dyDescent="0.3">
      <c r="A35" s="124" t="s">
        <v>116</v>
      </c>
      <c r="B35" s="118">
        <f>+B31*B32*B34/1000</f>
        <v>303.02593875498206</v>
      </c>
    </row>
    <row r="36" spans="1:27" x14ac:dyDescent="0.3">
      <c r="A36" s="3" t="s">
        <v>3</v>
      </c>
      <c r="B36" s="124">
        <v>0</v>
      </c>
      <c r="C36" s="124">
        <f t="shared" ref="C36:AA36" si="7">+B36+1</f>
        <v>1</v>
      </c>
      <c r="D36" s="124">
        <f t="shared" si="7"/>
        <v>2</v>
      </c>
      <c r="E36" s="124">
        <f t="shared" si="7"/>
        <v>3</v>
      </c>
      <c r="F36" s="124">
        <f t="shared" si="7"/>
        <v>4</v>
      </c>
      <c r="G36" s="124">
        <f t="shared" si="7"/>
        <v>5</v>
      </c>
      <c r="H36" s="124">
        <f t="shared" si="7"/>
        <v>6</v>
      </c>
      <c r="I36" s="124">
        <f t="shared" si="7"/>
        <v>7</v>
      </c>
      <c r="J36" s="124">
        <f t="shared" si="7"/>
        <v>8</v>
      </c>
      <c r="K36" s="124">
        <f t="shared" si="7"/>
        <v>9</v>
      </c>
      <c r="L36" s="124">
        <f t="shared" si="7"/>
        <v>10</v>
      </c>
      <c r="M36" s="124">
        <f t="shared" si="7"/>
        <v>11</v>
      </c>
      <c r="N36" s="124">
        <f t="shared" si="7"/>
        <v>12</v>
      </c>
      <c r="O36" s="124">
        <f t="shared" si="7"/>
        <v>13</v>
      </c>
      <c r="P36" s="124">
        <f t="shared" si="7"/>
        <v>14</v>
      </c>
      <c r="Q36" s="124">
        <f t="shared" si="7"/>
        <v>15</v>
      </c>
      <c r="R36" s="124">
        <f t="shared" si="7"/>
        <v>16</v>
      </c>
      <c r="S36" s="124">
        <f t="shared" si="7"/>
        <v>17</v>
      </c>
      <c r="T36" s="124">
        <f t="shared" si="7"/>
        <v>18</v>
      </c>
      <c r="U36" s="124">
        <f t="shared" si="7"/>
        <v>19</v>
      </c>
      <c r="V36" s="124">
        <f t="shared" si="7"/>
        <v>20</v>
      </c>
      <c r="W36" s="124">
        <f t="shared" si="7"/>
        <v>21</v>
      </c>
      <c r="X36" s="124">
        <f t="shared" si="7"/>
        <v>22</v>
      </c>
      <c r="Y36" s="124">
        <f t="shared" si="7"/>
        <v>23</v>
      </c>
      <c r="Z36" s="124">
        <f t="shared" si="7"/>
        <v>24</v>
      </c>
      <c r="AA36" s="124">
        <f t="shared" si="7"/>
        <v>25</v>
      </c>
    </row>
    <row r="37" spans="1:27" x14ac:dyDescent="0.3">
      <c r="A37" s="175" t="s">
        <v>400</v>
      </c>
      <c r="B37" s="174">
        <v>2021</v>
      </c>
      <c r="C37" s="174">
        <f t="shared" ref="C37:AA37" si="8">+B37+1</f>
        <v>2022</v>
      </c>
      <c r="D37" s="174">
        <f t="shared" si="8"/>
        <v>2023</v>
      </c>
      <c r="E37" s="174">
        <f t="shared" si="8"/>
        <v>2024</v>
      </c>
      <c r="F37" s="174">
        <f t="shared" si="8"/>
        <v>2025</v>
      </c>
      <c r="G37" s="174">
        <f t="shared" si="8"/>
        <v>2026</v>
      </c>
      <c r="H37" s="174">
        <f t="shared" si="8"/>
        <v>2027</v>
      </c>
      <c r="I37" s="174">
        <f t="shared" si="8"/>
        <v>2028</v>
      </c>
      <c r="J37" s="174">
        <f t="shared" si="8"/>
        <v>2029</v>
      </c>
      <c r="K37" s="174">
        <f t="shared" si="8"/>
        <v>2030</v>
      </c>
      <c r="L37" s="174">
        <f t="shared" si="8"/>
        <v>2031</v>
      </c>
      <c r="M37" s="174">
        <f t="shared" si="8"/>
        <v>2032</v>
      </c>
      <c r="N37" s="174">
        <f t="shared" si="8"/>
        <v>2033</v>
      </c>
      <c r="O37" s="174">
        <f t="shared" si="8"/>
        <v>2034</v>
      </c>
      <c r="P37" s="174">
        <f t="shared" si="8"/>
        <v>2035</v>
      </c>
      <c r="Q37" s="174">
        <f t="shared" si="8"/>
        <v>2036</v>
      </c>
      <c r="R37" s="174">
        <f t="shared" si="8"/>
        <v>2037</v>
      </c>
      <c r="S37" s="174">
        <f t="shared" si="8"/>
        <v>2038</v>
      </c>
      <c r="T37" s="174">
        <f t="shared" si="8"/>
        <v>2039</v>
      </c>
      <c r="U37" s="174">
        <f t="shared" si="8"/>
        <v>2040</v>
      </c>
      <c r="V37" s="174">
        <f t="shared" si="8"/>
        <v>2041</v>
      </c>
      <c r="W37" s="174">
        <f t="shared" si="8"/>
        <v>2042</v>
      </c>
      <c r="X37" s="174">
        <f t="shared" si="8"/>
        <v>2043</v>
      </c>
      <c r="Y37" s="174">
        <f t="shared" si="8"/>
        <v>2044</v>
      </c>
      <c r="Z37" s="174">
        <f t="shared" si="8"/>
        <v>2045</v>
      </c>
      <c r="AA37" s="174">
        <f t="shared" si="8"/>
        <v>2046</v>
      </c>
    </row>
    <row r="38" spans="1:27" x14ac:dyDescent="0.3">
      <c r="A38" s="180" t="s">
        <v>58</v>
      </c>
      <c r="B38" s="68">
        <f>(B$9&gt;$B$5)*($B$35*(1+$B$33)^B36)</f>
        <v>0</v>
      </c>
      <c r="C38" s="68">
        <f t="shared" ref="C38:AA38" si="9">(C$9&gt;$B$5)*($B$35*(1+$B$33)^C36)</f>
        <v>306.4198292690379</v>
      </c>
      <c r="D38" s="68">
        <f t="shared" si="9"/>
        <v>309.85173135685113</v>
      </c>
      <c r="E38" s="68">
        <f t="shared" si="9"/>
        <v>313.32207074804791</v>
      </c>
      <c r="F38" s="68">
        <f t="shared" si="9"/>
        <v>316.83127794042605</v>
      </c>
      <c r="G38" s="68">
        <f t="shared" si="9"/>
        <v>320.37978825335881</v>
      </c>
      <c r="H38" s="68">
        <f t="shared" si="9"/>
        <v>323.96804188179647</v>
      </c>
      <c r="I38" s="68">
        <f t="shared" si="9"/>
        <v>327.59648395087265</v>
      </c>
      <c r="J38" s="68">
        <f t="shared" si="9"/>
        <v>331.26556457112241</v>
      </c>
      <c r="K38" s="68">
        <f t="shared" si="9"/>
        <v>334.97573889431902</v>
      </c>
      <c r="L38" s="68">
        <f t="shared" si="9"/>
        <v>338.72746716993544</v>
      </c>
      <c r="M38" s="68">
        <f t="shared" si="9"/>
        <v>342.52121480223872</v>
      </c>
      <c r="N38" s="68">
        <f t="shared" si="9"/>
        <v>346.35745240802379</v>
      </c>
      <c r="O38" s="68">
        <f t="shared" si="9"/>
        <v>350.23665587499369</v>
      </c>
      <c r="P38" s="68">
        <f t="shared" si="9"/>
        <v>354.15930642079365</v>
      </c>
      <c r="Q38" s="68">
        <f t="shared" si="9"/>
        <v>358.12589065270663</v>
      </c>
      <c r="R38" s="68">
        <f t="shared" si="9"/>
        <v>362.13690062801692</v>
      </c>
      <c r="S38" s="68">
        <f t="shared" si="9"/>
        <v>366.1928339150507</v>
      </c>
      <c r="T38" s="68">
        <f t="shared" si="9"/>
        <v>370.29419365489929</v>
      </c>
      <c r="U38" s="68">
        <f t="shared" si="9"/>
        <v>374.44148862383423</v>
      </c>
      <c r="V38" s="68">
        <f t="shared" si="9"/>
        <v>378.63523329642123</v>
      </c>
      <c r="W38" s="68">
        <f t="shared" si="9"/>
        <v>382.87594790934111</v>
      </c>
      <c r="X38" s="68">
        <f t="shared" si="9"/>
        <v>387.16415852592581</v>
      </c>
      <c r="Y38" s="68">
        <f t="shared" si="9"/>
        <v>391.50039710141624</v>
      </c>
      <c r="Z38" s="68">
        <f t="shared" si="9"/>
        <v>395.88520154895201</v>
      </c>
      <c r="AA38" s="68">
        <f t="shared" si="9"/>
        <v>400.31911580630037</v>
      </c>
    </row>
    <row r="39" spans="1:27" x14ac:dyDescent="0.3">
      <c r="A39" s="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row>
    <row r="40" spans="1:27" x14ac:dyDescent="0.3">
      <c r="A40" s="45" t="s">
        <v>149</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3">
      <c r="A41" s="1"/>
      <c r="C41" s="46" t="s">
        <v>176</v>
      </c>
    </row>
    <row r="42" spans="1:27" x14ac:dyDescent="0.3">
      <c r="A42" s="1"/>
      <c r="C42" s="1" t="s">
        <v>193</v>
      </c>
      <c r="G42" s="90" t="s">
        <v>150</v>
      </c>
      <c r="H42" s="91"/>
      <c r="I42" s="91"/>
      <c r="J42" s="91"/>
      <c r="K42" s="91"/>
      <c r="L42" s="91"/>
      <c r="M42" s="91"/>
      <c r="N42" s="91"/>
      <c r="O42" s="91"/>
      <c r="P42" s="91"/>
      <c r="Q42" s="91"/>
      <c r="R42" s="91"/>
      <c r="S42" s="91"/>
      <c r="T42" s="91"/>
      <c r="U42" s="92"/>
    </row>
    <row r="43" spans="1:27" x14ac:dyDescent="0.3">
      <c r="A43" s="175" t="s">
        <v>400</v>
      </c>
      <c r="B43" s="174">
        <v>2021</v>
      </c>
      <c r="C43" s="174">
        <f t="shared" ref="C43:AA43" si="10">+B43+1</f>
        <v>2022</v>
      </c>
      <c r="D43" s="174">
        <f t="shared" si="10"/>
        <v>2023</v>
      </c>
      <c r="E43" s="174">
        <f t="shared" si="10"/>
        <v>2024</v>
      </c>
      <c r="F43" s="174">
        <f t="shared" si="10"/>
        <v>2025</v>
      </c>
      <c r="G43" s="174">
        <f t="shared" si="10"/>
        <v>2026</v>
      </c>
      <c r="H43" s="174">
        <f t="shared" si="10"/>
        <v>2027</v>
      </c>
      <c r="I43" s="174">
        <f t="shared" si="10"/>
        <v>2028</v>
      </c>
      <c r="J43" s="174">
        <f t="shared" si="10"/>
        <v>2029</v>
      </c>
      <c r="K43" s="174">
        <f t="shared" si="10"/>
        <v>2030</v>
      </c>
      <c r="L43" s="174">
        <f t="shared" si="10"/>
        <v>2031</v>
      </c>
      <c r="M43" s="174">
        <f t="shared" si="10"/>
        <v>2032</v>
      </c>
      <c r="N43" s="174">
        <f t="shared" si="10"/>
        <v>2033</v>
      </c>
      <c r="O43" s="174">
        <f t="shared" si="10"/>
        <v>2034</v>
      </c>
      <c r="P43" s="174">
        <f t="shared" si="10"/>
        <v>2035</v>
      </c>
      <c r="Q43" s="174">
        <f t="shared" si="10"/>
        <v>2036</v>
      </c>
      <c r="R43" s="174">
        <f t="shared" si="10"/>
        <v>2037</v>
      </c>
      <c r="S43" s="174">
        <f t="shared" si="10"/>
        <v>2038</v>
      </c>
      <c r="T43" s="174">
        <f t="shared" si="10"/>
        <v>2039</v>
      </c>
      <c r="U43" s="174">
        <f t="shared" si="10"/>
        <v>2040</v>
      </c>
      <c r="V43" s="174">
        <f t="shared" si="10"/>
        <v>2041</v>
      </c>
      <c r="W43" s="174">
        <f t="shared" si="10"/>
        <v>2042</v>
      </c>
      <c r="X43" s="174">
        <f t="shared" si="10"/>
        <v>2043</v>
      </c>
      <c r="Y43" s="174">
        <f t="shared" si="10"/>
        <v>2044</v>
      </c>
      <c r="Z43" s="174">
        <f t="shared" si="10"/>
        <v>2045</v>
      </c>
      <c r="AA43" s="174">
        <f t="shared" si="10"/>
        <v>2046</v>
      </c>
    </row>
    <row r="44" spans="1:27" x14ac:dyDescent="0.3">
      <c r="A44" s="1" t="s">
        <v>59</v>
      </c>
      <c r="B44" s="35">
        <f>(B$9&gt;$B$5)*'Inputs &amp; Summary'!$P$113</f>
        <v>0</v>
      </c>
      <c r="C44" s="35">
        <f>(C$9&gt;$B$5)*'Inputs &amp; Summary'!$P$113</f>
        <v>18</v>
      </c>
      <c r="D44" s="35">
        <f>(D$9&gt;$B$5)*'Inputs &amp; Summary'!$P$113</f>
        <v>18</v>
      </c>
      <c r="E44" s="35">
        <f>(E$9&gt;$B$5)*'Inputs &amp; Summary'!$P$113</f>
        <v>18</v>
      </c>
      <c r="F44" s="35">
        <f>(F$9&gt;$B$5)*'Inputs &amp; Summary'!$P$113</f>
        <v>18</v>
      </c>
      <c r="G44" s="35">
        <f>(G$9&gt;$B$5)*'Inputs &amp; Summary'!$P$113</f>
        <v>18</v>
      </c>
      <c r="H44" s="35">
        <f>(H$9&gt;$B$5)*'Inputs &amp; Summary'!$P$113</f>
        <v>18</v>
      </c>
      <c r="I44" s="35">
        <f>(I$9&gt;$B$5)*'Inputs &amp; Summary'!$P$113</f>
        <v>18</v>
      </c>
      <c r="J44" s="35">
        <f>(J$9&gt;$B$5)*'Inputs &amp; Summary'!$P$113</f>
        <v>18</v>
      </c>
      <c r="K44" s="35">
        <f>(K$9&gt;$B$5)*'Inputs &amp; Summary'!$P$113</f>
        <v>18</v>
      </c>
      <c r="L44" s="35">
        <f>(L$9&gt;$B$5)*'Inputs &amp; Summary'!$P$113</f>
        <v>18</v>
      </c>
      <c r="M44" s="35">
        <f>(M$9&gt;$B$5)*'Inputs &amp; Summary'!$P$113</f>
        <v>18</v>
      </c>
      <c r="N44" s="35">
        <f>(N$9&gt;$B$5)*'Inputs &amp; Summary'!$P$113</f>
        <v>18</v>
      </c>
      <c r="O44" s="35">
        <f>(O$9&gt;$B$5)*'Inputs &amp; Summary'!$P$113</f>
        <v>18</v>
      </c>
      <c r="P44" s="35">
        <f>(P$9&gt;$B$5)*'Inputs &amp; Summary'!$P$113</f>
        <v>18</v>
      </c>
      <c r="Q44" s="35">
        <f>(Q$9&gt;$B$5)*'Inputs &amp; Summary'!$P$113</f>
        <v>18</v>
      </c>
      <c r="R44" s="35">
        <f>(R$9&gt;$B$5)*'Inputs &amp; Summary'!$P$113</f>
        <v>18</v>
      </c>
      <c r="S44" s="35">
        <f>(S$9&gt;$B$5)*'Inputs &amp; Summary'!$P$113</f>
        <v>18</v>
      </c>
      <c r="T44" s="35">
        <f>(T$9&gt;$B$5)*'Inputs &amp; Summary'!$P$113</f>
        <v>18</v>
      </c>
      <c r="U44" s="35">
        <f>(U$9&gt;$B$5)*'Inputs &amp; Summary'!$P$113</f>
        <v>18</v>
      </c>
      <c r="V44" s="35">
        <f>(V$9&gt;$B$5)*'Inputs &amp; Summary'!$P$113</f>
        <v>18</v>
      </c>
      <c r="W44" s="35">
        <f>(W$9&gt;$B$5)*'Inputs &amp; Summary'!$P$113</f>
        <v>18</v>
      </c>
      <c r="X44" s="35">
        <f>(X$9&gt;$B$5)*'Inputs &amp; Summary'!$P$113</f>
        <v>18</v>
      </c>
      <c r="Y44" s="35">
        <f>(Y$9&gt;$B$5)*'Inputs &amp; Summary'!$P$113</f>
        <v>18</v>
      </c>
      <c r="Z44" s="35">
        <f>(Z$9&gt;$B$5)*'Inputs &amp; Summary'!$P$113</f>
        <v>18</v>
      </c>
      <c r="AA44" s="35">
        <f>(AA$9&gt;$B$5)*'Inputs &amp; Summary'!$P$113</f>
        <v>18</v>
      </c>
    </row>
    <row r="46" spans="1:27" x14ac:dyDescent="0.3">
      <c r="A46" s="17" t="s">
        <v>68</v>
      </c>
      <c r="B46" s="17">
        <f t="shared" ref="B46:AA46" si="11">+B27</f>
        <v>2021</v>
      </c>
      <c r="C46" s="17">
        <f t="shared" si="11"/>
        <v>2022</v>
      </c>
      <c r="D46" s="17">
        <f t="shared" si="11"/>
        <v>2023</v>
      </c>
      <c r="E46" s="17">
        <f t="shared" si="11"/>
        <v>2024</v>
      </c>
      <c r="F46" s="17">
        <f t="shared" si="11"/>
        <v>2025</v>
      </c>
      <c r="G46" s="17">
        <f t="shared" si="11"/>
        <v>2026</v>
      </c>
      <c r="H46" s="17">
        <f t="shared" si="11"/>
        <v>2027</v>
      </c>
      <c r="I46" s="17">
        <f t="shared" si="11"/>
        <v>2028</v>
      </c>
      <c r="J46" s="17">
        <f t="shared" si="11"/>
        <v>2029</v>
      </c>
      <c r="K46" s="17">
        <f t="shared" si="11"/>
        <v>2030</v>
      </c>
      <c r="L46" s="17">
        <f t="shared" si="11"/>
        <v>2031</v>
      </c>
      <c r="M46" s="17">
        <f t="shared" si="11"/>
        <v>2032</v>
      </c>
      <c r="N46" s="17">
        <f t="shared" si="11"/>
        <v>2033</v>
      </c>
      <c r="O46" s="17">
        <f t="shared" si="11"/>
        <v>2034</v>
      </c>
      <c r="P46" s="17">
        <f t="shared" si="11"/>
        <v>2035</v>
      </c>
      <c r="Q46" s="17">
        <f t="shared" si="11"/>
        <v>2036</v>
      </c>
      <c r="R46" s="17">
        <f t="shared" si="11"/>
        <v>2037</v>
      </c>
      <c r="S46" s="17">
        <f t="shared" si="11"/>
        <v>2038</v>
      </c>
      <c r="T46" s="17">
        <f t="shared" si="11"/>
        <v>2039</v>
      </c>
      <c r="U46" s="17">
        <f t="shared" si="11"/>
        <v>2040</v>
      </c>
      <c r="V46" s="17">
        <f t="shared" si="11"/>
        <v>2041</v>
      </c>
      <c r="W46" s="17">
        <f t="shared" si="11"/>
        <v>2042</v>
      </c>
      <c r="X46" s="17">
        <f t="shared" si="11"/>
        <v>2043</v>
      </c>
      <c r="Y46" s="17">
        <f t="shared" si="11"/>
        <v>2044</v>
      </c>
      <c r="Z46" s="17">
        <f t="shared" si="11"/>
        <v>2045</v>
      </c>
      <c r="AA46" s="17">
        <f t="shared" si="11"/>
        <v>2046</v>
      </c>
    </row>
    <row r="47" spans="1:27" s="1" customFormat="1" ht="15" thickBot="1" x14ac:dyDescent="0.35">
      <c r="A47" s="38" t="s">
        <v>197</v>
      </c>
      <c r="B47" s="39">
        <f t="shared" ref="B47:AA47" si="12">+B38+B28+B44</f>
        <v>0</v>
      </c>
      <c r="C47" s="39">
        <f t="shared" si="12"/>
        <v>338.77077966903789</v>
      </c>
      <c r="D47" s="39">
        <f t="shared" si="12"/>
        <v>342.36341240133112</v>
      </c>
      <c r="E47" s="39">
        <f t="shared" si="12"/>
        <v>345.99628262022611</v>
      </c>
      <c r="F47" s="39">
        <f t="shared" si="12"/>
        <v>349.66984098557265</v>
      </c>
      <c r="G47" s="39">
        <f t="shared" si="12"/>
        <v>353.38454320461102</v>
      </c>
      <c r="H47" s="39">
        <f t="shared" si="12"/>
        <v>357.1408500885027</v>
      </c>
      <c r="I47" s="39">
        <f t="shared" si="12"/>
        <v>360.93922760949403</v>
      </c>
      <c r="J47" s="39">
        <f t="shared" si="12"/>
        <v>364.78014695872031</v>
      </c>
      <c r="K47" s="39">
        <f t="shared" si="12"/>
        <v>368.66408460465806</v>
      </c>
      <c r="L47" s="39">
        <f t="shared" si="12"/>
        <v>372.59152235223024</v>
      </c>
      <c r="M47" s="39">
        <f t="shared" si="12"/>
        <v>376.56294740257522</v>
      </c>
      <c r="N47" s="39">
        <f t="shared" si="12"/>
        <v>380.57885241348407</v>
      </c>
      <c r="O47" s="39">
        <f t="shared" si="12"/>
        <v>384.63973556051513</v>
      </c>
      <c r="P47" s="39">
        <f t="shared" si="12"/>
        <v>388.74610059879296</v>
      </c>
      <c r="Q47" s="39">
        <f t="shared" si="12"/>
        <v>392.89845692549949</v>
      </c>
      <c r="R47" s="39">
        <f t="shared" si="12"/>
        <v>397.09731964306508</v>
      </c>
      <c r="S47" s="39">
        <f t="shared" si="12"/>
        <v>401.34320962306742</v>
      </c>
      <c r="T47" s="39">
        <f t="shared" si="12"/>
        <v>405.63665357084579</v>
      </c>
      <c r="U47" s="39">
        <f t="shared" si="12"/>
        <v>409.97818409083931</v>
      </c>
      <c r="V47" s="39">
        <f t="shared" si="12"/>
        <v>414.36833975265677</v>
      </c>
      <c r="W47" s="39">
        <f t="shared" si="12"/>
        <v>418.8076651578865</v>
      </c>
      <c r="X47" s="39">
        <f t="shared" si="12"/>
        <v>423.29671100765489</v>
      </c>
      <c r="Y47" s="39">
        <f t="shared" si="12"/>
        <v>427.83603417094071</v>
      </c>
      <c r="Z47" s="39">
        <f t="shared" si="12"/>
        <v>432.42619775365517</v>
      </c>
      <c r="AA47" s="39">
        <f t="shared" si="12"/>
        <v>437.06777116849617</v>
      </c>
    </row>
    <row r="49" spans="1:27" ht="18" x14ac:dyDescent="0.35">
      <c r="A49" s="108" t="s">
        <v>166</v>
      </c>
    </row>
    <row r="50" spans="1:27" x14ac:dyDescent="0.3">
      <c r="A50" s="45" t="s">
        <v>51</v>
      </c>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row>
    <row r="51" spans="1:27" x14ac:dyDescent="0.3">
      <c r="A51" s="177"/>
    </row>
    <row r="52" spans="1:27" x14ac:dyDescent="0.3">
      <c r="A52" s="124" t="s">
        <v>40</v>
      </c>
      <c r="B52" s="173">
        <f>'Inputs &amp; Summary'!F95</f>
        <v>138.70000000000002</v>
      </c>
      <c r="G52" s="82" t="s">
        <v>141</v>
      </c>
      <c r="H52" s="83"/>
      <c r="I52" s="83"/>
      <c r="J52" s="83"/>
      <c r="K52" s="83"/>
      <c r="L52" s="83"/>
      <c r="M52" s="83"/>
      <c r="N52" s="83"/>
      <c r="O52" s="83"/>
      <c r="P52" s="83"/>
      <c r="Q52" s="84"/>
    </row>
    <row r="53" spans="1:27" x14ac:dyDescent="0.3">
      <c r="A53" s="124" t="s">
        <v>56</v>
      </c>
      <c r="B53" s="124">
        <f>'Inputs &amp; Summary'!F96</f>
        <v>135</v>
      </c>
      <c r="G53" s="85" t="s">
        <v>142</v>
      </c>
      <c r="H53" s="72"/>
      <c r="I53" s="72"/>
      <c r="J53" s="72"/>
      <c r="K53" s="72"/>
      <c r="L53" s="72"/>
      <c r="M53" s="72"/>
      <c r="N53" s="72"/>
      <c r="O53" s="72"/>
      <c r="P53" s="72"/>
      <c r="Q53" s="86"/>
    </row>
    <row r="54" spans="1:27" x14ac:dyDescent="0.3">
      <c r="A54" s="124" t="s">
        <v>38</v>
      </c>
      <c r="B54" s="158">
        <f>'Inputs &amp; Summary'!P117</f>
        <v>0.01</v>
      </c>
      <c r="C54" s="1" t="s">
        <v>193</v>
      </c>
    </row>
    <row r="55" spans="1:27" x14ac:dyDescent="0.3">
      <c r="A55" s="124" t="s">
        <v>39</v>
      </c>
      <c r="B55" s="160">
        <f>'Inputs &amp; Summary'!P118</f>
        <v>1.2E-2</v>
      </c>
      <c r="C55" s="1" t="s">
        <v>193</v>
      </c>
    </row>
    <row r="56" spans="1:27" x14ac:dyDescent="0.3">
      <c r="A56" s="3" t="s">
        <v>3</v>
      </c>
      <c r="B56" s="124">
        <v>0</v>
      </c>
      <c r="C56" s="124">
        <f t="shared" ref="C56:AA56" si="13">+B56+1</f>
        <v>1</v>
      </c>
      <c r="D56" s="124">
        <f t="shared" si="13"/>
        <v>2</v>
      </c>
      <c r="E56" s="124">
        <f t="shared" si="13"/>
        <v>3</v>
      </c>
      <c r="F56" s="124">
        <f t="shared" si="13"/>
        <v>4</v>
      </c>
      <c r="G56" s="124">
        <f t="shared" si="13"/>
        <v>5</v>
      </c>
      <c r="H56" s="124">
        <f t="shared" si="13"/>
        <v>6</v>
      </c>
      <c r="I56" s="124">
        <f t="shared" si="13"/>
        <v>7</v>
      </c>
      <c r="J56" s="124">
        <f t="shared" si="13"/>
        <v>8</v>
      </c>
      <c r="K56" s="124">
        <f t="shared" si="13"/>
        <v>9</v>
      </c>
      <c r="L56" s="124">
        <f t="shared" si="13"/>
        <v>10</v>
      </c>
      <c r="M56" s="124">
        <f t="shared" si="13"/>
        <v>11</v>
      </c>
      <c r="N56" s="124">
        <f t="shared" si="13"/>
        <v>12</v>
      </c>
      <c r="O56" s="124">
        <f t="shared" si="13"/>
        <v>13</v>
      </c>
      <c r="P56" s="124">
        <f t="shared" si="13"/>
        <v>14</v>
      </c>
      <c r="Q56" s="124">
        <f t="shared" si="13"/>
        <v>15</v>
      </c>
      <c r="R56" s="124">
        <f t="shared" si="13"/>
        <v>16</v>
      </c>
      <c r="S56" s="124">
        <f t="shared" si="13"/>
        <v>17</v>
      </c>
      <c r="T56" s="124">
        <f t="shared" si="13"/>
        <v>18</v>
      </c>
      <c r="U56" s="124">
        <f t="shared" si="13"/>
        <v>19</v>
      </c>
      <c r="V56" s="124">
        <f t="shared" si="13"/>
        <v>20</v>
      </c>
      <c r="W56" s="124">
        <f t="shared" si="13"/>
        <v>21</v>
      </c>
      <c r="X56" s="124">
        <f t="shared" si="13"/>
        <v>22</v>
      </c>
      <c r="Y56" s="124">
        <f t="shared" si="13"/>
        <v>23</v>
      </c>
      <c r="Z56" s="124">
        <f t="shared" si="13"/>
        <v>24</v>
      </c>
      <c r="AA56" s="124">
        <f t="shared" si="13"/>
        <v>25</v>
      </c>
    </row>
    <row r="57" spans="1:27" x14ac:dyDescent="0.3">
      <c r="A57" s="175" t="s">
        <v>400</v>
      </c>
      <c r="B57" s="174">
        <v>2021</v>
      </c>
      <c r="C57" s="174">
        <f t="shared" ref="C57:AA57" si="14">+B57+1</f>
        <v>2022</v>
      </c>
      <c r="D57" s="174">
        <f t="shared" si="14"/>
        <v>2023</v>
      </c>
      <c r="E57" s="174">
        <f t="shared" si="14"/>
        <v>2024</v>
      </c>
      <c r="F57" s="174">
        <f t="shared" si="14"/>
        <v>2025</v>
      </c>
      <c r="G57" s="174">
        <f t="shared" si="14"/>
        <v>2026</v>
      </c>
      <c r="H57" s="174">
        <f t="shared" si="14"/>
        <v>2027</v>
      </c>
      <c r="I57" s="174">
        <f t="shared" si="14"/>
        <v>2028</v>
      </c>
      <c r="J57" s="174">
        <f t="shared" si="14"/>
        <v>2029</v>
      </c>
      <c r="K57" s="174">
        <f t="shared" si="14"/>
        <v>2030</v>
      </c>
      <c r="L57" s="174">
        <f t="shared" si="14"/>
        <v>2031</v>
      </c>
      <c r="M57" s="174">
        <f t="shared" si="14"/>
        <v>2032</v>
      </c>
      <c r="N57" s="174">
        <f t="shared" si="14"/>
        <v>2033</v>
      </c>
      <c r="O57" s="174">
        <f t="shared" si="14"/>
        <v>2034</v>
      </c>
      <c r="P57" s="174">
        <f t="shared" si="14"/>
        <v>2035</v>
      </c>
      <c r="Q57" s="174">
        <f t="shared" si="14"/>
        <v>2036</v>
      </c>
      <c r="R57" s="174">
        <f t="shared" si="14"/>
        <v>2037</v>
      </c>
      <c r="S57" s="174">
        <f t="shared" si="14"/>
        <v>2038</v>
      </c>
      <c r="T57" s="174">
        <f t="shared" si="14"/>
        <v>2039</v>
      </c>
      <c r="U57" s="174">
        <f t="shared" si="14"/>
        <v>2040</v>
      </c>
      <c r="V57" s="174">
        <f t="shared" si="14"/>
        <v>2041</v>
      </c>
      <c r="W57" s="174">
        <f t="shared" si="14"/>
        <v>2042</v>
      </c>
      <c r="X57" s="174">
        <f t="shared" si="14"/>
        <v>2043</v>
      </c>
      <c r="Y57" s="174">
        <f t="shared" si="14"/>
        <v>2044</v>
      </c>
      <c r="Z57" s="174">
        <f t="shared" si="14"/>
        <v>2045</v>
      </c>
      <c r="AA57" s="174">
        <f t="shared" si="14"/>
        <v>2046</v>
      </c>
    </row>
    <row r="58" spans="1:27" x14ac:dyDescent="0.3">
      <c r="A58" s="124" t="s">
        <v>259</v>
      </c>
      <c r="B58" s="182">
        <f>(B$9&gt;$B$5)*($B$52*$B$53*$B$54)*(1+$B$55)^B56</f>
        <v>0</v>
      </c>
      <c r="C58" s="182">
        <f t="shared" ref="C58:AA58" si="15">(C$9&gt;$B$5)*($B$52*$B$53*$B$54)*(1+$B$55)^C56</f>
        <v>189.49194000000003</v>
      </c>
      <c r="D58" s="182">
        <f t="shared" si="15"/>
        <v>191.76584328000001</v>
      </c>
      <c r="E58" s="182">
        <f t="shared" si="15"/>
        <v>194.06703339936004</v>
      </c>
      <c r="F58" s="182">
        <f t="shared" si="15"/>
        <v>196.39583780015235</v>
      </c>
      <c r="G58" s="182">
        <f t="shared" si="15"/>
        <v>198.75258785375416</v>
      </c>
      <c r="H58" s="182">
        <f t="shared" si="15"/>
        <v>201.13761890799918</v>
      </c>
      <c r="I58" s="182">
        <f t="shared" si="15"/>
        <v>203.55127033489524</v>
      </c>
      <c r="J58" s="182">
        <f t="shared" si="15"/>
        <v>205.99388557891396</v>
      </c>
      <c r="K58" s="182">
        <f t="shared" si="15"/>
        <v>208.46581220586091</v>
      </c>
      <c r="L58" s="182">
        <f t="shared" si="15"/>
        <v>210.96740195233124</v>
      </c>
      <c r="M58" s="182">
        <f t="shared" si="15"/>
        <v>213.49901077575922</v>
      </c>
      <c r="N58" s="182">
        <f t="shared" si="15"/>
        <v>216.06099890506832</v>
      </c>
      <c r="O58" s="182">
        <f t="shared" si="15"/>
        <v>218.65373089192914</v>
      </c>
      <c r="P58" s="182">
        <f t="shared" si="15"/>
        <v>221.27757566263227</v>
      </c>
      <c r="Q58" s="182">
        <f t="shared" si="15"/>
        <v>223.93290657058392</v>
      </c>
      <c r="R58" s="182">
        <f t="shared" si="15"/>
        <v>226.6201014494309</v>
      </c>
      <c r="S58" s="182">
        <f t="shared" si="15"/>
        <v>229.33954266682409</v>
      </c>
      <c r="T58" s="182">
        <f t="shared" si="15"/>
        <v>232.09161717882594</v>
      </c>
      <c r="U58" s="182">
        <f t="shared" si="15"/>
        <v>234.87671658497189</v>
      </c>
      <c r="V58" s="182">
        <f t="shared" si="15"/>
        <v>237.69523718399151</v>
      </c>
      <c r="W58" s="182">
        <f t="shared" si="15"/>
        <v>240.54758003019944</v>
      </c>
      <c r="X58" s="182">
        <f t="shared" si="15"/>
        <v>243.43415099056179</v>
      </c>
      <c r="Y58" s="182">
        <f t="shared" si="15"/>
        <v>246.35536080244862</v>
      </c>
      <c r="Z58" s="182">
        <f t="shared" si="15"/>
        <v>249.31162513207795</v>
      </c>
      <c r="AA58" s="182">
        <f t="shared" si="15"/>
        <v>252.30336463366285</v>
      </c>
    </row>
    <row r="59" spans="1:27" x14ac:dyDescent="0.3">
      <c r="A59" s="181" t="s">
        <v>258</v>
      </c>
      <c r="B59" s="6">
        <f>(B$9&gt;$B$5)*'Inputs &amp; Summary'!$P$119</f>
        <v>0</v>
      </c>
      <c r="C59" s="6">
        <f>(C$9&gt;$B$5)*'Inputs &amp; Summary'!$P$119</f>
        <v>60</v>
      </c>
      <c r="D59" s="6">
        <f>(D$9&gt;$B$5)*'Inputs &amp; Summary'!$P$119</f>
        <v>60</v>
      </c>
      <c r="E59" s="6">
        <f>(E$9&gt;$B$5)*'Inputs &amp; Summary'!$P$119</f>
        <v>60</v>
      </c>
      <c r="F59" s="6">
        <f>(F$9&gt;$B$5)*'Inputs &amp; Summary'!$P$119</f>
        <v>60</v>
      </c>
      <c r="G59" s="6">
        <f>(G$9&gt;$B$5)*'Inputs &amp; Summary'!$P$119</f>
        <v>60</v>
      </c>
      <c r="H59" s="6">
        <f>(H$9&gt;$B$5)*'Inputs &amp; Summary'!$P$119</f>
        <v>60</v>
      </c>
      <c r="I59" s="6">
        <f>(I$9&gt;$B$5)*'Inputs &amp; Summary'!$P$119</f>
        <v>60</v>
      </c>
      <c r="J59" s="6">
        <f>(J$9&gt;$B$5)*'Inputs &amp; Summary'!$P$119</f>
        <v>60</v>
      </c>
      <c r="K59" s="6">
        <f>(K$9&gt;$B$5)*'Inputs &amp; Summary'!$P$119</f>
        <v>60</v>
      </c>
      <c r="L59" s="6">
        <f>(L$9&gt;$B$5)*'Inputs &amp; Summary'!$P$119</f>
        <v>60</v>
      </c>
      <c r="M59" s="6">
        <f>(M$9&gt;$B$5)*'Inputs &amp; Summary'!$P$119</f>
        <v>60</v>
      </c>
      <c r="N59" s="6">
        <f>(N$9&gt;$B$5)*'Inputs &amp; Summary'!$P$119</f>
        <v>60</v>
      </c>
      <c r="O59" s="6">
        <f>(O$9&gt;$B$5)*'Inputs &amp; Summary'!$P$119</f>
        <v>60</v>
      </c>
      <c r="P59" s="6">
        <f>(P$9&gt;$B$5)*'Inputs &amp; Summary'!$P$119</f>
        <v>60</v>
      </c>
      <c r="Q59" s="6">
        <f>(Q$9&gt;$B$5)*'Inputs &amp; Summary'!$P$119</f>
        <v>60</v>
      </c>
      <c r="R59" s="6">
        <f>(R$9&gt;$B$5)*'Inputs &amp; Summary'!$P$119</f>
        <v>60</v>
      </c>
      <c r="S59" s="6">
        <f>(S$9&gt;$B$5)*'Inputs &amp; Summary'!$P$119</f>
        <v>60</v>
      </c>
      <c r="T59" s="6">
        <f>(T$9&gt;$B$5)*'Inputs &amp; Summary'!$P$119</f>
        <v>60</v>
      </c>
      <c r="U59" s="6">
        <f>(U$9&gt;$B$5)*'Inputs &amp; Summary'!$P$119</f>
        <v>60</v>
      </c>
      <c r="V59" s="6">
        <f>(V$9&gt;$B$5)*'Inputs &amp; Summary'!$P$119</f>
        <v>60</v>
      </c>
      <c r="W59" s="6">
        <f>(W$9&gt;$B$5)*'Inputs &amp; Summary'!$P$119</f>
        <v>60</v>
      </c>
      <c r="X59" s="6">
        <f>(X$9&gt;$B$5)*'Inputs &amp; Summary'!$P$119</f>
        <v>60</v>
      </c>
      <c r="Y59" s="6">
        <f>(Y$9&gt;$B$5)*'Inputs &amp; Summary'!$P$119</f>
        <v>60</v>
      </c>
      <c r="Z59" s="6">
        <f>(Z$9&gt;$B$5)*'Inputs &amp; Summary'!$P$119</f>
        <v>60</v>
      </c>
      <c r="AA59" s="6">
        <f>(AA$9&gt;$B$5)*'Inputs &amp; Summary'!$P$119</f>
        <v>60</v>
      </c>
    </row>
    <row r="60" spans="1:27" x14ac:dyDescent="0.3">
      <c r="A60" s="180" t="s">
        <v>57</v>
      </c>
      <c r="B60" s="68">
        <f t="shared" ref="B60:AA60" si="16">B59+B58</f>
        <v>0</v>
      </c>
      <c r="C60" s="68">
        <f t="shared" si="16"/>
        <v>249.49194000000003</v>
      </c>
      <c r="D60" s="68">
        <f t="shared" si="16"/>
        <v>251.76584328000001</v>
      </c>
      <c r="E60" s="68">
        <f t="shared" si="16"/>
        <v>254.06703339936004</v>
      </c>
      <c r="F60" s="68">
        <f t="shared" si="16"/>
        <v>256.39583780015232</v>
      </c>
      <c r="G60" s="68">
        <f t="shared" si="16"/>
        <v>258.75258785375416</v>
      </c>
      <c r="H60" s="68">
        <f t="shared" si="16"/>
        <v>261.13761890799918</v>
      </c>
      <c r="I60" s="68">
        <f t="shared" si="16"/>
        <v>263.55127033489521</v>
      </c>
      <c r="J60" s="68">
        <f t="shared" si="16"/>
        <v>265.99388557891393</v>
      </c>
      <c r="K60" s="68">
        <f t="shared" si="16"/>
        <v>268.46581220586091</v>
      </c>
      <c r="L60" s="68">
        <f t="shared" si="16"/>
        <v>270.96740195233122</v>
      </c>
      <c r="M60" s="68">
        <f t="shared" si="16"/>
        <v>273.49901077575919</v>
      </c>
      <c r="N60" s="68">
        <f t="shared" si="16"/>
        <v>276.06099890506835</v>
      </c>
      <c r="O60" s="68">
        <f t="shared" si="16"/>
        <v>278.65373089192917</v>
      </c>
      <c r="P60" s="68">
        <f t="shared" si="16"/>
        <v>281.27757566263227</v>
      </c>
      <c r="Q60" s="68">
        <f t="shared" si="16"/>
        <v>283.9329065705839</v>
      </c>
      <c r="R60" s="68">
        <f t="shared" si="16"/>
        <v>286.62010144943088</v>
      </c>
      <c r="S60" s="68">
        <f t="shared" si="16"/>
        <v>289.33954266682406</v>
      </c>
      <c r="T60" s="68">
        <f t="shared" si="16"/>
        <v>292.09161717882591</v>
      </c>
      <c r="U60" s="68">
        <f t="shared" si="16"/>
        <v>294.87671658497186</v>
      </c>
      <c r="V60" s="68">
        <f t="shared" si="16"/>
        <v>297.69523718399148</v>
      </c>
      <c r="W60" s="68">
        <f t="shared" si="16"/>
        <v>300.54758003019947</v>
      </c>
      <c r="X60" s="68">
        <f t="shared" si="16"/>
        <v>303.43415099056176</v>
      </c>
      <c r="Y60" s="68">
        <f t="shared" si="16"/>
        <v>306.35536080244862</v>
      </c>
      <c r="Z60" s="68">
        <f t="shared" si="16"/>
        <v>309.31162513207795</v>
      </c>
      <c r="AA60" s="68">
        <f t="shared" si="16"/>
        <v>312.30336463366285</v>
      </c>
    </row>
    <row r="62" spans="1:27" x14ac:dyDescent="0.3">
      <c r="A62" s="45" t="s">
        <v>50</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row>
    <row r="63" spans="1:27" x14ac:dyDescent="0.3">
      <c r="A63" s="124" t="s">
        <v>40</v>
      </c>
      <c r="B63" s="173">
        <f>'Inputs &amp; Summary'!F95</f>
        <v>138.70000000000002</v>
      </c>
    </row>
    <row r="64" spans="1:27" x14ac:dyDescent="0.3">
      <c r="A64" s="124" t="s">
        <v>56</v>
      </c>
      <c r="B64" s="124">
        <f>'Inputs &amp; Summary'!F96</f>
        <v>135</v>
      </c>
      <c r="G64" s="82" t="s">
        <v>143</v>
      </c>
      <c r="H64" s="83"/>
      <c r="I64" s="83"/>
      <c r="J64" s="83"/>
      <c r="K64" s="83"/>
      <c r="L64" s="83"/>
      <c r="M64" s="83"/>
      <c r="N64" s="83"/>
      <c r="O64" s="83"/>
      <c r="P64" s="83"/>
      <c r="Q64" s="83"/>
      <c r="R64" s="83"/>
      <c r="S64" s="83"/>
      <c r="T64" s="83"/>
      <c r="U64" s="83"/>
      <c r="V64" s="84"/>
    </row>
    <row r="65" spans="1:27" x14ac:dyDescent="0.3">
      <c r="A65" s="124" t="s">
        <v>38</v>
      </c>
      <c r="B65" s="158">
        <f>'Inputs &amp; Summary'!P121</f>
        <v>1.4999999999999999E-2</v>
      </c>
      <c r="C65" s="1" t="s">
        <v>193</v>
      </c>
      <c r="G65" s="85" t="s">
        <v>142</v>
      </c>
      <c r="H65" s="72"/>
      <c r="I65" s="72"/>
      <c r="J65" s="72"/>
      <c r="K65" s="72"/>
      <c r="L65" s="72"/>
      <c r="M65" s="72"/>
      <c r="N65" s="72"/>
      <c r="O65" s="72"/>
      <c r="P65" s="72"/>
      <c r="Q65" s="72"/>
      <c r="R65" s="72"/>
      <c r="S65" s="72"/>
      <c r="T65" s="72"/>
      <c r="U65" s="72"/>
      <c r="V65" s="86"/>
    </row>
    <row r="66" spans="1:27" x14ac:dyDescent="0.3">
      <c r="A66" s="124" t="s">
        <v>39</v>
      </c>
      <c r="B66" s="160">
        <f>'Inputs &amp; Summary'!P122</f>
        <v>1.2E-2</v>
      </c>
      <c r="C66" s="1" t="s">
        <v>193</v>
      </c>
    </row>
    <row r="67" spans="1:27" x14ac:dyDescent="0.3">
      <c r="A67" s="124" t="s">
        <v>121</v>
      </c>
      <c r="B67" s="124">
        <f>+B63*B64*B65</f>
        <v>280.86750000000006</v>
      </c>
    </row>
    <row r="68" spans="1:27" x14ac:dyDescent="0.3">
      <c r="A68" s="3" t="s">
        <v>3</v>
      </c>
      <c r="B68" s="124">
        <v>0</v>
      </c>
      <c r="C68" s="124">
        <f t="shared" ref="C68:AA68" si="17">+B68+1</f>
        <v>1</v>
      </c>
      <c r="D68" s="124">
        <f t="shared" si="17"/>
        <v>2</v>
      </c>
      <c r="E68" s="124">
        <f t="shared" si="17"/>
        <v>3</v>
      </c>
      <c r="F68" s="124">
        <f t="shared" si="17"/>
        <v>4</v>
      </c>
      <c r="G68" s="124">
        <f t="shared" si="17"/>
        <v>5</v>
      </c>
      <c r="H68" s="124">
        <f t="shared" si="17"/>
        <v>6</v>
      </c>
      <c r="I68" s="124">
        <f t="shared" si="17"/>
        <v>7</v>
      </c>
      <c r="J68" s="124">
        <f t="shared" si="17"/>
        <v>8</v>
      </c>
      <c r="K68" s="124">
        <f t="shared" si="17"/>
        <v>9</v>
      </c>
      <c r="L68" s="124">
        <f t="shared" si="17"/>
        <v>10</v>
      </c>
      <c r="M68" s="124">
        <f t="shared" si="17"/>
        <v>11</v>
      </c>
      <c r="N68" s="124">
        <f t="shared" si="17"/>
        <v>12</v>
      </c>
      <c r="O68" s="124">
        <f t="shared" si="17"/>
        <v>13</v>
      </c>
      <c r="P68" s="124">
        <f t="shared" si="17"/>
        <v>14</v>
      </c>
      <c r="Q68" s="124">
        <f t="shared" si="17"/>
        <v>15</v>
      </c>
      <c r="R68" s="124">
        <f t="shared" si="17"/>
        <v>16</v>
      </c>
      <c r="S68" s="124">
        <f t="shared" si="17"/>
        <v>17</v>
      </c>
      <c r="T68" s="124">
        <f t="shared" si="17"/>
        <v>18</v>
      </c>
      <c r="U68" s="124">
        <f t="shared" si="17"/>
        <v>19</v>
      </c>
      <c r="V68" s="124">
        <f t="shared" si="17"/>
        <v>20</v>
      </c>
      <c r="W68" s="124">
        <f t="shared" si="17"/>
        <v>21</v>
      </c>
      <c r="X68" s="124">
        <f t="shared" si="17"/>
        <v>22</v>
      </c>
      <c r="Y68" s="124">
        <f t="shared" si="17"/>
        <v>23</v>
      </c>
      <c r="Z68" s="124">
        <f t="shared" si="17"/>
        <v>24</v>
      </c>
      <c r="AA68" s="124">
        <f t="shared" si="17"/>
        <v>25</v>
      </c>
    </row>
    <row r="69" spans="1:27" x14ac:dyDescent="0.3">
      <c r="A69" s="175" t="s">
        <v>400</v>
      </c>
      <c r="B69" s="174">
        <v>2021</v>
      </c>
      <c r="C69" s="174">
        <f t="shared" ref="C69:AA69" si="18">+B69+1</f>
        <v>2022</v>
      </c>
      <c r="D69" s="174">
        <f t="shared" si="18"/>
        <v>2023</v>
      </c>
      <c r="E69" s="174">
        <f t="shared" si="18"/>
        <v>2024</v>
      </c>
      <c r="F69" s="174">
        <f t="shared" si="18"/>
        <v>2025</v>
      </c>
      <c r="G69" s="174">
        <f t="shared" si="18"/>
        <v>2026</v>
      </c>
      <c r="H69" s="174">
        <f t="shared" si="18"/>
        <v>2027</v>
      </c>
      <c r="I69" s="174">
        <f t="shared" si="18"/>
        <v>2028</v>
      </c>
      <c r="J69" s="174">
        <f t="shared" si="18"/>
        <v>2029</v>
      </c>
      <c r="K69" s="174">
        <f t="shared" si="18"/>
        <v>2030</v>
      </c>
      <c r="L69" s="174">
        <f t="shared" si="18"/>
        <v>2031</v>
      </c>
      <c r="M69" s="174">
        <f t="shared" si="18"/>
        <v>2032</v>
      </c>
      <c r="N69" s="174">
        <f t="shared" si="18"/>
        <v>2033</v>
      </c>
      <c r="O69" s="174">
        <f t="shared" si="18"/>
        <v>2034</v>
      </c>
      <c r="P69" s="174">
        <f t="shared" si="18"/>
        <v>2035</v>
      </c>
      <c r="Q69" s="174">
        <f t="shared" si="18"/>
        <v>2036</v>
      </c>
      <c r="R69" s="174">
        <f t="shared" si="18"/>
        <v>2037</v>
      </c>
      <c r="S69" s="174">
        <f t="shared" si="18"/>
        <v>2038</v>
      </c>
      <c r="T69" s="174">
        <f t="shared" si="18"/>
        <v>2039</v>
      </c>
      <c r="U69" s="174">
        <f t="shared" si="18"/>
        <v>2040</v>
      </c>
      <c r="V69" s="174">
        <f t="shared" si="18"/>
        <v>2041</v>
      </c>
      <c r="W69" s="174">
        <f t="shared" si="18"/>
        <v>2042</v>
      </c>
      <c r="X69" s="174">
        <f t="shared" si="18"/>
        <v>2043</v>
      </c>
      <c r="Y69" s="174">
        <f t="shared" si="18"/>
        <v>2044</v>
      </c>
      <c r="Z69" s="174">
        <f t="shared" si="18"/>
        <v>2045</v>
      </c>
      <c r="AA69" s="174">
        <f t="shared" si="18"/>
        <v>2046</v>
      </c>
    </row>
    <row r="70" spans="1:27" x14ac:dyDescent="0.3">
      <c r="A70" s="1" t="s">
        <v>58</v>
      </c>
      <c r="B70" s="24">
        <f>(B$9&gt;$B$5)*($B$67*(1+$B$66)^B68)</f>
        <v>0</v>
      </c>
      <c r="C70" s="24">
        <f t="shared" ref="C70:AA70" si="19">(C$9&gt;$B$5)*($B$67*(1+$B$66)^C68)</f>
        <v>284.23791000000006</v>
      </c>
      <c r="D70" s="24">
        <f t="shared" si="19"/>
        <v>287.64876492000008</v>
      </c>
      <c r="E70" s="24">
        <f t="shared" si="19"/>
        <v>291.10055009904005</v>
      </c>
      <c r="F70" s="24">
        <f t="shared" si="19"/>
        <v>294.59375670022854</v>
      </c>
      <c r="G70" s="24">
        <f t="shared" si="19"/>
        <v>298.12888178063127</v>
      </c>
      <c r="H70" s="24">
        <f t="shared" si="19"/>
        <v>301.7064283619988</v>
      </c>
      <c r="I70" s="24">
        <f t="shared" si="19"/>
        <v>305.32690550234287</v>
      </c>
      <c r="J70" s="24">
        <f t="shared" si="19"/>
        <v>308.99082836837096</v>
      </c>
      <c r="K70" s="24">
        <f t="shared" si="19"/>
        <v>312.6987183087914</v>
      </c>
      <c r="L70" s="24">
        <f t="shared" si="19"/>
        <v>316.45110292849688</v>
      </c>
      <c r="M70" s="24">
        <f t="shared" si="19"/>
        <v>320.24851616363884</v>
      </c>
      <c r="N70" s="24">
        <f t="shared" si="19"/>
        <v>324.09149835760252</v>
      </c>
      <c r="O70" s="24">
        <f t="shared" si="19"/>
        <v>327.9805963378937</v>
      </c>
      <c r="P70" s="24">
        <f t="shared" si="19"/>
        <v>331.91636349394844</v>
      </c>
      <c r="Q70" s="24">
        <f t="shared" si="19"/>
        <v>335.8993598558759</v>
      </c>
      <c r="R70" s="24">
        <f t="shared" si="19"/>
        <v>339.93015217414637</v>
      </c>
      <c r="S70" s="24">
        <f t="shared" si="19"/>
        <v>344.00931400023615</v>
      </c>
      <c r="T70" s="24">
        <f t="shared" si="19"/>
        <v>348.13742576823893</v>
      </c>
      <c r="U70" s="24">
        <f t="shared" si="19"/>
        <v>352.31507487745785</v>
      </c>
      <c r="V70" s="24">
        <f t="shared" si="19"/>
        <v>356.54285577598728</v>
      </c>
      <c r="W70" s="24">
        <f t="shared" si="19"/>
        <v>360.8213700452992</v>
      </c>
      <c r="X70" s="24">
        <f t="shared" si="19"/>
        <v>365.1512264858427</v>
      </c>
      <c r="Y70" s="24">
        <f t="shared" si="19"/>
        <v>369.53304120367295</v>
      </c>
      <c r="Z70" s="24">
        <f t="shared" si="19"/>
        <v>373.96743769811695</v>
      </c>
      <c r="AA70" s="24">
        <f t="shared" si="19"/>
        <v>378.45504695049431</v>
      </c>
    </row>
    <row r="72" spans="1:27" x14ac:dyDescent="0.3">
      <c r="A72" s="45" t="s">
        <v>21</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row>
    <row r="73" spans="1:27" x14ac:dyDescent="0.3">
      <c r="A73" s="124" t="s">
        <v>113</v>
      </c>
      <c r="B73" s="179">
        <f>'Inputs &amp; Summary'!P81</f>
        <v>47.828616539314339</v>
      </c>
    </row>
    <row r="74" spans="1:27" x14ac:dyDescent="0.3">
      <c r="A74" s="124" t="s">
        <v>114</v>
      </c>
      <c r="B74" s="32">
        <f>'Inputs &amp; Summary'!F84</f>
        <v>316783.09000000003</v>
      </c>
      <c r="G74" s="82" t="s">
        <v>145</v>
      </c>
      <c r="H74" s="83"/>
      <c r="I74" s="83"/>
      <c r="J74" s="83"/>
      <c r="K74" s="83"/>
      <c r="L74" s="83"/>
      <c r="M74" s="83"/>
      <c r="N74" s="83"/>
      <c r="O74" s="83"/>
      <c r="P74" s="83"/>
      <c r="Q74" s="83"/>
      <c r="R74" s="83"/>
      <c r="S74" s="83"/>
      <c r="T74" s="83"/>
      <c r="U74" s="84"/>
    </row>
    <row r="75" spans="1:27" x14ac:dyDescent="0.3">
      <c r="A75" s="124" t="s">
        <v>44</v>
      </c>
      <c r="B75" s="178">
        <f>'Inputs &amp; Summary'!P85</f>
        <v>1.12E-2</v>
      </c>
      <c r="G75" s="87" t="s">
        <v>138</v>
      </c>
      <c r="H75" s="119"/>
      <c r="I75" s="119"/>
      <c r="J75" s="119"/>
      <c r="K75" s="119"/>
      <c r="L75" s="119"/>
      <c r="M75" s="119"/>
      <c r="N75" s="119"/>
      <c r="O75" s="119"/>
      <c r="P75" s="119"/>
      <c r="Q75" s="119"/>
      <c r="R75" s="119"/>
      <c r="S75" s="119"/>
      <c r="T75" s="119"/>
      <c r="U75" s="89"/>
    </row>
    <row r="76" spans="1:27" x14ac:dyDescent="0.3">
      <c r="A76" s="124" t="s">
        <v>115</v>
      </c>
      <c r="B76" s="157">
        <f>'Inputs &amp; Summary'!P124</f>
        <v>0.02</v>
      </c>
      <c r="C76" s="1" t="s">
        <v>193</v>
      </c>
      <c r="G76" s="85" t="s">
        <v>144</v>
      </c>
      <c r="H76" s="72"/>
      <c r="I76" s="72"/>
      <c r="J76" s="72"/>
      <c r="K76" s="72"/>
      <c r="L76" s="72"/>
      <c r="M76" s="72"/>
      <c r="N76" s="72"/>
      <c r="O76" s="72"/>
      <c r="P76" s="72"/>
      <c r="Q76" s="72"/>
      <c r="R76" s="72"/>
      <c r="S76" s="72"/>
      <c r="T76" s="72"/>
      <c r="U76" s="86"/>
    </row>
    <row r="77" spans="1:27" x14ac:dyDescent="0.3">
      <c r="A77" s="124" t="s">
        <v>116</v>
      </c>
      <c r="B77" s="118">
        <f>+B73*B74*B76/1000</f>
        <v>303.02593875498206</v>
      </c>
    </row>
    <row r="78" spans="1:27" x14ac:dyDescent="0.3">
      <c r="A78" s="3" t="s">
        <v>3</v>
      </c>
      <c r="B78" s="124">
        <v>0</v>
      </c>
      <c r="C78" s="124">
        <f t="shared" ref="C78:AA78" si="20">+B78+1</f>
        <v>1</v>
      </c>
      <c r="D78" s="124">
        <f t="shared" si="20"/>
        <v>2</v>
      </c>
      <c r="E78" s="124">
        <f t="shared" si="20"/>
        <v>3</v>
      </c>
      <c r="F78" s="124">
        <f t="shared" si="20"/>
        <v>4</v>
      </c>
      <c r="G78" s="124">
        <f t="shared" si="20"/>
        <v>5</v>
      </c>
      <c r="H78" s="124">
        <f t="shared" si="20"/>
        <v>6</v>
      </c>
      <c r="I78" s="124">
        <f t="shared" si="20"/>
        <v>7</v>
      </c>
      <c r="J78" s="124">
        <f t="shared" si="20"/>
        <v>8</v>
      </c>
      <c r="K78" s="124">
        <f t="shared" si="20"/>
        <v>9</v>
      </c>
      <c r="L78" s="124">
        <f t="shared" si="20"/>
        <v>10</v>
      </c>
      <c r="M78" s="124">
        <f t="shared" si="20"/>
        <v>11</v>
      </c>
      <c r="N78" s="124">
        <f t="shared" si="20"/>
        <v>12</v>
      </c>
      <c r="O78" s="124">
        <f t="shared" si="20"/>
        <v>13</v>
      </c>
      <c r="P78" s="124">
        <f t="shared" si="20"/>
        <v>14</v>
      </c>
      <c r="Q78" s="124">
        <f t="shared" si="20"/>
        <v>15</v>
      </c>
      <c r="R78" s="124">
        <f t="shared" si="20"/>
        <v>16</v>
      </c>
      <c r="S78" s="124">
        <f t="shared" si="20"/>
        <v>17</v>
      </c>
      <c r="T78" s="124">
        <f t="shared" si="20"/>
        <v>18</v>
      </c>
      <c r="U78" s="124">
        <f t="shared" si="20"/>
        <v>19</v>
      </c>
      <c r="V78" s="124">
        <f t="shared" si="20"/>
        <v>20</v>
      </c>
      <c r="W78" s="124">
        <f t="shared" si="20"/>
        <v>21</v>
      </c>
      <c r="X78" s="124">
        <f t="shared" si="20"/>
        <v>22</v>
      </c>
      <c r="Y78" s="124">
        <f t="shared" si="20"/>
        <v>23</v>
      </c>
      <c r="Z78" s="124">
        <f t="shared" si="20"/>
        <v>24</v>
      </c>
      <c r="AA78" s="124">
        <f t="shared" si="20"/>
        <v>25</v>
      </c>
    </row>
    <row r="79" spans="1:27" x14ac:dyDescent="0.3">
      <c r="A79" s="175" t="s">
        <v>400</v>
      </c>
      <c r="B79" s="174">
        <v>2021</v>
      </c>
      <c r="C79" s="174">
        <f t="shared" ref="C79:AA79" si="21">+B79+1</f>
        <v>2022</v>
      </c>
      <c r="D79" s="174">
        <f t="shared" si="21"/>
        <v>2023</v>
      </c>
      <c r="E79" s="174">
        <f t="shared" si="21"/>
        <v>2024</v>
      </c>
      <c r="F79" s="174">
        <f t="shared" si="21"/>
        <v>2025</v>
      </c>
      <c r="G79" s="174">
        <f t="shared" si="21"/>
        <v>2026</v>
      </c>
      <c r="H79" s="174">
        <f t="shared" si="21"/>
        <v>2027</v>
      </c>
      <c r="I79" s="174">
        <f t="shared" si="21"/>
        <v>2028</v>
      </c>
      <c r="J79" s="174">
        <f t="shared" si="21"/>
        <v>2029</v>
      </c>
      <c r="K79" s="174">
        <f t="shared" si="21"/>
        <v>2030</v>
      </c>
      <c r="L79" s="174">
        <f t="shared" si="21"/>
        <v>2031</v>
      </c>
      <c r="M79" s="174">
        <f t="shared" si="21"/>
        <v>2032</v>
      </c>
      <c r="N79" s="174">
        <f t="shared" si="21"/>
        <v>2033</v>
      </c>
      <c r="O79" s="174">
        <f t="shared" si="21"/>
        <v>2034</v>
      </c>
      <c r="P79" s="174">
        <f t="shared" si="21"/>
        <v>2035</v>
      </c>
      <c r="Q79" s="174">
        <f t="shared" si="21"/>
        <v>2036</v>
      </c>
      <c r="R79" s="174">
        <f t="shared" si="21"/>
        <v>2037</v>
      </c>
      <c r="S79" s="174">
        <f t="shared" si="21"/>
        <v>2038</v>
      </c>
      <c r="T79" s="174">
        <f t="shared" si="21"/>
        <v>2039</v>
      </c>
      <c r="U79" s="174">
        <f t="shared" si="21"/>
        <v>2040</v>
      </c>
      <c r="V79" s="174">
        <f t="shared" si="21"/>
        <v>2041</v>
      </c>
      <c r="W79" s="174">
        <f t="shared" si="21"/>
        <v>2042</v>
      </c>
      <c r="X79" s="174">
        <f t="shared" si="21"/>
        <v>2043</v>
      </c>
      <c r="Y79" s="174">
        <f t="shared" si="21"/>
        <v>2044</v>
      </c>
      <c r="Z79" s="174">
        <f t="shared" si="21"/>
        <v>2045</v>
      </c>
      <c r="AA79" s="174">
        <f t="shared" si="21"/>
        <v>2046</v>
      </c>
    </row>
    <row r="80" spans="1:27" x14ac:dyDescent="0.3">
      <c r="A80" s="1" t="s">
        <v>59</v>
      </c>
      <c r="B80" s="24">
        <f>(B$9&gt;$B$5)*($B$77*(1+$B$75)^B78)</f>
        <v>0</v>
      </c>
      <c r="C80" s="24">
        <f t="shared" ref="C80:AA80" si="22">(C$9&gt;$B$5)*($B$77*(1+$B$75)^C78)</f>
        <v>306.4198292690379</v>
      </c>
      <c r="D80" s="24">
        <f t="shared" si="22"/>
        <v>309.85173135685113</v>
      </c>
      <c r="E80" s="24">
        <f t="shared" si="22"/>
        <v>313.32207074804791</v>
      </c>
      <c r="F80" s="24">
        <f t="shared" si="22"/>
        <v>316.83127794042605</v>
      </c>
      <c r="G80" s="24">
        <f t="shared" si="22"/>
        <v>320.37978825335881</v>
      </c>
      <c r="H80" s="24">
        <f t="shared" si="22"/>
        <v>323.96804188179647</v>
      </c>
      <c r="I80" s="24">
        <f t="shared" si="22"/>
        <v>327.59648395087265</v>
      </c>
      <c r="J80" s="24">
        <f t="shared" si="22"/>
        <v>331.26556457112241</v>
      </c>
      <c r="K80" s="24">
        <f t="shared" si="22"/>
        <v>334.97573889431902</v>
      </c>
      <c r="L80" s="24">
        <f t="shared" si="22"/>
        <v>338.72746716993544</v>
      </c>
      <c r="M80" s="24">
        <f t="shared" si="22"/>
        <v>342.52121480223872</v>
      </c>
      <c r="N80" s="24">
        <f t="shared" si="22"/>
        <v>346.35745240802379</v>
      </c>
      <c r="O80" s="24">
        <f t="shared" si="22"/>
        <v>350.23665587499369</v>
      </c>
      <c r="P80" s="24">
        <f t="shared" si="22"/>
        <v>354.15930642079365</v>
      </c>
      <c r="Q80" s="24">
        <f t="shared" si="22"/>
        <v>358.12589065270663</v>
      </c>
      <c r="R80" s="24">
        <f t="shared" si="22"/>
        <v>362.13690062801692</v>
      </c>
      <c r="S80" s="24">
        <f t="shared" si="22"/>
        <v>366.1928339150507</v>
      </c>
      <c r="T80" s="24">
        <f t="shared" si="22"/>
        <v>370.29419365489929</v>
      </c>
      <c r="U80" s="24">
        <f t="shared" si="22"/>
        <v>374.44148862383423</v>
      </c>
      <c r="V80" s="24">
        <f t="shared" si="22"/>
        <v>378.63523329642123</v>
      </c>
      <c r="W80" s="24">
        <f t="shared" si="22"/>
        <v>382.87594790934111</v>
      </c>
      <c r="X80" s="24">
        <f t="shared" si="22"/>
        <v>387.16415852592581</v>
      </c>
      <c r="Y80" s="24">
        <f t="shared" si="22"/>
        <v>391.50039710141624</v>
      </c>
      <c r="Z80" s="24">
        <f t="shared" si="22"/>
        <v>395.88520154895201</v>
      </c>
      <c r="AA80" s="24">
        <f t="shared" si="22"/>
        <v>400.31911580630037</v>
      </c>
    </row>
    <row r="82" spans="1:27" x14ac:dyDescent="0.3">
      <c r="A82" s="17" t="s">
        <v>69</v>
      </c>
      <c r="B82" s="17">
        <f t="shared" ref="B82:AA82" si="23">+B57</f>
        <v>2021</v>
      </c>
      <c r="C82" s="17">
        <f t="shared" si="23"/>
        <v>2022</v>
      </c>
      <c r="D82" s="17">
        <f t="shared" si="23"/>
        <v>2023</v>
      </c>
      <c r="E82" s="17">
        <f t="shared" si="23"/>
        <v>2024</v>
      </c>
      <c r="F82" s="17">
        <f t="shared" si="23"/>
        <v>2025</v>
      </c>
      <c r="G82" s="17">
        <f t="shared" si="23"/>
        <v>2026</v>
      </c>
      <c r="H82" s="17">
        <f t="shared" si="23"/>
        <v>2027</v>
      </c>
      <c r="I82" s="17">
        <f t="shared" si="23"/>
        <v>2028</v>
      </c>
      <c r="J82" s="17">
        <f t="shared" si="23"/>
        <v>2029</v>
      </c>
      <c r="K82" s="17">
        <f t="shared" si="23"/>
        <v>2030</v>
      </c>
      <c r="L82" s="17">
        <f t="shared" si="23"/>
        <v>2031</v>
      </c>
      <c r="M82" s="17">
        <f t="shared" si="23"/>
        <v>2032</v>
      </c>
      <c r="N82" s="17">
        <f t="shared" si="23"/>
        <v>2033</v>
      </c>
      <c r="O82" s="17">
        <f t="shared" si="23"/>
        <v>2034</v>
      </c>
      <c r="P82" s="17">
        <f t="shared" si="23"/>
        <v>2035</v>
      </c>
      <c r="Q82" s="17">
        <f t="shared" si="23"/>
        <v>2036</v>
      </c>
      <c r="R82" s="17">
        <f t="shared" si="23"/>
        <v>2037</v>
      </c>
      <c r="S82" s="17">
        <f t="shared" si="23"/>
        <v>2038</v>
      </c>
      <c r="T82" s="17">
        <f t="shared" si="23"/>
        <v>2039</v>
      </c>
      <c r="U82" s="17">
        <f t="shared" si="23"/>
        <v>2040</v>
      </c>
      <c r="V82" s="17">
        <f t="shared" si="23"/>
        <v>2041</v>
      </c>
      <c r="W82" s="17">
        <f t="shared" si="23"/>
        <v>2042</v>
      </c>
      <c r="X82" s="17">
        <f t="shared" si="23"/>
        <v>2043</v>
      </c>
      <c r="Y82" s="17">
        <f t="shared" si="23"/>
        <v>2044</v>
      </c>
      <c r="Z82" s="17">
        <f t="shared" si="23"/>
        <v>2045</v>
      </c>
      <c r="AA82" s="17">
        <f t="shared" si="23"/>
        <v>2046</v>
      </c>
    </row>
    <row r="83" spans="1:27" s="1" customFormat="1" ht="15" thickBot="1" x14ac:dyDescent="0.35">
      <c r="A83" s="38" t="s">
        <v>197</v>
      </c>
      <c r="B83" s="39">
        <f t="shared" ref="B83" si="24">+B80+B70+B60</f>
        <v>0</v>
      </c>
      <c r="C83" s="39">
        <f>+C80+C70+C60</f>
        <v>840.14967926903796</v>
      </c>
      <c r="D83" s="39">
        <f t="shared" ref="D83:AA83" si="25">+D80+D70+D60</f>
        <v>849.26633955685122</v>
      </c>
      <c r="E83" s="39">
        <f t="shared" si="25"/>
        <v>858.48965424644803</v>
      </c>
      <c r="F83" s="39">
        <f t="shared" si="25"/>
        <v>867.82087244080685</v>
      </c>
      <c r="G83" s="39">
        <f t="shared" si="25"/>
        <v>877.26125788774425</v>
      </c>
      <c r="H83" s="39">
        <f t="shared" si="25"/>
        <v>886.81208915179445</v>
      </c>
      <c r="I83" s="39">
        <f t="shared" si="25"/>
        <v>896.47465978811078</v>
      </c>
      <c r="J83" s="39">
        <f t="shared" si="25"/>
        <v>906.2502785184073</v>
      </c>
      <c r="K83" s="39">
        <f t="shared" si="25"/>
        <v>916.14026940897133</v>
      </c>
      <c r="L83" s="39">
        <f t="shared" si="25"/>
        <v>926.14597205076359</v>
      </c>
      <c r="M83" s="39">
        <f t="shared" si="25"/>
        <v>936.26874174163675</v>
      </c>
      <c r="N83" s="39">
        <f t="shared" si="25"/>
        <v>946.5099496706946</v>
      </c>
      <c r="O83" s="39">
        <f t="shared" si="25"/>
        <v>956.87098310481656</v>
      </c>
      <c r="P83" s="39">
        <f t="shared" si="25"/>
        <v>967.35324557737431</v>
      </c>
      <c r="Q83" s="39">
        <f t="shared" si="25"/>
        <v>977.95815707916643</v>
      </c>
      <c r="R83" s="39">
        <f t="shared" si="25"/>
        <v>988.68715425159417</v>
      </c>
      <c r="S83" s="39">
        <f t="shared" si="25"/>
        <v>999.54169058211085</v>
      </c>
      <c r="T83" s="39">
        <f t="shared" si="25"/>
        <v>1010.5232366019642</v>
      </c>
      <c r="U83" s="39">
        <f t="shared" si="25"/>
        <v>1021.6332800862639</v>
      </c>
      <c r="V83" s="39">
        <f t="shared" si="25"/>
        <v>1032.8733262564001</v>
      </c>
      <c r="W83" s="39">
        <f t="shared" si="25"/>
        <v>1044.2448979848398</v>
      </c>
      <c r="X83" s="39">
        <f t="shared" si="25"/>
        <v>1055.7495360023304</v>
      </c>
      <c r="Y83" s="39">
        <f t="shared" si="25"/>
        <v>1067.3887991075378</v>
      </c>
      <c r="Z83" s="39">
        <f t="shared" si="25"/>
        <v>1079.164264379147</v>
      </c>
      <c r="AA83" s="39">
        <f t="shared" si="25"/>
        <v>1091.0775273904576</v>
      </c>
    </row>
    <row r="85" spans="1:27" ht="18" x14ac:dyDescent="0.35">
      <c r="A85" s="109" t="s">
        <v>267</v>
      </c>
      <c r="B85" s="110"/>
      <c r="C85" s="110"/>
      <c r="D85" s="110"/>
      <c r="E85" s="110"/>
      <c r="F85" s="110"/>
    </row>
    <row r="86" spans="1:27" x14ac:dyDescent="0.3">
      <c r="A86" s="45" t="s">
        <v>201</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row>
    <row r="87" spans="1:27" x14ac:dyDescent="0.3">
      <c r="A87" s="124" t="s">
        <v>266</v>
      </c>
      <c r="B87" s="173">
        <f>'Inputs &amp; Summary'!F90+'Inputs &amp; Summary'!F95</f>
        <v>199.46</v>
      </c>
    </row>
    <row r="88" spans="1:27" x14ac:dyDescent="0.3">
      <c r="A88" s="124" t="s">
        <v>41</v>
      </c>
      <c r="B88" s="173">
        <f>'Inputs &amp; Summary'!F101</f>
        <v>135</v>
      </c>
      <c r="G88" s="82" t="s">
        <v>265</v>
      </c>
      <c r="H88" s="83"/>
      <c r="I88" s="83"/>
      <c r="J88" s="83"/>
      <c r="K88" s="83"/>
      <c r="L88" s="83"/>
      <c r="M88" s="83"/>
      <c r="N88" s="83"/>
      <c r="O88" s="83"/>
      <c r="P88" s="83"/>
      <c r="Q88" s="83"/>
      <c r="R88" s="83"/>
      <c r="S88" s="83"/>
      <c r="T88" s="83"/>
      <c r="U88" s="83"/>
      <c r="V88" s="84"/>
    </row>
    <row r="89" spans="1:27" x14ac:dyDescent="0.3">
      <c r="A89" s="124" t="s">
        <v>264</v>
      </c>
      <c r="B89" s="158">
        <f>'Inputs &amp; Summary'!P176</f>
        <v>2.5000000000000001E-2</v>
      </c>
      <c r="C89" s="1" t="s">
        <v>183</v>
      </c>
      <c r="G89" s="87" t="s">
        <v>263</v>
      </c>
      <c r="H89" s="119"/>
      <c r="I89" s="119"/>
      <c r="J89" s="119"/>
      <c r="K89" s="119"/>
      <c r="L89" s="119"/>
      <c r="M89" s="119"/>
      <c r="N89" s="119"/>
      <c r="O89" s="119"/>
      <c r="P89" s="119"/>
      <c r="Q89" s="119"/>
      <c r="R89" s="119"/>
      <c r="S89" s="119"/>
      <c r="T89" s="119"/>
      <c r="U89" s="119"/>
      <c r="V89" s="89"/>
    </row>
    <row r="90" spans="1:27" x14ac:dyDescent="0.3">
      <c r="A90" s="326" t="s">
        <v>39</v>
      </c>
      <c r="B90" s="158">
        <f>'Inputs &amp; Summary'!P177</f>
        <v>1.2E-2</v>
      </c>
      <c r="C90" s="1" t="s">
        <v>183</v>
      </c>
      <c r="G90" s="85"/>
      <c r="H90" s="72"/>
      <c r="I90" s="72"/>
      <c r="J90" s="72"/>
      <c r="K90" s="72"/>
      <c r="L90" s="72"/>
      <c r="M90" s="72"/>
      <c r="N90" s="72"/>
      <c r="O90" s="72"/>
      <c r="P90" s="72"/>
      <c r="Q90" s="72"/>
      <c r="R90" s="72"/>
      <c r="S90" s="72"/>
      <c r="T90" s="72"/>
      <c r="U90" s="72"/>
      <c r="V90" s="86"/>
    </row>
    <row r="92" spans="1:27" x14ac:dyDescent="0.3">
      <c r="A92" s="3" t="s">
        <v>3</v>
      </c>
      <c r="B92" s="124">
        <v>0</v>
      </c>
      <c r="C92" s="124">
        <f t="shared" ref="C92:AA92" si="26">+B92+1</f>
        <v>1</v>
      </c>
      <c r="D92" s="124">
        <f t="shared" si="26"/>
        <v>2</v>
      </c>
      <c r="E92" s="124">
        <f t="shared" si="26"/>
        <v>3</v>
      </c>
      <c r="F92" s="124">
        <f t="shared" si="26"/>
        <v>4</v>
      </c>
      <c r="G92" s="124">
        <f t="shared" si="26"/>
        <v>5</v>
      </c>
      <c r="H92" s="124">
        <f t="shared" si="26"/>
        <v>6</v>
      </c>
      <c r="I92" s="124">
        <f t="shared" si="26"/>
        <v>7</v>
      </c>
      <c r="J92" s="124">
        <f t="shared" si="26"/>
        <v>8</v>
      </c>
      <c r="K92" s="124">
        <f t="shared" si="26"/>
        <v>9</v>
      </c>
      <c r="L92" s="124">
        <f t="shared" si="26"/>
        <v>10</v>
      </c>
      <c r="M92" s="124">
        <f t="shared" si="26"/>
        <v>11</v>
      </c>
      <c r="N92" s="124">
        <f t="shared" si="26"/>
        <v>12</v>
      </c>
      <c r="O92" s="124">
        <f t="shared" si="26"/>
        <v>13</v>
      </c>
      <c r="P92" s="124">
        <f t="shared" si="26"/>
        <v>14</v>
      </c>
      <c r="Q92" s="124">
        <f t="shared" si="26"/>
        <v>15</v>
      </c>
      <c r="R92" s="124">
        <f t="shared" si="26"/>
        <v>16</v>
      </c>
      <c r="S92" s="124">
        <f t="shared" si="26"/>
        <v>17</v>
      </c>
      <c r="T92" s="124">
        <f t="shared" si="26"/>
        <v>18</v>
      </c>
      <c r="U92" s="124">
        <f t="shared" si="26"/>
        <v>19</v>
      </c>
      <c r="V92" s="124">
        <f t="shared" si="26"/>
        <v>20</v>
      </c>
      <c r="W92" s="124">
        <f t="shared" si="26"/>
        <v>21</v>
      </c>
      <c r="X92" s="124">
        <f t="shared" si="26"/>
        <v>22</v>
      </c>
      <c r="Y92" s="124">
        <f t="shared" si="26"/>
        <v>23</v>
      </c>
      <c r="Z92" s="124">
        <f t="shared" si="26"/>
        <v>24</v>
      </c>
      <c r="AA92" s="124">
        <f t="shared" si="26"/>
        <v>25</v>
      </c>
    </row>
    <row r="93" spans="1:27" x14ac:dyDescent="0.3">
      <c r="A93" s="175" t="s">
        <v>400</v>
      </c>
      <c r="B93" s="174">
        <v>2021</v>
      </c>
      <c r="C93" s="174">
        <f t="shared" ref="C93:AA93" si="27">+B93+1</f>
        <v>2022</v>
      </c>
      <c r="D93" s="174">
        <f t="shared" si="27"/>
        <v>2023</v>
      </c>
      <c r="E93" s="174">
        <f t="shared" si="27"/>
        <v>2024</v>
      </c>
      <c r="F93" s="174">
        <f t="shared" si="27"/>
        <v>2025</v>
      </c>
      <c r="G93" s="174">
        <f t="shared" si="27"/>
        <v>2026</v>
      </c>
      <c r="H93" s="174">
        <f t="shared" si="27"/>
        <v>2027</v>
      </c>
      <c r="I93" s="174">
        <f t="shared" si="27"/>
        <v>2028</v>
      </c>
      <c r="J93" s="174">
        <f t="shared" si="27"/>
        <v>2029</v>
      </c>
      <c r="K93" s="174">
        <f t="shared" si="27"/>
        <v>2030</v>
      </c>
      <c r="L93" s="174">
        <f t="shared" si="27"/>
        <v>2031</v>
      </c>
      <c r="M93" s="174">
        <f t="shared" si="27"/>
        <v>2032</v>
      </c>
      <c r="N93" s="174">
        <f t="shared" si="27"/>
        <v>2033</v>
      </c>
      <c r="O93" s="174">
        <f t="shared" si="27"/>
        <v>2034</v>
      </c>
      <c r="P93" s="174">
        <f t="shared" si="27"/>
        <v>2035</v>
      </c>
      <c r="Q93" s="174">
        <f t="shared" si="27"/>
        <v>2036</v>
      </c>
      <c r="R93" s="174">
        <f t="shared" si="27"/>
        <v>2037</v>
      </c>
      <c r="S93" s="174">
        <f t="shared" si="27"/>
        <v>2038</v>
      </c>
      <c r="T93" s="174">
        <f t="shared" si="27"/>
        <v>2039</v>
      </c>
      <c r="U93" s="174">
        <f t="shared" si="27"/>
        <v>2040</v>
      </c>
      <c r="V93" s="174">
        <f t="shared" si="27"/>
        <v>2041</v>
      </c>
      <c r="W93" s="174">
        <f t="shared" si="27"/>
        <v>2042</v>
      </c>
      <c r="X93" s="174">
        <f t="shared" si="27"/>
        <v>2043</v>
      </c>
      <c r="Y93" s="174">
        <f t="shared" si="27"/>
        <v>2044</v>
      </c>
      <c r="Z93" s="174">
        <f t="shared" si="27"/>
        <v>2045</v>
      </c>
      <c r="AA93" s="174">
        <f t="shared" si="27"/>
        <v>2046</v>
      </c>
    </row>
    <row r="94" spans="1:27" x14ac:dyDescent="0.3">
      <c r="A94" s="1" t="s">
        <v>57</v>
      </c>
      <c r="B94" s="24">
        <f>+(B87*B88*B89)</f>
        <v>673.17750000000012</v>
      </c>
      <c r="C94" s="24">
        <f>+$B$94*(1+$B$90)^C92</f>
        <v>681.25563000000011</v>
      </c>
      <c r="D94" s="24">
        <f t="shared" ref="D94:AA94" si="28">+$B$94*(1+$B$90)^D92</f>
        <v>689.43069756000011</v>
      </c>
      <c r="E94" s="24">
        <f t="shared" si="28"/>
        <v>697.7038659307201</v>
      </c>
      <c r="F94" s="24">
        <f t="shared" si="28"/>
        <v>706.07631232188874</v>
      </c>
      <c r="G94" s="24">
        <f t="shared" si="28"/>
        <v>714.54922806975139</v>
      </c>
      <c r="H94" s="24">
        <f t="shared" si="28"/>
        <v>723.12381880658836</v>
      </c>
      <c r="I94" s="24">
        <f t="shared" si="28"/>
        <v>731.80130463226749</v>
      </c>
      <c r="J94" s="24">
        <f t="shared" si="28"/>
        <v>740.58292028785468</v>
      </c>
      <c r="K94" s="24">
        <f t="shared" si="28"/>
        <v>749.46991533130893</v>
      </c>
      <c r="L94" s="24">
        <f t="shared" si="28"/>
        <v>758.46355431528468</v>
      </c>
      <c r="M94" s="24">
        <f t="shared" si="28"/>
        <v>767.56511696706798</v>
      </c>
      <c r="N94" s="24">
        <f t="shared" si="28"/>
        <v>776.77589837067285</v>
      </c>
      <c r="O94" s="24">
        <f t="shared" si="28"/>
        <v>786.09720915112086</v>
      </c>
      <c r="P94" s="24">
        <f t="shared" si="28"/>
        <v>795.53037566093428</v>
      </c>
      <c r="Q94" s="24">
        <f t="shared" si="28"/>
        <v>805.07674016886574</v>
      </c>
      <c r="R94" s="24">
        <f t="shared" si="28"/>
        <v>814.73766105089203</v>
      </c>
      <c r="S94" s="24">
        <f t="shared" si="28"/>
        <v>824.51451298350275</v>
      </c>
      <c r="T94" s="24">
        <f t="shared" si="28"/>
        <v>834.40868713930467</v>
      </c>
      <c r="U94" s="24">
        <f t="shared" si="28"/>
        <v>844.42159138497641</v>
      </c>
      <c r="V94" s="24">
        <f t="shared" si="28"/>
        <v>854.55465048159601</v>
      </c>
      <c r="W94" s="24">
        <f t="shared" si="28"/>
        <v>864.80930628737531</v>
      </c>
      <c r="X94" s="24">
        <f t="shared" si="28"/>
        <v>875.18701796282357</v>
      </c>
      <c r="Y94" s="24">
        <f t="shared" si="28"/>
        <v>885.68926217837782</v>
      </c>
      <c r="Z94" s="24">
        <f t="shared" si="28"/>
        <v>896.31753332451819</v>
      </c>
      <c r="AA94" s="24">
        <f t="shared" si="28"/>
        <v>907.07334372441233</v>
      </c>
    </row>
    <row r="95" spans="1:27" x14ac:dyDescent="0.3">
      <c r="A95" s="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27" x14ac:dyDescent="0.3">
      <c r="A96" s="17" t="s">
        <v>72</v>
      </c>
      <c r="B96" s="17">
        <f t="shared" ref="B96:AA96" si="29">B82</f>
        <v>2021</v>
      </c>
      <c r="C96" s="17">
        <f t="shared" si="29"/>
        <v>2022</v>
      </c>
      <c r="D96" s="17">
        <f t="shared" si="29"/>
        <v>2023</v>
      </c>
      <c r="E96" s="17">
        <f t="shared" si="29"/>
        <v>2024</v>
      </c>
      <c r="F96" s="17">
        <f t="shared" si="29"/>
        <v>2025</v>
      </c>
      <c r="G96" s="17">
        <f t="shared" si="29"/>
        <v>2026</v>
      </c>
      <c r="H96" s="17">
        <f t="shared" si="29"/>
        <v>2027</v>
      </c>
      <c r="I96" s="17">
        <f t="shared" si="29"/>
        <v>2028</v>
      </c>
      <c r="J96" s="17">
        <f t="shared" si="29"/>
        <v>2029</v>
      </c>
      <c r="K96" s="17">
        <f t="shared" si="29"/>
        <v>2030</v>
      </c>
      <c r="L96" s="17">
        <f t="shared" si="29"/>
        <v>2031</v>
      </c>
      <c r="M96" s="17">
        <f t="shared" si="29"/>
        <v>2032</v>
      </c>
      <c r="N96" s="17">
        <f t="shared" si="29"/>
        <v>2033</v>
      </c>
      <c r="O96" s="17">
        <f t="shared" si="29"/>
        <v>2034</v>
      </c>
      <c r="P96" s="17">
        <f t="shared" si="29"/>
        <v>2035</v>
      </c>
      <c r="Q96" s="17">
        <f t="shared" si="29"/>
        <v>2036</v>
      </c>
      <c r="R96" s="17">
        <f t="shared" si="29"/>
        <v>2037</v>
      </c>
      <c r="S96" s="17">
        <f t="shared" si="29"/>
        <v>2038</v>
      </c>
      <c r="T96" s="17">
        <f t="shared" si="29"/>
        <v>2039</v>
      </c>
      <c r="U96" s="17">
        <f t="shared" si="29"/>
        <v>2040</v>
      </c>
      <c r="V96" s="17">
        <f t="shared" si="29"/>
        <v>2041</v>
      </c>
      <c r="W96" s="17">
        <f t="shared" si="29"/>
        <v>2042</v>
      </c>
      <c r="X96" s="17">
        <f t="shared" si="29"/>
        <v>2043</v>
      </c>
      <c r="Y96" s="17">
        <f t="shared" si="29"/>
        <v>2044</v>
      </c>
      <c r="Z96" s="17">
        <f t="shared" si="29"/>
        <v>2045</v>
      </c>
      <c r="AA96" s="17">
        <f t="shared" si="29"/>
        <v>2046</v>
      </c>
    </row>
    <row r="97" spans="1:27" ht="15" thickBot="1" x14ac:dyDescent="0.35">
      <c r="A97" s="38" t="s">
        <v>197</v>
      </c>
      <c r="B97" s="39">
        <f t="shared" ref="B97:AA97" si="30">B94</f>
        <v>673.17750000000012</v>
      </c>
      <c r="C97" s="39">
        <f t="shared" si="30"/>
        <v>681.25563000000011</v>
      </c>
      <c r="D97" s="39">
        <f t="shared" si="30"/>
        <v>689.43069756000011</v>
      </c>
      <c r="E97" s="39">
        <f t="shared" si="30"/>
        <v>697.7038659307201</v>
      </c>
      <c r="F97" s="39">
        <f t="shared" si="30"/>
        <v>706.07631232188874</v>
      </c>
      <c r="G97" s="39">
        <f t="shared" si="30"/>
        <v>714.54922806975139</v>
      </c>
      <c r="H97" s="39">
        <f t="shared" si="30"/>
        <v>723.12381880658836</v>
      </c>
      <c r="I97" s="39">
        <f t="shared" si="30"/>
        <v>731.80130463226749</v>
      </c>
      <c r="J97" s="39">
        <f t="shared" si="30"/>
        <v>740.58292028785468</v>
      </c>
      <c r="K97" s="39">
        <f t="shared" si="30"/>
        <v>749.46991533130893</v>
      </c>
      <c r="L97" s="39">
        <f t="shared" si="30"/>
        <v>758.46355431528468</v>
      </c>
      <c r="M97" s="39">
        <f t="shared" si="30"/>
        <v>767.56511696706798</v>
      </c>
      <c r="N97" s="39">
        <f t="shared" si="30"/>
        <v>776.77589837067285</v>
      </c>
      <c r="O97" s="39">
        <f t="shared" si="30"/>
        <v>786.09720915112086</v>
      </c>
      <c r="P97" s="39">
        <f t="shared" si="30"/>
        <v>795.53037566093428</v>
      </c>
      <c r="Q97" s="39">
        <f t="shared" si="30"/>
        <v>805.07674016886574</v>
      </c>
      <c r="R97" s="39">
        <f t="shared" si="30"/>
        <v>814.73766105089203</v>
      </c>
      <c r="S97" s="39">
        <f t="shared" si="30"/>
        <v>824.51451298350275</v>
      </c>
      <c r="T97" s="39">
        <f t="shared" si="30"/>
        <v>834.40868713930467</v>
      </c>
      <c r="U97" s="39">
        <f t="shared" si="30"/>
        <v>844.42159138497641</v>
      </c>
      <c r="V97" s="39">
        <f t="shared" si="30"/>
        <v>854.55465048159601</v>
      </c>
      <c r="W97" s="39">
        <f t="shared" si="30"/>
        <v>864.80930628737531</v>
      </c>
      <c r="X97" s="39">
        <f t="shared" si="30"/>
        <v>875.18701796282357</v>
      </c>
      <c r="Y97" s="39">
        <f t="shared" si="30"/>
        <v>885.68926217837782</v>
      </c>
      <c r="Z97" s="39">
        <f t="shared" si="30"/>
        <v>896.31753332451819</v>
      </c>
      <c r="AA97" s="39">
        <f t="shared" si="30"/>
        <v>907.07334372441233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3E44-469F-4F40-A6E2-58D4FD2132D9}">
  <sheetPr>
    <tabColor rgb="FF7030A0"/>
  </sheetPr>
  <dimension ref="A1:AA29"/>
  <sheetViews>
    <sheetView showGridLines="0" zoomScale="80" zoomScaleNormal="80" workbookViewId="0">
      <selection activeCell="B13" sqref="B13"/>
    </sheetView>
  </sheetViews>
  <sheetFormatPr defaultColWidth="8.77734375" defaultRowHeight="14.4" x14ac:dyDescent="0.3"/>
  <cols>
    <col min="1" max="1" width="40.6640625" style="124" customWidth="1"/>
    <col min="2" max="16384" width="8.77734375" style="124"/>
  </cols>
  <sheetData>
    <row r="1" spans="1:27" ht="21" x14ac:dyDescent="0.4">
      <c r="A1" s="2" t="str">
        <f>'Inputs &amp; Summary'!B68</f>
        <v>Keysborough: Expansion develop current depot</v>
      </c>
    </row>
    <row r="2" spans="1:27" x14ac:dyDescent="0.3">
      <c r="A2" s="10" t="str">
        <f>'Inputs &amp; Summary'!B5</f>
        <v>All values shown are costs, expressed in $000 as at June 2021 unless otherwise stated.</v>
      </c>
      <c r="G2" s="82" t="s">
        <v>156</v>
      </c>
      <c r="H2" s="83"/>
      <c r="I2" s="83"/>
      <c r="J2" s="83"/>
      <c r="K2" s="83"/>
      <c r="L2" s="83"/>
      <c r="M2" s="83"/>
      <c r="N2" s="83"/>
      <c r="O2" s="83"/>
      <c r="P2" s="83"/>
      <c r="Q2" s="83"/>
      <c r="R2" s="83"/>
      <c r="S2" s="83"/>
      <c r="T2" s="83"/>
      <c r="U2" s="83"/>
      <c r="V2" s="83"/>
      <c r="W2" s="84"/>
    </row>
    <row r="3" spans="1:27" x14ac:dyDescent="0.3">
      <c r="A3" s="10"/>
      <c r="G3" s="85" t="s">
        <v>157</v>
      </c>
      <c r="H3" s="72"/>
      <c r="I3" s="72"/>
      <c r="J3" s="72"/>
      <c r="K3" s="72"/>
      <c r="L3" s="72"/>
      <c r="M3" s="72"/>
      <c r="N3" s="72"/>
      <c r="O3" s="72"/>
      <c r="P3" s="72"/>
      <c r="Q3" s="72"/>
      <c r="R3" s="72"/>
      <c r="S3" s="72"/>
      <c r="T3" s="72"/>
      <c r="U3" s="72"/>
      <c r="V3" s="72"/>
      <c r="W3" s="86"/>
    </row>
    <row r="4" spans="1:27" x14ac:dyDescent="0.3">
      <c r="A4" s="53" t="str">
        <f>'Inputs &amp; Summary'!$B$6</f>
        <v>Yellow shaded cells are input cells</v>
      </c>
    </row>
    <row r="6" spans="1:27" s="196" customFormat="1" x14ac:dyDescent="0.3">
      <c r="A6" s="196" t="s">
        <v>287</v>
      </c>
      <c r="B6" s="173">
        <f>'Inputs &amp; Summary'!P68</f>
        <v>2021</v>
      </c>
    </row>
    <row r="7" spans="1:27" s="196" customFormat="1" x14ac:dyDescent="0.3"/>
    <row r="8" spans="1:27" ht="18" x14ac:dyDescent="0.35">
      <c r="A8" s="94" t="s">
        <v>117</v>
      </c>
      <c r="B8" s="95"/>
      <c r="C8" s="95"/>
      <c r="D8" s="95"/>
      <c r="E8" s="95"/>
      <c r="F8" s="95"/>
      <c r="G8" s="95"/>
      <c r="H8" s="95"/>
      <c r="I8" s="95"/>
      <c r="J8" s="95"/>
      <c r="K8" s="95"/>
      <c r="L8" s="95"/>
      <c r="M8" s="95"/>
      <c r="N8" s="95"/>
      <c r="O8" s="95"/>
      <c r="P8" s="95"/>
      <c r="Q8" s="95"/>
      <c r="R8" s="95"/>
      <c r="S8" s="95"/>
      <c r="T8" s="95"/>
      <c r="U8" s="95"/>
      <c r="V8" s="95"/>
      <c r="W8" s="95"/>
      <c r="X8" s="95"/>
      <c r="Y8" s="95"/>
      <c r="Z8" s="95"/>
      <c r="AA8" s="95"/>
    </row>
    <row r="9" spans="1:27" x14ac:dyDescent="0.3">
      <c r="A9" s="3" t="s">
        <v>3</v>
      </c>
      <c r="B9" s="124">
        <v>0</v>
      </c>
      <c r="C9" s="124">
        <f t="shared" ref="C9:AA9" si="0">+B9+1</f>
        <v>1</v>
      </c>
      <c r="D9" s="124">
        <f t="shared" si="0"/>
        <v>2</v>
      </c>
      <c r="E9" s="124">
        <f t="shared" si="0"/>
        <v>3</v>
      </c>
      <c r="F9" s="124">
        <f t="shared" si="0"/>
        <v>4</v>
      </c>
      <c r="G9" s="124">
        <f t="shared" si="0"/>
        <v>5</v>
      </c>
      <c r="H9" s="124">
        <f t="shared" si="0"/>
        <v>6</v>
      </c>
      <c r="I9" s="124">
        <f t="shared" si="0"/>
        <v>7</v>
      </c>
      <c r="J9" s="124">
        <f t="shared" si="0"/>
        <v>8</v>
      </c>
      <c r="K9" s="124">
        <f t="shared" si="0"/>
        <v>9</v>
      </c>
      <c r="L9" s="124">
        <f t="shared" si="0"/>
        <v>10</v>
      </c>
      <c r="M9" s="124">
        <f t="shared" si="0"/>
        <v>11</v>
      </c>
      <c r="N9" s="124">
        <f t="shared" si="0"/>
        <v>12</v>
      </c>
      <c r="O9" s="124">
        <f t="shared" si="0"/>
        <v>13</v>
      </c>
      <c r="P9" s="124">
        <f t="shared" si="0"/>
        <v>14</v>
      </c>
      <c r="Q9" s="124">
        <f t="shared" si="0"/>
        <v>15</v>
      </c>
      <c r="R9" s="124">
        <f t="shared" si="0"/>
        <v>16</v>
      </c>
      <c r="S9" s="124">
        <f t="shared" si="0"/>
        <v>17</v>
      </c>
      <c r="T9" s="124">
        <f t="shared" si="0"/>
        <v>18</v>
      </c>
      <c r="U9" s="124">
        <f t="shared" si="0"/>
        <v>19</v>
      </c>
      <c r="V9" s="124">
        <f t="shared" si="0"/>
        <v>20</v>
      </c>
      <c r="W9" s="124">
        <f t="shared" si="0"/>
        <v>21</v>
      </c>
      <c r="X9" s="124">
        <f t="shared" si="0"/>
        <v>22</v>
      </c>
      <c r="Y9" s="124">
        <f t="shared" si="0"/>
        <v>23</v>
      </c>
      <c r="Z9" s="124">
        <f t="shared" si="0"/>
        <v>24</v>
      </c>
      <c r="AA9" s="124">
        <f t="shared" si="0"/>
        <v>25</v>
      </c>
    </row>
    <row r="10" spans="1:27" x14ac:dyDescent="0.3">
      <c r="A10" s="175" t="s">
        <v>400</v>
      </c>
      <c r="B10" s="174">
        <v>2021</v>
      </c>
      <c r="C10" s="174">
        <f t="shared" ref="C10:AA10" si="1">+B10+1</f>
        <v>2022</v>
      </c>
      <c r="D10" s="174">
        <f t="shared" si="1"/>
        <v>2023</v>
      </c>
      <c r="E10" s="174">
        <f t="shared" si="1"/>
        <v>2024</v>
      </c>
      <c r="F10" s="174">
        <f t="shared" si="1"/>
        <v>2025</v>
      </c>
      <c r="G10" s="174">
        <f t="shared" si="1"/>
        <v>2026</v>
      </c>
      <c r="H10" s="174">
        <f t="shared" si="1"/>
        <v>2027</v>
      </c>
      <c r="I10" s="174">
        <f t="shared" si="1"/>
        <v>2028</v>
      </c>
      <c r="J10" s="174">
        <f t="shared" si="1"/>
        <v>2029</v>
      </c>
      <c r="K10" s="174">
        <f t="shared" si="1"/>
        <v>2030</v>
      </c>
      <c r="L10" s="174">
        <f t="shared" si="1"/>
        <v>2031</v>
      </c>
      <c r="M10" s="174">
        <f t="shared" si="1"/>
        <v>2032</v>
      </c>
      <c r="N10" s="174">
        <f t="shared" si="1"/>
        <v>2033</v>
      </c>
      <c r="O10" s="174">
        <f t="shared" si="1"/>
        <v>2034</v>
      </c>
      <c r="P10" s="174">
        <f t="shared" si="1"/>
        <v>2035</v>
      </c>
      <c r="Q10" s="174">
        <f t="shared" si="1"/>
        <v>2036</v>
      </c>
      <c r="R10" s="174">
        <f t="shared" si="1"/>
        <v>2037</v>
      </c>
      <c r="S10" s="174">
        <f t="shared" si="1"/>
        <v>2038</v>
      </c>
      <c r="T10" s="174">
        <f t="shared" si="1"/>
        <v>2039</v>
      </c>
      <c r="U10" s="174">
        <f t="shared" si="1"/>
        <v>2040</v>
      </c>
      <c r="V10" s="174">
        <f t="shared" si="1"/>
        <v>2041</v>
      </c>
      <c r="W10" s="174">
        <f t="shared" si="1"/>
        <v>2042</v>
      </c>
      <c r="X10" s="174">
        <f t="shared" si="1"/>
        <v>2043</v>
      </c>
      <c r="Y10" s="174">
        <f t="shared" si="1"/>
        <v>2044</v>
      </c>
      <c r="Z10" s="174">
        <f t="shared" si="1"/>
        <v>2045</v>
      </c>
      <c r="AA10" s="174">
        <f t="shared" si="1"/>
        <v>2046</v>
      </c>
    </row>
    <row r="11" spans="1:27" x14ac:dyDescent="0.3">
      <c r="A11" s="10" t="s">
        <v>127</v>
      </c>
      <c r="B11" s="156">
        <f>'Inputs &amp; Summary'!E68*'Inputs &amp; Summary'!$P$103</f>
        <v>19765.5290122193</v>
      </c>
      <c r="C11" s="156">
        <f>'Inputs &amp; Summary'!F68*'Inputs &amp; Summary'!$P$103</f>
        <v>0</v>
      </c>
      <c r="D11" s="156">
        <f>'Inputs &amp; Summary'!G68*'Inputs &amp; Summary'!$P$103</f>
        <v>0</v>
      </c>
      <c r="E11" s="156">
        <f>'Inputs &amp; Summary'!H68*'Inputs &amp; Summary'!$P$103</f>
        <v>0</v>
      </c>
      <c r="F11" s="156">
        <f>'Inputs &amp; Summary'!I68*'Inputs &amp; Summary'!$P$103</f>
        <v>0</v>
      </c>
      <c r="G11" s="156">
        <f>'Inputs &amp; Summary'!J68*'Inputs &amp; Summary'!$P$103</f>
        <v>0</v>
      </c>
      <c r="H11" s="156">
        <f>'Inputs &amp; Summary'!K68*'Inputs &amp; Summary'!$P$103</f>
        <v>0</v>
      </c>
      <c r="I11" s="156">
        <f>'Inputs &amp; Summary'!L68*'Inputs &amp; Summary'!$P$103</f>
        <v>0</v>
      </c>
      <c r="J11" s="156">
        <f>'Inputs &amp; Summary'!M68*'Inputs &amp; Summary'!$P$103</f>
        <v>0</v>
      </c>
      <c r="K11" s="156">
        <f>'Inputs &amp; Summary'!N68*'Inputs &amp; Summary'!$P$103</f>
        <v>0</v>
      </c>
      <c r="L11" s="156">
        <f>'Inputs &amp; Summary'!O68*'Inputs &amp; Summary'!$P$103</f>
        <v>0</v>
      </c>
      <c r="M11" s="41"/>
      <c r="N11" s="41"/>
      <c r="O11" s="41"/>
      <c r="P11" s="41"/>
      <c r="Q11" s="41"/>
      <c r="R11" s="41"/>
      <c r="S11" s="41"/>
      <c r="T11" s="41"/>
      <c r="U11" s="41"/>
      <c r="V11" s="41"/>
      <c r="W11" s="41"/>
      <c r="X11" s="41"/>
      <c r="Y11" s="41"/>
      <c r="Z11" s="41"/>
      <c r="AA11" s="41"/>
    </row>
    <row r="12" spans="1:27" x14ac:dyDescent="0.3">
      <c r="A12" s="124" t="s">
        <v>130</v>
      </c>
      <c r="B12" s="156">
        <f>(B$10&lt;=$B$6)*'K. Opt0'!B13</f>
        <v>3015.3413775099643</v>
      </c>
      <c r="C12" s="156">
        <f>(C$10&lt;=$B$6)*'K. Opt0'!C13</f>
        <v>0</v>
      </c>
      <c r="D12" s="156">
        <f>(D$10&lt;=$B$6)*'K. Opt0'!D13</f>
        <v>0</v>
      </c>
      <c r="E12" s="156">
        <f>(E$10&lt;=$B$6)*'K. Opt0'!E13</f>
        <v>0</v>
      </c>
      <c r="F12" s="156">
        <f>(F$10&lt;=$B$6)*'K. Opt0'!F13</f>
        <v>0</v>
      </c>
      <c r="G12" s="156">
        <f>(G$10&lt;=$B$6)*'K. Opt0'!G13</f>
        <v>0</v>
      </c>
      <c r="H12" s="156">
        <f>(H$10&lt;=$B$6)*'K. Opt0'!H13</f>
        <v>0</v>
      </c>
      <c r="I12" s="156">
        <f>(I$10&lt;=$B$6)*'K. Opt0'!I13</f>
        <v>0</v>
      </c>
      <c r="J12" s="156">
        <f>(J$10&lt;=$B$6)*'K. Opt0'!J13</f>
        <v>0</v>
      </c>
      <c r="K12" s="156">
        <f>(K$10&lt;=$B$6)*'K. Opt0'!K13</f>
        <v>0</v>
      </c>
      <c r="L12" s="156">
        <f>(L$10&lt;=$B$6)*'K. Opt0'!L13</f>
        <v>0</v>
      </c>
      <c r="M12" s="156">
        <f>(M$10&lt;=$B$6)*'K. Opt0'!M13</f>
        <v>0</v>
      </c>
      <c r="N12" s="156">
        <f>(N$10&lt;=$B$6)*'K. Opt0'!N13</f>
        <v>0</v>
      </c>
      <c r="O12" s="156">
        <f>(O$10&lt;=$B$6)*'K. Opt0'!O13</f>
        <v>0</v>
      </c>
      <c r="P12" s="156">
        <f>(P$10&lt;=$B$6)*'K. Opt0'!P13</f>
        <v>0</v>
      </c>
      <c r="Q12" s="156">
        <f>(Q$10&lt;=$B$6)*'K. Opt0'!Q13</f>
        <v>0</v>
      </c>
      <c r="R12" s="156">
        <f>(R$10&lt;=$B$6)*'K. Opt0'!R13</f>
        <v>0</v>
      </c>
      <c r="S12" s="156">
        <f>(S$10&lt;=$B$6)*'K. Opt0'!S13</f>
        <v>0</v>
      </c>
      <c r="T12" s="156">
        <f>(T$10&lt;=$B$6)*'K. Opt0'!T13</f>
        <v>0</v>
      </c>
      <c r="U12" s="156">
        <f>(U$10&lt;=$B$6)*'K. Opt0'!U13</f>
        <v>0</v>
      </c>
      <c r="V12" s="156">
        <f>(V$10&lt;=$B$6)*'K. Opt0'!V13</f>
        <v>0</v>
      </c>
      <c r="W12" s="156">
        <f>(W$10&lt;=$B$6)*'K. Opt0'!W13</f>
        <v>0</v>
      </c>
      <c r="X12" s="156">
        <f>(X$10&lt;=$B$6)*'K. Opt0'!X13</f>
        <v>0</v>
      </c>
      <c r="Y12" s="156">
        <f>(Y$10&lt;=$B$6)*'K. Opt0'!Y13</f>
        <v>0</v>
      </c>
      <c r="Z12" s="156">
        <f>(Z$10&lt;=$B$6)*'K. Opt0'!Z13</f>
        <v>0</v>
      </c>
      <c r="AA12" s="156">
        <f>(AA$10&lt;=$B$6)*'K. Opt0'!AA13</f>
        <v>0</v>
      </c>
    </row>
    <row r="13" spans="1:27" x14ac:dyDescent="0.3">
      <c r="A13" s="75" t="s">
        <v>271</v>
      </c>
      <c r="B13" s="198">
        <f>(B$10&lt;=$B$6)*B29</f>
        <v>673.17750000000012</v>
      </c>
      <c r="C13" s="198">
        <f t="shared" ref="C13:AA13" si="2">(C$10&lt;=$B$6)*C29</f>
        <v>0</v>
      </c>
      <c r="D13" s="198">
        <f t="shared" si="2"/>
        <v>0</v>
      </c>
      <c r="E13" s="198">
        <f t="shared" si="2"/>
        <v>0</v>
      </c>
      <c r="F13" s="198">
        <f t="shared" si="2"/>
        <v>0</v>
      </c>
      <c r="G13" s="198">
        <f t="shared" si="2"/>
        <v>0</v>
      </c>
      <c r="H13" s="198">
        <f t="shared" si="2"/>
        <v>0</v>
      </c>
      <c r="I13" s="198">
        <f t="shared" si="2"/>
        <v>0</v>
      </c>
      <c r="J13" s="198">
        <f t="shared" si="2"/>
        <v>0</v>
      </c>
      <c r="K13" s="198">
        <f t="shared" si="2"/>
        <v>0</v>
      </c>
      <c r="L13" s="198">
        <f t="shared" si="2"/>
        <v>0</v>
      </c>
      <c r="M13" s="198">
        <f t="shared" si="2"/>
        <v>0</v>
      </c>
      <c r="N13" s="198">
        <f t="shared" si="2"/>
        <v>0</v>
      </c>
      <c r="O13" s="198">
        <f t="shared" si="2"/>
        <v>0</v>
      </c>
      <c r="P13" s="198">
        <f t="shared" si="2"/>
        <v>0</v>
      </c>
      <c r="Q13" s="198">
        <f t="shared" si="2"/>
        <v>0</v>
      </c>
      <c r="R13" s="198">
        <f t="shared" si="2"/>
        <v>0</v>
      </c>
      <c r="S13" s="198">
        <f t="shared" si="2"/>
        <v>0</v>
      </c>
      <c r="T13" s="198">
        <f t="shared" si="2"/>
        <v>0</v>
      </c>
      <c r="U13" s="198">
        <f t="shared" si="2"/>
        <v>0</v>
      </c>
      <c r="V13" s="198">
        <f t="shared" si="2"/>
        <v>0</v>
      </c>
      <c r="W13" s="198">
        <f t="shared" si="2"/>
        <v>0</v>
      </c>
      <c r="X13" s="198">
        <f t="shared" si="2"/>
        <v>0</v>
      </c>
      <c r="Y13" s="198">
        <f t="shared" si="2"/>
        <v>0</v>
      </c>
      <c r="Z13" s="198">
        <f t="shared" si="2"/>
        <v>0</v>
      </c>
      <c r="AA13" s="198">
        <f t="shared" si="2"/>
        <v>0</v>
      </c>
    </row>
    <row r="14" spans="1:27" ht="15" thickBot="1" x14ac:dyDescent="0.35">
      <c r="A14" s="80" t="s">
        <v>14</v>
      </c>
      <c r="B14" s="77">
        <f t="shared" ref="B14:AA14" si="3">+SUM(B11:B13)</f>
        <v>23454.047889729267</v>
      </c>
      <c r="C14" s="77">
        <f t="shared" si="3"/>
        <v>0</v>
      </c>
      <c r="D14" s="77">
        <f t="shared" si="3"/>
        <v>0</v>
      </c>
      <c r="E14" s="77">
        <f t="shared" si="3"/>
        <v>0</v>
      </c>
      <c r="F14" s="77">
        <f t="shared" si="3"/>
        <v>0</v>
      </c>
      <c r="G14" s="77">
        <f t="shared" si="3"/>
        <v>0</v>
      </c>
      <c r="H14" s="77">
        <f t="shared" si="3"/>
        <v>0</v>
      </c>
      <c r="I14" s="77">
        <f t="shared" si="3"/>
        <v>0</v>
      </c>
      <c r="J14" s="77">
        <f t="shared" si="3"/>
        <v>0</v>
      </c>
      <c r="K14" s="77">
        <f t="shared" si="3"/>
        <v>0</v>
      </c>
      <c r="L14" s="77">
        <f t="shared" si="3"/>
        <v>0</v>
      </c>
      <c r="M14" s="77">
        <f t="shared" si="3"/>
        <v>0</v>
      </c>
      <c r="N14" s="77">
        <f t="shared" si="3"/>
        <v>0</v>
      </c>
      <c r="O14" s="77">
        <f t="shared" si="3"/>
        <v>0</v>
      </c>
      <c r="P14" s="77">
        <f t="shared" si="3"/>
        <v>0</v>
      </c>
      <c r="Q14" s="77">
        <f t="shared" si="3"/>
        <v>0</v>
      </c>
      <c r="R14" s="77">
        <f t="shared" si="3"/>
        <v>0</v>
      </c>
      <c r="S14" s="77">
        <f t="shared" si="3"/>
        <v>0</v>
      </c>
      <c r="T14" s="77">
        <f t="shared" si="3"/>
        <v>0</v>
      </c>
      <c r="U14" s="77">
        <f t="shared" si="3"/>
        <v>0</v>
      </c>
      <c r="V14" s="77">
        <f t="shared" si="3"/>
        <v>0</v>
      </c>
      <c r="W14" s="77">
        <f t="shared" si="3"/>
        <v>0</v>
      </c>
      <c r="X14" s="77">
        <f t="shared" si="3"/>
        <v>0</v>
      </c>
      <c r="Y14" s="77">
        <f t="shared" si="3"/>
        <v>0</v>
      </c>
      <c r="Z14" s="77">
        <f t="shared" si="3"/>
        <v>0</v>
      </c>
      <c r="AA14" s="77">
        <f t="shared" si="3"/>
        <v>0</v>
      </c>
    </row>
    <row r="16" spans="1:27" x14ac:dyDescent="0.3">
      <c r="A16" s="10"/>
      <c r="C16" s="364" t="s">
        <v>396</v>
      </c>
      <c r="D16" s="365">
        <f>SUM(B14:AA14)-SUM(B11:AA13)</f>
        <v>0</v>
      </c>
    </row>
    <row r="17" spans="1:27" ht="18" x14ac:dyDescent="0.35">
      <c r="A17" s="109" t="s">
        <v>270</v>
      </c>
      <c r="B17" s="110"/>
      <c r="C17" s="110"/>
      <c r="D17" s="110"/>
      <c r="E17" s="110"/>
      <c r="F17" s="110"/>
    </row>
    <row r="18" spans="1:27" x14ac:dyDescent="0.3">
      <c r="A18" s="45" t="s">
        <v>67</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row>
    <row r="19" spans="1:27" x14ac:dyDescent="0.3">
      <c r="A19" s="124" t="s">
        <v>266</v>
      </c>
      <c r="B19" s="173">
        <f>'Inputs &amp; Summary'!F90+'Inputs &amp; Summary'!F95</f>
        <v>199.46</v>
      </c>
    </row>
    <row r="20" spans="1:27" x14ac:dyDescent="0.3">
      <c r="A20" s="124" t="s">
        <v>41</v>
      </c>
      <c r="B20" s="173">
        <f>'Inputs &amp; Summary'!F101</f>
        <v>135</v>
      </c>
      <c r="G20" s="82" t="s">
        <v>265</v>
      </c>
      <c r="H20" s="83"/>
      <c r="I20" s="83"/>
      <c r="J20" s="83"/>
      <c r="K20" s="83"/>
      <c r="L20" s="83"/>
      <c r="M20" s="83"/>
      <c r="N20" s="83"/>
      <c r="O20" s="83"/>
      <c r="P20" s="83"/>
      <c r="Q20" s="83"/>
      <c r="R20" s="83"/>
      <c r="S20" s="83"/>
      <c r="T20" s="83"/>
      <c r="U20" s="83"/>
      <c r="V20" s="84"/>
    </row>
    <row r="21" spans="1:27" x14ac:dyDescent="0.3">
      <c r="A21" s="124" t="s">
        <v>38</v>
      </c>
      <c r="B21" s="158">
        <f>'Inputs &amp; Summary'!P176</f>
        <v>2.5000000000000001E-2</v>
      </c>
      <c r="C21" s="1" t="s">
        <v>183</v>
      </c>
      <c r="G21" s="87" t="s">
        <v>269</v>
      </c>
      <c r="H21" s="119"/>
      <c r="I21" s="119"/>
      <c r="J21" s="119"/>
      <c r="K21" s="119"/>
      <c r="L21" s="119"/>
      <c r="M21" s="119"/>
      <c r="N21" s="119"/>
      <c r="O21" s="119"/>
      <c r="P21" s="119"/>
      <c r="Q21" s="119"/>
      <c r="R21" s="119"/>
      <c r="S21" s="119"/>
      <c r="T21" s="119"/>
      <c r="U21" s="119"/>
      <c r="V21" s="89"/>
    </row>
    <row r="22" spans="1:27" x14ac:dyDescent="0.3">
      <c r="A22" s="326" t="s">
        <v>39</v>
      </c>
      <c r="B22" s="158">
        <f>'Inputs &amp; Summary'!P177</f>
        <v>1.2E-2</v>
      </c>
      <c r="C22" s="1" t="s">
        <v>183</v>
      </c>
      <c r="G22" s="85"/>
      <c r="H22" s="72"/>
      <c r="I22" s="72"/>
      <c r="J22" s="72"/>
      <c r="K22" s="72"/>
      <c r="L22" s="72"/>
      <c r="M22" s="72"/>
      <c r="N22" s="72"/>
      <c r="O22" s="72"/>
      <c r="P22" s="72"/>
      <c r="Q22" s="72"/>
      <c r="R22" s="72"/>
      <c r="S22" s="72"/>
      <c r="T22" s="72"/>
      <c r="U22" s="72"/>
      <c r="V22" s="86"/>
    </row>
    <row r="24" spans="1:27" x14ac:dyDescent="0.3">
      <c r="A24" s="3" t="s">
        <v>3</v>
      </c>
      <c r="B24" s="124">
        <v>0</v>
      </c>
      <c r="C24" s="124">
        <f t="shared" ref="C24:AA24" si="4">+B24+1</f>
        <v>1</v>
      </c>
      <c r="D24" s="124">
        <f t="shared" si="4"/>
        <v>2</v>
      </c>
      <c r="E24" s="124">
        <f t="shared" si="4"/>
        <v>3</v>
      </c>
      <c r="F24" s="124">
        <f t="shared" si="4"/>
        <v>4</v>
      </c>
      <c r="G24" s="124">
        <f t="shared" si="4"/>
        <v>5</v>
      </c>
      <c r="H24" s="124">
        <f t="shared" si="4"/>
        <v>6</v>
      </c>
      <c r="I24" s="124">
        <f t="shared" si="4"/>
        <v>7</v>
      </c>
      <c r="J24" s="124">
        <f t="shared" si="4"/>
        <v>8</v>
      </c>
      <c r="K24" s="124">
        <f t="shared" si="4"/>
        <v>9</v>
      </c>
      <c r="L24" s="124">
        <f t="shared" si="4"/>
        <v>10</v>
      </c>
      <c r="M24" s="124">
        <f t="shared" si="4"/>
        <v>11</v>
      </c>
      <c r="N24" s="124">
        <f t="shared" si="4"/>
        <v>12</v>
      </c>
      <c r="O24" s="124">
        <f t="shared" si="4"/>
        <v>13</v>
      </c>
      <c r="P24" s="124">
        <f t="shared" si="4"/>
        <v>14</v>
      </c>
      <c r="Q24" s="124">
        <f t="shared" si="4"/>
        <v>15</v>
      </c>
      <c r="R24" s="124">
        <f t="shared" si="4"/>
        <v>16</v>
      </c>
      <c r="S24" s="124">
        <f t="shared" si="4"/>
        <v>17</v>
      </c>
      <c r="T24" s="124">
        <f t="shared" si="4"/>
        <v>18</v>
      </c>
      <c r="U24" s="124">
        <f t="shared" si="4"/>
        <v>19</v>
      </c>
      <c r="V24" s="124">
        <f t="shared" si="4"/>
        <v>20</v>
      </c>
      <c r="W24" s="124">
        <f t="shared" si="4"/>
        <v>21</v>
      </c>
      <c r="X24" s="124">
        <f t="shared" si="4"/>
        <v>22</v>
      </c>
      <c r="Y24" s="124">
        <f t="shared" si="4"/>
        <v>23</v>
      </c>
      <c r="Z24" s="124">
        <f t="shared" si="4"/>
        <v>24</v>
      </c>
      <c r="AA24" s="124">
        <f t="shared" si="4"/>
        <v>25</v>
      </c>
    </row>
    <row r="25" spans="1:27" x14ac:dyDescent="0.3">
      <c r="A25" s="175" t="s">
        <v>400</v>
      </c>
      <c r="B25" s="174">
        <v>2021</v>
      </c>
      <c r="C25" s="174">
        <f t="shared" ref="C25:AA25" si="5">+B25+1</f>
        <v>2022</v>
      </c>
      <c r="D25" s="174">
        <f t="shared" si="5"/>
        <v>2023</v>
      </c>
      <c r="E25" s="174">
        <f t="shared" si="5"/>
        <v>2024</v>
      </c>
      <c r="F25" s="174">
        <f t="shared" si="5"/>
        <v>2025</v>
      </c>
      <c r="G25" s="174">
        <f t="shared" si="5"/>
        <v>2026</v>
      </c>
      <c r="H25" s="174">
        <f t="shared" si="5"/>
        <v>2027</v>
      </c>
      <c r="I25" s="174">
        <f t="shared" si="5"/>
        <v>2028</v>
      </c>
      <c r="J25" s="174">
        <f t="shared" si="5"/>
        <v>2029</v>
      </c>
      <c r="K25" s="174">
        <f t="shared" si="5"/>
        <v>2030</v>
      </c>
      <c r="L25" s="174">
        <f t="shared" si="5"/>
        <v>2031</v>
      </c>
      <c r="M25" s="174">
        <f t="shared" si="5"/>
        <v>2032</v>
      </c>
      <c r="N25" s="174">
        <f t="shared" si="5"/>
        <v>2033</v>
      </c>
      <c r="O25" s="174">
        <f t="shared" si="5"/>
        <v>2034</v>
      </c>
      <c r="P25" s="174">
        <f t="shared" si="5"/>
        <v>2035</v>
      </c>
      <c r="Q25" s="174">
        <f t="shared" si="5"/>
        <v>2036</v>
      </c>
      <c r="R25" s="174">
        <f t="shared" si="5"/>
        <v>2037</v>
      </c>
      <c r="S25" s="174">
        <f t="shared" si="5"/>
        <v>2038</v>
      </c>
      <c r="T25" s="174">
        <f t="shared" si="5"/>
        <v>2039</v>
      </c>
      <c r="U25" s="174">
        <f t="shared" si="5"/>
        <v>2040</v>
      </c>
      <c r="V25" s="174">
        <f t="shared" si="5"/>
        <v>2041</v>
      </c>
      <c r="W25" s="174">
        <f t="shared" si="5"/>
        <v>2042</v>
      </c>
      <c r="X25" s="174">
        <f t="shared" si="5"/>
        <v>2043</v>
      </c>
      <c r="Y25" s="174">
        <f t="shared" si="5"/>
        <v>2044</v>
      </c>
      <c r="Z25" s="174">
        <f t="shared" si="5"/>
        <v>2045</v>
      </c>
      <c r="AA25" s="174">
        <f t="shared" si="5"/>
        <v>2046</v>
      </c>
    </row>
    <row r="26" spans="1:27" x14ac:dyDescent="0.3">
      <c r="A26" s="1" t="s">
        <v>57</v>
      </c>
      <c r="B26" s="24">
        <f>+(B19*B20*B21)</f>
        <v>673.17750000000012</v>
      </c>
      <c r="C26" s="24">
        <f>+$B$26*(1+$B$22)^C24</f>
        <v>681.25563000000011</v>
      </c>
      <c r="D26" s="24">
        <f t="shared" ref="D26:AA26" si="6">+$B$26*(1+$B$22)^D24</f>
        <v>689.43069756000011</v>
      </c>
      <c r="E26" s="24">
        <f t="shared" si="6"/>
        <v>697.7038659307201</v>
      </c>
      <c r="F26" s="24">
        <f t="shared" si="6"/>
        <v>706.07631232188874</v>
      </c>
      <c r="G26" s="24">
        <f t="shared" si="6"/>
        <v>714.54922806975139</v>
      </c>
      <c r="H26" s="24">
        <f t="shared" si="6"/>
        <v>723.12381880658836</v>
      </c>
      <c r="I26" s="24">
        <f t="shared" si="6"/>
        <v>731.80130463226749</v>
      </c>
      <c r="J26" s="24">
        <f t="shared" si="6"/>
        <v>740.58292028785468</v>
      </c>
      <c r="K26" s="24">
        <f t="shared" si="6"/>
        <v>749.46991533130893</v>
      </c>
      <c r="L26" s="24">
        <f t="shared" si="6"/>
        <v>758.46355431528468</v>
      </c>
      <c r="M26" s="24">
        <f t="shared" si="6"/>
        <v>767.56511696706798</v>
      </c>
      <c r="N26" s="24">
        <f t="shared" si="6"/>
        <v>776.77589837067285</v>
      </c>
      <c r="O26" s="24">
        <f t="shared" si="6"/>
        <v>786.09720915112086</v>
      </c>
      <c r="P26" s="24">
        <f t="shared" si="6"/>
        <v>795.53037566093428</v>
      </c>
      <c r="Q26" s="24">
        <f t="shared" si="6"/>
        <v>805.07674016886574</v>
      </c>
      <c r="R26" s="24">
        <f t="shared" si="6"/>
        <v>814.73766105089203</v>
      </c>
      <c r="S26" s="24">
        <f t="shared" si="6"/>
        <v>824.51451298350275</v>
      </c>
      <c r="T26" s="24">
        <f t="shared" si="6"/>
        <v>834.40868713930467</v>
      </c>
      <c r="U26" s="24">
        <f t="shared" si="6"/>
        <v>844.42159138497641</v>
      </c>
      <c r="V26" s="24">
        <f t="shared" si="6"/>
        <v>854.55465048159601</v>
      </c>
      <c r="W26" s="24">
        <f t="shared" si="6"/>
        <v>864.80930628737531</v>
      </c>
      <c r="X26" s="24">
        <f t="shared" si="6"/>
        <v>875.18701796282357</v>
      </c>
      <c r="Y26" s="24">
        <f t="shared" si="6"/>
        <v>885.68926217837782</v>
      </c>
      <c r="Z26" s="24">
        <f t="shared" si="6"/>
        <v>896.31753332451819</v>
      </c>
      <c r="AA26" s="24">
        <f t="shared" si="6"/>
        <v>907.07334372441233</v>
      </c>
    </row>
    <row r="27" spans="1:27" x14ac:dyDescent="0.3">
      <c r="A27" s="1"/>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x14ac:dyDescent="0.3">
      <c r="A28" s="17" t="s">
        <v>72</v>
      </c>
      <c r="B28" s="17">
        <f t="shared" ref="B28:AA28" si="7">B10</f>
        <v>2021</v>
      </c>
      <c r="C28" s="17">
        <f t="shared" si="7"/>
        <v>2022</v>
      </c>
      <c r="D28" s="17">
        <f t="shared" si="7"/>
        <v>2023</v>
      </c>
      <c r="E28" s="17">
        <f t="shared" si="7"/>
        <v>2024</v>
      </c>
      <c r="F28" s="17">
        <f t="shared" si="7"/>
        <v>2025</v>
      </c>
      <c r="G28" s="17">
        <f t="shared" si="7"/>
        <v>2026</v>
      </c>
      <c r="H28" s="17">
        <f t="shared" si="7"/>
        <v>2027</v>
      </c>
      <c r="I28" s="17">
        <f t="shared" si="7"/>
        <v>2028</v>
      </c>
      <c r="J28" s="17">
        <f t="shared" si="7"/>
        <v>2029</v>
      </c>
      <c r="K28" s="17">
        <f t="shared" si="7"/>
        <v>2030</v>
      </c>
      <c r="L28" s="17">
        <f t="shared" si="7"/>
        <v>2031</v>
      </c>
      <c r="M28" s="17">
        <f t="shared" si="7"/>
        <v>2032</v>
      </c>
      <c r="N28" s="17">
        <f t="shared" si="7"/>
        <v>2033</v>
      </c>
      <c r="O28" s="17">
        <f t="shared" si="7"/>
        <v>2034</v>
      </c>
      <c r="P28" s="17">
        <f t="shared" si="7"/>
        <v>2035</v>
      </c>
      <c r="Q28" s="17">
        <f t="shared" si="7"/>
        <v>2036</v>
      </c>
      <c r="R28" s="17">
        <f t="shared" si="7"/>
        <v>2037</v>
      </c>
      <c r="S28" s="17">
        <f t="shared" si="7"/>
        <v>2038</v>
      </c>
      <c r="T28" s="17">
        <f t="shared" si="7"/>
        <v>2039</v>
      </c>
      <c r="U28" s="17">
        <f t="shared" si="7"/>
        <v>2040</v>
      </c>
      <c r="V28" s="17">
        <f t="shared" si="7"/>
        <v>2041</v>
      </c>
      <c r="W28" s="17">
        <f t="shared" si="7"/>
        <v>2042</v>
      </c>
      <c r="X28" s="17">
        <f t="shared" si="7"/>
        <v>2043</v>
      </c>
      <c r="Y28" s="17">
        <f t="shared" si="7"/>
        <v>2044</v>
      </c>
      <c r="Z28" s="17">
        <f t="shared" si="7"/>
        <v>2045</v>
      </c>
      <c r="AA28" s="17">
        <f t="shared" si="7"/>
        <v>2046</v>
      </c>
    </row>
    <row r="29" spans="1:27" ht="15" thickBot="1" x14ac:dyDescent="0.35">
      <c r="A29" s="38" t="s">
        <v>197</v>
      </c>
      <c r="B29" s="39">
        <f t="shared" ref="B29:AA29" si="8">B26</f>
        <v>673.17750000000012</v>
      </c>
      <c r="C29" s="39">
        <f t="shared" si="8"/>
        <v>681.25563000000011</v>
      </c>
      <c r="D29" s="39">
        <f t="shared" si="8"/>
        <v>689.43069756000011</v>
      </c>
      <c r="E29" s="39">
        <f t="shared" si="8"/>
        <v>697.7038659307201</v>
      </c>
      <c r="F29" s="39">
        <f t="shared" si="8"/>
        <v>706.07631232188874</v>
      </c>
      <c r="G29" s="39">
        <f t="shared" si="8"/>
        <v>714.54922806975139</v>
      </c>
      <c r="H29" s="39">
        <f t="shared" si="8"/>
        <v>723.12381880658836</v>
      </c>
      <c r="I29" s="39">
        <f t="shared" si="8"/>
        <v>731.80130463226749</v>
      </c>
      <c r="J29" s="39">
        <f t="shared" si="8"/>
        <v>740.58292028785468</v>
      </c>
      <c r="K29" s="39">
        <f t="shared" si="8"/>
        <v>749.46991533130893</v>
      </c>
      <c r="L29" s="39">
        <f t="shared" si="8"/>
        <v>758.46355431528468</v>
      </c>
      <c r="M29" s="39">
        <f t="shared" si="8"/>
        <v>767.56511696706798</v>
      </c>
      <c r="N29" s="39">
        <f t="shared" si="8"/>
        <v>776.77589837067285</v>
      </c>
      <c r="O29" s="39">
        <f t="shared" si="8"/>
        <v>786.09720915112086</v>
      </c>
      <c r="P29" s="39">
        <f t="shared" si="8"/>
        <v>795.53037566093428</v>
      </c>
      <c r="Q29" s="39">
        <f t="shared" si="8"/>
        <v>805.07674016886574</v>
      </c>
      <c r="R29" s="39">
        <f t="shared" si="8"/>
        <v>814.73766105089203</v>
      </c>
      <c r="S29" s="39">
        <f t="shared" si="8"/>
        <v>824.51451298350275</v>
      </c>
      <c r="T29" s="39">
        <f t="shared" si="8"/>
        <v>834.40868713930467</v>
      </c>
      <c r="U29" s="39">
        <f t="shared" si="8"/>
        <v>844.42159138497641</v>
      </c>
      <c r="V29" s="39">
        <f t="shared" si="8"/>
        <v>854.55465048159601</v>
      </c>
      <c r="W29" s="39">
        <f t="shared" si="8"/>
        <v>864.80930628737531</v>
      </c>
      <c r="X29" s="39">
        <f t="shared" si="8"/>
        <v>875.18701796282357</v>
      </c>
      <c r="Y29" s="39">
        <f t="shared" si="8"/>
        <v>885.68926217837782</v>
      </c>
      <c r="Z29" s="39">
        <f t="shared" si="8"/>
        <v>896.31753332451819</v>
      </c>
      <c r="AA29" s="39">
        <f t="shared" si="8"/>
        <v>907.07334372441233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6400-9893-414C-8E7A-EB903B73B198}">
  <sheetPr>
    <tabColor rgb="FF7030A0"/>
  </sheetPr>
  <dimension ref="A1:AA32"/>
  <sheetViews>
    <sheetView showGridLines="0" zoomScale="80" zoomScaleNormal="80" workbookViewId="0">
      <selection activeCell="D18" sqref="D18"/>
    </sheetView>
  </sheetViews>
  <sheetFormatPr defaultColWidth="8.77734375" defaultRowHeight="14.4" x14ac:dyDescent="0.3"/>
  <cols>
    <col min="1" max="1" width="40.77734375" style="124" customWidth="1"/>
    <col min="2" max="16384" width="8.77734375" style="124"/>
  </cols>
  <sheetData>
    <row r="1" spans="1:27" ht="21" x14ac:dyDescent="0.4">
      <c r="A1" s="2" t="str">
        <f>'Inputs &amp; Summary'!B69</f>
        <v>Keysborough: Purchase brownfield site</v>
      </c>
    </row>
    <row r="2" spans="1:27" x14ac:dyDescent="0.3">
      <c r="A2" s="10" t="str">
        <f>'Inputs &amp; Summary'!B5</f>
        <v>All values shown are costs, expressed in $000 as at June 2021 unless otherwise stated.</v>
      </c>
      <c r="G2" s="82" t="s">
        <v>156</v>
      </c>
      <c r="H2" s="83"/>
      <c r="I2" s="83"/>
      <c r="J2" s="83"/>
      <c r="K2" s="83"/>
      <c r="L2" s="83"/>
      <c r="M2" s="83"/>
      <c r="N2" s="83"/>
      <c r="O2" s="83"/>
      <c r="P2" s="83"/>
      <c r="Q2" s="83"/>
      <c r="R2" s="83"/>
      <c r="S2" s="83"/>
      <c r="T2" s="83"/>
      <c r="U2" s="83"/>
      <c r="V2" s="83"/>
      <c r="W2" s="83"/>
      <c r="X2" s="84"/>
    </row>
    <row r="3" spans="1:27" x14ac:dyDescent="0.3">
      <c r="A3" s="10"/>
      <c r="G3" s="85" t="s">
        <v>155</v>
      </c>
      <c r="H3" s="72"/>
      <c r="I3" s="72"/>
      <c r="J3" s="72"/>
      <c r="K3" s="72"/>
      <c r="L3" s="72"/>
      <c r="M3" s="72"/>
      <c r="N3" s="72"/>
      <c r="O3" s="72"/>
      <c r="P3" s="72"/>
      <c r="Q3" s="72"/>
      <c r="R3" s="72"/>
      <c r="S3" s="72"/>
      <c r="T3" s="72"/>
      <c r="U3" s="72"/>
      <c r="V3" s="72"/>
      <c r="W3" s="72"/>
      <c r="X3" s="86"/>
    </row>
    <row r="4" spans="1:27" x14ac:dyDescent="0.3">
      <c r="A4" s="53" t="str">
        <f>'Inputs &amp; Summary'!$B$6</f>
        <v>Yellow shaded cells are input cells</v>
      </c>
    </row>
    <row r="6" spans="1:27" s="196" customFormat="1" x14ac:dyDescent="0.3">
      <c r="A6" s="196" t="s">
        <v>287</v>
      </c>
      <c r="B6" s="173">
        <f>'Inputs &amp; Summary'!P69</f>
        <v>2022</v>
      </c>
    </row>
    <row r="7" spans="1:27" s="196" customFormat="1" x14ac:dyDescent="0.3"/>
    <row r="8" spans="1:27" ht="18" x14ac:dyDescent="0.35">
      <c r="A8" s="94" t="s">
        <v>117</v>
      </c>
      <c r="B8" s="95"/>
      <c r="C8" s="95"/>
      <c r="D8" s="95"/>
      <c r="E8" s="95"/>
      <c r="F8" s="95"/>
      <c r="G8" s="95"/>
      <c r="H8" s="95"/>
      <c r="I8" s="95"/>
      <c r="J8" s="95"/>
      <c r="K8" s="95"/>
      <c r="L8" s="95"/>
      <c r="M8" s="95"/>
      <c r="N8" s="95"/>
      <c r="O8" s="95"/>
      <c r="P8" s="95"/>
      <c r="Q8" s="95"/>
      <c r="R8" s="95"/>
      <c r="S8" s="95"/>
      <c r="T8" s="95"/>
      <c r="U8" s="95"/>
      <c r="V8" s="95"/>
      <c r="W8" s="95"/>
      <c r="X8" s="95"/>
      <c r="Y8" s="95"/>
      <c r="Z8" s="95"/>
      <c r="AA8" s="95"/>
    </row>
    <row r="9" spans="1:27" x14ac:dyDescent="0.3">
      <c r="A9" s="3" t="s">
        <v>3</v>
      </c>
      <c r="B9" s="124">
        <v>0</v>
      </c>
      <c r="C9" s="124">
        <f t="shared" ref="C9:AA9" si="0">+B9+1</f>
        <v>1</v>
      </c>
      <c r="D9" s="124">
        <f t="shared" si="0"/>
        <v>2</v>
      </c>
      <c r="E9" s="124">
        <f t="shared" si="0"/>
        <v>3</v>
      </c>
      <c r="F9" s="124">
        <f t="shared" si="0"/>
        <v>4</v>
      </c>
      <c r="G9" s="124">
        <f t="shared" si="0"/>
        <v>5</v>
      </c>
      <c r="H9" s="124">
        <f t="shared" si="0"/>
        <v>6</v>
      </c>
      <c r="I9" s="124">
        <f t="shared" si="0"/>
        <v>7</v>
      </c>
      <c r="J9" s="124">
        <f t="shared" si="0"/>
        <v>8</v>
      </c>
      <c r="K9" s="124">
        <f t="shared" si="0"/>
        <v>9</v>
      </c>
      <c r="L9" s="124">
        <f t="shared" si="0"/>
        <v>10</v>
      </c>
      <c r="M9" s="124">
        <f t="shared" si="0"/>
        <v>11</v>
      </c>
      <c r="N9" s="124">
        <f t="shared" si="0"/>
        <v>12</v>
      </c>
      <c r="O9" s="124">
        <f t="shared" si="0"/>
        <v>13</v>
      </c>
      <c r="P9" s="124">
        <f t="shared" si="0"/>
        <v>14</v>
      </c>
      <c r="Q9" s="124">
        <f t="shared" si="0"/>
        <v>15</v>
      </c>
      <c r="R9" s="124">
        <f t="shared" si="0"/>
        <v>16</v>
      </c>
      <c r="S9" s="124">
        <f t="shared" si="0"/>
        <v>17</v>
      </c>
      <c r="T9" s="124">
        <f t="shared" si="0"/>
        <v>18</v>
      </c>
      <c r="U9" s="124">
        <f t="shared" si="0"/>
        <v>19</v>
      </c>
      <c r="V9" s="124">
        <f t="shared" si="0"/>
        <v>20</v>
      </c>
      <c r="W9" s="124">
        <f t="shared" si="0"/>
        <v>21</v>
      </c>
      <c r="X9" s="124">
        <f t="shared" si="0"/>
        <v>22</v>
      </c>
      <c r="Y9" s="124">
        <f t="shared" si="0"/>
        <v>23</v>
      </c>
      <c r="Z9" s="124">
        <f t="shared" si="0"/>
        <v>24</v>
      </c>
      <c r="AA9" s="124">
        <f t="shared" si="0"/>
        <v>25</v>
      </c>
    </row>
    <row r="10" spans="1:27" x14ac:dyDescent="0.3">
      <c r="A10" s="175" t="s">
        <v>400</v>
      </c>
      <c r="B10" s="174">
        <v>2021</v>
      </c>
      <c r="C10" s="174">
        <f t="shared" ref="C10:AA10" si="1">+B10+1</f>
        <v>2022</v>
      </c>
      <c r="D10" s="174">
        <f t="shared" si="1"/>
        <v>2023</v>
      </c>
      <c r="E10" s="174">
        <f t="shared" si="1"/>
        <v>2024</v>
      </c>
      <c r="F10" s="174">
        <f t="shared" si="1"/>
        <v>2025</v>
      </c>
      <c r="G10" s="174">
        <f t="shared" si="1"/>
        <v>2026</v>
      </c>
      <c r="H10" s="174">
        <f t="shared" si="1"/>
        <v>2027</v>
      </c>
      <c r="I10" s="174">
        <f t="shared" si="1"/>
        <v>2028</v>
      </c>
      <c r="J10" s="174">
        <f t="shared" si="1"/>
        <v>2029</v>
      </c>
      <c r="K10" s="174">
        <f t="shared" si="1"/>
        <v>2030</v>
      </c>
      <c r="L10" s="174">
        <f t="shared" si="1"/>
        <v>2031</v>
      </c>
      <c r="M10" s="174">
        <f t="shared" si="1"/>
        <v>2032</v>
      </c>
      <c r="N10" s="174">
        <f t="shared" si="1"/>
        <v>2033</v>
      </c>
      <c r="O10" s="174">
        <f t="shared" si="1"/>
        <v>2034</v>
      </c>
      <c r="P10" s="174">
        <f t="shared" si="1"/>
        <v>2035</v>
      </c>
      <c r="Q10" s="174">
        <f t="shared" si="1"/>
        <v>2036</v>
      </c>
      <c r="R10" s="174">
        <f t="shared" si="1"/>
        <v>2037</v>
      </c>
      <c r="S10" s="174">
        <f t="shared" si="1"/>
        <v>2038</v>
      </c>
      <c r="T10" s="174">
        <f t="shared" si="1"/>
        <v>2039</v>
      </c>
      <c r="U10" s="174">
        <f t="shared" si="1"/>
        <v>2040</v>
      </c>
      <c r="V10" s="174">
        <f t="shared" si="1"/>
        <v>2041</v>
      </c>
      <c r="W10" s="174">
        <f t="shared" si="1"/>
        <v>2042</v>
      </c>
      <c r="X10" s="174">
        <f t="shared" si="1"/>
        <v>2043</v>
      </c>
      <c r="Y10" s="174">
        <f t="shared" si="1"/>
        <v>2044</v>
      </c>
      <c r="Z10" s="174">
        <f t="shared" si="1"/>
        <v>2045</v>
      </c>
      <c r="AA10" s="174">
        <f t="shared" si="1"/>
        <v>2046</v>
      </c>
    </row>
    <row r="11" spans="1:27" x14ac:dyDescent="0.3">
      <c r="A11" s="10" t="s">
        <v>127</v>
      </c>
      <c r="B11" s="156">
        <f>'Inputs &amp; Summary'!E69*'Inputs &amp; Summary'!$P$103</f>
        <v>17500</v>
      </c>
      <c r="C11" s="156">
        <f>'Inputs &amp; Summary'!F69*'Inputs &amp; Summary'!$P$103</f>
        <v>18000</v>
      </c>
      <c r="D11" s="156">
        <f>'Inputs &amp; Summary'!G69*'Inputs &amp; Summary'!$P$103</f>
        <v>0</v>
      </c>
      <c r="E11" s="156">
        <f>'Inputs &amp; Summary'!H69*'Inputs &amp; Summary'!$P$103</f>
        <v>0</v>
      </c>
      <c r="F11" s="156">
        <f>'Inputs &amp; Summary'!I69*'Inputs &amp; Summary'!$P$103</f>
        <v>0</v>
      </c>
      <c r="G11" s="156">
        <f>'Inputs &amp; Summary'!J69*'Inputs &amp; Summary'!$P$103</f>
        <v>0</v>
      </c>
      <c r="H11" s="156">
        <f>'Inputs &amp; Summary'!K69*'Inputs &amp; Summary'!$P$103</f>
        <v>0</v>
      </c>
      <c r="I11" s="156">
        <f>'Inputs &amp; Summary'!L69*'Inputs &amp; Summary'!$P$103</f>
        <v>0</v>
      </c>
      <c r="J11" s="156">
        <f>'Inputs &amp; Summary'!M69*'Inputs &amp; Summary'!$P$103</f>
        <v>0</v>
      </c>
      <c r="K11" s="156">
        <f>'Inputs &amp; Summary'!N69*'Inputs &amp; Summary'!$P$103</f>
        <v>0</v>
      </c>
      <c r="L11" s="156">
        <f>'Inputs &amp; Summary'!O69*'Inputs &amp; Summary'!$P$103</f>
        <v>0</v>
      </c>
      <c r="M11" s="41"/>
      <c r="N11" s="41"/>
      <c r="O11" s="41"/>
      <c r="P11" s="41"/>
      <c r="Q11" s="41"/>
      <c r="R11" s="41"/>
      <c r="S11" s="41"/>
      <c r="T11" s="41"/>
      <c r="U11" s="41"/>
      <c r="V11" s="41"/>
      <c r="W11" s="41"/>
      <c r="X11" s="41"/>
      <c r="Y11" s="41"/>
      <c r="Z11" s="41"/>
      <c r="AA11" s="41"/>
    </row>
    <row r="12" spans="1:27" x14ac:dyDescent="0.3">
      <c r="A12" s="124" t="s">
        <v>130</v>
      </c>
      <c r="B12" s="156">
        <f>(B$10&lt;=$B$6)*'K. Opt0'!B13</f>
        <v>3015.3413775099643</v>
      </c>
      <c r="C12" s="156">
        <f>(C$10&lt;=$B$6)*'K. Opt0'!C13</f>
        <v>3045.9367189380764</v>
      </c>
      <c r="D12" s="156">
        <f>(D$10&lt;=$B$6)*'K. Opt0'!D13</f>
        <v>0</v>
      </c>
      <c r="E12" s="156">
        <f>(E$10&lt;=$B$6)*'K. Opt0'!E13</f>
        <v>0</v>
      </c>
      <c r="F12" s="156">
        <f>(F$10&lt;=$B$6)*'K. Opt0'!F13</f>
        <v>0</v>
      </c>
      <c r="G12" s="156">
        <f>(G$10&lt;=$B$6)*'K. Opt0'!G13</f>
        <v>0</v>
      </c>
      <c r="H12" s="156">
        <f>(H$10&lt;=$B$6)*'K. Opt0'!H13</f>
        <v>0</v>
      </c>
      <c r="I12" s="156">
        <f>(I$10&lt;=$B$6)*'K. Opt0'!I13</f>
        <v>0</v>
      </c>
      <c r="J12" s="156">
        <f>(J$10&lt;=$B$6)*'K. Opt0'!J13</f>
        <v>0</v>
      </c>
      <c r="K12" s="156">
        <f>(K$10&lt;=$B$6)*'K. Opt0'!K13</f>
        <v>0</v>
      </c>
      <c r="L12" s="156">
        <f>(L$10&lt;=$B$6)*'K. Opt0'!L13</f>
        <v>0</v>
      </c>
      <c r="M12" s="156">
        <f>(M$10&lt;=$B$6)*'K. Opt0'!M13</f>
        <v>0</v>
      </c>
      <c r="N12" s="156">
        <f>(N$10&lt;=$B$6)*'K. Opt0'!N13</f>
        <v>0</v>
      </c>
      <c r="O12" s="156">
        <f>(O$10&lt;=$B$6)*'K. Opt0'!O13</f>
        <v>0</v>
      </c>
      <c r="P12" s="156">
        <f>(P$10&lt;=$B$6)*'K. Opt0'!P13</f>
        <v>0</v>
      </c>
      <c r="Q12" s="156">
        <f>(Q$10&lt;=$B$6)*'K. Opt0'!Q13</f>
        <v>0</v>
      </c>
      <c r="R12" s="156">
        <f>(R$10&lt;=$B$6)*'K. Opt0'!R13</f>
        <v>0</v>
      </c>
      <c r="S12" s="156">
        <f>(S$10&lt;=$B$6)*'K. Opt0'!S13</f>
        <v>0</v>
      </c>
      <c r="T12" s="156">
        <f>(T$10&lt;=$B$6)*'K. Opt0'!T13</f>
        <v>0</v>
      </c>
      <c r="U12" s="156">
        <f>(U$10&lt;=$B$6)*'K. Opt0'!U13</f>
        <v>0</v>
      </c>
      <c r="V12" s="156">
        <f>(V$10&lt;=$B$6)*'K. Opt0'!V13</f>
        <v>0</v>
      </c>
      <c r="W12" s="156">
        <f>(W$10&lt;=$B$6)*'K. Opt0'!W13</f>
        <v>0</v>
      </c>
      <c r="X12" s="156">
        <f>(X$10&lt;=$B$6)*'K. Opt0'!X13</f>
        <v>0</v>
      </c>
      <c r="Y12" s="156">
        <f>(Y$10&lt;=$B$6)*'K. Opt0'!Y13</f>
        <v>0</v>
      </c>
      <c r="Z12" s="156">
        <f>(Z$10&lt;=$B$6)*'K. Opt0'!Z13</f>
        <v>0</v>
      </c>
      <c r="AA12" s="156">
        <f>(AA$10&lt;=$B$6)*'K. Opt0'!AA13</f>
        <v>0</v>
      </c>
    </row>
    <row r="13" spans="1:27" x14ac:dyDescent="0.3">
      <c r="A13" s="75" t="s">
        <v>275</v>
      </c>
      <c r="B13" s="198">
        <f>(B$10&lt;=$B$6)*B32</f>
        <v>673.17750000000012</v>
      </c>
      <c r="C13" s="198">
        <f t="shared" ref="C13:AA13" si="2">(C$10&lt;=$B$6)*C32</f>
        <v>681.25563000000011</v>
      </c>
      <c r="D13" s="198">
        <f t="shared" si="2"/>
        <v>0</v>
      </c>
      <c r="E13" s="198">
        <f t="shared" si="2"/>
        <v>0</v>
      </c>
      <c r="F13" s="198">
        <f t="shared" si="2"/>
        <v>0</v>
      </c>
      <c r="G13" s="198">
        <f t="shared" si="2"/>
        <v>0</v>
      </c>
      <c r="H13" s="198">
        <f t="shared" si="2"/>
        <v>0</v>
      </c>
      <c r="I13" s="198">
        <f t="shared" si="2"/>
        <v>0</v>
      </c>
      <c r="J13" s="198">
        <f t="shared" si="2"/>
        <v>0</v>
      </c>
      <c r="K13" s="198">
        <f t="shared" si="2"/>
        <v>0</v>
      </c>
      <c r="L13" s="198">
        <f t="shared" si="2"/>
        <v>0</v>
      </c>
      <c r="M13" s="198">
        <f t="shared" si="2"/>
        <v>0</v>
      </c>
      <c r="N13" s="198">
        <f t="shared" si="2"/>
        <v>0</v>
      </c>
      <c r="O13" s="198">
        <f t="shared" si="2"/>
        <v>0</v>
      </c>
      <c r="P13" s="198">
        <f t="shared" si="2"/>
        <v>0</v>
      </c>
      <c r="Q13" s="198">
        <f t="shared" si="2"/>
        <v>0</v>
      </c>
      <c r="R13" s="198">
        <f t="shared" si="2"/>
        <v>0</v>
      </c>
      <c r="S13" s="198">
        <f t="shared" si="2"/>
        <v>0</v>
      </c>
      <c r="T13" s="198">
        <f t="shared" si="2"/>
        <v>0</v>
      </c>
      <c r="U13" s="198">
        <f t="shared" si="2"/>
        <v>0</v>
      </c>
      <c r="V13" s="198">
        <f t="shared" si="2"/>
        <v>0</v>
      </c>
      <c r="W13" s="198">
        <f t="shared" si="2"/>
        <v>0</v>
      </c>
      <c r="X13" s="198">
        <f t="shared" si="2"/>
        <v>0</v>
      </c>
      <c r="Y13" s="198">
        <f t="shared" si="2"/>
        <v>0</v>
      </c>
      <c r="Z13" s="198">
        <f t="shared" si="2"/>
        <v>0</v>
      </c>
      <c r="AA13" s="198">
        <f t="shared" si="2"/>
        <v>0</v>
      </c>
    </row>
    <row r="14" spans="1:27" ht="15" thickBot="1" x14ac:dyDescent="0.35">
      <c r="A14" s="80" t="s">
        <v>15</v>
      </c>
      <c r="B14" s="77">
        <f>+SUM(B11:B13)</f>
        <v>21188.518877509967</v>
      </c>
      <c r="C14" s="77">
        <f t="shared" ref="C14:AA14" si="3">+SUM(C11:C13)</f>
        <v>21727.192348938075</v>
      </c>
      <c r="D14" s="77">
        <f t="shared" si="3"/>
        <v>0</v>
      </c>
      <c r="E14" s="77">
        <f t="shared" si="3"/>
        <v>0</v>
      </c>
      <c r="F14" s="77">
        <f t="shared" si="3"/>
        <v>0</v>
      </c>
      <c r="G14" s="77">
        <f t="shared" si="3"/>
        <v>0</v>
      </c>
      <c r="H14" s="77">
        <f t="shared" si="3"/>
        <v>0</v>
      </c>
      <c r="I14" s="77">
        <f t="shared" si="3"/>
        <v>0</v>
      </c>
      <c r="J14" s="77">
        <f t="shared" si="3"/>
        <v>0</v>
      </c>
      <c r="K14" s="77">
        <f t="shared" si="3"/>
        <v>0</v>
      </c>
      <c r="L14" s="77">
        <f t="shared" si="3"/>
        <v>0</v>
      </c>
      <c r="M14" s="77">
        <f t="shared" si="3"/>
        <v>0</v>
      </c>
      <c r="N14" s="77">
        <f t="shared" si="3"/>
        <v>0</v>
      </c>
      <c r="O14" s="77">
        <f t="shared" si="3"/>
        <v>0</v>
      </c>
      <c r="P14" s="77">
        <f t="shared" si="3"/>
        <v>0</v>
      </c>
      <c r="Q14" s="77">
        <f t="shared" si="3"/>
        <v>0</v>
      </c>
      <c r="R14" s="77">
        <f t="shared" si="3"/>
        <v>0</v>
      </c>
      <c r="S14" s="77">
        <f t="shared" si="3"/>
        <v>0</v>
      </c>
      <c r="T14" s="77">
        <f t="shared" si="3"/>
        <v>0</v>
      </c>
      <c r="U14" s="77">
        <f t="shared" si="3"/>
        <v>0</v>
      </c>
      <c r="V14" s="77">
        <f t="shared" si="3"/>
        <v>0</v>
      </c>
      <c r="W14" s="77">
        <f t="shared" si="3"/>
        <v>0</v>
      </c>
      <c r="X14" s="77">
        <f t="shared" si="3"/>
        <v>0</v>
      </c>
      <c r="Y14" s="77">
        <f t="shared" si="3"/>
        <v>0</v>
      </c>
      <c r="Z14" s="77">
        <f t="shared" si="3"/>
        <v>0</v>
      </c>
      <c r="AA14" s="77">
        <f t="shared" si="3"/>
        <v>0</v>
      </c>
    </row>
    <row r="15" spans="1:27" x14ac:dyDescent="0.3">
      <c r="A15" s="10"/>
    </row>
    <row r="16" spans="1:27" ht="18" x14ac:dyDescent="0.35">
      <c r="A16" s="94" t="s">
        <v>118</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8" spans="1:27" x14ac:dyDescent="0.3">
      <c r="A18" s="53" t="str">
        <f>'Inputs &amp; Summary'!$B$6</f>
        <v>Yellow shaded cells are input cells</v>
      </c>
      <c r="C18" s="364" t="s">
        <v>396</v>
      </c>
      <c r="D18" s="365">
        <f>SUM(B14:AA14)-SUM(B11:AA13)</f>
        <v>0</v>
      </c>
      <c r="G18" s="82" t="s">
        <v>274</v>
      </c>
      <c r="H18" s="83"/>
      <c r="I18" s="83"/>
      <c r="J18" s="83"/>
      <c r="K18" s="83"/>
      <c r="L18" s="83"/>
      <c r="M18" s="83"/>
      <c r="N18" s="83"/>
      <c r="O18" s="83"/>
      <c r="P18" s="83"/>
      <c r="Q18" s="84"/>
    </row>
    <row r="19" spans="1:27" x14ac:dyDescent="0.3">
      <c r="G19" s="85" t="s">
        <v>273</v>
      </c>
      <c r="H19" s="72"/>
      <c r="I19" s="72"/>
      <c r="J19" s="72"/>
      <c r="K19" s="72"/>
      <c r="L19" s="72"/>
      <c r="M19" s="72"/>
      <c r="N19" s="72"/>
      <c r="O19" s="72"/>
      <c r="P19" s="72"/>
      <c r="Q19" s="86"/>
    </row>
    <row r="20" spans="1:27" ht="18" x14ac:dyDescent="0.35">
      <c r="A20" s="109" t="s">
        <v>272</v>
      </c>
      <c r="B20" s="110"/>
    </row>
    <row r="21" spans="1:27" x14ac:dyDescent="0.3">
      <c r="A21" s="45" t="s">
        <v>201</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row>
    <row r="22" spans="1:27" x14ac:dyDescent="0.3">
      <c r="A22" s="124" t="s">
        <v>266</v>
      </c>
      <c r="B22" s="173">
        <f>'Inputs &amp; Summary'!F90+'Inputs &amp; Summary'!F95</f>
        <v>199.46</v>
      </c>
    </row>
    <row r="23" spans="1:27" x14ac:dyDescent="0.3">
      <c r="A23" s="124" t="s">
        <v>41</v>
      </c>
      <c r="B23" s="173">
        <f>'Inputs &amp; Summary'!F101</f>
        <v>135</v>
      </c>
    </row>
    <row r="24" spans="1:27" x14ac:dyDescent="0.3">
      <c r="A24" s="124" t="s">
        <v>39</v>
      </c>
      <c r="B24" s="160">
        <f>'Inputs &amp; Summary'!P176</f>
        <v>2.5000000000000001E-2</v>
      </c>
      <c r="C24" s="1" t="s">
        <v>183</v>
      </c>
    </row>
    <row r="25" spans="1:27" x14ac:dyDescent="0.3">
      <c r="A25" s="326" t="s">
        <v>39</v>
      </c>
      <c r="B25" s="160">
        <f>'Inputs &amp; Summary'!P177</f>
        <v>1.2E-2</v>
      </c>
      <c r="C25" s="1" t="s">
        <v>183</v>
      </c>
    </row>
    <row r="27" spans="1:27" x14ac:dyDescent="0.3">
      <c r="A27" s="3" t="s">
        <v>3</v>
      </c>
      <c r="B27" s="124">
        <v>0</v>
      </c>
      <c r="C27" s="124">
        <f t="shared" ref="C27:AA27" si="4">+B27+1</f>
        <v>1</v>
      </c>
      <c r="D27" s="124">
        <f t="shared" si="4"/>
        <v>2</v>
      </c>
      <c r="E27" s="124">
        <f t="shared" si="4"/>
        <v>3</v>
      </c>
      <c r="F27" s="124">
        <f t="shared" si="4"/>
        <v>4</v>
      </c>
      <c r="G27" s="124">
        <f t="shared" si="4"/>
        <v>5</v>
      </c>
      <c r="H27" s="124">
        <f t="shared" si="4"/>
        <v>6</v>
      </c>
      <c r="I27" s="124">
        <f t="shared" si="4"/>
        <v>7</v>
      </c>
      <c r="J27" s="124">
        <f t="shared" si="4"/>
        <v>8</v>
      </c>
      <c r="K27" s="124">
        <f t="shared" si="4"/>
        <v>9</v>
      </c>
      <c r="L27" s="124">
        <f t="shared" si="4"/>
        <v>10</v>
      </c>
      <c r="M27" s="124">
        <f t="shared" si="4"/>
        <v>11</v>
      </c>
      <c r="N27" s="124">
        <f t="shared" si="4"/>
        <v>12</v>
      </c>
      <c r="O27" s="124">
        <f t="shared" si="4"/>
        <v>13</v>
      </c>
      <c r="P27" s="124">
        <f t="shared" si="4"/>
        <v>14</v>
      </c>
      <c r="Q27" s="124">
        <f t="shared" si="4"/>
        <v>15</v>
      </c>
      <c r="R27" s="124">
        <f t="shared" si="4"/>
        <v>16</v>
      </c>
      <c r="S27" s="124">
        <f t="shared" si="4"/>
        <v>17</v>
      </c>
      <c r="T27" s="124">
        <f t="shared" si="4"/>
        <v>18</v>
      </c>
      <c r="U27" s="124">
        <f t="shared" si="4"/>
        <v>19</v>
      </c>
      <c r="V27" s="124">
        <f t="shared" si="4"/>
        <v>20</v>
      </c>
      <c r="W27" s="124">
        <f t="shared" si="4"/>
        <v>21</v>
      </c>
      <c r="X27" s="124">
        <f t="shared" si="4"/>
        <v>22</v>
      </c>
      <c r="Y27" s="124">
        <f t="shared" si="4"/>
        <v>23</v>
      </c>
      <c r="Z27" s="124">
        <f t="shared" si="4"/>
        <v>24</v>
      </c>
      <c r="AA27" s="124">
        <f t="shared" si="4"/>
        <v>25</v>
      </c>
    </row>
    <row r="28" spans="1:27" x14ac:dyDescent="0.3">
      <c r="A28" s="175" t="s">
        <v>400</v>
      </c>
      <c r="B28" s="174">
        <v>2021</v>
      </c>
      <c r="C28" s="174">
        <f t="shared" ref="C28:AA28" si="5">+B28+1</f>
        <v>2022</v>
      </c>
      <c r="D28" s="174">
        <f t="shared" si="5"/>
        <v>2023</v>
      </c>
      <c r="E28" s="174">
        <f t="shared" si="5"/>
        <v>2024</v>
      </c>
      <c r="F28" s="174">
        <f t="shared" si="5"/>
        <v>2025</v>
      </c>
      <c r="G28" s="174">
        <f t="shared" si="5"/>
        <v>2026</v>
      </c>
      <c r="H28" s="174">
        <f t="shared" si="5"/>
        <v>2027</v>
      </c>
      <c r="I28" s="174">
        <f t="shared" si="5"/>
        <v>2028</v>
      </c>
      <c r="J28" s="174">
        <f t="shared" si="5"/>
        <v>2029</v>
      </c>
      <c r="K28" s="174">
        <f t="shared" si="5"/>
        <v>2030</v>
      </c>
      <c r="L28" s="174">
        <f t="shared" si="5"/>
        <v>2031</v>
      </c>
      <c r="M28" s="174">
        <f t="shared" si="5"/>
        <v>2032</v>
      </c>
      <c r="N28" s="174">
        <f t="shared" si="5"/>
        <v>2033</v>
      </c>
      <c r="O28" s="174">
        <f t="shared" si="5"/>
        <v>2034</v>
      </c>
      <c r="P28" s="174">
        <f t="shared" si="5"/>
        <v>2035</v>
      </c>
      <c r="Q28" s="174">
        <f t="shared" si="5"/>
        <v>2036</v>
      </c>
      <c r="R28" s="174">
        <f t="shared" si="5"/>
        <v>2037</v>
      </c>
      <c r="S28" s="174">
        <f t="shared" si="5"/>
        <v>2038</v>
      </c>
      <c r="T28" s="174">
        <f t="shared" si="5"/>
        <v>2039</v>
      </c>
      <c r="U28" s="174">
        <f t="shared" si="5"/>
        <v>2040</v>
      </c>
      <c r="V28" s="174">
        <f t="shared" si="5"/>
        <v>2041</v>
      </c>
      <c r="W28" s="174">
        <f t="shared" si="5"/>
        <v>2042</v>
      </c>
      <c r="X28" s="174">
        <f t="shared" si="5"/>
        <v>2043</v>
      </c>
      <c r="Y28" s="174">
        <f t="shared" si="5"/>
        <v>2044</v>
      </c>
      <c r="Z28" s="174">
        <f t="shared" si="5"/>
        <v>2045</v>
      </c>
      <c r="AA28" s="174">
        <f t="shared" si="5"/>
        <v>2046</v>
      </c>
    </row>
    <row r="29" spans="1:27" x14ac:dyDescent="0.3">
      <c r="A29" s="1" t="s">
        <v>57</v>
      </c>
      <c r="B29" s="24">
        <f>+(B22*B23*B24)</f>
        <v>673.17750000000012</v>
      </c>
      <c r="C29" s="24">
        <f>+$B$29*(1+$B$25)^C27</f>
        <v>681.25563000000011</v>
      </c>
      <c r="D29" s="24">
        <f t="shared" ref="D29:AA29" si="6">+$B$29*(1+$B$25)^D27</f>
        <v>689.43069756000011</v>
      </c>
      <c r="E29" s="24">
        <f t="shared" si="6"/>
        <v>697.7038659307201</v>
      </c>
      <c r="F29" s="24">
        <f t="shared" si="6"/>
        <v>706.07631232188874</v>
      </c>
      <c r="G29" s="24">
        <f t="shared" si="6"/>
        <v>714.54922806975139</v>
      </c>
      <c r="H29" s="24">
        <f t="shared" si="6"/>
        <v>723.12381880658836</v>
      </c>
      <c r="I29" s="24">
        <f t="shared" si="6"/>
        <v>731.80130463226749</v>
      </c>
      <c r="J29" s="24">
        <f t="shared" si="6"/>
        <v>740.58292028785468</v>
      </c>
      <c r="K29" s="24">
        <f t="shared" si="6"/>
        <v>749.46991533130893</v>
      </c>
      <c r="L29" s="24">
        <f t="shared" si="6"/>
        <v>758.46355431528468</v>
      </c>
      <c r="M29" s="24">
        <f t="shared" si="6"/>
        <v>767.56511696706798</v>
      </c>
      <c r="N29" s="24">
        <f t="shared" si="6"/>
        <v>776.77589837067285</v>
      </c>
      <c r="O29" s="24">
        <f t="shared" si="6"/>
        <v>786.09720915112086</v>
      </c>
      <c r="P29" s="24">
        <f t="shared" si="6"/>
        <v>795.53037566093428</v>
      </c>
      <c r="Q29" s="24">
        <f t="shared" si="6"/>
        <v>805.07674016886574</v>
      </c>
      <c r="R29" s="24">
        <f t="shared" si="6"/>
        <v>814.73766105089203</v>
      </c>
      <c r="S29" s="24">
        <f t="shared" si="6"/>
        <v>824.51451298350275</v>
      </c>
      <c r="T29" s="24">
        <f t="shared" si="6"/>
        <v>834.40868713930467</v>
      </c>
      <c r="U29" s="24">
        <f t="shared" si="6"/>
        <v>844.42159138497641</v>
      </c>
      <c r="V29" s="24">
        <f t="shared" si="6"/>
        <v>854.55465048159601</v>
      </c>
      <c r="W29" s="24">
        <f t="shared" si="6"/>
        <v>864.80930628737531</v>
      </c>
      <c r="X29" s="24">
        <f t="shared" si="6"/>
        <v>875.18701796282357</v>
      </c>
      <c r="Y29" s="24">
        <f t="shared" si="6"/>
        <v>885.68926217837782</v>
      </c>
      <c r="Z29" s="24">
        <f t="shared" si="6"/>
        <v>896.31753332451819</v>
      </c>
      <c r="AA29" s="24">
        <f t="shared" si="6"/>
        <v>907.07334372441233</v>
      </c>
    </row>
    <row r="30" spans="1:27" x14ac:dyDescent="0.3">
      <c r="A30" s="1"/>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x14ac:dyDescent="0.3">
      <c r="A31" s="17" t="s">
        <v>72</v>
      </c>
      <c r="B31" s="17">
        <f t="shared" ref="B31:AA31" si="7">+B10</f>
        <v>2021</v>
      </c>
      <c r="C31" s="17">
        <f t="shared" si="7"/>
        <v>2022</v>
      </c>
      <c r="D31" s="17">
        <f t="shared" si="7"/>
        <v>2023</v>
      </c>
      <c r="E31" s="17">
        <f t="shared" si="7"/>
        <v>2024</v>
      </c>
      <c r="F31" s="17">
        <f t="shared" si="7"/>
        <v>2025</v>
      </c>
      <c r="G31" s="17">
        <f t="shared" si="7"/>
        <v>2026</v>
      </c>
      <c r="H31" s="17">
        <f t="shared" si="7"/>
        <v>2027</v>
      </c>
      <c r="I31" s="17">
        <f t="shared" si="7"/>
        <v>2028</v>
      </c>
      <c r="J31" s="17">
        <f t="shared" si="7"/>
        <v>2029</v>
      </c>
      <c r="K31" s="17">
        <f t="shared" si="7"/>
        <v>2030</v>
      </c>
      <c r="L31" s="17">
        <f t="shared" si="7"/>
        <v>2031</v>
      </c>
      <c r="M31" s="17">
        <f t="shared" si="7"/>
        <v>2032</v>
      </c>
      <c r="N31" s="17">
        <f t="shared" si="7"/>
        <v>2033</v>
      </c>
      <c r="O31" s="17">
        <f t="shared" si="7"/>
        <v>2034</v>
      </c>
      <c r="P31" s="17">
        <f t="shared" si="7"/>
        <v>2035</v>
      </c>
      <c r="Q31" s="17">
        <f t="shared" si="7"/>
        <v>2036</v>
      </c>
      <c r="R31" s="17">
        <f t="shared" si="7"/>
        <v>2037</v>
      </c>
      <c r="S31" s="17">
        <f t="shared" si="7"/>
        <v>2038</v>
      </c>
      <c r="T31" s="17">
        <f t="shared" si="7"/>
        <v>2039</v>
      </c>
      <c r="U31" s="17">
        <f t="shared" si="7"/>
        <v>2040</v>
      </c>
      <c r="V31" s="17">
        <f t="shared" si="7"/>
        <v>2041</v>
      </c>
      <c r="W31" s="17">
        <f t="shared" si="7"/>
        <v>2042</v>
      </c>
      <c r="X31" s="17">
        <f t="shared" si="7"/>
        <v>2043</v>
      </c>
      <c r="Y31" s="17">
        <f t="shared" si="7"/>
        <v>2044</v>
      </c>
      <c r="Z31" s="17">
        <f t="shared" si="7"/>
        <v>2045</v>
      </c>
      <c r="AA31" s="17">
        <f t="shared" si="7"/>
        <v>2046</v>
      </c>
    </row>
    <row r="32" spans="1:27" s="1" customFormat="1" ht="15" thickBot="1" x14ac:dyDescent="0.35">
      <c r="A32" s="38" t="s">
        <v>197</v>
      </c>
      <c r="B32" s="39">
        <f t="shared" ref="B32:AA32" si="8">+B29</f>
        <v>673.17750000000012</v>
      </c>
      <c r="C32" s="39">
        <f t="shared" si="8"/>
        <v>681.25563000000011</v>
      </c>
      <c r="D32" s="39">
        <f t="shared" si="8"/>
        <v>689.43069756000011</v>
      </c>
      <c r="E32" s="39">
        <f t="shared" si="8"/>
        <v>697.7038659307201</v>
      </c>
      <c r="F32" s="39">
        <f t="shared" si="8"/>
        <v>706.07631232188874</v>
      </c>
      <c r="G32" s="39">
        <f t="shared" si="8"/>
        <v>714.54922806975139</v>
      </c>
      <c r="H32" s="39">
        <f t="shared" si="8"/>
        <v>723.12381880658836</v>
      </c>
      <c r="I32" s="39">
        <f t="shared" si="8"/>
        <v>731.80130463226749</v>
      </c>
      <c r="J32" s="39">
        <f t="shared" si="8"/>
        <v>740.58292028785468</v>
      </c>
      <c r="K32" s="39">
        <f t="shared" si="8"/>
        <v>749.46991533130893</v>
      </c>
      <c r="L32" s="39">
        <f t="shared" si="8"/>
        <v>758.46355431528468</v>
      </c>
      <c r="M32" s="39">
        <f t="shared" si="8"/>
        <v>767.56511696706798</v>
      </c>
      <c r="N32" s="39">
        <f t="shared" si="8"/>
        <v>776.77589837067285</v>
      </c>
      <c r="O32" s="39">
        <f t="shared" si="8"/>
        <v>786.09720915112086</v>
      </c>
      <c r="P32" s="39">
        <f t="shared" si="8"/>
        <v>795.53037566093428</v>
      </c>
      <c r="Q32" s="39">
        <f t="shared" si="8"/>
        <v>805.07674016886574</v>
      </c>
      <c r="R32" s="39">
        <f t="shared" si="8"/>
        <v>814.73766105089203</v>
      </c>
      <c r="S32" s="39">
        <f t="shared" si="8"/>
        <v>824.51451298350275</v>
      </c>
      <c r="T32" s="39">
        <f t="shared" si="8"/>
        <v>834.40868713930467</v>
      </c>
      <c r="U32" s="39">
        <f t="shared" si="8"/>
        <v>844.42159138497641</v>
      </c>
      <c r="V32" s="39">
        <f t="shared" si="8"/>
        <v>854.55465048159601</v>
      </c>
      <c r="W32" s="39">
        <f t="shared" si="8"/>
        <v>864.80930628737531</v>
      </c>
      <c r="X32" s="39">
        <f t="shared" si="8"/>
        <v>875.18701796282357</v>
      </c>
      <c r="Y32" s="39">
        <f t="shared" si="8"/>
        <v>885.68926217837782</v>
      </c>
      <c r="Z32" s="39">
        <f t="shared" si="8"/>
        <v>896.31753332451819</v>
      </c>
      <c r="AA32" s="39">
        <f t="shared" si="8"/>
        <v>907.07334372441233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7C59-DD37-4088-9CF0-7D388218286A}">
  <sheetPr>
    <tabColor rgb="FF7030A0"/>
  </sheetPr>
  <dimension ref="A1:AB151"/>
  <sheetViews>
    <sheetView showGridLines="0" zoomScale="80" zoomScaleNormal="80" workbookViewId="0">
      <selection activeCell="B100" sqref="B100"/>
    </sheetView>
  </sheetViews>
  <sheetFormatPr defaultColWidth="8.77734375" defaultRowHeight="14.4" x14ac:dyDescent="0.3"/>
  <cols>
    <col min="1" max="1" width="44.109375" style="124" customWidth="1"/>
    <col min="2" max="16384" width="8.77734375" style="124"/>
  </cols>
  <sheetData>
    <row r="1" spans="1:28" ht="21" x14ac:dyDescent="0.4">
      <c r="A1" s="2" t="str">
        <f>'Inputs &amp; Summary'!B70</f>
        <v>Keysborough: Minimum spend</v>
      </c>
      <c r="G1" s="99" t="s">
        <v>158</v>
      </c>
      <c r="H1" s="83"/>
      <c r="I1" s="83"/>
      <c r="J1" s="83"/>
      <c r="K1" s="83"/>
      <c r="L1" s="83"/>
      <c r="M1" s="83"/>
      <c r="N1" s="83"/>
      <c r="O1" s="83"/>
      <c r="P1" s="83"/>
      <c r="Q1" s="83"/>
      <c r="R1" s="83"/>
      <c r="S1" s="83"/>
      <c r="T1" s="83"/>
      <c r="U1" s="83"/>
      <c r="V1" s="83"/>
      <c r="W1" s="83"/>
      <c r="X1" s="83"/>
      <c r="Y1" s="84"/>
    </row>
    <row r="2" spans="1:28" x14ac:dyDescent="0.3">
      <c r="A2" s="10" t="str">
        <f>'Inputs &amp; Summary'!B5</f>
        <v>All values shown are costs, expressed in $000 as at June 2021 unless otherwise stated.</v>
      </c>
      <c r="B2" s="4"/>
      <c r="C2" s="1"/>
      <c r="D2" s="1"/>
      <c r="E2" s="1"/>
      <c r="F2" s="1"/>
      <c r="G2" s="100" t="s">
        <v>174</v>
      </c>
      <c r="H2" s="71"/>
      <c r="I2" s="71"/>
      <c r="J2" s="71"/>
      <c r="K2" s="71"/>
      <c r="L2" s="71"/>
      <c r="M2" s="71"/>
      <c r="N2" s="71"/>
      <c r="O2" s="71"/>
      <c r="P2" s="71"/>
      <c r="Q2" s="71"/>
      <c r="R2" s="71"/>
      <c r="S2" s="71"/>
      <c r="T2" s="71"/>
      <c r="U2" s="71"/>
      <c r="V2" s="71"/>
      <c r="W2" s="71"/>
      <c r="X2" s="71"/>
      <c r="Y2" s="98"/>
      <c r="Z2" s="1"/>
      <c r="AA2" s="1"/>
      <c r="AB2" s="1"/>
    </row>
    <row r="3" spans="1:28" x14ac:dyDescent="0.3">
      <c r="A3" s="10"/>
      <c r="B3" s="4"/>
      <c r="C3" s="1"/>
      <c r="D3" s="1"/>
      <c r="E3" s="1"/>
      <c r="F3" s="1"/>
      <c r="G3" s="1"/>
      <c r="H3" s="1"/>
      <c r="I3" s="1"/>
      <c r="J3" s="1"/>
      <c r="K3" s="1"/>
      <c r="L3" s="1"/>
      <c r="M3" s="1"/>
      <c r="N3" s="1"/>
      <c r="O3" s="1"/>
      <c r="P3" s="1"/>
      <c r="Q3" s="1"/>
      <c r="R3" s="1"/>
      <c r="S3" s="1"/>
      <c r="T3" s="1"/>
      <c r="U3" s="1"/>
      <c r="V3" s="1"/>
      <c r="W3" s="1"/>
      <c r="X3" s="1"/>
      <c r="Y3" s="1"/>
      <c r="Z3" s="1"/>
      <c r="AA3" s="1"/>
      <c r="AB3" s="1"/>
    </row>
    <row r="4" spans="1:28" s="196" customFormat="1" x14ac:dyDescent="0.3">
      <c r="A4" s="10" t="s">
        <v>287</v>
      </c>
      <c r="B4" s="208">
        <f>'Inputs &amp; Summary'!P70</f>
        <v>2025</v>
      </c>
      <c r="C4" s="1"/>
      <c r="D4" s="1"/>
      <c r="E4" s="1"/>
      <c r="F4" s="1"/>
      <c r="G4" s="1"/>
      <c r="H4" s="1"/>
      <c r="I4" s="1"/>
      <c r="J4" s="1"/>
      <c r="K4" s="1"/>
      <c r="L4" s="1"/>
      <c r="M4" s="1"/>
      <c r="N4" s="1"/>
      <c r="O4" s="1"/>
      <c r="P4" s="1"/>
      <c r="Q4" s="1"/>
      <c r="R4" s="1"/>
      <c r="S4" s="1"/>
      <c r="T4" s="1"/>
      <c r="U4" s="1"/>
      <c r="V4" s="1"/>
      <c r="W4" s="1"/>
      <c r="X4" s="1"/>
      <c r="Y4" s="1"/>
      <c r="Z4" s="1"/>
      <c r="AA4" s="1"/>
      <c r="AB4" s="1"/>
    </row>
    <row r="5" spans="1:28" s="196" customFormat="1" x14ac:dyDescent="0.3">
      <c r="A5" s="10"/>
      <c r="B5" s="4"/>
      <c r="C5" s="1"/>
      <c r="D5" s="1"/>
      <c r="E5" s="1"/>
      <c r="F5" s="1"/>
      <c r="G5" s="1"/>
      <c r="H5" s="1"/>
      <c r="I5" s="1"/>
      <c r="J5" s="1"/>
      <c r="K5" s="1"/>
      <c r="L5" s="1"/>
      <c r="M5" s="1"/>
      <c r="N5" s="1"/>
      <c r="O5" s="1"/>
      <c r="P5" s="1"/>
      <c r="Q5" s="1"/>
      <c r="R5" s="1"/>
      <c r="S5" s="1"/>
      <c r="T5" s="1"/>
      <c r="U5" s="1"/>
      <c r="V5" s="1"/>
      <c r="W5" s="1"/>
      <c r="X5" s="1"/>
      <c r="Y5" s="1"/>
      <c r="Z5" s="1"/>
      <c r="AA5" s="1"/>
      <c r="AB5" s="1"/>
    </row>
    <row r="6" spans="1:28" ht="18" x14ac:dyDescent="0.35">
      <c r="A6" s="94" t="s">
        <v>117</v>
      </c>
      <c r="B6" s="95"/>
      <c r="C6" s="95"/>
      <c r="D6" s="95"/>
      <c r="E6" s="95"/>
      <c r="F6" s="95"/>
      <c r="G6" s="95"/>
      <c r="H6" s="95"/>
      <c r="I6" s="95"/>
      <c r="J6" s="95"/>
      <c r="K6" s="95"/>
      <c r="L6" s="95"/>
      <c r="M6" s="95"/>
      <c r="N6" s="95"/>
      <c r="O6" s="95"/>
      <c r="P6" s="95"/>
      <c r="Q6" s="95"/>
      <c r="R6" s="95"/>
      <c r="S6" s="95"/>
      <c r="T6" s="95"/>
      <c r="U6" s="95"/>
      <c r="V6" s="95"/>
      <c r="W6" s="95"/>
      <c r="X6" s="95"/>
      <c r="Y6" s="95"/>
      <c r="Z6" s="95"/>
      <c r="AA6" s="95"/>
    </row>
    <row r="7" spans="1:28" x14ac:dyDescent="0.3">
      <c r="A7" s="3" t="s">
        <v>3</v>
      </c>
      <c r="B7" s="124">
        <v>0</v>
      </c>
      <c r="C7" s="124">
        <f t="shared" ref="C7:AA7" si="0">+B7+1</f>
        <v>1</v>
      </c>
      <c r="D7" s="124">
        <f t="shared" si="0"/>
        <v>2</v>
      </c>
      <c r="E7" s="124">
        <f t="shared" si="0"/>
        <v>3</v>
      </c>
      <c r="F7" s="124">
        <f t="shared" si="0"/>
        <v>4</v>
      </c>
      <c r="G7" s="124">
        <f t="shared" si="0"/>
        <v>5</v>
      </c>
      <c r="H7" s="124">
        <f t="shared" si="0"/>
        <v>6</v>
      </c>
      <c r="I7" s="124">
        <f t="shared" si="0"/>
        <v>7</v>
      </c>
      <c r="J7" s="124">
        <f t="shared" si="0"/>
        <v>8</v>
      </c>
      <c r="K7" s="124">
        <f t="shared" si="0"/>
        <v>9</v>
      </c>
      <c r="L7" s="124">
        <f t="shared" si="0"/>
        <v>10</v>
      </c>
      <c r="M7" s="124">
        <f t="shared" si="0"/>
        <v>11</v>
      </c>
      <c r="N7" s="124">
        <f t="shared" si="0"/>
        <v>12</v>
      </c>
      <c r="O7" s="124">
        <f t="shared" si="0"/>
        <v>13</v>
      </c>
      <c r="P7" s="124">
        <f t="shared" si="0"/>
        <v>14</v>
      </c>
      <c r="Q7" s="124">
        <f t="shared" si="0"/>
        <v>15</v>
      </c>
      <c r="R7" s="124">
        <f t="shared" si="0"/>
        <v>16</v>
      </c>
      <c r="S7" s="124">
        <f t="shared" si="0"/>
        <v>17</v>
      </c>
      <c r="T7" s="124">
        <f t="shared" si="0"/>
        <v>18</v>
      </c>
      <c r="U7" s="124">
        <f t="shared" si="0"/>
        <v>19</v>
      </c>
      <c r="V7" s="124">
        <f t="shared" si="0"/>
        <v>20</v>
      </c>
      <c r="W7" s="124">
        <f t="shared" si="0"/>
        <v>21</v>
      </c>
      <c r="X7" s="124">
        <f t="shared" si="0"/>
        <v>22</v>
      </c>
      <c r="Y7" s="124">
        <f t="shared" si="0"/>
        <v>23</v>
      </c>
      <c r="Z7" s="124">
        <f t="shared" si="0"/>
        <v>24</v>
      </c>
      <c r="AA7" s="124">
        <f t="shared" si="0"/>
        <v>25</v>
      </c>
    </row>
    <row r="8" spans="1:28" x14ac:dyDescent="0.3">
      <c r="A8" s="175" t="s">
        <v>400</v>
      </c>
      <c r="B8" s="174">
        <v>2021</v>
      </c>
      <c r="C8" s="174">
        <f t="shared" ref="C8:AA8" si="1">+B8+1</f>
        <v>2022</v>
      </c>
      <c r="D8" s="174">
        <f t="shared" si="1"/>
        <v>2023</v>
      </c>
      <c r="E8" s="174">
        <f t="shared" si="1"/>
        <v>2024</v>
      </c>
      <c r="F8" s="174">
        <f t="shared" si="1"/>
        <v>2025</v>
      </c>
      <c r="G8" s="174">
        <f t="shared" si="1"/>
        <v>2026</v>
      </c>
      <c r="H8" s="174">
        <f t="shared" si="1"/>
        <v>2027</v>
      </c>
      <c r="I8" s="174">
        <f t="shared" si="1"/>
        <v>2028</v>
      </c>
      <c r="J8" s="174">
        <f t="shared" si="1"/>
        <v>2029</v>
      </c>
      <c r="K8" s="174">
        <f t="shared" si="1"/>
        <v>2030</v>
      </c>
      <c r="L8" s="174">
        <f t="shared" si="1"/>
        <v>2031</v>
      </c>
      <c r="M8" s="174">
        <f t="shared" si="1"/>
        <v>2032</v>
      </c>
      <c r="N8" s="174">
        <f t="shared" si="1"/>
        <v>2033</v>
      </c>
      <c r="O8" s="174">
        <f t="shared" si="1"/>
        <v>2034</v>
      </c>
      <c r="P8" s="174">
        <f t="shared" si="1"/>
        <v>2035</v>
      </c>
      <c r="Q8" s="174">
        <f t="shared" si="1"/>
        <v>2036</v>
      </c>
      <c r="R8" s="174">
        <f t="shared" si="1"/>
        <v>2037</v>
      </c>
      <c r="S8" s="174">
        <f t="shared" si="1"/>
        <v>2038</v>
      </c>
      <c r="T8" s="174">
        <f t="shared" si="1"/>
        <v>2039</v>
      </c>
      <c r="U8" s="174">
        <f t="shared" si="1"/>
        <v>2040</v>
      </c>
      <c r="V8" s="174">
        <f t="shared" si="1"/>
        <v>2041</v>
      </c>
      <c r="W8" s="174">
        <f t="shared" si="1"/>
        <v>2042</v>
      </c>
      <c r="X8" s="174">
        <f t="shared" si="1"/>
        <v>2043</v>
      </c>
      <c r="Y8" s="174">
        <f t="shared" si="1"/>
        <v>2044</v>
      </c>
      <c r="Z8" s="174">
        <f t="shared" si="1"/>
        <v>2045</v>
      </c>
      <c r="AA8" s="174">
        <f t="shared" si="1"/>
        <v>2046</v>
      </c>
    </row>
    <row r="9" spans="1:28" x14ac:dyDescent="0.3">
      <c r="A9" s="124" t="str">
        <f>+A21</f>
        <v>(A) Cost of inadequate depot capacity</v>
      </c>
      <c r="B9" s="73">
        <f t="shared" ref="B9:AA9" si="2">+B48</f>
        <v>335.21793875498207</v>
      </c>
      <c r="C9" s="73">
        <f t="shared" si="2"/>
        <v>338.77077966903789</v>
      </c>
      <c r="D9" s="73">
        <f t="shared" si="2"/>
        <v>342.36341240133112</v>
      </c>
      <c r="E9" s="73">
        <f t="shared" si="2"/>
        <v>345.99628262022611</v>
      </c>
      <c r="F9" s="73">
        <f t="shared" si="2"/>
        <v>349.66984098557265</v>
      </c>
      <c r="G9" s="73">
        <f t="shared" si="2"/>
        <v>353.38454320461102</v>
      </c>
      <c r="H9" s="73">
        <f t="shared" si="2"/>
        <v>357.1408500885027</v>
      </c>
      <c r="I9" s="73">
        <f t="shared" si="2"/>
        <v>360.93922760949403</v>
      </c>
      <c r="J9" s="73">
        <f t="shared" si="2"/>
        <v>364.78014695872031</v>
      </c>
      <c r="K9" s="73">
        <f t="shared" si="2"/>
        <v>368.66408460465806</v>
      </c>
      <c r="L9" s="73">
        <f t="shared" si="2"/>
        <v>372.59152235223024</v>
      </c>
      <c r="M9" s="73">
        <f t="shared" si="2"/>
        <v>376.56294740257522</v>
      </c>
      <c r="N9" s="73">
        <f t="shared" si="2"/>
        <v>380.57885241348407</v>
      </c>
      <c r="O9" s="73">
        <f t="shared" si="2"/>
        <v>384.63973556051513</v>
      </c>
      <c r="P9" s="73">
        <f t="shared" si="2"/>
        <v>388.74610059879296</v>
      </c>
      <c r="Q9" s="73">
        <f t="shared" si="2"/>
        <v>392.89845692549954</v>
      </c>
      <c r="R9" s="73">
        <f t="shared" si="2"/>
        <v>397.09731964306508</v>
      </c>
      <c r="S9" s="73">
        <f t="shared" si="2"/>
        <v>401.34320962306742</v>
      </c>
      <c r="T9" s="73">
        <f t="shared" si="2"/>
        <v>405.63665357084579</v>
      </c>
      <c r="U9" s="73">
        <f t="shared" si="2"/>
        <v>409.97818409083931</v>
      </c>
      <c r="V9" s="73">
        <f t="shared" si="2"/>
        <v>414.36833975265677</v>
      </c>
      <c r="W9" s="73">
        <f t="shared" si="2"/>
        <v>418.8076651578865</v>
      </c>
      <c r="X9" s="73">
        <f t="shared" si="2"/>
        <v>423.29671100765495</v>
      </c>
      <c r="Y9" s="73">
        <f t="shared" si="2"/>
        <v>427.83603417094071</v>
      </c>
      <c r="Z9" s="73">
        <f t="shared" si="2"/>
        <v>432.42619775365517</v>
      </c>
      <c r="AA9" s="73">
        <f t="shared" si="2"/>
        <v>437.06777116849622</v>
      </c>
    </row>
    <row r="10" spans="1:28" x14ac:dyDescent="0.3">
      <c r="A10" s="124" t="str">
        <f>+A50</f>
        <v>(B) Cost of inadequate storage</v>
      </c>
      <c r="B10" s="73">
        <f t="shared" ref="B10:AA10" si="3">+B84</f>
        <v>831.13843875498208</v>
      </c>
      <c r="C10" s="73">
        <f t="shared" si="3"/>
        <v>840.14967926903796</v>
      </c>
      <c r="D10" s="73">
        <f t="shared" si="3"/>
        <v>849.26633955685122</v>
      </c>
      <c r="E10" s="73">
        <f t="shared" si="3"/>
        <v>858.48965424644803</v>
      </c>
      <c r="F10" s="73">
        <f t="shared" si="3"/>
        <v>867.82087244080685</v>
      </c>
      <c r="G10" s="73">
        <f t="shared" si="3"/>
        <v>877.26125788774425</v>
      </c>
      <c r="H10" s="73">
        <f t="shared" si="3"/>
        <v>886.81208915179445</v>
      </c>
      <c r="I10" s="73">
        <f t="shared" si="3"/>
        <v>896.47465978811078</v>
      </c>
      <c r="J10" s="73">
        <f t="shared" si="3"/>
        <v>906.25027851840741</v>
      </c>
      <c r="K10" s="73">
        <f t="shared" si="3"/>
        <v>916.14026940897133</v>
      </c>
      <c r="L10" s="73">
        <f t="shared" si="3"/>
        <v>926.14597205076359</v>
      </c>
      <c r="M10" s="73">
        <f t="shared" si="3"/>
        <v>936.26874174163686</v>
      </c>
      <c r="N10" s="73">
        <f t="shared" si="3"/>
        <v>946.50994967069482</v>
      </c>
      <c r="O10" s="73">
        <f t="shared" si="3"/>
        <v>956.87098310481679</v>
      </c>
      <c r="P10" s="73">
        <f t="shared" si="3"/>
        <v>967.35324557737454</v>
      </c>
      <c r="Q10" s="73">
        <f t="shared" si="3"/>
        <v>977.95815707916654</v>
      </c>
      <c r="R10" s="73">
        <f t="shared" si="3"/>
        <v>988.68715425159439</v>
      </c>
      <c r="S10" s="73">
        <f t="shared" si="3"/>
        <v>999.54169058211107</v>
      </c>
      <c r="T10" s="73">
        <f t="shared" si="3"/>
        <v>1010.5232366019644</v>
      </c>
      <c r="U10" s="73">
        <f t="shared" si="3"/>
        <v>1021.6332800862641</v>
      </c>
      <c r="V10" s="73">
        <f t="shared" si="3"/>
        <v>1032.8733262564001</v>
      </c>
      <c r="W10" s="73">
        <f t="shared" si="3"/>
        <v>1044.24489798484</v>
      </c>
      <c r="X10" s="73">
        <f t="shared" si="3"/>
        <v>1055.7495360023304</v>
      </c>
      <c r="Y10" s="73">
        <f t="shared" si="3"/>
        <v>1067.388799107538</v>
      </c>
      <c r="Z10" s="73">
        <f t="shared" si="3"/>
        <v>1079.1642643791472</v>
      </c>
      <c r="AA10" s="73">
        <f t="shared" si="3"/>
        <v>1091.0775273904578</v>
      </c>
    </row>
    <row r="11" spans="1:28" s="196" customFormat="1" x14ac:dyDescent="0.3">
      <c r="A11" s="196" t="s">
        <v>294</v>
      </c>
      <c r="B11" s="67">
        <f>'Inputs &amp; Summary'!E70</f>
        <v>11400</v>
      </c>
      <c r="C11" s="67">
        <f>'Inputs &amp; Summary'!F70</f>
        <v>0</v>
      </c>
      <c r="D11" s="67">
        <f>'Inputs &amp; Summary'!G70</f>
        <v>0</v>
      </c>
      <c r="E11" s="67">
        <f>'Inputs &amp; Summary'!H70</f>
        <v>0</v>
      </c>
      <c r="F11" s="67">
        <f>'Inputs &amp; Summary'!I70</f>
        <v>140</v>
      </c>
      <c r="G11" s="67">
        <f>'Inputs &amp; Summary'!J70</f>
        <v>0</v>
      </c>
      <c r="H11" s="67">
        <f>'Inputs &amp; Summary'!K70</f>
        <v>0</v>
      </c>
      <c r="I11" s="67">
        <f>'Inputs &amp; Summary'!L70</f>
        <v>0</v>
      </c>
      <c r="J11" s="67">
        <f>'Inputs &amp; Summary'!M70</f>
        <v>0</v>
      </c>
      <c r="K11" s="67">
        <f>'Inputs &amp; Summary'!N70</f>
        <v>0</v>
      </c>
      <c r="L11" s="67">
        <f>'Inputs &amp; Summary'!O70</f>
        <v>0</v>
      </c>
      <c r="M11" s="73"/>
      <c r="N11" s="73"/>
      <c r="O11" s="73"/>
      <c r="P11" s="73"/>
      <c r="Q11" s="73"/>
      <c r="R11" s="73"/>
      <c r="S11" s="73"/>
      <c r="T11" s="73"/>
      <c r="U11" s="73"/>
      <c r="V11" s="73"/>
      <c r="W11" s="73"/>
      <c r="X11" s="73"/>
      <c r="Y11" s="73"/>
      <c r="Z11" s="73"/>
      <c r="AA11" s="73"/>
    </row>
    <row r="12" spans="1:28" x14ac:dyDescent="0.3">
      <c r="A12" s="124" t="str">
        <f>+A86</f>
        <v xml:space="preserve">(C) Cost of not addressing structural issues </v>
      </c>
      <c r="B12" s="73">
        <f>B93+B112</f>
        <v>219.21</v>
      </c>
      <c r="C12" s="73">
        <f t="shared" ref="C12:AA12" si="4">C93+C112</f>
        <v>221.08500000000001</v>
      </c>
      <c r="D12" s="73">
        <f t="shared" si="4"/>
        <v>223.00687500000001</v>
      </c>
      <c r="E12" s="73">
        <f t="shared" si="4"/>
        <v>224.97679687499999</v>
      </c>
      <c r="F12" s="73">
        <f t="shared" si="4"/>
        <v>0</v>
      </c>
      <c r="G12" s="73">
        <f t="shared" si="4"/>
        <v>0</v>
      </c>
      <c r="H12" s="73">
        <f t="shared" si="4"/>
        <v>0</v>
      </c>
      <c r="I12" s="73">
        <f t="shared" si="4"/>
        <v>0</v>
      </c>
      <c r="J12" s="73">
        <f t="shared" si="4"/>
        <v>0</v>
      </c>
      <c r="K12" s="73">
        <f t="shared" si="4"/>
        <v>0</v>
      </c>
      <c r="L12" s="73">
        <f t="shared" si="4"/>
        <v>0</v>
      </c>
      <c r="M12" s="73">
        <f t="shared" si="4"/>
        <v>0</v>
      </c>
      <c r="N12" s="73">
        <f t="shared" si="4"/>
        <v>0</v>
      </c>
      <c r="O12" s="73">
        <f t="shared" si="4"/>
        <v>0</v>
      </c>
      <c r="P12" s="73">
        <f t="shared" si="4"/>
        <v>0</v>
      </c>
      <c r="Q12" s="73">
        <f t="shared" si="4"/>
        <v>0</v>
      </c>
      <c r="R12" s="73">
        <f t="shared" si="4"/>
        <v>0</v>
      </c>
      <c r="S12" s="73">
        <f t="shared" si="4"/>
        <v>0</v>
      </c>
      <c r="T12" s="73">
        <f t="shared" si="4"/>
        <v>0</v>
      </c>
      <c r="U12" s="73">
        <f t="shared" si="4"/>
        <v>0</v>
      </c>
      <c r="V12" s="73">
        <f t="shared" si="4"/>
        <v>0</v>
      </c>
      <c r="W12" s="73">
        <f t="shared" si="4"/>
        <v>0</v>
      </c>
      <c r="X12" s="73">
        <f t="shared" si="4"/>
        <v>0</v>
      </c>
      <c r="Y12" s="73">
        <f t="shared" si="4"/>
        <v>0</v>
      </c>
      <c r="Z12" s="73">
        <f t="shared" si="4"/>
        <v>0</v>
      </c>
      <c r="AA12" s="73">
        <f t="shared" si="4"/>
        <v>0</v>
      </c>
    </row>
    <row r="13" spans="1:28" x14ac:dyDescent="0.3">
      <c r="A13" s="124" t="str">
        <f>+A118</f>
        <v>(D) Costs of outdated facilities</v>
      </c>
      <c r="B13" s="73">
        <f t="shared" ref="B13:AA13" si="5">+B139</f>
        <v>1056.5775000000001</v>
      </c>
      <c r="C13" s="73">
        <f t="shared" si="5"/>
        <v>1069.2564299999999</v>
      </c>
      <c r="D13" s="73">
        <f t="shared" si="5"/>
        <v>1082.0875071599999</v>
      </c>
      <c r="E13" s="73">
        <f t="shared" si="5"/>
        <v>1095.0725572459201</v>
      </c>
      <c r="F13" s="73">
        <f t="shared" si="5"/>
        <v>1108.2134279328711</v>
      </c>
      <c r="G13" s="73">
        <f t="shared" si="5"/>
        <v>1121.5119890680653</v>
      </c>
      <c r="H13" s="73">
        <f t="shared" si="5"/>
        <v>1134.970132936882</v>
      </c>
      <c r="I13" s="73">
        <f t="shared" si="5"/>
        <v>1148.5897745321249</v>
      </c>
      <c r="J13" s="73">
        <f t="shared" si="5"/>
        <v>1162.3728518265104</v>
      </c>
      <c r="K13" s="73">
        <f t="shared" si="5"/>
        <v>1176.3213260484285</v>
      </c>
      <c r="L13" s="73">
        <f t="shared" si="5"/>
        <v>1190.4371819610096</v>
      </c>
      <c r="M13" s="73">
        <f t="shared" si="5"/>
        <v>1204.7224281445417</v>
      </c>
      <c r="N13" s="73">
        <f t="shared" si="5"/>
        <v>1219.1790972822762</v>
      </c>
      <c r="O13" s="73">
        <f t="shared" si="5"/>
        <v>1233.8092464496635</v>
      </c>
      <c r="P13" s="73">
        <f t="shared" si="5"/>
        <v>1248.6149574070594</v>
      </c>
      <c r="Q13" s="73">
        <f t="shared" si="5"/>
        <v>1263.5983368959444</v>
      </c>
      <c r="R13" s="73">
        <f t="shared" si="5"/>
        <v>1278.7615169386956</v>
      </c>
      <c r="S13" s="73">
        <f t="shared" si="5"/>
        <v>1294.1066551419599</v>
      </c>
      <c r="T13" s="73">
        <f t="shared" si="5"/>
        <v>1309.6359350036632</v>
      </c>
      <c r="U13" s="73">
        <f t="shared" si="5"/>
        <v>1325.3515662237073</v>
      </c>
      <c r="V13" s="73">
        <f t="shared" si="5"/>
        <v>1341.2557850183916</v>
      </c>
      <c r="W13" s="73">
        <f t="shared" si="5"/>
        <v>1357.3508544386127</v>
      </c>
      <c r="X13" s="73">
        <f t="shared" si="5"/>
        <v>1373.6390646918758</v>
      </c>
      <c r="Y13" s="73">
        <f t="shared" si="5"/>
        <v>1390.1227334681787</v>
      </c>
      <c r="Z13" s="73">
        <f t="shared" si="5"/>
        <v>1406.8042062697966</v>
      </c>
      <c r="AA13" s="73">
        <f t="shared" si="5"/>
        <v>1423.685856745034</v>
      </c>
    </row>
    <row r="14" spans="1:28" x14ac:dyDescent="0.3">
      <c r="A14" s="124" t="str">
        <f>+A141</f>
        <v>(E) Costs of not addressing safety risks</v>
      </c>
      <c r="B14" s="73">
        <f t="shared" ref="B14:AA14" si="6">+B151</f>
        <v>283.42</v>
      </c>
      <c r="C14" s="73">
        <f t="shared" si="6"/>
        <v>283.42</v>
      </c>
      <c r="D14" s="73">
        <f t="shared" si="6"/>
        <v>283.42</v>
      </c>
      <c r="E14" s="73">
        <f t="shared" si="6"/>
        <v>283.42</v>
      </c>
      <c r="F14" s="73">
        <f t="shared" si="6"/>
        <v>283.42</v>
      </c>
      <c r="G14" s="73">
        <f t="shared" si="6"/>
        <v>141.71</v>
      </c>
      <c r="H14" s="73">
        <f t="shared" si="6"/>
        <v>141.71</v>
      </c>
      <c r="I14" s="73">
        <f t="shared" si="6"/>
        <v>141.71</v>
      </c>
      <c r="J14" s="73">
        <f t="shared" si="6"/>
        <v>141.71</v>
      </c>
      <c r="K14" s="73">
        <f t="shared" si="6"/>
        <v>141.71</v>
      </c>
      <c r="L14" s="73">
        <f t="shared" si="6"/>
        <v>141.71</v>
      </c>
      <c r="M14" s="73">
        <f t="shared" si="6"/>
        <v>141.71</v>
      </c>
      <c r="N14" s="73">
        <f t="shared" si="6"/>
        <v>141.71</v>
      </c>
      <c r="O14" s="73">
        <f t="shared" si="6"/>
        <v>141.71</v>
      </c>
      <c r="P14" s="73">
        <f t="shared" si="6"/>
        <v>141.71</v>
      </c>
      <c r="Q14" s="73">
        <f t="shared" si="6"/>
        <v>141.71</v>
      </c>
      <c r="R14" s="73">
        <f t="shared" si="6"/>
        <v>141.71</v>
      </c>
      <c r="S14" s="73">
        <f t="shared" si="6"/>
        <v>141.71</v>
      </c>
      <c r="T14" s="73">
        <f t="shared" si="6"/>
        <v>141.71</v>
      </c>
      <c r="U14" s="73">
        <f t="shared" si="6"/>
        <v>141.71</v>
      </c>
      <c r="V14" s="73">
        <f t="shared" si="6"/>
        <v>141.71</v>
      </c>
      <c r="W14" s="73">
        <f t="shared" si="6"/>
        <v>141.71</v>
      </c>
      <c r="X14" s="73">
        <f t="shared" si="6"/>
        <v>141.71</v>
      </c>
      <c r="Y14" s="73">
        <f t="shared" si="6"/>
        <v>141.71</v>
      </c>
      <c r="Z14" s="73">
        <f t="shared" si="6"/>
        <v>141.71</v>
      </c>
      <c r="AA14" s="73">
        <f t="shared" si="6"/>
        <v>141.71</v>
      </c>
    </row>
    <row r="15" spans="1:28" ht="15" thickBot="1" x14ac:dyDescent="0.35">
      <c r="A15" s="69" t="s">
        <v>279</v>
      </c>
      <c r="B15" s="70">
        <f t="shared" ref="B15:AA15" si="7">+SUM(B9:B14)</f>
        <v>14125.563877509963</v>
      </c>
      <c r="C15" s="70">
        <f t="shared" si="7"/>
        <v>2752.6818889380756</v>
      </c>
      <c r="D15" s="70">
        <f t="shared" si="7"/>
        <v>2780.1441341181826</v>
      </c>
      <c r="E15" s="70">
        <f t="shared" si="7"/>
        <v>2807.9552909875943</v>
      </c>
      <c r="F15" s="70">
        <f t="shared" si="7"/>
        <v>2749.1241413592506</v>
      </c>
      <c r="G15" s="70">
        <f t="shared" si="7"/>
        <v>2493.8677901604206</v>
      </c>
      <c r="H15" s="70">
        <f t="shared" si="7"/>
        <v>2520.6330721771792</v>
      </c>
      <c r="I15" s="70">
        <f t="shared" si="7"/>
        <v>2547.7136619297298</v>
      </c>
      <c r="J15" s="70">
        <f t="shared" si="7"/>
        <v>2575.1132773036379</v>
      </c>
      <c r="K15" s="70">
        <f t="shared" si="7"/>
        <v>2602.8356800620577</v>
      </c>
      <c r="L15" s="70">
        <f t="shared" si="7"/>
        <v>2630.8846763640036</v>
      </c>
      <c r="M15" s="70">
        <f t="shared" si="7"/>
        <v>2659.2641172887538</v>
      </c>
      <c r="N15" s="70">
        <f t="shared" si="7"/>
        <v>2687.9778993664549</v>
      </c>
      <c r="O15" s="70">
        <f t="shared" si="7"/>
        <v>2717.0299651149953</v>
      </c>
      <c r="P15" s="70">
        <f t="shared" si="7"/>
        <v>2746.4243035832269</v>
      </c>
      <c r="Q15" s="70">
        <f t="shared" si="7"/>
        <v>2776.1649509006102</v>
      </c>
      <c r="R15" s="70">
        <f t="shared" si="7"/>
        <v>2806.2559908333551</v>
      </c>
      <c r="S15" s="70">
        <f t="shared" si="7"/>
        <v>2836.7015553471383</v>
      </c>
      <c r="T15" s="70">
        <f t="shared" si="7"/>
        <v>2867.5058251764735</v>
      </c>
      <c r="U15" s="70">
        <f t="shared" si="7"/>
        <v>2898.6730304008106</v>
      </c>
      <c r="V15" s="70">
        <f t="shared" si="7"/>
        <v>2930.2074510274488</v>
      </c>
      <c r="W15" s="70">
        <f t="shared" si="7"/>
        <v>2962.1134175813395</v>
      </c>
      <c r="X15" s="70">
        <f t="shared" si="7"/>
        <v>2994.3953117018609</v>
      </c>
      <c r="Y15" s="70">
        <f t="shared" si="7"/>
        <v>3027.0575667466574</v>
      </c>
      <c r="Z15" s="70">
        <f t="shared" si="7"/>
        <v>3060.1046684025987</v>
      </c>
      <c r="AA15" s="70">
        <f t="shared" si="7"/>
        <v>3093.541155303988</v>
      </c>
    </row>
    <row r="17" spans="1:28" ht="18" x14ac:dyDescent="0.35">
      <c r="A17" s="94" t="s">
        <v>118</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row>
    <row r="18" spans="1:28" x14ac:dyDescent="0.3">
      <c r="A18" s="10"/>
      <c r="B18" s="4"/>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3">
      <c r="A19" s="53" t="str">
        <f>'Inputs &amp; Summary'!$B$6</f>
        <v>Yellow shaded cells are input cells</v>
      </c>
      <c r="B19" s="4"/>
      <c r="C19" s="364" t="s">
        <v>396</v>
      </c>
      <c r="D19" s="365">
        <f>SUM(B15:AA15)-SUM(B29:AA29,B39:AA39,B45:AA45,B61:AA61,B70:AA70,B81:AA81,B93:AA93,B100:AA100,B112:AA112,B127:AA127,B136:AA136,B147:AA147)</f>
        <v>-1.3096723705530167E-10</v>
      </c>
      <c r="E19" s="1"/>
      <c r="F19" s="1"/>
      <c r="G19" s="1"/>
      <c r="H19" s="1"/>
      <c r="I19" s="1"/>
      <c r="J19" s="1"/>
      <c r="K19" s="1"/>
      <c r="L19" s="1"/>
      <c r="M19" s="1"/>
      <c r="N19" s="1"/>
      <c r="O19" s="1"/>
      <c r="P19" s="1"/>
      <c r="Q19" s="1"/>
      <c r="R19" s="1"/>
      <c r="S19" s="1"/>
      <c r="T19" s="1"/>
      <c r="U19" s="1"/>
      <c r="V19" s="1"/>
      <c r="W19" s="1"/>
      <c r="X19" s="1"/>
      <c r="Y19" s="1"/>
      <c r="Z19" s="1"/>
      <c r="AA19" s="1"/>
      <c r="AB19" s="1"/>
    </row>
    <row r="20" spans="1:28" x14ac:dyDescent="0.3">
      <c r="A20" s="10"/>
      <c r="B20" s="4"/>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8" x14ac:dyDescent="0.35">
      <c r="A21" s="108" t="s">
        <v>161</v>
      </c>
    </row>
    <row r="22" spans="1:28" x14ac:dyDescent="0.3">
      <c r="A22" s="45" t="s">
        <v>19</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row>
    <row r="23" spans="1:28" x14ac:dyDescent="0.3">
      <c r="A23" s="124" t="s">
        <v>18</v>
      </c>
      <c r="B23" s="173">
        <f>'Inputs &amp; Summary'!P86</f>
        <v>3548</v>
      </c>
    </row>
    <row r="24" spans="1:28" x14ac:dyDescent="0.3">
      <c r="A24" s="124" t="s">
        <v>44</v>
      </c>
      <c r="B24" s="178">
        <f>'Inputs &amp; Summary'!P85</f>
        <v>1.12E-2</v>
      </c>
      <c r="G24" s="93" t="s">
        <v>137</v>
      </c>
      <c r="H24" s="83"/>
      <c r="I24" s="83"/>
      <c r="J24" s="83"/>
      <c r="K24" s="83"/>
      <c r="L24" s="83"/>
      <c r="M24" s="83"/>
      <c r="N24" s="83"/>
      <c r="O24" s="83"/>
      <c r="P24" s="83"/>
      <c r="Q24" s="83"/>
      <c r="R24" s="83"/>
      <c r="S24" s="83"/>
      <c r="T24" s="83"/>
      <c r="U24" s="83"/>
      <c r="V24" s="84"/>
    </row>
    <row r="25" spans="1:28" x14ac:dyDescent="0.3">
      <c r="A25" s="124" t="s">
        <v>53</v>
      </c>
      <c r="B25" s="157">
        <f>'Inputs &amp; Summary'!P108</f>
        <v>0.05</v>
      </c>
      <c r="C25" s="1" t="s">
        <v>193</v>
      </c>
      <c r="G25" s="85" t="s">
        <v>136</v>
      </c>
      <c r="H25" s="72"/>
      <c r="I25" s="72"/>
      <c r="J25" s="72"/>
      <c r="K25" s="72"/>
      <c r="L25" s="72"/>
      <c r="M25" s="72"/>
      <c r="N25" s="72"/>
      <c r="O25" s="72"/>
      <c r="P25" s="72"/>
      <c r="Q25" s="72"/>
      <c r="R25" s="72"/>
      <c r="S25" s="72"/>
      <c r="T25" s="72"/>
      <c r="U25" s="72"/>
      <c r="V25" s="86"/>
    </row>
    <row r="26" spans="1:28" x14ac:dyDescent="0.3">
      <c r="A26" s="124" t="s">
        <v>54</v>
      </c>
      <c r="B26" s="65">
        <f>'Inputs &amp; Summary'!P109</f>
        <v>80</v>
      </c>
      <c r="C26" s="1" t="s">
        <v>186</v>
      </c>
    </row>
    <row r="27" spans="1:28" x14ac:dyDescent="0.3">
      <c r="A27" s="3" t="s">
        <v>3</v>
      </c>
      <c r="B27" s="124">
        <v>0</v>
      </c>
      <c r="C27" s="124">
        <f t="shared" ref="C27:AA27" si="8">+B27+1</f>
        <v>1</v>
      </c>
      <c r="D27" s="124">
        <f t="shared" si="8"/>
        <v>2</v>
      </c>
      <c r="E27" s="124">
        <f t="shared" si="8"/>
        <v>3</v>
      </c>
      <c r="F27" s="124">
        <f t="shared" si="8"/>
        <v>4</v>
      </c>
      <c r="G27" s="124">
        <f t="shared" si="8"/>
        <v>5</v>
      </c>
      <c r="H27" s="124">
        <f t="shared" si="8"/>
        <v>6</v>
      </c>
      <c r="I27" s="124">
        <f t="shared" si="8"/>
        <v>7</v>
      </c>
      <c r="J27" s="124">
        <f t="shared" si="8"/>
        <v>8</v>
      </c>
      <c r="K27" s="124">
        <f t="shared" si="8"/>
        <v>9</v>
      </c>
      <c r="L27" s="124">
        <f t="shared" si="8"/>
        <v>10</v>
      </c>
      <c r="M27" s="124">
        <f t="shared" si="8"/>
        <v>11</v>
      </c>
      <c r="N27" s="124">
        <f t="shared" si="8"/>
        <v>12</v>
      </c>
      <c r="O27" s="124">
        <f t="shared" si="8"/>
        <v>13</v>
      </c>
      <c r="P27" s="124">
        <f t="shared" si="8"/>
        <v>14</v>
      </c>
      <c r="Q27" s="124">
        <f t="shared" si="8"/>
        <v>15</v>
      </c>
      <c r="R27" s="124">
        <f t="shared" si="8"/>
        <v>16</v>
      </c>
      <c r="S27" s="124">
        <f t="shared" si="8"/>
        <v>17</v>
      </c>
      <c r="T27" s="124">
        <f t="shared" si="8"/>
        <v>18</v>
      </c>
      <c r="U27" s="124">
        <f t="shared" si="8"/>
        <v>19</v>
      </c>
      <c r="V27" s="124">
        <f t="shared" si="8"/>
        <v>20</v>
      </c>
      <c r="W27" s="124">
        <f t="shared" si="8"/>
        <v>21</v>
      </c>
      <c r="X27" s="124">
        <f t="shared" si="8"/>
        <v>22</v>
      </c>
      <c r="Y27" s="124">
        <f t="shared" si="8"/>
        <v>23</v>
      </c>
      <c r="Z27" s="124">
        <f t="shared" si="8"/>
        <v>24</v>
      </c>
      <c r="AA27" s="124">
        <f t="shared" si="8"/>
        <v>25</v>
      </c>
    </row>
    <row r="28" spans="1:28" x14ac:dyDescent="0.3">
      <c r="A28" s="175" t="s">
        <v>400</v>
      </c>
      <c r="B28" s="174">
        <v>2021</v>
      </c>
      <c r="C28" s="174">
        <f t="shared" ref="C28:AA28" si="9">+B28+1</f>
        <v>2022</v>
      </c>
      <c r="D28" s="174">
        <f t="shared" si="9"/>
        <v>2023</v>
      </c>
      <c r="E28" s="174">
        <f t="shared" si="9"/>
        <v>2024</v>
      </c>
      <c r="F28" s="174">
        <f t="shared" si="9"/>
        <v>2025</v>
      </c>
      <c r="G28" s="174">
        <f t="shared" si="9"/>
        <v>2026</v>
      </c>
      <c r="H28" s="174">
        <f t="shared" si="9"/>
        <v>2027</v>
      </c>
      <c r="I28" s="174">
        <f t="shared" si="9"/>
        <v>2028</v>
      </c>
      <c r="J28" s="174">
        <f t="shared" si="9"/>
        <v>2029</v>
      </c>
      <c r="K28" s="174">
        <f t="shared" si="9"/>
        <v>2030</v>
      </c>
      <c r="L28" s="174">
        <f t="shared" si="9"/>
        <v>2031</v>
      </c>
      <c r="M28" s="174">
        <f t="shared" si="9"/>
        <v>2032</v>
      </c>
      <c r="N28" s="174">
        <f t="shared" si="9"/>
        <v>2033</v>
      </c>
      <c r="O28" s="174">
        <f t="shared" si="9"/>
        <v>2034</v>
      </c>
      <c r="P28" s="174">
        <f t="shared" si="9"/>
        <v>2035</v>
      </c>
      <c r="Q28" s="174">
        <f t="shared" si="9"/>
        <v>2036</v>
      </c>
      <c r="R28" s="174">
        <f t="shared" si="9"/>
        <v>2037</v>
      </c>
      <c r="S28" s="174">
        <f t="shared" si="9"/>
        <v>2038</v>
      </c>
      <c r="T28" s="174">
        <f t="shared" si="9"/>
        <v>2039</v>
      </c>
      <c r="U28" s="174">
        <f t="shared" si="9"/>
        <v>2040</v>
      </c>
      <c r="V28" s="174">
        <f t="shared" si="9"/>
        <v>2041</v>
      </c>
      <c r="W28" s="174">
        <f t="shared" si="9"/>
        <v>2042</v>
      </c>
      <c r="X28" s="174">
        <f t="shared" si="9"/>
        <v>2043</v>
      </c>
      <c r="Y28" s="174">
        <f t="shared" si="9"/>
        <v>2044</v>
      </c>
      <c r="Z28" s="174">
        <f t="shared" si="9"/>
        <v>2045</v>
      </c>
      <c r="AA28" s="174">
        <f t="shared" si="9"/>
        <v>2046</v>
      </c>
    </row>
    <row r="29" spans="1:28" s="1" customFormat="1" x14ac:dyDescent="0.3">
      <c r="A29" s="1" t="s">
        <v>57</v>
      </c>
      <c r="B29" s="44">
        <f>+B23*B25*B26/1000</f>
        <v>14.192</v>
      </c>
      <c r="C29" s="44">
        <f t="shared" ref="C29:AA29" si="10">+B29*(1+$B$24)</f>
        <v>14.350950400000002</v>
      </c>
      <c r="D29" s="44">
        <f t="shared" si="10"/>
        <v>14.511681044480003</v>
      </c>
      <c r="E29" s="44">
        <f t="shared" si="10"/>
        <v>14.67421187217818</v>
      </c>
      <c r="F29" s="44">
        <f t="shared" si="10"/>
        <v>14.838563045146577</v>
      </c>
      <c r="G29" s="44">
        <f t="shared" si="10"/>
        <v>15.00475495125222</v>
      </c>
      <c r="H29" s="44">
        <f t="shared" si="10"/>
        <v>15.172808206706247</v>
      </c>
      <c r="I29" s="44">
        <f t="shared" si="10"/>
        <v>15.342743658621359</v>
      </c>
      <c r="J29" s="44">
        <f t="shared" si="10"/>
        <v>15.514582387597919</v>
      </c>
      <c r="K29" s="44">
        <f t="shared" si="10"/>
        <v>15.688345710339018</v>
      </c>
      <c r="L29" s="44">
        <f t="shared" si="10"/>
        <v>15.864055182294816</v>
      </c>
      <c r="M29" s="44">
        <f t="shared" si="10"/>
        <v>16.04173260033652</v>
      </c>
      <c r="N29" s="44">
        <f t="shared" si="10"/>
        <v>16.221400005460289</v>
      </c>
      <c r="O29" s="44">
        <f t="shared" si="10"/>
        <v>16.403079685521448</v>
      </c>
      <c r="P29" s="44">
        <f t="shared" si="10"/>
        <v>16.586794177999291</v>
      </c>
      <c r="Q29" s="44">
        <f t="shared" si="10"/>
        <v>16.772566272792886</v>
      </c>
      <c r="R29" s="44">
        <f t="shared" si="10"/>
        <v>16.960419015048167</v>
      </c>
      <c r="S29" s="44">
        <f t="shared" si="10"/>
        <v>17.150375708016707</v>
      </c>
      <c r="T29" s="44">
        <f t="shared" si="10"/>
        <v>17.342459915946495</v>
      </c>
      <c r="U29" s="44">
        <f t="shared" si="10"/>
        <v>17.536695467005099</v>
      </c>
      <c r="V29" s="44">
        <f t="shared" si="10"/>
        <v>17.733106456235557</v>
      </c>
      <c r="W29" s="44">
        <f t="shared" si="10"/>
        <v>17.931717248545397</v>
      </c>
      <c r="X29" s="44">
        <f t="shared" si="10"/>
        <v>18.132552481729107</v>
      </c>
      <c r="Y29" s="44">
        <f t="shared" si="10"/>
        <v>18.335637069524473</v>
      </c>
      <c r="Z29" s="44">
        <f t="shared" si="10"/>
        <v>18.540996204703148</v>
      </c>
      <c r="AA29" s="44">
        <f t="shared" si="10"/>
        <v>18.748655362195827</v>
      </c>
    </row>
    <row r="31" spans="1:28" x14ac:dyDescent="0.3">
      <c r="A31" s="45" t="s">
        <v>20</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row>
    <row r="32" spans="1:28" x14ac:dyDescent="0.3">
      <c r="A32" s="124" t="s">
        <v>113</v>
      </c>
      <c r="B32" s="179">
        <f>'Inputs &amp; Summary'!P81</f>
        <v>47.828616539314339</v>
      </c>
    </row>
    <row r="33" spans="1:27" x14ac:dyDescent="0.3">
      <c r="A33" s="124" t="s">
        <v>114</v>
      </c>
      <c r="B33" s="32">
        <f>'Inputs &amp; Summary'!F84</f>
        <v>316783.09000000003</v>
      </c>
      <c r="G33" s="82" t="s">
        <v>140</v>
      </c>
      <c r="H33" s="83"/>
      <c r="I33" s="83"/>
      <c r="J33" s="83"/>
      <c r="K33" s="83"/>
      <c r="L33" s="83"/>
      <c r="M33" s="83"/>
      <c r="N33" s="83"/>
      <c r="O33" s="83"/>
      <c r="P33" s="83"/>
      <c r="Q33" s="83"/>
      <c r="R33" s="83"/>
      <c r="S33" s="83"/>
      <c r="T33" s="83"/>
      <c r="U33" s="83"/>
      <c r="V33" s="84"/>
    </row>
    <row r="34" spans="1:27" x14ac:dyDescent="0.3">
      <c r="A34" s="124" t="s">
        <v>44</v>
      </c>
      <c r="B34" s="178">
        <f>'Inputs &amp; Summary'!P85</f>
        <v>1.12E-2</v>
      </c>
      <c r="G34" s="87" t="s">
        <v>138</v>
      </c>
      <c r="H34" s="119"/>
      <c r="I34" s="119"/>
      <c r="J34" s="119"/>
      <c r="K34" s="119"/>
      <c r="L34" s="119"/>
      <c r="M34" s="119"/>
      <c r="N34" s="119"/>
      <c r="O34" s="119"/>
      <c r="P34" s="119"/>
      <c r="Q34" s="119"/>
      <c r="R34" s="119"/>
      <c r="S34" s="119"/>
      <c r="T34" s="119"/>
      <c r="U34" s="119"/>
      <c r="V34" s="89"/>
    </row>
    <row r="35" spans="1:27" x14ac:dyDescent="0.3">
      <c r="A35" s="124" t="s">
        <v>115</v>
      </c>
      <c r="B35" s="157">
        <f>'Inputs &amp; Summary'!P111</f>
        <v>0.02</v>
      </c>
      <c r="C35" s="1" t="s">
        <v>193</v>
      </c>
      <c r="G35" s="85" t="s">
        <v>175</v>
      </c>
      <c r="H35" s="72"/>
      <c r="I35" s="72"/>
      <c r="J35" s="72"/>
      <c r="K35" s="72"/>
      <c r="L35" s="72"/>
      <c r="M35" s="72"/>
      <c r="N35" s="72"/>
      <c r="O35" s="72"/>
      <c r="P35" s="72"/>
      <c r="Q35" s="72"/>
      <c r="R35" s="72"/>
      <c r="S35" s="72"/>
      <c r="T35" s="72"/>
      <c r="U35" s="72"/>
      <c r="V35" s="86"/>
    </row>
    <row r="36" spans="1:27" x14ac:dyDescent="0.3">
      <c r="A36" s="124" t="s">
        <v>116</v>
      </c>
      <c r="B36" s="118">
        <f>+B32*B33*B35/1000</f>
        <v>303.02593875498206</v>
      </c>
    </row>
    <row r="37" spans="1:27" x14ac:dyDescent="0.3">
      <c r="A37" s="3" t="s">
        <v>3</v>
      </c>
      <c r="B37" s="124">
        <v>0</v>
      </c>
      <c r="C37" s="124">
        <f t="shared" ref="C37:AA37" si="11">+B37+1</f>
        <v>1</v>
      </c>
      <c r="D37" s="124">
        <f t="shared" si="11"/>
        <v>2</v>
      </c>
      <c r="E37" s="124">
        <f t="shared" si="11"/>
        <v>3</v>
      </c>
      <c r="F37" s="124">
        <f t="shared" si="11"/>
        <v>4</v>
      </c>
      <c r="G37" s="124">
        <f t="shared" si="11"/>
        <v>5</v>
      </c>
      <c r="H37" s="124">
        <f t="shared" si="11"/>
        <v>6</v>
      </c>
      <c r="I37" s="124">
        <f t="shared" si="11"/>
        <v>7</v>
      </c>
      <c r="J37" s="124">
        <f t="shared" si="11"/>
        <v>8</v>
      </c>
      <c r="K37" s="124">
        <f t="shared" si="11"/>
        <v>9</v>
      </c>
      <c r="L37" s="124">
        <f t="shared" si="11"/>
        <v>10</v>
      </c>
      <c r="M37" s="124">
        <f t="shared" si="11"/>
        <v>11</v>
      </c>
      <c r="N37" s="124">
        <f t="shared" si="11"/>
        <v>12</v>
      </c>
      <c r="O37" s="124">
        <f t="shared" si="11"/>
        <v>13</v>
      </c>
      <c r="P37" s="124">
        <f t="shared" si="11"/>
        <v>14</v>
      </c>
      <c r="Q37" s="124">
        <f t="shared" si="11"/>
        <v>15</v>
      </c>
      <c r="R37" s="124">
        <f t="shared" si="11"/>
        <v>16</v>
      </c>
      <c r="S37" s="124">
        <f t="shared" si="11"/>
        <v>17</v>
      </c>
      <c r="T37" s="124">
        <f t="shared" si="11"/>
        <v>18</v>
      </c>
      <c r="U37" s="124">
        <f t="shared" si="11"/>
        <v>19</v>
      </c>
      <c r="V37" s="124">
        <f t="shared" si="11"/>
        <v>20</v>
      </c>
      <c r="W37" s="124">
        <f t="shared" si="11"/>
        <v>21</v>
      </c>
      <c r="X37" s="124">
        <f t="shared" si="11"/>
        <v>22</v>
      </c>
      <c r="Y37" s="124">
        <f t="shared" si="11"/>
        <v>23</v>
      </c>
      <c r="Z37" s="124">
        <f t="shared" si="11"/>
        <v>24</v>
      </c>
      <c r="AA37" s="124">
        <f t="shared" si="11"/>
        <v>25</v>
      </c>
    </row>
    <row r="38" spans="1:27" x14ac:dyDescent="0.3">
      <c r="A38" s="175" t="s">
        <v>400</v>
      </c>
      <c r="B38" s="174">
        <v>2021</v>
      </c>
      <c r="C38" s="174">
        <f t="shared" ref="C38:AA38" si="12">+B38+1</f>
        <v>2022</v>
      </c>
      <c r="D38" s="174">
        <f t="shared" si="12"/>
        <v>2023</v>
      </c>
      <c r="E38" s="174">
        <f t="shared" si="12"/>
        <v>2024</v>
      </c>
      <c r="F38" s="174">
        <f t="shared" si="12"/>
        <v>2025</v>
      </c>
      <c r="G38" s="174">
        <f t="shared" si="12"/>
        <v>2026</v>
      </c>
      <c r="H38" s="174">
        <f t="shared" si="12"/>
        <v>2027</v>
      </c>
      <c r="I38" s="174">
        <f t="shared" si="12"/>
        <v>2028</v>
      </c>
      <c r="J38" s="174">
        <f t="shared" si="12"/>
        <v>2029</v>
      </c>
      <c r="K38" s="174">
        <f t="shared" si="12"/>
        <v>2030</v>
      </c>
      <c r="L38" s="174">
        <f t="shared" si="12"/>
        <v>2031</v>
      </c>
      <c r="M38" s="174">
        <f t="shared" si="12"/>
        <v>2032</v>
      </c>
      <c r="N38" s="174">
        <f t="shared" si="12"/>
        <v>2033</v>
      </c>
      <c r="O38" s="174">
        <f t="shared" si="12"/>
        <v>2034</v>
      </c>
      <c r="P38" s="174">
        <f t="shared" si="12"/>
        <v>2035</v>
      </c>
      <c r="Q38" s="174">
        <f t="shared" si="12"/>
        <v>2036</v>
      </c>
      <c r="R38" s="174">
        <f t="shared" si="12"/>
        <v>2037</v>
      </c>
      <c r="S38" s="174">
        <f t="shared" si="12"/>
        <v>2038</v>
      </c>
      <c r="T38" s="174">
        <f t="shared" si="12"/>
        <v>2039</v>
      </c>
      <c r="U38" s="174">
        <f t="shared" si="12"/>
        <v>2040</v>
      </c>
      <c r="V38" s="174">
        <f t="shared" si="12"/>
        <v>2041</v>
      </c>
      <c r="W38" s="174">
        <f t="shared" si="12"/>
        <v>2042</v>
      </c>
      <c r="X38" s="174">
        <f t="shared" si="12"/>
        <v>2043</v>
      </c>
      <c r="Y38" s="174">
        <f t="shared" si="12"/>
        <v>2044</v>
      </c>
      <c r="Z38" s="174">
        <f t="shared" si="12"/>
        <v>2045</v>
      </c>
      <c r="AA38" s="174">
        <f t="shared" si="12"/>
        <v>2046</v>
      </c>
    </row>
    <row r="39" spans="1:27" x14ac:dyDescent="0.3">
      <c r="A39" s="180" t="s">
        <v>58</v>
      </c>
      <c r="B39" s="68">
        <f>B36</f>
        <v>303.02593875498206</v>
      </c>
      <c r="C39" s="68">
        <f t="shared" ref="C39:AA39" si="13">+$B$39*(1+$B$34)^C37</f>
        <v>306.4198292690379</v>
      </c>
      <c r="D39" s="68">
        <f t="shared" si="13"/>
        <v>309.85173135685113</v>
      </c>
      <c r="E39" s="68">
        <f t="shared" si="13"/>
        <v>313.32207074804791</v>
      </c>
      <c r="F39" s="68">
        <f t="shared" si="13"/>
        <v>316.83127794042605</v>
      </c>
      <c r="G39" s="68">
        <f t="shared" si="13"/>
        <v>320.37978825335881</v>
      </c>
      <c r="H39" s="68">
        <f t="shared" si="13"/>
        <v>323.96804188179647</v>
      </c>
      <c r="I39" s="68">
        <f t="shared" si="13"/>
        <v>327.59648395087265</v>
      </c>
      <c r="J39" s="68">
        <f t="shared" si="13"/>
        <v>331.26556457112241</v>
      </c>
      <c r="K39" s="68">
        <f t="shared" si="13"/>
        <v>334.97573889431902</v>
      </c>
      <c r="L39" s="68">
        <f t="shared" si="13"/>
        <v>338.72746716993544</v>
      </c>
      <c r="M39" s="68">
        <f t="shared" si="13"/>
        <v>342.52121480223872</v>
      </c>
      <c r="N39" s="68">
        <f t="shared" si="13"/>
        <v>346.35745240802379</v>
      </c>
      <c r="O39" s="68">
        <f t="shared" si="13"/>
        <v>350.23665587499369</v>
      </c>
      <c r="P39" s="68">
        <f t="shared" si="13"/>
        <v>354.15930642079365</v>
      </c>
      <c r="Q39" s="68">
        <f t="shared" si="13"/>
        <v>358.12589065270663</v>
      </c>
      <c r="R39" s="68">
        <f t="shared" si="13"/>
        <v>362.13690062801692</v>
      </c>
      <c r="S39" s="68">
        <f t="shared" si="13"/>
        <v>366.1928339150507</v>
      </c>
      <c r="T39" s="68">
        <f t="shared" si="13"/>
        <v>370.29419365489929</v>
      </c>
      <c r="U39" s="68">
        <f t="shared" si="13"/>
        <v>374.44148862383423</v>
      </c>
      <c r="V39" s="68">
        <f t="shared" si="13"/>
        <v>378.63523329642123</v>
      </c>
      <c r="W39" s="68">
        <f t="shared" si="13"/>
        <v>382.87594790934111</v>
      </c>
      <c r="X39" s="68">
        <f t="shared" si="13"/>
        <v>387.16415852592581</v>
      </c>
      <c r="Y39" s="68">
        <f t="shared" si="13"/>
        <v>391.50039710141624</v>
      </c>
      <c r="Z39" s="68">
        <f t="shared" si="13"/>
        <v>395.88520154895201</v>
      </c>
      <c r="AA39" s="68">
        <f t="shared" si="13"/>
        <v>400.31911580630037</v>
      </c>
    </row>
    <row r="41" spans="1:27" x14ac:dyDescent="0.3">
      <c r="A41" s="45" t="s">
        <v>149</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1:27" x14ac:dyDescent="0.3">
      <c r="A42" s="1"/>
      <c r="C42" s="46" t="s">
        <v>176</v>
      </c>
    </row>
    <row r="43" spans="1:27" x14ac:dyDescent="0.3">
      <c r="A43" s="1"/>
      <c r="C43" s="1" t="s">
        <v>193</v>
      </c>
      <c r="G43" s="90" t="s">
        <v>150</v>
      </c>
      <c r="H43" s="91"/>
      <c r="I43" s="91"/>
      <c r="J43" s="91"/>
      <c r="K43" s="91"/>
      <c r="L43" s="91"/>
      <c r="M43" s="91"/>
      <c r="N43" s="91"/>
      <c r="O43" s="91"/>
      <c r="P43" s="91"/>
      <c r="Q43" s="91"/>
      <c r="R43" s="91"/>
      <c r="S43" s="91"/>
      <c r="T43" s="91"/>
      <c r="U43" s="92"/>
    </row>
    <row r="44" spans="1:27" x14ac:dyDescent="0.3">
      <c r="A44" s="175" t="s">
        <v>400</v>
      </c>
      <c r="B44" s="174">
        <v>2021</v>
      </c>
      <c r="C44" s="174">
        <f t="shared" ref="C44:AA44" si="14">+B44+1</f>
        <v>2022</v>
      </c>
      <c r="D44" s="174">
        <f t="shared" si="14"/>
        <v>2023</v>
      </c>
      <c r="E44" s="174">
        <f t="shared" si="14"/>
        <v>2024</v>
      </c>
      <c r="F44" s="174">
        <f t="shared" si="14"/>
        <v>2025</v>
      </c>
      <c r="G44" s="174">
        <f t="shared" si="14"/>
        <v>2026</v>
      </c>
      <c r="H44" s="174">
        <f t="shared" si="14"/>
        <v>2027</v>
      </c>
      <c r="I44" s="174">
        <f t="shared" si="14"/>
        <v>2028</v>
      </c>
      <c r="J44" s="174">
        <f t="shared" si="14"/>
        <v>2029</v>
      </c>
      <c r="K44" s="174">
        <f t="shared" si="14"/>
        <v>2030</v>
      </c>
      <c r="L44" s="174">
        <f t="shared" si="14"/>
        <v>2031</v>
      </c>
      <c r="M44" s="174">
        <f t="shared" si="14"/>
        <v>2032</v>
      </c>
      <c r="N44" s="174">
        <f t="shared" si="14"/>
        <v>2033</v>
      </c>
      <c r="O44" s="174">
        <f t="shared" si="14"/>
        <v>2034</v>
      </c>
      <c r="P44" s="174">
        <f t="shared" si="14"/>
        <v>2035</v>
      </c>
      <c r="Q44" s="174">
        <f t="shared" si="14"/>
        <v>2036</v>
      </c>
      <c r="R44" s="174">
        <f t="shared" si="14"/>
        <v>2037</v>
      </c>
      <c r="S44" s="174">
        <f t="shared" si="14"/>
        <v>2038</v>
      </c>
      <c r="T44" s="174">
        <f t="shared" si="14"/>
        <v>2039</v>
      </c>
      <c r="U44" s="174">
        <f t="shared" si="14"/>
        <v>2040</v>
      </c>
      <c r="V44" s="174">
        <f t="shared" si="14"/>
        <v>2041</v>
      </c>
      <c r="W44" s="174">
        <f t="shared" si="14"/>
        <v>2042</v>
      </c>
      <c r="X44" s="174">
        <f t="shared" si="14"/>
        <v>2043</v>
      </c>
      <c r="Y44" s="174">
        <f t="shared" si="14"/>
        <v>2044</v>
      </c>
      <c r="Z44" s="174">
        <f t="shared" si="14"/>
        <v>2045</v>
      </c>
      <c r="AA44" s="174">
        <f t="shared" si="14"/>
        <v>2046</v>
      </c>
    </row>
    <row r="45" spans="1:27" x14ac:dyDescent="0.3">
      <c r="A45" s="1" t="s">
        <v>59</v>
      </c>
      <c r="B45" s="35">
        <f>'Inputs &amp; Summary'!P113</f>
        <v>18</v>
      </c>
      <c r="C45" s="25">
        <f t="shared" ref="C45:AA45" si="15">+B45</f>
        <v>18</v>
      </c>
      <c r="D45" s="25">
        <f t="shared" si="15"/>
        <v>18</v>
      </c>
      <c r="E45" s="25">
        <f t="shared" si="15"/>
        <v>18</v>
      </c>
      <c r="F45" s="25">
        <f t="shared" si="15"/>
        <v>18</v>
      </c>
      <c r="G45" s="25">
        <f t="shared" si="15"/>
        <v>18</v>
      </c>
      <c r="H45" s="25">
        <f t="shared" si="15"/>
        <v>18</v>
      </c>
      <c r="I45" s="25">
        <f t="shared" si="15"/>
        <v>18</v>
      </c>
      <c r="J45" s="25">
        <f t="shared" si="15"/>
        <v>18</v>
      </c>
      <c r="K45" s="25">
        <f t="shared" si="15"/>
        <v>18</v>
      </c>
      <c r="L45" s="25">
        <f t="shared" si="15"/>
        <v>18</v>
      </c>
      <c r="M45" s="25">
        <f t="shared" si="15"/>
        <v>18</v>
      </c>
      <c r="N45" s="25">
        <f t="shared" si="15"/>
        <v>18</v>
      </c>
      <c r="O45" s="25">
        <f t="shared" si="15"/>
        <v>18</v>
      </c>
      <c r="P45" s="25">
        <f t="shared" si="15"/>
        <v>18</v>
      </c>
      <c r="Q45" s="25">
        <f t="shared" si="15"/>
        <v>18</v>
      </c>
      <c r="R45" s="25">
        <f t="shared" si="15"/>
        <v>18</v>
      </c>
      <c r="S45" s="25">
        <f t="shared" si="15"/>
        <v>18</v>
      </c>
      <c r="T45" s="25">
        <f t="shared" si="15"/>
        <v>18</v>
      </c>
      <c r="U45" s="25">
        <f t="shared" si="15"/>
        <v>18</v>
      </c>
      <c r="V45" s="25">
        <f t="shared" si="15"/>
        <v>18</v>
      </c>
      <c r="W45" s="25">
        <f t="shared" si="15"/>
        <v>18</v>
      </c>
      <c r="X45" s="25">
        <f t="shared" si="15"/>
        <v>18</v>
      </c>
      <c r="Y45" s="25">
        <f t="shared" si="15"/>
        <v>18</v>
      </c>
      <c r="Z45" s="25">
        <f t="shared" si="15"/>
        <v>18</v>
      </c>
      <c r="AA45" s="25">
        <f t="shared" si="15"/>
        <v>18</v>
      </c>
    </row>
    <row r="47" spans="1:27" x14ac:dyDescent="0.3">
      <c r="A47" s="17" t="s">
        <v>68</v>
      </c>
      <c r="B47" s="17">
        <f t="shared" ref="B47:AA47" si="16">+B28</f>
        <v>2021</v>
      </c>
      <c r="C47" s="17">
        <f t="shared" si="16"/>
        <v>2022</v>
      </c>
      <c r="D47" s="17">
        <f t="shared" si="16"/>
        <v>2023</v>
      </c>
      <c r="E47" s="17">
        <f t="shared" si="16"/>
        <v>2024</v>
      </c>
      <c r="F47" s="17">
        <f t="shared" si="16"/>
        <v>2025</v>
      </c>
      <c r="G47" s="17">
        <f t="shared" si="16"/>
        <v>2026</v>
      </c>
      <c r="H47" s="17">
        <f t="shared" si="16"/>
        <v>2027</v>
      </c>
      <c r="I47" s="17">
        <f t="shared" si="16"/>
        <v>2028</v>
      </c>
      <c r="J47" s="17">
        <f t="shared" si="16"/>
        <v>2029</v>
      </c>
      <c r="K47" s="17">
        <f t="shared" si="16"/>
        <v>2030</v>
      </c>
      <c r="L47" s="17">
        <f t="shared" si="16"/>
        <v>2031</v>
      </c>
      <c r="M47" s="17">
        <f t="shared" si="16"/>
        <v>2032</v>
      </c>
      <c r="N47" s="17">
        <f t="shared" si="16"/>
        <v>2033</v>
      </c>
      <c r="O47" s="17">
        <f t="shared" si="16"/>
        <v>2034</v>
      </c>
      <c r="P47" s="17">
        <f t="shared" si="16"/>
        <v>2035</v>
      </c>
      <c r="Q47" s="17">
        <f t="shared" si="16"/>
        <v>2036</v>
      </c>
      <c r="R47" s="17">
        <f t="shared" si="16"/>
        <v>2037</v>
      </c>
      <c r="S47" s="17">
        <f t="shared" si="16"/>
        <v>2038</v>
      </c>
      <c r="T47" s="17">
        <f t="shared" si="16"/>
        <v>2039</v>
      </c>
      <c r="U47" s="17">
        <f t="shared" si="16"/>
        <v>2040</v>
      </c>
      <c r="V47" s="17">
        <f t="shared" si="16"/>
        <v>2041</v>
      </c>
      <c r="W47" s="17">
        <f t="shared" si="16"/>
        <v>2042</v>
      </c>
      <c r="X47" s="17">
        <f t="shared" si="16"/>
        <v>2043</v>
      </c>
      <c r="Y47" s="17">
        <f t="shared" si="16"/>
        <v>2044</v>
      </c>
      <c r="Z47" s="17">
        <f t="shared" si="16"/>
        <v>2045</v>
      </c>
      <c r="AA47" s="17">
        <f t="shared" si="16"/>
        <v>2046</v>
      </c>
    </row>
    <row r="48" spans="1:27" s="1" customFormat="1" ht="15" thickBot="1" x14ac:dyDescent="0.35">
      <c r="A48" s="38" t="s">
        <v>197</v>
      </c>
      <c r="B48" s="39">
        <f t="shared" ref="B48:AA48" si="17">+B39+B29+B45</f>
        <v>335.21793875498207</v>
      </c>
      <c r="C48" s="39">
        <f t="shared" si="17"/>
        <v>338.77077966903789</v>
      </c>
      <c r="D48" s="39">
        <f t="shared" si="17"/>
        <v>342.36341240133112</v>
      </c>
      <c r="E48" s="39">
        <f t="shared" si="17"/>
        <v>345.99628262022611</v>
      </c>
      <c r="F48" s="39">
        <f t="shared" si="17"/>
        <v>349.66984098557265</v>
      </c>
      <c r="G48" s="39">
        <f t="shared" si="17"/>
        <v>353.38454320461102</v>
      </c>
      <c r="H48" s="39">
        <f t="shared" si="17"/>
        <v>357.1408500885027</v>
      </c>
      <c r="I48" s="39">
        <f t="shared" si="17"/>
        <v>360.93922760949403</v>
      </c>
      <c r="J48" s="39">
        <f t="shared" si="17"/>
        <v>364.78014695872031</v>
      </c>
      <c r="K48" s="39">
        <f t="shared" si="17"/>
        <v>368.66408460465806</v>
      </c>
      <c r="L48" s="39">
        <f t="shared" si="17"/>
        <v>372.59152235223024</v>
      </c>
      <c r="M48" s="39">
        <f t="shared" si="17"/>
        <v>376.56294740257522</v>
      </c>
      <c r="N48" s="39">
        <f t="shared" si="17"/>
        <v>380.57885241348407</v>
      </c>
      <c r="O48" s="39">
        <f t="shared" si="17"/>
        <v>384.63973556051513</v>
      </c>
      <c r="P48" s="39">
        <f t="shared" si="17"/>
        <v>388.74610059879296</v>
      </c>
      <c r="Q48" s="39">
        <f t="shared" si="17"/>
        <v>392.89845692549954</v>
      </c>
      <c r="R48" s="39">
        <f t="shared" si="17"/>
        <v>397.09731964306508</v>
      </c>
      <c r="S48" s="39">
        <f t="shared" si="17"/>
        <v>401.34320962306742</v>
      </c>
      <c r="T48" s="39">
        <f t="shared" si="17"/>
        <v>405.63665357084579</v>
      </c>
      <c r="U48" s="39">
        <f t="shared" si="17"/>
        <v>409.97818409083931</v>
      </c>
      <c r="V48" s="39">
        <f t="shared" si="17"/>
        <v>414.36833975265677</v>
      </c>
      <c r="W48" s="39">
        <f t="shared" si="17"/>
        <v>418.8076651578865</v>
      </c>
      <c r="X48" s="39">
        <f t="shared" si="17"/>
        <v>423.29671100765495</v>
      </c>
      <c r="Y48" s="39">
        <f t="shared" si="17"/>
        <v>427.83603417094071</v>
      </c>
      <c r="Z48" s="39">
        <f t="shared" si="17"/>
        <v>432.42619775365517</v>
      </c>
      <c r="AA48" s="39">
        <f t="shared" si="17"/>
        <v>437.06777116849622</v>
      </c>
    </row>
    <row r="50" spans="1:27" ht="18" x14ac:dyDescent="0.35">
      <c r="A50" s="108" t="s">
        <v>162</v>
      </c>
    </row>
    <row r="51" spans="1:27" x14ac:dyDescent="0.3">
      <c r="A51" s="45" t="s">
        <v>51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row>
    <row r="53" spans="1:27" x14ac:dyDescent="0.3">
      <c r="A53" s="124" t="s">
        <v>40</v>
      </c>
      <c r="B53" s="173">
        <f>'Inputs &amp; Summary'!F95</f>
        <v>138.70000000000002</v>
      </c>
      <c r="G53" s="82" t="s">
        <v>141</v>
      </c>
      <c r="H53" s="83"/>
      <c r="I53" s="83"/>
      <c r="J53" s="83"/>
      <c r="K53" s="83"/>
      <c r="L53" s="83"/>
      <c r="M53" s="83"/>
      <c r="N53" s="83"/>
      <c r="O53" s="83"/>
      <c r="P53" s="83"/>
      <c r="Q53" s="84"/>
    </row>
    <row r="54" spans="1:27" x14ac:dyDescent="0.3">
      <c r="A54" s="124" t="s">
        <v>56</v>
      </c>
      <c r="B54" s="124">
        <f>'Inputs &amp; Summary'!F96</f>
        <v>135</v>
      </c>
      <c r="G54" s="85" t="s">
        <v>142</v>
      </c>
      <c r="H54" s="72"/>
      <c r="I54" s="72"/>
      <c r="J54" s="72"/>
      <c r="K54" s="72"/>
      <c r="L54" s="72"/>
      <c r="M54" s="72"/>
      <c r="N54" s="72"/>
      <c r="O54" s="72"/>
      <c r="P54" s="72"/>
      <c r="Q54" s="86"/>
    </row>
    <row r="55" spans="1:27" x14ac:dyDescent="0.3">
      <c r="A55" s="124" t="s">
        <v>38</v>
      </c>
      <c r="B55" s="158">
        <f>'Inputs &amp; Summary'!P117</f>
        <v>0.01</v>
      </c>
      <c r="C55" s="1" t="s">
        <v>193</v>
      </c>
    </row>
    <row r="56" spans="1:27" x14ac:dyDescent="0.3">
      <c r="A56" s="124" t="s">
        <v>39</v>
      </c>
      <c r="B56" s="160">
        <f>'Inputs &amp; Summary'!P118</f>
        <v>1.2E-2</v>
      </c>
      <c r="C56" s="1" t="s">
        <v>193</v>
      </c>
    </row>
    <row r="57" spans="1:27" x14ac:dyDescent="0.3">
      <c r="A57" s="3" t="s">
        <v>3</v>
      </c>
      <c r="B57" s="124">
        <v>0</v>
      </c>
      <c r="C57" s="124">
        <f t="shared" ref="C57:AA57" si="18">+B57+1</f>
        <v>1</v>
      </c>
      <c r="D57" s="124">
        <f t="shared" si="18"/>
        <v>2</v>
      </c>
      <c r="E57" s="124">
        <f t="shared" si="18"/>
        <v>3</v>
      </c>
      <c r="F57" s="124">
        <f t="shared" si="18"/>
        <v>4</v>
      </c>
      <c r="G57" s="124">
        <f t="shared" si="18"/>
        <v>5</v>
      </c>
      <c r="H57" s="124">
        <f t="shared" si="18"/>
        <v>6</v>
      </c>
      <c r="I57" s="124">
        <f t="shared" si="18"/>
        <v>7</v>
      </c>
      <c r="J57" s="124">
        <f t="shared" si="18"/>
        <v>8</v>
      </c>
      <c r="K57" s="124">
        <f t="shared" si="18"/>
        <v>9</v>
      </c>
      <c r="L57" s="124">
        <f t="shared" si="18"/>
        <v>10</v>
      </c>
      <c r="M57" s="124">
        <f t="shared" si="18"/>
        <v>11</v>
      </c>
      <c r="N57" s="124">
        <f t="shared" si="18"/>
        <v>12</v>
      </c>
      <c r="O57" s="124">
        <f t="shared" si="18"/>
        <v>13</v>
      </c>
      <c r="P57" s="124">
        <f t="shared" si="18"/>
        <v>14</v>
      </c>
      <c r="Q57" s="124">
        <f t="shared" si="18"/>
        <v>15</v>
      </c>
      <c r="R57" s="124">
        <f t="shared" si="18"/>
        <v>16</v>
      </c>
      <c r="S57" s="124">
        <f t="shared" si="18"/>
        <v>17</v>
      </c>
      <c r="T57" s="124">
        <f t="shared" si="18"/>
        <v>18</v>
      </c>
      <c r="U57" s="124">
        <f t="shared" si="18"/>
        <v>19</v>
      </c>
      <c r="V57" s="124">
        <f t="shared" si="18"/>
        <v>20</v>
      </c>
      <c r="W57" s="124">
        <f t="shared" si="18"/>
        <v>21</v>
      </c>
      <c r="X57" s="124">
        <f t="shared" si="18"/>
        <v>22</v>
      </c>
      <c r="Y57" s="124">
        <f t="shared" si="18"/>
        <v>23</v>
      </c>
      <c r="Z57" s="124">
        <f t="shared" si="18"/>
        <v>24</v>
      </c>
      <c r="AA57" s="124">
        <f t="shared" si="18"/>
        <v>25</v>
      </c>
    </row>
    <row r="58" spans="1:27" x14ac:dyDescent="0.3">
      <c r="A58" s="175" t="s">
        <v>400</v>
      </c>
      <c r="B58" s="174">
        <v>2021</v>
      </c>
      <c r="C58" s="174">
        <f t="shared" ref="C58:AA58" si="19">+B58+1</f>
        <v>2022</v>
      </c>
      <c r="D58" s="174">
        <f t="shared" si="19"/>
        <v>2023</v>
      </c>
      <c r="E58" s="174">
        <f t="shared" si="19"/>
        <v>2024</v>
      </c>
      <c r="F58" s="174">
        <f t="shared" si="19"/>
        <v>2025</v>
      </c>
      <c r="G58" s="174">
        <f t="shared" si="19"/>
        <v>2026</v>
      </c>
      <c r="H58" s="174">
        <f t="shared" si="19"/>
        <v>2027</v>
      </c>
      <c r="I58" s="174">
        <f t="shared" si="19"/>
        <v>2028</v>
      </c>
      <c r="J58" s="174">
        <f t="shared" si="19"/>
        <v>2029</v>
      </c>
      <c r="K58" s="174">
        <f t="shared" si="19"/>
        <v>2030</v>
      </c>
      <c r="L58" s="174">
        <f t="shared" si="19"/>
        <v>2031</v>
      </c>
      <c r="M58" s="174">
        <f t="shared" si="19"/>
        <v>2032</v>
      </c>
      <c r="N58" s="174">
        <f t="shared" si="19"/>
        <v>2033</v>
      </c>
      <c r="O58" s="174">
        <f t="shared" si="19"/>
        <v>2034</v>
      </c>
      <c r="P58" s="174">
        <f t="shared" si="19"/>
        <v>2035</v>
      </c>
      <c r="Q58" s="174">
        <f t="shared" si="19"/>
        <v>2036</v>
      </c>
      <c r="R58" s="174">
        <f t="shared" si="19"/>
        <v>2037</v>
      </c>
      <c r="S58" s="174">
        <f t="shared" si="19"/>
        <v>2038</v>
      </c>
      <c r="T58" s="174">
        <f t="shared" si="19"/>
        <v>2039</v>
      </c>
      <c r="U58" s="174">
        <f t="shared" si="19"/>
        <v>2040</v>
      </c>
      <c r="V58" s="174">
        <f t="shared" si="19"/>
        <v>2041</v>
      </c>
      <c r="W58" s="174">
        <f t="shared" si="19"/>
        <v>2042</v>
      </c>
      <c r="X58" s="174">
        <f t="shared" si="19"/>
        <v>2043</v>
      </c>
      <c r="Y58" s="174">
        <f t="shared" si="19"/>
        <v>2044</v>
      </c>
      <c r="Z58" s="174">
        <f t="shared" si="19"/>
        <v>2045</v>
      </c>
      <c r="AA58" s="174">
        <f t="shared" si="19"/>
        <v>2046</v>
      </c>
    </row>
    <row r="59" spans="1:27" x14ac:dyDescent="0.3">
      <c r="A59" s="124" t="s">
        <v>259</v>
      </c>
      <c r="B59" s="182">
        <f>+(B53*B54*B55)</f>
        <v>187.24500000000003</v>
      </c>
      <c r="C59" s="182">
        <f t="shared" ref="C59:AA59" si="20">$B59*(1+$B56)^C57</f>
        <v>189.49194000000003</v>
      </c>
      <c r="D59" s="182">
        <f t="shared" si="20"/>
        <v>191.76584328000001</v>
      </c>
      <c r="E59" s="182">
        <f t="shared" si="20"/>
        <v>194.06703339936004</v>
      </c>
      <c r="F59" s="182">
        <f t="shared" si="20"/>
        <v>196.39583780015235</v>
      </c>
      <c r="G59" s="182">
        <f t="shared" si="20"/>
        <v>198.75258785375416</v>
      </c>
      <c r="H59" s="182">
        <f t="shared" si="20"/>
        <v>201.13761890799918</v>
      </c>
      <c r="I59" s="182">
        <f t="shared" si="20"/>
        <v>203.55127033489524</v>
      </c>
      <c r="J59" s="182">
        <f t="shared" si="20"/>
        <v>205.99388557891396</v>
      </c>
      <c r="K59" s="182">
        <f t="shared" si="20"/>
        <v>208.46581220586091</v>
      </c>
      <c r="L59" s="182">
        <f t="shared" si="20"/>
        <v>210.96740195233124</v>
      </c>
      <c r="M59" s="182">
        <f t="shared" si="20"/>
        <v>213.49901077575922</v>
      </c>
      <c r="N59" s="182">
        <f t="shared" si="20"/>
        <v>216.06099890506832</v>
      </c>
      <c r="O59" s="182">
        <f t="shared" si="20"/>
        <v>218.65373089192914</v>
      </c>
      <c r="P59" s="182">
        <f t="shared" si="20"/>
        <v>221.27757566263227</v>
      </c>
      <c r="Q59" s="182">
        <f t="shared" si="20"/>
        <v>223.93290657058392</v>
      </c>
      <c r="R59" s="182">
        <f t="shared" si="20"/>
        <v>226.6201014494309</v>
      </c>
      <c r="S59" s="182">
        <f t="shared" si="20"/>
        <v>229.33954266682409</v>
      </c>
      <c r="T59" s="182">
        <f t="shared" si="20"/>
        <v>232.09161717882594</v>
      </c>
      <c r="U59" s="182">
        <f t="shared" si="20"/>
        <v>234.87671658497189</v>
      </c>
      <c r="V59" s="182">
        <f t="shared" si="20"/>
        <v>237.69523718399151</v>
      </c>
      <c r="W59" s="182">
        <f t="shared" si="20"/>
        <v>240.54758003019944</v>
      </c>
      <c r="X59" s="182">
        <f t="shared" si="20"/>
        <v>243.43415099056179</v>
      </c>
      <c r="Y59" s="182">
        <f t="shared" si="20"/>
        <v>246.35536080244862</v>
      </c>
      <c r="Z59" s="182">
        <f t="shared" si="20"/>
        <v>249.31162513207795</v>
      </c>
      <c r="AA59" s="182">
        <f t="shared" si="20"/>
        <v>252.30336463366285</v>
      </c>
    </row>
    <row r="60" spans="1:27" x14ac:dyDescent="0.3">
      <c r="A60" s="181" t="s">
        <v>258</v>
      </c>
      <c r="B60" s="124">
        <v>60</v>
      </c>
      <c r="C60" s="124">
        <v>60</v>
      </c>
      <c r="D60" s="124">
        <v>60</v>
      </c>
      <c r="E60" s="124">
        <v>60</v>
      </c>
      <c r="F60" s="124">
        <v>60</v>
      </c>
      <c r="G60" s="124">
        <v>60</v>
      </c>
      <c r="H60" s="124">
        <v>60</v>
      </c>
      <c r="I60" s="124">
        <v>60</v>
      </c>
      <c r="J60" s="124">
        <v>60</v>
      </c>
      <c r="K60" s="124">
        <v>60</v>
      </c>
      <c r="L60" s="124">
        <v>60</v>
      </c>
      <c r="M60" s="124">
        <v>60</v>
      </c>
      <c r="N60" s="124">
        <v>60</v>
      </c>
      <c r="O60" s="124">
        <v>60</v>
      </c>
      <c r="P60" s="124">
        <v>60</v>
      </c>
      <c r="Q60" s="124">
        <v>60</v>
      </c>
      <c r="R60" s="124">
        <v>60</v>
      </c>
      <c r="S60" s="124">
        <v>60</v>
      </c>
      <c r="T60" s="124">
        <v>60</v>
      </c>
      <c r="U60" s="124">
        <v>60</v>
      </c>
      <c r="V60" s="124">
        <v>60</v>
      </c>
      <c r="W60" s="124">
        <v>60</v>
      </c>
      <c r="X60" s="124">
        <v>60</v>
      </c>
      <c r="Y60" s="124">
        <v>60</v>
      </c>
      <c r="Z60" s="124">
        <v>60</v>
      </c>
      <c r="AA60" s="124">
        <v>60</v>
      </c>
    </row>
    <row r="61" spans="1:27" x14ac:dyDescent="0.3">
      <c r="A61" s="180" t="s">
        <v>57</v>
      </c>
      <c r="B61" s="68">
        <f t="shared" ref="B61:AA61" si="21">B60+B59</f>
        <v>247.24500000000003</v>
      </c>
      <c r="C61" s="68">
        <f t="shared" si="21"/>
        <v>249.49194000000003</v>
      </c>
      <c r="D61" s="68">
        <f t="shared" si="21"/>
        <v>251.76584328000001</v>
      </c>
      <c r="E61" s="68">
        <f t="shared" si="21"/>
        <v>254.06703339936004</v>
      </c>
      <c r="F61" s="68">
        <f t="shared" si="21"/>
        <v>256.39583780015232</v>
      </c>
      <c r="G61" s="68">
        <f t="shared" si="21"/>
        <v>258.75258785375416</v>
      </c>
      <c r="H61" s="68">
        <f t="shared" si="21"/>
        <v>261.13761890799918</v>
      </c>
      <c r="I61" s="68">
        <f t="shared" si="21"/>
        <v>263.55127033489521</v>
      </c>
      <c r="J61" s="68">
        <f t="shared" si="21"/>
        <v>265.99388557891393</v>
      </c>
      <c r="K61" s="68">
        <f t="shared" si="21"/>
        <v>268.46581220586091</v>
      </c>
      <c r="L61" s="68">
        <f t="shared" si="21"/>
        <v>270.96740195233122</v>
      </c>
      <c r="M61" s="68">
        <f t="shared" si="21"/>
        <v>273.49901077575919</v>
      </c>
      <c r="N61" s="68">
        <f t="shared" si="21"/>
        <v>276.06099890506835</v>
      </c>
      <c r="O61" s="68">
        <f t="shared" si="21"/>
        <v>278.65373089192917</v>
      </c>
      <c r="P61" s="68">
        <f t="shared" si="21"/>
        <v>281.27757566263227</v>
      </c>
      <c r="Q61" s="68">
        <f t="shared" si="21"/>
        <v>283.9329065705839</v>
      </c>
      <c r="R61" s="68">
        <f t="shared" si="21"/>
        <v>286.62010144943088</v>
      </c>
      <c r="S61" s="68">
        <f t="shared" si="21"/>
        <v>289.33954266682406</v>
      </c>
      <c r="T61" s="68">
        <f t="shared" si="21"/>
        <v>292.09161717882591</v>
      </c>
      <c r="U61" s="68">
        <f t="shared" si="21"/>
        <v>294.87671658497186</v>
      </c>
      <c r="V61" s="68">
        <f t="shared" si="21"/>
        <v>297.69523718399148</v>
      </c>
      <c r="W61" s="68">
        <f t="shared" si="21"/>
        <v>300.54758003019947</v>
      </c>
      <c r="X61" s="68">
        <f t="shared" si="21"/>
        <v>303.43415099056176</v>
      </c>
      <c r="Y61" s="68">
        <f t="shared" si="21"/>
        <v>306.35536080244862</v>
      </c>
      <c r="Z61" s="68">
        <f t="shared" si="21"/>
        <v>309.31162513207795</v>
      </c>
      <c r="AA61" s="68">
        <f t="shared" si="21"/>
        <v>312.30336463366285</v>
      </c>
    </row>
    <row r="63" spans="1:27" x14ac:dyDescent="0.3">
      <c r="A63" s="45" t="s">
        <v>50</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row>
    <row r="64" spans="1:27" x14ac:dyDescent="0.3">
      <c r="A64" s="124" t="s">
        <v>40</v>
      </c>
      <c r="B64" s="173">
        <f>'Inputs &amp; Summary'!F95</f>
        <v>138.70000000000002</v>
      </c>
    </row>
    <row r="65" spans="1:27" x14ac:dyDescent="0.3">
      <c r="A65" s="124" t="s">
        <v>41</v>
      </c>
      <c r="B65" s="124">
        <f>'Inputs &amp; Summary'!F96</f>
        <v>135</v>
      </c>
      <c r="G65" s="82" t="s">
        <v>143</v>
      </c>
      <c r="H65" s="83"/>
      <c r="I65" s="83"/>
      <c r="J65" s="83"/>
      <c r="K65" s="83"/>
      <c r="L65" s="83"/>
      <c r="M65" s="83"/>
      <c r="N65" s="83"/>
      <c r="O65" s="83"/>
      <c r="P65" s="83"/>
      <c r="Q65" s="83"/>
      <c r="R65" s="83"/>
      <c r="S65" s="83"/>
      <c r="T65" s="83"/>
      <c r="U65" s="83"/>
      <c r="V65" s="84"/>
    </row>
    <row r="66" spans="1:27" x14ac:dyDescent="0.3">
      <c r="A66" s="124" t="s">
        <v>38</v>
      </c>
      <c r="B66" s="158">
        <f>'Inputs &amp; Summary'!P121</f>
        <v>1.4999999999999999E-2</v>
      </c>
      <c r="C66" s="1" t="s">
        <v>193</v>
      </c>
      <c r="G66" s="85" t="s">
        <v>142</v>
      </c>
      <c r="H66" s="72"/>
      <c r="I66" s="72"/>
      <c r="J66" s="72"/>
      <c r="K66" s="72"/>
      <c r="L66" s="72"/>
      <c r="M66" s="72"/>
      <c r="N66" s="72"/>
      <c r="O66" s="72"/>
      <c r="P66" s="72"/>
      <c r="Q66" s="72"/>
      <c r="R66" s="72"/>
      <c r="S66" s="72"/>
      <c r="T66" s="72"/>
      <c r="U66" s="72"/>
      <c r="V66" s="86"/>
    </row>
    <row r="67" spans="1:27" x14ac:dyDescent="0.3">
      <c r="A67" s="124" t="s">
        <v>39</v>
      </c>
      <c r="B67" s="160">
        <f>'Inputs &amp; Summary'!P122</f>
        <v>1.2E-2</v>
      </c>
      <c r="C67" s="1" t="s">
        <v>193</v>
      </c>
    </row>
    <row r="68" spans="1:27" x14ac:dyDescent="0.3">
      <c r="A68" s="3" t="s">
        <v>3</v>
      </c>
      <c r="B68" s="124">
        <v>0</v>
      </c>
      <c r="C68" s="124">
        <f t="shared" ref="C68:AA68" si="22">+B68+1</f>
        <v>1</v>
      </c>
      <c r="D68" s="124">
        <f t="shared" si="22"/>
        <v>2</v>
      </c>
      <c r="E68" s="124">
        <f t="shared" si="22"/>
        <v>3</v>
      </c>
      <c r="F68" s="124">
        <f t="shared" si="22"/>
        <v>4</v>
      </c>
      <c r="G68" s="124">
        <f t="shared" si="22"/>
        <v>5</v>
      </c>
      <c r="H68" s="124">
        <f t="shared" si="22"/>
        <v>6</v>
      </c>
      <c r="I68" s="124">
        <f t="shared" si="22"/>
        <v>7</v>
      </c>
      <c r="J68" s="124">
        <f t="shared" si="22"/>
        <v>8</v>
      </c>
      <c r="K68" s="124">
        <f t="shared" si="22"/>
        <v>9</v>
      </c>
      <c r="L68" s="124">
        <f t="shared" si="22"/>
        <v>10</v>
      </c>
      <c r="M68" s="124">
        <f t="shared" si="22"/>
        <v>11</v>
      </c>
      <c r="N68" s="124">
        <f t="shared" si="22"/>
        <v>12</v>
      </c>
      <c r="O68" s="124">
        <f t="shared" si="22"/>
        <v>13</v>
      </c>
      <c r="P68" s="124">
        <f t="shared" si="22"/>
        <v>14</v>
      </c>
      <c r="Q68" s="124">
        <f t="shared" si="22"/>
        <v>15</v>
      </c>
      <c r="R68" s="124">
        <f t="shared" si="22"/>
        <v>16</v>
      </c>
      <c r="S68" s="124">
        <f t="shared" si="22"/>
        <v>17</v>
      </c>
      <c r="T68" s="124">
        <f t="shared" si="22"/>
        <v>18</v>
      </c>
      <c r="U68" s="124">
        <f t="shared" si="22"/>
        <v>19</v>
      </c>
      <c r="V68" s="124">
        <f t="shared" si="22"/>
        <v>20</v>
      </c>
      <c r="W68" s="124">
        <f t="shared" si="22"/>
        <v>21</v>
      </c>
      <c r="X68" s="124">
        <f t="shared" si="22"/>
        <v>22</v>
      </c>
      <c r="Y68" s="124">
        <f t="shared" si="22"/>
        <v>23</v>
      </c>
      <c r="Z68" s="124">
        <f t="shared" si="22"/>
        <v>24</v>
      </c>
      <c r="AA68" s="124">
        <f t="shared" si="22"/>
        <v>25</v>
      </c>
    </row>
    <row r="69" spans="1:27" x14ac:dyDescent="0.3">
      <c r="A69" s="175" t="s">
        <v>4</v>
      </c>
      <c r="B69" s="174">
        <v>2021</v>
      </c>
      <c r="C69" s="174">
        <f t="shared" ref="C69:AA69" si="23">+B69+1</f>
        <v>2022</v>
      </c>
      <c r="D69" s="174">
        <f t="shared" si="23"/>
        <v>2023</v>
      </c>
      <c r="E69" s="174">
        <f t="shared" si="23"/>
        <v>2024</v>
      </c>
      <c r="F69" s="174">
        <f t="shared" si="23"/>
        <v>2025</v>
      </c>
      <c r="G69" s="174">
        <f t="shared" si="23"/>
        <v>2026</v>
      </c>
      <c r="H69" s="174">
        <f t="shared" si="23"/>
        <v>2027</v>
      </c>
      <c r="I69" s="174">
        <f t="shared" si="23"/>
        <v>2028</v>
      </c>
      <c r="J69" s="174">
        <f t="shared" si="23"/>
        <v>2029</v>
      </c>
      <c r="K69" s="174">
        <f t="shared" si="23"/>
        <v>2030</v>
      </c>
      <c r="L69" s="174">
        <f t="shared" si="23"/>
        <v>2031</v>
      </c>
      <c r="M69" s="174">
        <f t="shared" si="23"/>
        <v>2032</v>
      </c>
      <c r="N69" s="174">
        <f t="shared" si="23"/>
        <v>2033</v>
      </c>
      <c r="O69" s="174">
        <f t="shared" si="23"/>
        <v>2034</v>
      </c>
      <c r="P69" s="174">
        <f t="shared" si="23"/>
        <v>2035</v>
      </c>
      <c r="Q69" s="174">
        <f t="shared" si="23"/>
        <v>2036</v>
      </c>
      <c r="R69" s="174">
        <f t="shared" si="23"/>
        <v>2037</v>
      </c>
      <c r="S69" s="174">
        <f t="shared" si="23"/>
        <v>2038</v>
      </c>
      <c r="T69" s="174">
        <f t="shared" si="23"/>
        <v>2039</v>
      </c>
      <c r="U69" s="174">
        <f t="shared" si="23"/>
        <v>2040</v>
      </c>
      <c r="V69" s="174">
        <f t="shared" si="23"/>
        <v>2041</v>
      </c>
      <c r="W69" s="174">
        <f t="shared" si="23"/>
        <v>2042</v>
      </c>
      <c r="X69" s="174">
        <f t="shared" si="23"/>
        <v>2043</v>
      </c>
      <c r="Y69" s="174">
        <f t="shared" si="23"/>
        <v>2044</v>
      </c>
      <c r="Z69" s="174">
        <f t="shared" si="23"/>
        <v>2045</v>
      </c>
      <c r="AA69" s="174">
        <f t="shared" si="23"/>
        <v>2046</v>
      </c>
    </row>
    <row r="70" spans="1:27" x14ac:dyDescent="0.3">
      <c r="A70" s="1" t="s">
        <v>58</v>
      </c>
      <c r="B70" s="24">
        <f>+(B64*B65*B66)</f>
        <v>280.86750000000006</v>
      </c>
      <c r="C70" s="24">
        <f t="shared" ref="C70:AA70" si="24">+$B$70*(1+$B$67)^C68</f>
        <v>284.23791000000006</v>
      </c>
      <c r="D70" s="24">
        <f t="shared" si="24"/>
        <v>287.64876492000008</v>
      </c>
      <c r="E70" s="24">
        <f t="shared" si="24"/>
        <v>291.10055009904005</v>
      </c>
      <c r="F70" s="24">
        <f t="shared" si="24"/>
        <v>294.59375670022854</v>
      </c>
      <c r="G70" s="24">
        <f t="shared" si="24"/>
        <v>298.12888178063127</v>
      </c>
      <c r="H70" s="24">
        <f t="shared" si="24"/>
        <v>301.7064283619988</v>
      </c>
      <c r="I70" s="24">
        <f t="shared" si="24"/>
        <v>305.32690550234287</v>
      </c>
      <c r="J70" s="24">
        <f t="shared" si="24"/>
        <v>308.99082836837096</v>
      </c>
      <c r="K70" s="24">
        <f t="shared" si="24"/>
        <v>312.6987183087914</v>
      </c>
      <c r="L70" s="24">
        <f t="shared" si="24"/>
        <v>316.45110292849688</v>
      </c>
      <c r="M70" s="24">
        <f t="shared" si="24"/>
        <v>320.24851616363884</v>
      </c>
      <c r="N70" s="24">
        <f t="shared" si="24"/>
        <v>324.09149835760252</v>
      </c>
      <c r="O70" s="24">
        <f t="shared" si="24"/>
        <v>327.9805963378937</v>
      </c>
      <c r="P70" s="24">
        <f t="shared" si="24"/>
        <v>331.91636349394844</v>
      </c>
      <c r="Q70" s="24">
        <f t="shared" si="24"/>
        <v>335.8993598558759</v>
      </c>
      <c r="R70" s="24">
        <f t="shared" si="24"/>
        <v>339.93015217414637</v>
      </c>
      <c r="S70" s="24">
        <f t="shared" si="24"/>
        <v>344.00931400023615</v>
      </c>
      <c r="T70" s="24">
        <f t="shared" si="24"/>
        <v>348.13742576823893</v>
      </c>
      <c r="U70" s="24">
        <f t="shared" si="24"/>
        <v>352.31507487745785</v>
      </c>
      <c r="V70" s="24">
        <f t="shared" si="24"/>
        <v>356.54285577598728</v>
      </c>
      <c r="W70" s="24">
        <f t="shared" si="24"/>
        <v>360.8213700452992</v>
      </c>
      <c r="X70" s="24">
        <f t="shared" si="24"/>
        <v>365.1512264858427</v>
      </c>
      <c r="Y70" s="24">
        <f t="shared" si="24"/>
        <v>369.53304120367295</v>
      </c>
      <c r="Z70" s="24">
        <f t="shared" si="24"/>
        <v>373.96743769811695</v>
      </c>
      <c r="AA70" s="24">
        <f t="shared" si="24"/>
        <v>378.45504695049431</v>
      </c>
    </row>
    <row r="72" spans="1:27" x14ac:dyDescent="0.3">
      <c r="A72" s="45" t="s">
        <v>21</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row>
    <row r="74" spans="1:27" x14ac:dyDescent="0.3">
      <c r="A74" s="124" t="s">
        <v>113</v>
      </c>
      <c r="B74" s="179">
        <f>'Inputs &amp; Summary'!P81</f>
        <v>47.828616539314339</v>
      </c>
      <c r="G74" s="82" t="s">
        <v>145</v>
      </c>
      <c r="H74" s="83"/>
      <c r="I74" s="83"/>
      <c r="J74" s="83"/>
      <c r="K74" s="83"/>
      <c r="L74" s="83"/>
      <c r="M74" s="83"/>
      <c r="N74" s="83"/>
      <c r="O74" s="83"/>
      <c r="P74" s="83"/>
      <c r="Q74" s="83"/>
      <c r="R74" s="83"/>
      <c r="S74" s="83"/>
      <c r="T74" s="83"/>
      <c r="U74" s="84"/>
    </row>
    <row r="75" spans="1:27" x14ac:dyDescent="0.3">
      <c r="A75" s="124" t="s">
        <v>114</v>
      </c>
      <c r="B75" s="32">
        <f>'Inputs &amp; Summary'!F84</f>
        <v>316783.09000000003</v>
      </c>
      <c r="G75" s="87" t="s">
        <v>138</v>
      </c>
      <c r="H75" s="119"/>
      <c r="I75" s="119"/>
      <c r="J75" s="119"/>
      <c r="K75" s="119"/>
      <c r="L75" s="119"/>
      <c r="M75" s="119"/>
      <c r="N75" s="119"/>
      <c r="O75" s="119"/>
      <c r="P75" s="119"/>
      <c r="Q75" s="119"/>
      <c r="R75" s="119"/>
      <c r="S75" s="119"/>
      <c r="T75" s="119"/>
      <c r="U75" s="89"/>
    </row>
    <row r="76" spans="1:27" x14ac:dyDescent="0.3">
      <c r="A76" s="124" t="s">
        <v>44</v>
      </c>
      <c r="B76" s="178">
        <f>'Inputs &amp; Summary'!P85</f>
        <v>1.12E-2</v>
      </c>
      <c r="G76" s="85" t="s">
        <v>444</v>
      </c>
      <c r="H76" s="72"/>
      <c r="I76" s="72"/>
      <c r="J76" s="72"/>
      <c r="K76" s="72"/>
      <c r="L76" s="72"/>
      <c r="M76" s="72"/>
      <c r="N76" s="72"/>
      <c r="O76" s="72"/>
      <c r="P76" s="72"/>
      <c r="Q76" s="72"/>
      <c r="R76" s="72"/>
      <c r="S76" s="72"/>
      <c r="T76" s="72"/>
      <c r="U76" s="86"/>
    </row>
    <row r="77" spans="1:27" x14ac:dyDescent="0.3">
      <c r="A77" s="124" t="s">
        <v>115</v>
      </c>
      <c r="B77" s="157">
        <f>'Inputs &amp; Summary'!P124</f>
        <v>0.02</v>
      </c>
      <c r="C77" s="1" t="s">
        <v>193</v>
      </c>
    </row>
    <row r="78" spans="1:27" x14ac:dyDescent="0.3">
      <c r="A78" s="124" t="s">
        <v>116</v>
      </c>
      <c r="B78" s="118">
        <f>+(B74*B75*B77/1000)</f>
        <v>303.02593875498206</v>
      </c>
      <c r="C78" s="1"/>
    </row>
    <row r="79" spans="1:27" x14ac:dyDescent="0.3">
      <c r="A79" s="3" t="s">
        <v>3</v>
      </c>
      <c r="B79" s="124">
        <v>0</v>
      </c>
      <c r="C79" s="124">
        <f t="shared" ref="C79:AA79" si="25">+B79+1</f>
        <v>1</v>
      </c>
      <c r="D79" s="124">
        <f t="shared" si="25"/>
        <v>2</v>
      </c>
      <c r="E79" s="124">
        <f t="shared" si="25"/>
        <v>3</v>
      </c>
      <c r="F79" s="124">
        <f t="shared" si="25"/>
        <v>4</v>
      </c>
      <c r="G79" s="124">
        <f t="shared" si="25"/>
        <v>5</v>
      </c>
      <c r="H79" s="124">
        <f t="shared" si="25"/>
        <v>6</v>
      </c>
      <c r="I79" s="124">
        <f t="shared" si="25"/>
        <v>7</v>
      </c>
      <c r="J79" s="124">
        <f t="shared" si="25"/>
        <v>8</v>
      </c>
      <c r="K79" s="124">
        <f t="shared" si="25"/>
        <v>9</v>
      </c>
      <c r="L79" s="124">
        <f t="shared" si="25"/>
        <v>10</v>
      </c>
      <c r="M79" s="124">
        <f t="shared" si="25"/>
        <v>11</v>
      </c>
      <c r="N79" s="124">
        <f t="shared" si="25"/>
        <v>12</v>
      </c>
      <c r="O79" s="124">
        <f t="shared" si="25"/>
        <v>13</v>
      </c>
      <c r="P79" s="124">
        <f t="shared" si="25"/>
        <v>14</v>
      </c>
      <c r="Q79" s="124">
        <f t="shared" si="25"/>
        <v>15</v>
      </c>
      <c r="R79" s="124">
        <f t="shared" si="25"/>
        <v>16</v>
      </c>
      <c r="S79" s="124">
        <f t="shared" si="25"/>
        <v>17</v>
      </c>
      <c r="T79" s="124">
        <f t="shared" si="25"/>
        <v>18</v>
      </c>
      <c r="U79" s="124">
        <f t="shared" si="25"/>
        <v>19</v>
      </c>
      <c r="V79" s="124">
        <f t="shared" si="25"/>
        <v>20</v>
      </c>
      <c r="W79" s="124">
        <f t="shared" si="25"/>
        <v>21</v>
      </c>
      <c r="X79" s="124">
        <f t="shared" si="25"/>
        <v>22</v>
      </c>
      <c r="Y79" s="124">
        <f t="shared" si="25"/>
        <v>23</v>
      </c>
      <c r="Z79" s="124">
        <f t="shared" si="25"/>
        <v>24</v>
      </c>
      <c r="AA79" s="124">
        <f t="shared" si="25"/>
        <v>25</v>
      </c>
    </row>
    <row r="80" spans="1:27" x14ac:dyDescent="0.3">
      <c r="A80" s="175" t="s">
        <v>400</v>
      </c>
      <c r="B80" s="174">
        <v>2021</v>
      </c>
      <c r="C80" s="174">
        <f t="shared" ref="C80:AA80" si="26">+B80+1</f>
        <v>2022</v>
      </c>
      <c r="D80" s="174">
        <f t="shared" si="26"/>
        <v>2023</v>
      </c>
      <c r="E80" s="174">
        <f t="shared" si="26"/>
        <v>2024</v>
      </c>
      <c r="F80" s="174">
        <f t="shared" si="26"/>
        <v>2025</v>
      </c>
      <c r="G80" s="174">
        <f t="shared" si="26"/>
        <v>2026</v>
      </c>
      <c r="H80" s="174">
        <f t="shared" si="26"/>
        <v>2027</v>
      </c>
      <c r="I80" s="174">
        <f t="shared" si="26"/>
        <v>2028</v>
      </c>
      <c r="J80" s="174">
        <f t="shared" si="26"/>
        <v>2029</v>
      </c>
      <c r="K80" s="174">
        <f t="shared" si="26"/>
        <v>2030</v>
      </c>
      <c r="L80" s="174">
        <f t="shared" si="26"/>
        <v>2031</v>
      </c>
      <c r="M80" s="174">
        <f t="shared" si="26"/>
        <v>2032</v>
      </c>
      <c r="N80" s="174">
        <f t="shared" si="26"/>
        <v>2033</v>
      </c>
      <c r="O80" s="174">
        <f t="shared" si="26"/>
        <v>2034</v>
      </c>
      <c r="P80" s="174">
        <f t="shared" si="26"/>
        <v>2035</v>
      </c>
      <c r="Q80" s="174">
        <f t="shared" si="26"/>
        <v>2036</v>
      </c>
      <c r="R80" s="174">
        <f t="shared" si="26"/>
        <v>2037</v>
      </c>
      <c r="S80" s="174">
        <f t="shared" si="26"/>
        <v>2038</v>
      </c>
      <c r="T80" s="174">
        <f t="shared" si="26"/>
        <v>2039</v>
      </c>
      <c r="U80" s="174">
        <f t="shared" si="26"/>
        <v>2040</v>
      </c>
      <c r="V80" s="174">
        <f t="shared" si="26"/>
        <v>2041</v>
      </c>
      <c r="W80" s="174">
        <f t="shared" si="26"/>
        <v>2042</v>
      </c>
      <c r="X80" s="174">
        <f t="shared" si="26"/>
        <v>2043</v>
      </c>
      <c r="Y80" s="174">
        <f t="shared" si="26"/>
        <v>2044</v>
      </c>
      <c r="Z80" s="174">
        <f t="shared" si="26"/>
        <v>2045</v>
      </c>
      <c r="AA80" s="174">
        <f t="shared" si="26"/>
        <v>2046</v>
      </c>
    </row>
    <row r="81" spans="1:27" x14ac:dyDescent="0.3">
      <c r="A81" s="1" t="s">
        <v>59</v>
      </c>
      <c r="B81" s="24">
        <f>+B78</f>
        <v>303.02593875498206</v>
      </c>
      <c r="C81" s="24">
        <f t="shared" ref="C81:AA81" si="27">+B81*(1+$B$76)</f>
        <v>306.4198292690379</v>
      </c>
      <c r="D81" s="24">
        <f t="shared" si="27"/>
        <v>309.85173135685113</v>
      </c>
      <c r="E81" s="24">
        <f t="shared" si="27"/>
        <v>313.32207074804791</v>
      </c>
      <c r="F81" s="24">
        <f t="shared" si="27"/>
        <v>316.83127794042605</v>
      </c>
      <c r="G81" s="24">
        <f t="shared" si="27"/>
        <v>320.37978825335887</v>
      </c>
      <c r="H81" s="24">
        <f t="shared" si="27"/>
        <v>323.96804188179652</v>
      </c>
      <c r="I81" s="24">
        <f t="shared" si="27"/>
        <v>327.59648395087265</v>
      </c>
      <c r="J81" s="24">
        <f t="shared" si="27"/>
        <v>331.26556457112247</v>
      </c>
      <c r="K81" s="24">
        <f t="shared" si="27"/>
        <v>334.97573889431908</v>
      </c>
      <c r="L81" s="24">
        <f t="shared" si="27"/>
        <v>338.72746716993549</v>
      </c>
      <c r="M81" s="24">
        <f t="shared" si="27"/>
        <v>342.52121480223883</v>
      </c>
      <c r="N81" s="24">
        <f t="shared" si="27"/>
        <v>346.35745240802396</v>
      </c>
      <c r="O81" s="24">
        <f t="shared" si="27"/>
        <v>350.23665587499386</v>
      </c>
      <c r="P81" s="24">
        <f t="shared" si="27"/>
        <v>354.15930642079383</v>
      </c>
      <c r="Q81" s="24">
        <f t="shared" si="27"/>
        <v>358.12589065270674</v>
      </c>
      <c r="R81" s="24">
        <f t="shared" si="27"/>
        <v>362.13690062801709</v>
      </c>
      <c r="S81" s="24">
        <f t="shared" si="27"/>
        <v>366.19283391505093</v>
      </c>
      <c r="T81" s="24">
        <f t="shared" si="27"/>
        <v>370.29419365489952</v>
      </c>
      <c r="U81" s="24">
        <f t="shared" si="27"/>
        <v>374.4414886238344</v>
      </c>
      <c r="V81" s="24">
        <f t="shared" si="27"/>
        <v>378.6352332964214</v>
      </c>
      <c r="W81" s="24">
        <f t="shared" si="27"/>
        <v>382.87594790934133</v>
      </c>
      <c r="X81" s="24">
        <f t="shared" si="27"/>
        <v>387.16415852592598</v>
      </c>
      <c r="Y81" s="24">
        <f t="shared" si="27"/>
        <v>391.50039710141641</v>
      </c>
      <c r="Z81" s="24">
        <f t="shared" si="27"/>
        <v>395.8852015489523</v>
      </c>
      <c r="AA81" s="24">
        <f t="shared" si="27"/>
        <v>400.3191158063006</v>
      </c>
    </row>
    <row r="83" spans="1:27" x14ac:dyDescent="0.3">
      <c r="A83" s="17" t="s">
        <v>69</v>
      </c>
      <c r="B83" s="17">
        <f t="shared" ref="B83:AA83" si="28">+B58</f>
        <v>2021</v>
      </c>
      <c r="C83" s="17">
        <f t="shared" si="28"/>
        <v>2022</v>
      </c>
      <c r="D83" s="17">
        <f t="shared" si="28"/>
        <v>2023</v>
      </c>
      <c r="E83" s="17">
        <f t="shared" si="28"/>
        <v>2024</v>
      </c>
      <c r="F83" s="17">
        <f t="shared" si="28"/>
        <v>2025</v>
      </c>
      <c r="G83" s="17">
        <f t="shared" si="28"/>
        <v>2026</v>
      </c>
      <c r="H83" s="17">
        <f t="shared" si="28"/>
        <v>2027</v>
      </c>
      <c r="I83" s="17">
        <f t="shared" si="28"/>
        <v>2028</v>
      </c>
      <c r="J83" s="17">
        <f t="shared" si="28"/>
        <v>2029</v>
      </c>
      <c r="K83" s="17">
        <f t="shared" si="28"/>
        <v>2030</v>
      </c>
      <c r="L83" s="17">
        <f t="shared" si="28"/>
        <v>2031</v>
      </c>
      <c r="M83" s="17">
        <f t="shared" si="28"/>
        <v>2032</v>
      </c>
      <c r="N83" s="17">
        <f t="shared" si="28"/>
        <v>2033</v>
      </c>
      <c r="O83" s="17">
        <f t="shared" si="28"/>
        <v>2034</v>
      </c>
      <c r="P83" s="17">
        <f t="shared" si="28"/>
        <v>2035</v>
      </c>
      <c r="Q83" s="17">
        <f t="shared" si="28"/>
        <v>2036</v>
      </c>
      <c r="R83" s="17">
        <f t="shared" si="28"/>
        <v>2037</v>
      </c>
      <c r="S83" s="17">
        <f t="shared" si="28"/>
        <v>2038</v>
      </c>
      <c r="T83" s="17">
        <f t="shared" si="28"/>
        <v>2039</v>
      </c>
      <c r="U83" s="17">
        <f t="shared" si="28"/>
        <v>2040</v>
      </c>
      <c r="V83" s="17">
        <f t="shared" si="28"/>
        <v>2041</v>
      </c>
      <c r="W83" s="17">
        <f t="shared" si="28"/>
        <v>2042</v>
      </c>
      <c r="X83" s="17">
        <f t="shared" si="28"/>
        <v>2043</v>
      </c>
      <c r="Y83" s="17">
        <f t="shared" si="28"/>
        <v>2044</v>
      </c>
      <c r="Z83" s="17">
        <f t="shared" si="28"/>
        <v>2045</v>
      </c>
      <c r="AA83" s="17">
        <f t="shared" si="28"/>
        <v>2046</v>
      </c>
    </row>
    <row r="84" spans="1:27" s="1" customFormat="1" ht="15" thickBot="1" x14ac:dyDescent="0.35">
      <c r="A84" s="38" t="s">
        <v>197</v>
      </c>
      <c r="B84" s="39">
        <f t="shared" ref="B84:AA84" si="29">+B81+B70+B61</f>
        <v>831.13843875498208</v>
      </c>
      <c r="C84" s="39">
        <f t="shared" si="29"/>
        <v>840.14967926903796</v>
      </c>
      <c r="D84" s="39">
        <f t="shared" si="29"/>
        <v>849.26633955685122</v>
      </c>
      <c r="E84" s="39">
        <f t="shared" si="29"/>
        <v>858.48965424644803</v>
      </c>
      <c r="F84" s="39">
        <f t="shared" si="29"/>
        <v>867.82087244080685</v>
      </c>
      <c r="G84" s="39">
        <f t="shared" si="29"/>
        <v>877.26125788774425</v>
      </c>
      <c r="H84" s="39">
        <f t="shared" si="29"/>
        <v>886.81208915179445</v>
      </c>
      <c r="I84" s="39">
        <f t="shared" si="29"/>
        <v>896.47465978811078</v>
      </c>
      <c r="J84" s="39">
        <f t="shared" si="29"/>
        <v>906.25027851840741</v>
      </c>
      <c r="K84" s="39">
        <f t="shared" si="29"/>
        <v>916.14026940897133</v>
      </c>
      <c r="L84" s="39">
        <f t="shared" si="29"/>
        <v>926.14597205076359</v>
      </c>
      <c r="M84" s="39">
        <f t="shared" si="29"/>
        <v>936.26874174163686</v>
      </c>
      <c r="N84" s="39">
        <f t="shared" si="29"/>
        <v>946.50994967069482</v>
      </c>
      <c r="O84" s="39">
        <f t="shared" si="29"/>
        <v>956.87098310481679</v>
      </c>
      <c r="P84" s="39">
        <f t="shared" si="29"/>
        <v>967.35324557737454</v>
      </c>
      <c r="Q84" s="39">
        <f t="shared" si="29"/>
        <v>977.95815707916654</v>
      </c>
      <c r="R84" s="39">
        <f t="shared" si="29"/>
        <v>988.68715425159439</v>
      </c>
      <c r="S84" s="39">
        <f t="shared" si="29"/>
        <v>999.54169058211107</v>
      </c>
      <c r="T84" s="39">
        <f t="shared" si="29"/>
        <v>1010.5232366019644</v>
      </c>
      <c r="U84" s="39">
        <f t="shared" si="29"/>
        <v>1021.6332800862641</v>
      </c>
      <c r="V84" s="39">
        <f t="shared" si="29"/>
        <v>1032.8733262564001</v>
      </c>
      <c r="W84" s="39">
        <f t="shared" si="29"/>
        <v>1044.24489798484</v>
      </c>
      <c r="X84" s="39">
        <f t="shared" si="29"/>
        <v>1055.7495360023304</v>
      </c>
      <c r="Y84" s="39">
        <f t="shared" si="29"/>
        <v>1067.388799107538</v>
      </c>
      <c r="Z84" s="39">
        <f t="shared" si="29"/>
        <v>1079.1642643791472</v>
      </c>
      <c r="AA84" s="39">
        <f t="shared" si="29"/>
        <v>1091.0775273904578</v>
      </c>
    </row>
    <row r="86" spans="1:27" ht="18" x14ac:dyDescent="0.35">
      <c r="A86" s="108" t="s">
        <v>163</v>
      </c>
    </row>
    <row r="87" spans="1:27" ht="15" customHeight="1" x14ac:dyDescent="0.3">
      <c r="A87" s="124" t="s">
        <v>61</v>
      </c>
    </row>
    <row r="88" spans="1:27" x14ac:dyDescent="0.3">
      <c r="A88" s="45" t="s">
        <v>22</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row>
    <row r="89" spans="1:27" x14ac:dyDescent="0.3">
      <c r="C89" s="46" t="s">
        <v>181</v>
      </c>
    </row>
    <row r="90" spans="1:27" x14ac:dyDescent="0.3">
      <c r="C90" s="1" t="s">
        <v>278</v>
      </c>
      <c r="G90" s="90" t="s">
        <v>446</v>
      </c>
      <c r="H90" s="91"/>
      <c r="I90" s="91"/>
      <c r="J90" s="91"/>
      <c r="K90" s="91"/>
      <c r="L90" s="91"/>
      <c r="M90" s="91"/>
      <c r="N90" s="91"/>
      <c r="O90" s="91"/>
      <c r="P90" s="91"/>
      <c r="Q90" s="91"/>
      <c r="R90" s="91"/>
      <c r="S90" s="91"/>
      <c r="T90" s="92"/>
    </row>
    <row r="91" spans="1:27" x14ac:dyDescent="0.3">
      <c r="A91" s="3" t="s">
        <v>3</v>
      </c>
      <c r="B91" s="124">
        <v>0</v>
      </c>
      <c r="C91" s="124">
        <f t="shared" ref="C91:AA91" si="30">+B91+1</f>
        <v>1</v>
      </c>
      <c r="D91" s="124">
        <f t="shared" si="30"/>
        <v>2</v>
      </c>
      <c r="E91" s="124">
        <f t="shared" si="30"/>
        <v>3</v>
      </c>
      <c r="F91" s="124">
        <f t="shared" si="30"/>
        <v>4</v>
      </c>
      <c r="G91" s="124">
        <f t="shared" si="30"/>
        <v>5</v>
      </c>
      <c r="H91" s="124">
        <f t="shared" si="30"/>
        <v>6</v>
      </c>
      <c r="I91" s="124">
        <f t="shared" si="30"/>
        <v>7</v>
      </c>
      <c r="J91" s="124">
        <f t="shared" si="30"/>
        <v>8</v>
      </c>
      <c r="K91" s="124">
        <f t="shared" si="30"/>
        <v>9</v>
      </c>
      <c r="L91" s="124">
        <f t="shared" si="30"/>
        <v>10</v>
      </c>
      <c r="M91" s="124">
        <f t="shared" si="30"/>
        <v>11</v>
      </c>
      <c r="N91" s="124">
        <f t="shared" si="30"/>
        <v>12</v>
      </c>
      <c r="O91" s="124">
        <f t="shared" si="30"/>
        <v>13</v>
      </c>
      <c r="P91" s="124">
        <f t="shared" si="30"/>
        <v>14</v>
      </c>
      <c r="Q91" s="124">
        <f t="shared" si="30"/>
        <v>15</v>
      </c>
      <c r="R91" s="124">
        <f t="shared" si="30"/>
        <v>16</v>
      </c>
      <c r="S91" s="124">
        <f t="shared" si="30"/>
        <v>17</v>
      </c>
      <c r="T91" s="124">
        <f t="shared" si="30"/>
        <v>18</v>
      </c>
      <c r="U91" s="124">
        <f t="shared" si="30"/>
        <v>19</v>
      </c>
      <c r="V91" s="124">
        <f t="shared" si="30"/>
        <v>20</v>
      </c>
      <c r="W91" s="124">
        <f t="shared" si="30"/>
        <v>21</v>
      </c>
      <c r="X91" s="124">
        <f t="shared" si="30"/>
        <v>22</v>
      </c>
      <c r="Y91" s="124">
        <f t="shared" si="30"/>
        <v>23</v>
      </c>
      <c r="Z91" s="124">
        <f t="shared" si="30"/>
        <v>24</v>
      </c>
      <c r="AA91" s="124">
        <f t="shared" si="30"/>
        <v>25</v>
      </c>
    </row>
    <row r="92" spans="1:27" x14ac:dyDescent="0.3">
      <c r="A92" s="175" t="s">
        <v>400</v>
      </c>
      <c r="B92" s="174">
        <v>2021</v>
      </c>
      <c r="C92" s="174">
        <f t="shared" ref="C92:AA92" si="31">+B92+1</f>
        <v>2022</v>
      </c>
      <c r="D92" s="174">
        <f t="shared" si="31"/>
        <v>2023</v>
      </c>
      <c r="E92" s="174">
        <f t="shared" si="31"/>
        <v>2024</v>
      </c>
      <c r="F92" s="174">
        <f t="shared" si="31"/>
        <v>2025</v>
      </c>
      <c r="G92" s="174">
        <f t="shared" si="31"/>
        <v>2026</v>
      </c>
      <c r="H92" s="174">
        <f t="shared" si="31"/>
        <v>2027</v>
      </c>
      <c r="I92" s="174">
        <f t="shared" si="31"/>
        <v>2028</v>
      </c>
      <c r="J92" s="174">
        <f t="shared" si="31"/>
        <v>2029</v>
      </c>
      <c r="K92" s="174">
        <f t="shared" si="31"/>
        <v>2030</v>
      </c>
      <c r="L92" s="174">
        <f t="shared" si="31"/>
        <v>2031</v>
      </c>
      <c r="M92" s="174">
        <f t="shared" si="31"/>
        <v>2032</v>
      </c>
      <c r="N92" s="174">
        <f t="shared" si="31"/>
        <v>2033</v>
      </c>
      <c r="O92" s="174">
        <f t="shared" si="31"/>
        <v>2034</v>
      </c>
      <c r="P92" s="174">
        <f t="shared" si="31"/>
        <v>2035</v>
      </c>
      <c r="Q92" s="174">
        <f t="shared" si="31"/>
        <v>2036</v>
      </c>
      <c r="R92" s="174">
        <f t="shared" si="31"/>
        <v>2037</v>
      </c>
      <c r="S92" s="174">
        <f t="shared" si="31"/>
        <v>2038</v>
      </c>
      <c r="T92" s="174">
        <f t="shared" si="31"/>
        <v>2039</v>
      </c>
      <c r="U92" s="174">
        <f t="shared" si="31"/>
        <v>2040</v>
      </c>
      <c r="V92" s="174">
        <f t="shared" si="31"/>
        <v>2041</v>
      </c>
      <c r="W92" s="174">
        <f t="shared" si="31"/>
        <v>2042</v>
      </c>
      <c r="X92" s="174">
        <f t="shared" si="31"/>
        <v>2043</v>
      </c>
      <c r="Y92" s="174">
        <f t="shared" si="31"/>
        <v>2044</v>
      </c>
      <c r="Z92" s="174">
        <f t="shared" si="31"/>
        <v>2045</v>
      </c>
      <c r="AA92" s="174">
        <f t="shared" si="31"/>
        <v>2046</v>
      </c>
    </row>
    <row r="93" spans="1:27" x14ac:dyDescent="0.3">
      <c r="A93" s="1" t="s">
        <v>57</v>
      </c>
      <c r="B93" s="36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1:27" x14ac:dyDescent="0.3">
      <c r="A94" s="1"/>
      <c r="P94" s="101"/>
    </row>
    <row r="95" spans="1:27" x14ac:dyDescent="0.3">
      <c r="A95" s="45" t="s">
        <v>60</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1:27" x14ac:dyDescent="0.3">
      <c r="C96" s="46" t="s">
        <v>181</v>
      </c>
    </row>
    <row r="97" spans="1:27" x14ac:dyDescent="0.3">
      <c r="C97" s="1" t="s">
        <v>183</v>
      </c>
      <c r="G97" s="102" t="s">
        <v>297</v>
      </c>
      <c r="H97" s="103"/>
      <c r="I97" s="103"/>
      <c r="J97" s="103"/>
      <c r="K97" s="103"/>
      <c r="L97" s="103"/>
      <c r="M97" s="103"/>
      <c r="N97" s="103"/>
      <c r="O97" s="103"/>
      <c r="P97" s="91"/>
      <c r="Q97" s="91"/>
      <c r="R97" s="92"/>
    </row>
    <row r="98" spans="1:27" x14ac:dyDescent="0.3">
      <c r="A98" s="3" t="s">
        <v>3</v>
      </c>
      <c r="B98" s="124">
        <v>0</v>
      </c>
      <c r="C98" s="124">
        <f t="shared" ref="C98:AA98" si="32">+B98+1</f>
        <v>1</v>
      </c>
      <c r="D98" s="124">
        <f t="shared" si="32"/>
        <v>2</v>
      </c>
      <c r="E98" s="124">
        <f t="shared" si="32"/>
        <v>3</v>
      </c>
      <c r="F98" s="124">
        <f t="shared" si="32"/>
        <v>4</v>
      </c>
      <c r="G98" s="124">
        <f t="shared" si="32"/>
        <v>5</v>
      </c>
      <c r="H98" s="124">
        <f t="shared" si="32"/>
        <v>6</v>
      </c>
      <c r="I98" s="124">
        <f t="shared" si="32"/>
        <v>7</v>
      </c>
      <c r="J98" s="124">
        <f t="shared" si="32"/>
        <v>8</v>
      </c>
      <c r="K98" s="124">
        <f t="shared" si="32"/>
        <v>9</v>
      </c>
      <c r="L98" s="124">
        <f t="shared" si="32"/>
        <v>10</v>
      </c>
      <c r="M98" s="124">
        <f t="shared" si="32"/>
        <v>11</v>
      </c>
      <c r="N98" s="124">
        <f t="shared" si="32"/>
        <v>12</v>
      </c>
      <c r="O98" s="124">
        <f t="shared" si="32"/>
        <v>13</v>
      </c>
      <c r="P98" s="124">
        <f t="shared" si="32"/>
        <v>14</v>
      </c>
      <c r="Q98" s="124">
        <f t="shared" si="32"/>
        <v>15</v>
      </c>
      <c r="R98" s="124">
        <f t="shared" si="32"/>
        <v>16</v>
      </c>
      <c r="S98" s="124">
        <f t="shared" si="32"/>
        <v>17</v>
      </c>
      <c r="T98" s="124">
        <f t="shared" si="32"/>
        <v>18</v>
      </c>
      <c r="U98" s="124">
        <f t="shared" si="32"/>
        <v>19</v>
      </c>
      <c r="V98" s="124">
        <f t="shared" si="32"/>
        <v>20</v>
      </c>
      <c r="W98" s="124">
        <f t="shared" si="32"/>
        <v>21</v>
      </c>
      <c r="X98" s="124">
        <f t="shared" si="32"/>
        <v>22</v>
      </c>
      <c r="Y98" s="124">
        <f t="shared" si="32"/>
        <v>23</v>
      </c>
      <c r="Z98" s="124">
        <f t="shared" si="32"/>
        <v>24</v>
      </c>
      <c r="AA98" s="124">
        <f t="shared" si="32"/>
        <v>25</v>
      </c>
    </row>
    <row r="99" spans="1:27" x14ac:dyDescent="0.3">
      <c r="A99" s="175" t="s">
        <v>400</v>
      </c>
      <c r="B99" s="174">
        <v>2021</v>
      </c>
      <c r="C99" s="174">
        <f t="shared" ref="C99:AA99" si="33">+B99+1</f>
        <v>2022</v>
      </c>
      <c r="D99" s="174">
        <f t="shared" si="33"/>
        <v>2023</v>
      </c>
      <c r="E99" s="174">
        <f t="shared" si="33"/>
        <v>2024</v>
      </c>
      <c r="F99" s="174">
        <f t="shared" si="33"/>
        <v>2025</v>
      </c>
      <c r="G99" s="174">
        <f t="shared" si="33"/>
        <v>2026</v>
      </c>
      <c r="H99" s="174">
        <f t="shared" si="33"/>
        <v>2027</v>
      </c>
      <c r="I99" s="174">
        <f t="shared" si="33"/>
        <v>2028</v>
      </c>
      <c r="J99" s="174">
        <f t="shared" si="33"/>
        <v>2029</v>
      </c>
      <c r="K99" s="174">
        <f t="shared" si="33"/>
        <v>2030</v>
      </c>
      <c r="L99" s="174">
        <f t="shared" si="33"/>
        <v>2031</v>
      </c>
      <c r="M99" s="174">
        <f t="shared" si="33"/>
        <v>2032</v>
      </c>
      <c r="N99" s="174">
        <f t="shared" si="33"/>
        <v>2033</v>
      </c>
      <c r="O99" s="174">
        <f t="shared" si="33"/>
        <v>2034</v>
      </c>
      <c r="P99" s="174">
        <f t="shared" si="33"/>
        <v>2035</v>
      </c>
      <c r="Q99" s="174">
        <f t="shared" si="33"/>
        <v>2036</v>
      </c>
      <c r="R99" s="174">
        <f t="shared" si="33"/>
        <v>2037</v>
      </c>
      <c r="S99" s="174">
        <f t="shared" si="33"/>
        <v>2038</v>
      </c>
      <c r="T99" s="174">
        <f t="shared" si="33"/>
        <v>2039</v>
      </c>
      <c r="U99" s="174">
        <f t="shared" si="33"/>
        <v>2040</v>
      </c>
      <c r="V99" s="174">
        <f t="shared" si="33"/>
        <v>2041</v>
      </c>
      <c r="W99" s="174">
        <f t="shared" si="33"/>
        <v>2042</v>
      </c>
      <c r="X99" s="174">
        <f t="shared" si="33"/>
        <v>2043</v>
      </c>
      <c r="Y99" s="174">
        <f t="shared" si="33"/>
        <v>2044</v>
      </c>
      <c r="Z99" s="174">
        <f t="shared" si="33"/>
        <v>2045</v>
      </c>
      <c r="AA99" s="174">
        <f t="shared" si="33"/>
        <v>2046</v>
      </c>
    </row>
    <row r="100" spans="1:27" x14ac:dyDescent="0.3">
      <c r="A100" s="209" t="s">
        <v>298</v>
      </c>
      <c r="B100" s="203">
        <f>'Inputs &amp; Summary'!E70*'Inputs &amp; Summary'!$P$103</f>
        <v>11400</v>
      </c>
      <c r="C100" s="203">
        <f>'Inputs &amp; Summary'!F70*'Inputs &amp; Summary'!$P$103</f>
        <v>0</v>
      </c>
      <c r="D100" s="203">
        <f>'Inputs &amp; Summary'!G70*'Inputs &amp; Summary'!$P$103</f>
        <v>0</v>
      </c>
      <c r="E100" s="203">
        <f>'Inputs &amp; Summary'!H70*'Inputs &amp; Summary'!$P$103</f>
        <v>0</v>
      </c>
      <c r="F100" s="203">
        <f>'Inputs &amp; Summary'!I70*'Inputs &amp; Summary'!$P$103</f>
        <v>140</v>
      </c>
      <c r="G100" s="203">
        <f>'Inputs &amp; Summary'!J70*'Inputs &amp; Summary'!$P$103</f>
        <v>0</v>
      </c>
      <c r="H100" s="203">
        <f>'Inputs &amp; Summary'!K70*'Inputs &amp; Summary'!$P$103</f>
        <v>0</v>
      </c>
      <c r="I100" s="203">
        <f>'Inputs &amp; Summary'!L70*'Inputs &amp; Summary'!$P$103</f>
        <v>0</v>
      </c>
      <c r="J100" s="203">
        <f>'Inputs &amp; Summary'!M70*'Inputs &amp; Summary'!$P$103</f>
        <v>0</v>
      </c>
      <c r="K100" s="203">
        <f>'Inputs &amp; Summary'!N70*'Inputs &amp; Summary'!$P$103</f>
        <v>0</v>
      </c>
      <c r="L100" s="203">
        <f>'Inputs &amp; Summary'!O70*'Inputs &amp; Summary'!$P$103</f>
        <v>0</v>
      </c>
      <c r="M100" s="204"/>
      <c r="N100" s="204"/>
      <c r="O100" s="204"/>
      <c r="P100" s="204"/>
      <c r="Q100" s="204"/>
      <c r="R100" s="204"/>
      <c r="S100" s="204"/>
      <c r="T100" s="204"/>
      <c r="U100" s="204"/>
      <c r="V100" s="204"/>
      <c r="W100" s="204"/>
      <c r="X100" s="204"/>
      <c r="Y100" s="204"/>
      <c r="Z100" s="204"/>
      <c r="AA100" s="204"/>
    </row>
    <row r="101" spans="1:27" s="1" customFormat="1" x14ac:dyDescent="0.3">
      <c r="A101" s="1" t="s">
        <v>58</v>
      </c>
      <c r="B101" s="21">
        <f t="shared" ref="B101:AA101" si="34">+SUM(B100:B100)</f>
        <v>11400</v>
      </c>
      <c r="C101" s="21">
        <f t="shared" si="34"/>
        <v>0</v>
      </c>
      <c r="D101" s="21">
        <f t="shared" si="34"/>
        <v>0</v>
      </c>
      <c r="E101" s="21">
        <f t="shared" si="34"/>
        <v>0</v>
      </c>
      <c r="F101" s="21">
        <f t="shared" si="34"/>
        <v>140</v>
      </c>
      <c r="G101" s="21">
        <f t="shared" si="34"/>
        <v>0</v>
      </c>
      <c r="H101" s="21">
        <f t="shared" si="34"/>
        <v>0</v>
      </c>
      <c r="I101" s="21">
        <f t="shared" si="34"/>
        <v>0</v>
      </c>
      <c r="J101" s="21">
        <f t="shared" si="34"/>
        <v>0</v>
      </c>
      <c r="K101" s="21">
        <f t="shared" si="34"/>
        <v>0</v>
      </c>
      <c r="L101" s="21">
        <f t="shared" si="34"/>
        <v>0</v>
      </c>
      <c r="M101" s="21">
        <f t="shared" si="34"/>
        <v>0</v>
      </c>
      <c r="N101" s="21">
        <f t="shared" si="34"/>
        <v>0</v>
      </c>
      <c r="O101" s="21">
        <f t="shared" si="34"/>
        <v>0</v>
      </c>
      <c r="P101" s="21">
        <f t="shared" si="34"/>
        <v>0</v>
      </c>
      <c r="Q101" s="21">
        <f t="shared" si="34"/>
        <v>0</v>
      </c>
      <c r="R101" s="21">
        <f t="shared" si="34"/>
        <v>0</v>
      </c>
      <c r="S101" s="21">
        <f t="shared" si="34"/>
        <v>0</v>
      </c>
      <c r="T101" s="21">
        <f t="shared" si="34"/>
        <v>0</v>
      </c>
      <c r="U101" s="21">
        <f t="shared" si="34"/>
        <v>0</v>
      </c>
      <c r="V101" s="21">
        <f t="shared" si="34"/>
        <v>0</v>
      </c>
      <c r="W101" s="21">
        <f t="shared" si="34"/>
        <v>0</v>
      </c>
      <c r="X101" s="21">
        <f t="shared" si="34"/>
        <v>0</v>
      </c>
      <c r="Y101" s="21">
        <f t="shared" si="34"/>
        <v>0</v>
      </c>
      <c r="Z101" s="21">
        <f t="shared" si="34"/>
        <v>0</v>
      </c>
      <c r="AA101" s="21">
        <f t="shared" si="34"/>
        <v>0</v>
      </c>
    </row>
    <row r="102" spans="1:27" ht="15" customHeight="1" x14ac:dyDescent="0.3">
      <c r="A102" s="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1:27" x14ac:dyDescent="0.3">
      <c r="A103" s="45" t="s">
        <v>27</v>
      </c>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row>
    <row r="104" spans="1:27" x14ac:dyDescent="0.3">
      <c r="A104" s="124" t="s">
        <v>28</v>
      </c>
      <c r="B104" s="32">
        <f>'Inputs &amp; Summary'!F98</f>
        <v>4557</v>
      </c>
    </row>
    <row r="105" spans="1:27" x14ac:dyDescent="0.3">
      <c r="A105" s="124" t="s">
        <v>29</v>
      </c>
      <c r="B105" s="124">
        <f>'Inputs &amp; Summary'!P99</f>
        <v>3</v>
      </c>
      <c r="G105" s="82" t="s">
        <v>277</v>
      </c>
      <c r="H105" s="83"/>
      <c r="I105" s="83"/>
      <c r="J105" s="83"/>
      <c r="K105" s="83"/>
      <c r="L105" s="83"/>
      <c r="M105" s="83"/>
      <c r="N105" s="83"/>
      <c r="O105" s="83"/>
      <c r="P105" s="83"/>
      <c r="Q105" s="83"/>
      <c r="R105" s="83"/>
      <c r="S105" s="83"/>
      <c r="T105" s="83"/>
      <c r="U105" s="83"/>
      <c r="V105" s="84"/>
    </row>
    <row r="106" spans="1:27" x14ac:dyDescent="0.3">
      <c r="A106" s="124" t="s">
        <v>34</v>
      </c>
      <c r="B106" s="161">
        <f>'Inputs &amp; Summary'!P137</f>
        <v>0.01</v>
      </c>
      <c r="C106" s="1" t="s">
        <v>193</v>
      </c>
      <c r="D106" s="31"/>
      <c r="G106" s="85" t="s">
        <v>276</v>
      </c>
      <c r="H106" s="72"/>
      <c r="I106" s="72"/>
      <c r="J106" s="72"/>
      <c r="K106" s="72"/>
      <c r="L106" s="72"/>
      <c r="M106" s="72"/>
      <c r="N106" s="72"/>
      <c r="O106" s="72"/>
      <c r="P106" s="72"/>
      <c r="Q106" s="72"/>
      <c r="R106" s="72"/>
      <c r="S106" s="72"/>
      <c r="T106" s="72"/>
      <c r="U106" s="72"/>
      <c r="V106" s="86"/>
    </row>
    <row r="107" spans="1:27" x14ac:dyDescent="0.3">
      <c r="A107" s="124" t="s">
        <v>33</v>
      </c>
      <c r="B107" s="6">
        <f>'Inputs &amp; Summary'!P138</f>
        <v>750</v>
      </c>
      <c r="C107" s="1" t="s">
        <v>193</v>
      </c>
    </row>
    <row r="108" spans="1:27" x14ac:dyDescent="0.3">
      <c r="A108" s="124" t="s">
        <v>32</v>
      </c>
      <c r="B108" s="6">
        <f>'Inputs &amp; Summary'!P139</f>
        <v>75</v>
      </c>
      <c r="C108" s="1" t="s">
        <v>193</v>
      </c>
    </row>
    <row r="109" spans="1:27" x14ac:dyDescent="0.3">
      <c r="A109" s="124" t="s">
        <v>62</v>
      </c>
      <c r="B109" s="54">
        <f>'Inputs &amp; Summary'!P140</f>
        <v>2.5000000000000001E-2</v>
      </c>
      <c r="C109" s="1" t="s">
        <v>193</v>
      </c>
    </row>
    <row r="110" spans="1:27" x14ac:dyDescent="0.3">
      <c r="A110" s="3" t="s">
        <v>3</v>
      </c>
      <c r="B110" s="124">
        <v>0</v>
      </c>
      <c r="C110" s="124">
        <f t="shared" ref="C110:AA110" si="35">+B110+1</f>
        <v>1</v>
      </c>
      <c r="D110" s="124">
        <f t="shared" si="35"/>
        <v>2</v>
      </c>
      <c r="E110" s="124">
        <f t="shared" si="35"/>
        <v>3</v>
      </c>
      <c r="F110" s="124">
        <f t="shared" si="35"/>
        <v>4</v>
      </c>
      <c r="G110" s="124">
        <f t="shared" si="35"/>
        <v>5</v>
      </c>
      <c r="H110" s="124">
        <f t="shared" si="35"/>
        <v>6</v>
      </c>
      <c r="I110" s="124">
        <f t="shared" si="35"/>
        <v>7</v>
      </c>
      <c r="J110" s="124">
        <f t="shared" si="35"/>
        <v>8</v>
      </c>
      <c r="K110" s="124">
        <f t="shared" si="35"/>
        <v>9</v>
      </c>
      <c r="L110" s="124">
        <f t="shared" si="35"/>
        <v>10</v>
      </c>
      <c r="M110" s="124">
        <f t="shared" si="35"/>
        <v>11</v>
      </c>
      <c r="N110" s="124">
        <f t="shared" si="35"/>
        <v>12</v>
      </c>
      <c r="O110" s="124">
        <f t="shared" si="35"/>
        <v>13</v>
      </c>
      <c r="P110" s="124">
        <f t="shared" si="35"/>
        <v>14</v>
      </c>
      <c r="Q110" s="124">
        <f t="shared" si="35"/>
        <v>15</v>
      </c>
      <c r="R110" s="124">
        <f t="shared" si="35"/>
        <v>16</v>
      </c>
      <c r="S110" s="124">
        <f t="shared" si="35"/>
        <v>17</v>
      </c>
      <c r="T110" s="124">
        <f t="shared" si="35"/>
        <v>18</v>
      </c>
      <c r="U110" s="124">
        <f t="shared" si="35"/>
        <v>19</v>
      </c>
      <c r="V110" s="124">
        <f t="shared" si="35"/>
        <v>20</v>
      </c>
      <c r="W110" s="124">
        <f t="shared" si="35"/>
        <v>21</v>
      </c>
      <c r="X110" s="124">
        <f t="shared" si="35"/>
        <v>22</v>
      </c>
      <c r="Y110" s="124">
        <f t="shared" si="35"/>
        <v>23</v>
      </c>
      <c r="Z110" s="124">
        <f t="shared" si="35"/>
        <v>24</v>
      </c>
      <c r="AA110" s="124">
        <f t="shared" si="35"/>
        <v>25</v>
      </c>
    </row>
    <row r="111" spans="1:27" x14ac:dyDescent="0.3">
      <c r="A111" s="175" t="s">
        <v>400</v>
      </c>
      <c r="B111" s="174">
        <v>2021</v>
      </c>
      <c r="C111" s="174">
        <f t="shared" ref="C111:AA111" si="36">+B111+1</f>
        <v>2022</v>
      </c>
      <c r="D111" s="174">
        <f t="shared" si="36"/>
        <v>2023</v>
      </c>
      <c r="E111" s="174">
        <f t="shared" si="36"/>
        <v>2024</v>
      </c>
      <c r="F111" s="174">
        <f t="shared" si="36"/>
        <v>2025</v>
      </c>
      <c r="G111" s="174">
        <f t="shared" si="36"/>
        <v>2026</v>
      </c>
      <c r="H111" s="174">
        <f t="shared" si="36"/>
        <v>2027</v>
      </c>
      <c r="I111" s="174">
        <f t="shared" si="36"/>
        <v>2028</v>
      </c>
      <c r="J111" s="174">
        <f t="shared" si="36"/>
        <v>2029</v>
      </c>
      <c r="K111" s="174">
        <f t="shared" si="36"/>
        <v>2030</v>
      </c>
      <c r="L111" s="174">
        <f t="shared" si="36"/>
        <v>2031</v>
      </c>
      <c r="M111" s="174">
        <f t="shared" si="36"/>
        <v>2032</v>
      </c>
      <c r="N111" s="174">
        <f t="shared" si="36"/>
        <v>2033</v>
      </c>
      <c r="O111" s="174">
        <f t="shared" si="36"/>
        <v>2034</v>
      </c>
      <c r="P111" s="174">
        <f t="shared" si="36"/>
        <v>2035</v>
      </c>
      <c r="Q111" s="174">
        <f t="shared" si="36"/>
        <v>2036</v>
      </c>
      <c r="R111" s="174">
        <f t="shared" si="36"/>
        <v>2037</v>
      </c>
      <c r="S111" s="174">
        <f t="shared" si="36"/>
        <v>2038</v>
      </c>
      <c r="T111" s="174">
        <f t="shared" si="36"/>
        <v>2039</v>
      </c>
      <c r="U111" s="174">
        <f t="shared" si="36"/>
        <v>2040</v>
      </c>
      <c r="V111" s="174">
        <f t="shared" si="36"/>
        <v>2041</v>
      </c>
      <c r="W111" s="174">
        <f t="shared" si="36"/>
        <v>2042</v>
      </c>
      <c r="X111" s="174">
        <f t="shared" si="36"/>
        <v>2043</v>
      </c>
      <c r="Y111" s="174">
        <f t="shared" si="36"/>
        <v>2044</v>
      </c>
      <c r="Z111" s="174">
        <f t="shared" si="36"/>
        <v>2045</v>
      </c>
      <c r="AA111" s="174">
        <f t="shared" si="36"/>
        <v>2046</v>
      </c>
    </row>
    <row r="112" spans="1:27" x14ac:dyDescent="0.3">
      <c r="A112" s="1" t="s">
        <v>59</v>
      </c>
      <c r="B112" s="35">
        <f>+($B$104*$B$105*$B$106)+($B$107*$B$106)+($B$108*(1+$B$109)^B110)</f>
        <v>219.21</v>
      </c>
      <c r="C112" s="25">
        <f>+($B$104*$B$105*$B$106)+($B$107*$B$106)+($B$108*(1+$B$109)^C110)</f>
        <v>221.08500000000001</v>
      </c>
      <c r="D112" s="25">
        <f>+($B$104*$B$105*$B$106)+($B$107*$B$106)+($B$108*(1+$B$109)^D110)</f>
        <v>223.00687500000001</v>
      </c>
      <c r="E112" s="25">
        <f>+($B$104*$B$105*$B$106)+($B$107*$B$106)+($B$108*(1+$B$109)^E110)</f>
        <v>224.97679687499999</v>
      </c>
      <c r="F112" s="184">
        <v>0</v>
      </c>
      <c r="G112" s="184">
        <f t="shared" ref="G112:AA112" si="37">+F112</f>
        <v>0</v>
      </c>
      <c r="H112" s="184">
        <f t="shared" si="37"/>
        <v>0</v>
      </c>
      <c r="I112" s="184">
        <f t="shared" si="37"/>
        <v>0</v>
      </c>
      <c r="J112" s="184">
        <f t="shared" si="37"/>
        <v>0</v>
      </c>
      <c r="K112" s="184">
        <f t="shared" si="37"/>
        <v>0</v>
      </c>
      <c r="L112" s="184">
        <f t="shared" si="37"/>
        <v>0</v>
      </c>
      <c r="M112" s="184">
        <f t="shared" si="37"/>
        <v>0</v>
      </c>
      <c r="N112" s="184">
        <f t="shared" si="37"/>
        <v>0</v>
      </c>
      <c r="O112" s="184">
        <f t="shared" si="37"/>
        <v>0</v>
      </c>
      <c r="P112" s="184">
        <f t="shared" si="37"/>
        <v>0</v>
      </c>
      <c r="Q112" s="184">
        <f t="shared" si="37"/>
        <v>0</v>
      </c>
      <c r="R112" s="184">
        <f t="shared" si="37"/>
        <v>0</v>
      </c>
      <c r="S112" s="184">
        <f t="shared" si="37"/>
        <v>0</v>
      </c>
      <c r="T112" s="184">
        <f t="shared" si="37"/>
        <v>0</v>
      </c>
      <c r="U112" s="184">
        <f t="shared" si="37"/>
        <v>0</v>
      </c>
      <c r="V112" s="184">
        <f t="shared" si="37"/>
        <v>0</v>
      </c>
      <c r="W112" s="184">
        <f t="shared" si="37"/>
        <v>0</v>
      </c>
      <c r="X112" s="184">
        <f t="shared" si="37"/>
        <v>0</v>
      </c>
      <c r="Y112" s="184">
        <f t="shared" si="37"/>
        <v>0</v>
      </c>
      <c r="Z112" s="184">
        <f t="shared" si="37"/>
        <v>0</v>
      </c>
      <c r="AA112" s="184">
        <f t="shared" si="37"/>
        <v>0</v>
      </c>
    </row>
    <row r="113" spans="1:27" x14ac:dyDescent="0.3">
      <c r="A113" s="1"/>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x14ac:dyDescent="0.3">
      <c r="A114" s="1"/>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row>
    <row r="115" spans="1:27" x14ac:dyDescent="0.3">
      <c r="A115" s="17" t="s">
        <v>70</v>
      </c>
      <c r="B115" s="17">
        <f t="shared" ref="B115:AA115" si="38">+B92</f>
        <v>2021</v>
      </c>
      <c r="C115" s="17">
        <f t="shared" si="38"/>
        <v>2022</v>
      </c>
      <c r="D115" s="17">
        <f t="shared" si="38"/>
        <v>2023</v>
      </c>
      <c r="E115" s="17">
        <f t="shared" si="38"/>
        <v>2024</v>
      </c>
      <c r="F115" s="17">
        <f t="shared" si="38"/>
        <v>2025</v>
      </c>
      <c r="G115" s="17">
        <f t="shared" si="38"/>
        <v>2026</v>
      </c>
      <c r="H115" s="17">
        <f t="shared" si="38"/>
        <v>2027</v>
      </c>
      <c r="I115" s="17">
        <f t="shared" si="38"/>
        <v>2028</v>
      </c>
      <c r="J115" s="17">
        <f t="shared" si="38"/>
        <v>2029</v>
      </c>
      <c r="K115" s="17">
        <f t="shared" si="38"/>
        <v>2030</v>
      </c>
      <c r="L115" s="17">
        <f t="shared" si="38"/>
        <v>2031</v>
      </c>
      <c r="M115" s="17">
        <f t="shared" si="38"/>
        <v>2032</v>
      </c>
      <c r="N115" s="17">
        <f t="shared" si="38"/>
        <v>2033</v>
      </c>
      <c r="O115" s="17">
        <f t="shared" si="38"/>
        <v>2034</v>
      </c>
      <c r="P115" s="17">
        <f t="shared" si="38"/>
        <v>2035</v>
      </c>
      <c r="Q115" s="17">
        <f t="shared" si="38"/>
        <v>2036</v>
      </c>
      <c r="R115" s="17">
        <f t="shared" si="38"/>
        <v>2037</v>
      </c>
      <c r="S115" s="17">
        <f t="shared" si="38"/>
        <v>2038</v>
      </c>
      <c r="T115" s="17">
        <f t="shared" si="38"/>
        <v>2039</v>
      </c>
      <c r="U115" s="17">
        <f t="shared" si="38"/>
        <v>2040</v>
      </c>
      <c r="V115" s="17">
        <f t="shared" si="38"/>
        <v>2041</v>
      </c>
      <c r="W115" s="17">
        <f t="shared" si="38"/>
        <v>2042</v>
      </c>
      <c r="X115" s="17">
        <f t="shared" si="38"/>
        <v>2043</v>
      </c>
      <c r="Y115" s="17">
        <f t="shared" si="38"/>
        <v>2044</v>
      </c>
      <c r="Z115" s="17">
        <f t="shared" si="38"/>
        <v>2045</v>
      </c>
      <c r="AA115" s="17">
        <f t="shared" si="38"/>
        <v>2046</v>
      </c>
    </row>
    <row r="116" spans="1:27" s="1" customFormat="1" ht="15" thickBot="1" x14ac:dyDescent="0.35">
      <c r="A116" s="38" t="s">
        <v>197</v>
      </c>
      <c r="B116" s="39">
        <f t="shared" ref="B116:AA116" si="39">+B112+B101+B93</f>
        <v>11619.21</v>
      </c>
      <c r="C116" s="39">
        <f t="shared" si="39"/>
        <v>221.08500000000001</v>
      </c>
      <c r="D116" s="39">
        <f t="shared" si="39"/>
        <v>223.00687500000001</v>
      </c>
      <c r="E116" s="39">
        <f t="shared" si="39"/>
        <v>224.97679687499999</v>
      </c>
      <c r="F116" s="39">
        <f t="shared" si="39"/>
        <v>140</v>
      </c>
      <c r="G116" s="39">
        <f t="shared" si="39"/>
        <v>0</v>
      </c>
      <c r="H116" s="39">
        <f t="shared" si="39"/>
        <v>0</v>
      </c>
      <c r="I116" s="39">
        <f t="shared" si="39"/>
        <v>0</v>
      </c>
      <c r="J116" s="39">
        <f t="shared" si="39"/>
        <v>0</v>
      </c>
      <c r="K116" s="39">
        <f t="shared" si="39"/>
        <v>0</v>
      </c>
      <c r="L116" s="39">
        <f t="shared" si="39"/>
        <v>0</v>
      </c>
      <c r="M116" s="39">
        <f t="shared" si="39"/>
        <v>0</v>
      </c>
      <c r="N116" s="39">
        <f t="shared" si="39"/>
        <v>0</v>
      </c>
      <c r="O116" s="39">
        <f t="shared" si="39"/>
        <v>0</v>
      </c>
      <c r="P116" s="39">
        <f t="shared" si="39"/>
        <v>0</v>
      </c>
      <c r="Q116" s="39">
        <f t="shared" si="39"/>
        <v>0</v>
      </c>
      <c r="R116" s="39">
        <f t="shared" si="39"/>
        <v>0</v>
      </c>
      <c r="S116" s="39">
        <f t="shared" si="39"/>
        <v>0</v>
      </c>
      <c r="T116" s="39">
        <f t="shared" si="39"/>
        <v>0</v>
      </c>
      <c r="U116" s="39">
        <f t="shared" si="39"/>
        <v>0</v>
      </c>
      <c r="V116" s="39">
        <f t="shared" si="39"/>
        <v>0</v>
      </c>
      <c r="W116" s="39">
        <f t="shared" si="39"/>
        <v>0</v>
      </c>
      <c r="X116" s="39">
        <f t="shared" si="39"/>
        <v>0</v>
      </c>
      <c r="Y116" s="39">
        <f t="shared" si="39"/>
        <v>0</v>
      </c>
      <c r="Z116" s="39">
        <f t="shared" si="39"/>
        <v>0</v>
      </c>
      <c r="AA116" s="39">
        <f t="shared" si="39"/>
        <v>0</v>
      </c>
    </row>
    <row r="117" spans="1:27" x14ac:dyDescent="0.3">
      <c r="A117" s="170"/>
    </row>
    <row r="118" spans="1:27" ht="18" x14ac:dyDescent="0.35">
      <c r="A118" s="108" t="s">
        <v>164</v>
      </c>
    </row>
    <row r="120" spans="1:27" x14ac:dyDescent="0.3">
      <c r="A120" s="45" t="s">
        <v>63</v>
      </c>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row>
    <row r="121" spans="1:27" x14ac:dyDescent="0.3">
      <c r="A121" s="124" t="s">
        <v>36</v>
      </c>
      <c r="B121" s="173">
        <f>'Inputs &amp; Summary'!F90</f>
        <v>60.759999999999991</v>
      </c>
    </row>
    <row r="122" spans="1:27" x14ac:dyDescent="0.3">
      <c r="A122" s="124" t="s">
        <v>37</v>
      </c>
      <c r="B122" s="124">
        <f>'Inputs &amp; Summary'!F91</f>
        <v>135</v>
      </c>
      <c r="G122" s="90" t="s">
        <v>159</v>
      </c>
      <c r="H122" s="91"/>
      <c r="I122" s="91"/>
      <c r="J122" s="91"/>
      <c r="K122" s="91"/>
      <c r="L122" s="91"/>
      <c r="M122" s="91"/>
      <c r="N122" s="91"/>
      <c r="O122" s="91"/>
      <c r="P122" s="91"/>
      <c r="Q122" s="91"/>
      <c r="R122" s="91"/>
      <c r="S122" s="91"/>
      <c r="T122" s="91"/>
      <c r="U122" s="91"/>
      <c r="V122" s="92"/>
    </row>
    <row r="123" spans="1:27" x14ac:dyDescent="0.3">
      <c r="A123" s="124" t="s">
        <v>38</v>
      </c>
      <c r="B123" s="158">
        <f>'Inputs &amp; Summary'!P170</f>
        <v>3.7499999999999999E-2</v>
      </c>
      <c r="C123" s="1" t="s">
        <v>183</v>
      </c>
    </row>
    <row r="124" spans="1:27" x14ac:dyDescent="0.3">
      <c r="A124" s="124" t="s">
        <v>39</v>
      </c>
      <c r="B124" s="160">
        <f>'Inputs &amp; Summary'!P145</f>
        <v>1.2E-2</v>
      </c>
      <c r="C124" s="1" t="s">
        <v>183</v>
      </c>
    </row>
    <row r="125" spans="1:27" x14ac:dyDescent="0.3">
      <c r="A125" s="3" t="s">
        <v>3</v>
      </c>
      <c r="B125" s="124">
        <v>0</v>
      </c>
      <c r="C125" s="124">
        <f t="shared" ref="C125:AA125" si="40">+B125+1</f>
        <v>1</v>
      </c>
      <c r="D125" s="124">
        <f t="shared" si="40"/>
        <v>2</v>
      </c>
      <c r="E125" s="124">
        <f t="shared" si="40"/>
        <v>3</v>
      </c>
      <c r="F125" s="124">
        <f t="shared" si="40"/>
        <v>4</v>
      </c>
      <c r="G125" s="124">
        <f t="shared" si="40"/>
        <v>5</v>
      </c>
      <c r="H125" s="124">
        <f t="shared" si="40"/>
        <v>6</v>
      </c>
      <c r="I125" s="124">
        <f t="shared" si="40"/>
        <v>7</v>
      </c>
      <c r="J125" s="124">
        <f t="shared" si="40"/>
        <v>8</v>
      </c>
      <c r="K125" s="124">
        <f t="shared" si="40"/>
        <v>9</v>
      </c>
      <c r="L125" s="124">
        <f t="shared" si="40"/>
        <v>10</v>
      </c>
      <c r="M125" s="124">
        <f t="shared" si="40"/>
        <v>11</v>
      </c>
      <c r="N125" s="124">
        <f t="shared" si="40"/>
        <v>12</v>
      </c>
      <c r="O125" s="124">
        <f t="shared" si="40"/>
        <v>13</v>
      </c>
      <c r="P125" s="124">
        <f t="shared" si="40"/>
        <v>14</v>
      </c>
      <c r="Q125" s="124">
        <f t="shared" si="40"/>
        <v>15</v>
      </c>
      <c r="R125" s="124">
        <f t="shared" si="40"/>
        <v>16</v>
      </c>
      <c r="S125" s="124">
        <f t="shared" si="40"/>
        <v>17</v>
      </c>
      <c r="T125" s="124">
        <f t="shared" si="40"/>
        <v>18</v>
      </c>
      <c r="U125" s="124">
        <f t="shared" si="40"/>
        <v>19</v>
      </c>
      <c r="V125" s="124">
        <f t="shared" si="40"/>
        <v>20</v>
      </c>
      <c r="W125" s="124">
        <f t="shared" si="40"/>
        <v>21</v>
      </c>
      <c r="X125" s="124">
        <f t="shared" si="40"/>
        <v>22</v>
      </c>
      <c r="Y125" s="124">
        <f t="shared" si="40"/>
        <v>23</v>
      </c>
      <c r="Z125" s="124">
        <f t="shared" si="40"/>
        <v>24</v>
      </c>
      <c r="AA125" s="124">
        <f t="shared" si="40"/>
        <v>25</v>
      </c>
    </row>
    <row r="126" spans="1:27" x14ac:dyDescent="0.3">
      <c r="A126" s="175" t="s">
        <v>400</v>
      </c>
      <c r="B126" s="174">
        <v>2021</v>
      </c>
      <c r="C126" s="174">
        <f t="shared" ref="C126:AA126" si="41">+B126+1</f>
        <v>2022</v>
      </c>
      <c r="D126" s="174">
        <f t="shared" si="41"/>
        <v>2023</v>
      </c>
      <c r="E126" s="174">
        <f t="shared" si="41"/>
        <v>2024</v>
      </c>
      <c r="F126" s="174">
        <f t="shared" si="41"/>
        <v>2025</v>
      </c>
      <c r="G126" s="174">
        <f t="shared" si="41"/>
        <v>2026</v>
      </c>
      <c r="H126" s="174">
        <f t="shared" si="41"/>
        <v>2027</v>
      </c>
      <c r="I126" s="174">
        <f t="shared" si="41"/>
        <v>2028</v>
      </c>
      <c r="J126" s="174">
        <f t="shared" si="41"/>
        <v>2029</v>
      </c>
      <c r="K126" s="174">
        <f t="shared" si="41"/>
        <v>2030</v>
      </c>
      <c r="L126" s="174">
        <f t="shared" si="41"/>
        <v>2031</v>
      </c>
      <c r="M126" s="174">
        <f t="shared" si="41"/>
        <v>2032</v>
      </c>
      <c r="N126" s="174">
        <f t="shared" si="41"/>
        <v>2033</v>
      </c>
      <c r="O126" s="174">
        <f t="shared" si="41"/>
        <v>2034</v>
      </c>
      <c r="P126" s="174">
        <f t="shared" si="41"/>
        <v>2035</v>
      </c>
      <c r="Q126" s="174">
        <f t="shared" si="41"/>
        <v>2036</v>
      </c>
      <c r="R126" s="174">
        <f t="shared" si="41"/>
        <v>2037</v>
      </c>
      <c r="S126" s="174">
        <f t="shared" si="41"/>
        <v>2038</v>
      </c>
      <c r="T126" s="174">
        <f t="shared" si="41"/>
        <v>2039</v>
      </c>
      <c r="U126" s="174">
        <f t="shared" si="41"/>
        <v>2040</v>
      </c>
      <c r="V126" s="174">
        <f t="shared" si="41"/>
        <v>2041</v>
      </c>
      <c r="W126" s="174">
        <f t="shared" si="41"/>
        <v>2042</v>
      </c>
      <c r="X126" s="174">
        <f t="shared" si="41"/>
        <v>2043</v>
      </c>
      <c r="Y126" s="174">
        <f t="shared" si="41"/>
        <v>2044</v>
      </c>
      <c r="Z126" s="174">
        <f t="shared" si="41"/>
        <v>2045</v>
      </c>
      <c r="AA126" s="174">
        <f t="shared" si="41"/>
        <v>2046</v>
      </c>
    </row>
    <row r="127" spans="1:27" x14ac:dyDescent="0.3">
      <c r="A127" s="1" t="s">
        <v>58</v>
      </c>
      <c r="B127" s="24">
        <f>+B121*B122*B123</f>
        <v>307.59749999999991</v>
      </c>
      <c r="C127" s="24">
        <f t="shared" ref="C127:AA127" si="42">+$B$127*(1+$B$124)^C125</f>
        <v>311.28866999999991</v>
      </c>
      <c r="D127" s="24">
        <f t="shared" si="42"/>
        <v>315.02413403999986</v>
      </c>
      <c r="E127" s="24">
        <f t="shared" si="42"/>
        <v>318.80442364847988</v>
      </c>
      <c r="F127" s="24">
        <f t="shared" si="42"/>
        <v>322.63007673226167</v>
      </c>
      <c r="G127" s="24">
        <f t="shared" si="42"/>
        <v>326.50163765304876</v>
      </c>
      <c r="H127" s="24">
        <f t="shared" si="42"/>
        <v>330.41965730488533</v>
      </c>
      <c r="I127" s="24">
        <f t="shared" si="42"/>
        <v>334.38469319254403</v>
      </c>
      <c r="J127" s="24">
        <f t="shared" si="42"/>
        <v>338.39730951085454</v>
      </c>
      <c r="K127" s="24">
        <f t="shared" si="42"/>
        <v>342.45807722498478</v>
      </c>
      <c r="L127" s="24">
        <f t="shared" si="42"/>
        <v>346.5675741516846</v>
      </c>
      <c r="M127" s="24">
        <f t="shared" si="42"/>
        <v>350.72638504150478</v>
      </c>
      <c r="N127" s="24">
        <f t="shared" si="42"/>
        <v>354.93510166200286</v>
      </c>
      <c r="O127" s="24">
        <f t="shared" si="42"/>
        <v>359.19432288194685</v>
      </c>
      <c r="P127" s="24">
        <f t="shared" si="42"/>
        <v>363.50465475653021</v>
      </c>
      <c r="Q127" s="24">
        <f t="shared" si="42"/>
        <v>367.86671061360869</v>
      </c>
      <c r="R127" s="24">
        <f t="shared" si="42"/>
        <v>372.28111114097197</v>
      </c>
      <c r="S127" s="24">
        <f t="shared" si="42"/>
        <v>376.74848447466366</v>
      </c>
      <c r="T127" s="24">
        <f t="shared" si="42"/>
        <v>381.26946628835952</v>
      </c>
      <c r="U127" s="24">
        <f t="shared" si="42"/>
        <v>385.84469988381989</v>
      </c>
      <c r="V127" s="24">
        <f t="shared" si="42"/>
        <v>390.47483628242571</v>
      </c>
      <c r="W127" s="24">
        <f t="shared" si="42"/>
        <v>395.16053431781484</v>
      </c>
      <c r="X127" s="24">
        <f t="shared" si="42"/>
        <v>399.90246072962856</v>
      </c>
      <c r="Y127" s="24">
        <f t="shared" si="42"/>
        <v>404.70129025838418</v>
      </c>
      <c r="Z127" s="24">
        <f t="shared" si="42"/>
        <v>409.55770574148477</v>
      </c>
      <c r="AA127" s="24">
        <f t="shared" si="42"/>
        <v>414.47239821038255</v>
      </c>
    </row>
    <row r="128" spans="1:27" x14ac:dyDescent="0.3">
      <c r="A128" s="1"/>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x14ac:dyDescent="0.3">
      <c r="A129" s="45" t="s">
        <v>64</v>
      </c>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row>
    <row r="130" spans="1:27" x14ac:dyDescent="0.3">
      <c r="A130" s="124" t="s">
        <v>40</v>
      </c>
      <c r="B130" s="173">
        <f>'Inputs &amp; Summary'!F95</f>
        <v>138.70000000000002</v>
      </c>
    </row>
    <row r="131" spans="1:27" x14ac:dyDescent="0.3">
      <c r="A131" s="124" t="s">
        <v>41</v>
      </c>
      <c r="B131" s="124">
        <f>'Inputs &amp; Summary'!F96</f>
        <v>135</v>
      </c>
      <c r="G131" s="90" t="s">
        <v>159</v>
      </c>
      <c r="H131" s="91"/>
      <c r="I131" s="91"/>
      <c r="J131" s="91"/>
      <c r="K131" s="91"/>
      <c r="L131" s="91"/>
      <c r="M131" s="91"/>
      <c r="N131" s="91"/>
      <c r="O131" s="91"/>
      <c r="P131" s="91"/>
      <c r="Q131" s="91"/>
      <c r="R131" s="91"/>
      <c r="S131" s="91"/>
      <c r="T131" s="91"/>
      <c r="U131" s="91"/>
      <c r="V131" s="92"/>
    </row>
    <row r="132" spans="1:27" x14ac:dyDescent="0.3">
      <c r="A132" s="124" t="s">
        <v>38</v>
      </c>
      <c r="B132" s="158">
        <f>'Inputs &amp; Summary'!P172</f>
        <v>0.04</v>
      </c>
      <c r="C132" s="1" t="s">
        <v>183</v>
      </c>
    </row>
    <row r="133" spans="1:27" x14ac:dyDescent="0.3">
      <c r="A133" s="124" t="s">
        <v>39</v>
      </c>
      <c r="B133" s="160">
        <f>'Inputs &amp; Summary'!P148</f>
        <v>1.2E-2</v>
      </c>
      <c r="C133" s="1" t="s">
        <v>183</v>
      </c>
    </row>
    <row r="134" spans="1:27" x14ac:dyDescent="0.3">
      <c r="A134" s="3" t="s">
        <v>3</v>
      </c>
      <c r="B134" s="124">
        <v>0</v>
      </c>
      <c r="C134" s="124">
        <f t="shared" ref="C134:AA134" si="43">+B134+1</f>
        <v>1</v>
      </c>
      <c r="D134" s="124">
        <f t="shared" si="43"/>
        <v>2</v>
      </c>
      <c r="E134" s="124">
        <f t="shared" si="43"/>
        <v>3</v>
      </c>
      <c r="F134" s="124">
        <f t="shared" si="43"/>
        <v>4</v>
      </c>
      <c r="G134" s="124">
        <f t="shared" si="43"/>
        <v>5</v>
      </c>
      <c r="H134" s="124">
        <f t="shared" si="43"/>
        <v>6</v>
      </c>
      <c r="I134" s="124">
        <f t="shared" si="43"/>
        <v>7</v>
      </c>
      <c r="J134" s="124">
        <f t="shared" si="43"/>
        <v>8</v>
      </c>
      <c r="K134" s="124">
        <f t="shared" si="43"/>
        <v>9</v>
      </c>
      <c r="L134" s="124">
        <f t="shared" si="43"/>
        <v>10</v>
      </c>
      <c r="M134" s="124">
        <f t="shared" si="43"/>
        <v>11</v>
      </c>
      <c r="N134" s="124">
        <f t="shared" si="43"/>
        <v>12</v>
      </c>
      <c r="O134" s="124">
        <f t="shared" si="43"/>
        <v>13</v>
      </c>
      <c r="P134" s="124">
        <f t="shared" si="43"/>
        <v>14</v>
      </c>
      <c r="Q134" s="124">
        <f t="shared" si="43"/>
        <v>15</v>
      </c>
      <c r="R134" s="124">
        <f t="shared" si="43"/>
        <v>16</v>
      </c>
      <c r="S134" s="124">
        <f t="shared" si="43"/>
        <v>17</v>
      </c>
      <c r="T134" s="124">
        <f t="shared" si="43"/>
        <v>18</v>
      </c>
      <c r="U134" s="124">
        <f t="shared" si="43"/>
        <v>19</v>
      </c>
      <c r="V134" s="124">
        <f t="shared" si="43"/>
        <v>20</v>
      </c>
      <c r="W134" s="124">
        <f t="shared" si="43"/>
        <v>21</v>
      </c>
      <c r="X134" s="124">
        <f t="shared" si="43"/>
        <v>22</v>
      </c>
      <c r="Y134" s="124">
        <f t="shared" si="43"/>
        <v>23</v>
      </c>
      <c r="Z134" s="124">
        <f t="shared" si="43"/>
        <v>24</v>
      </c>
      <c r="AA134" s="124">
        <f t="shared" si="43"/>
        <v>25</v>
      </c>
    </row>
    <row r="135" spans="1:27" x14ac:dyDescent="0.3">
      <c r="A135" s="175" t="s">
        <v>400</v>
      </c>
      <c r="B135" s="174">
        <v>2021</v>
      </c>
      <c r="C135" s="174">
        <f t="shared" ref="C135:AA135" si="44">+B135+1</f>
        <v>2022</v>
      </c>
      <c r="D135" s="174">
        <f t="shared" si="44"/>
        <v>2023</v>
      </c>
      <c r="E135" s="174">
        <f t="shared" si="44"/>
        <v>2024</v>
      </c>
      <c r="F135" s="174">
        <f t="shared" si="44"/>
        <v>2025</v>
      </c>
      <c r="G135" s="174">
        <f t="shared" si="44"/>
        <v>2026</v>
      </c>
      <c r="H135" s="174">
        <f t="shared" si="44"/>
        <v>2027</v>
      </c>
      <c r="I135" s="174">
        <f t="shared" si="44"/>
        <v>2028</v>
      </c>
      <c r="J135" s="174">
        <f t="shared" si="44"/>
        <v>2029</v>
      </c>
      <c r="K135" s="174">
        <f t="shared" si="44"/>
        <v>2030</v>
      </c>
      <c r="L135" s="174">
        <f t="shared" si="44"/>
        <v>2031</v>
      </c>
      <c r="M135" s="174">
        <f t="shared" si="44"/>
        <v>2032</v>
      </c>
      <c r="N135" s="174">
        <f t="shared" si="44"/>
        <v>2033</v>
      </c>
      <c r="O135" s="174">
        <f t="shared" si="44"/>
        <v>2034</v>
      </c>
      <c r="P135" s="174">
        <f t="shared" si="44"/>
        <v>2035</v>
      </c>
      <c r="Q135" s="174">
        <f t="shared" si="44"/>
        <v>2036</v>
      </c>
      <c r="R135" s="174">
        <f t="shared" si="44"/>
        <v>2037</v>
      </c>
      <c r="S135" s="174">
        <f t="shared" si="44"/>
        <v>2038</v>
      </c>
      <c r="T135" s="174">
        <f t="shared" si="44"/>
        <v>2039</v>
      </c>
      <c r="U135" s="174">
        <f t="shared" si="44"/>
        <v>2040</v>
      </c>
      <c r="V135" s="174">
        <f t="shared" si="44"/>
        <v>2041</v>
      </c>
      <c r="W135" s="174">
        <f t="shared" si="44"/>
        <v>2042</v>
      </c>
      <c r="X135" s="174">
        <f t="shared" si="44"/>
        <v>2043</v>
      </c>
      <c r="Y135" s="174">
        <f t="shared" si="44"/>
        <v>2044</v>
      </c>
      <c r="Z135" s="174">
        <f t="shared" si="44"/>
        <v>2045</v>
      </c>
      <c r="AA135" s="174">
        <f t="shared" si="44"/>
        <v>2046</v>
      </c>
    </row>
    <row r="136" spans="1:27" x14ac:dyDescent="0.3">
      <c r="A136" s="1" t="s">
        <v>59</v>
      </c>
      <c r="B136" s="24">
        <f>+(B130*B131*B132)</f>
        <v>748.98000000000013</v>
      </c>
      <c r="C136" s="24">
        <f t="shared" ref="C136:AA136" si="45">+$B$136*(1+$B$133)^C134</f>
        <v>757.96776000000011</v>
      </c>
      <c r="D136" s="24">
        <f t="shared" si="45"/>
        <v>767.06337312000005</v>
      </c>
      <c r="E136" s="24">
        <f t="shared" si="45"/>
        <v>776.26813359744017</v>
      </c>
      <c r="F136" s="24">
        <f t="shared" si="45"/>
        <v>785.5833512006094</v>
      </c>
      <c r="G136" s="24">
        <f t="shared" si="45"/>
        <v>795.01035141501666</v>
      </c>
      <c r="H136" s="24">
        <f t="shared" si="45"/>
        <v>804.55047563199673</v>
      </c>
      <c r="I136" s="24">
        <f t="shared" si="45"/>
        <v>814.20508133958094</v>
      </c>
      <c r="J136" s="24">
        <f t="shared" si="45"/>
        <v>823.97554231565584</v>
      </c>
      <c r="K136" s="24">
        <f t="shared" si="45"/>
        <v>833.86324882344366</v>
      </c>
      <c r="L136" s="24">
        <f t="shared" si="45"/>
        <v>843.86960780932498</v>
      </c>
      <c r="M136" s="24">
        <f t="shared" si="45"/>
        <v>853.99604310303687</v>
      </c>
      <c r="N136" s="24">
        <f t="shared" si="45"/>
        <v>864.24399562027327</v>
      </c>
      <c r="O136" s="24">
        <f t="shared" si="45"/>
        <v>874.61492356771657</v>
      </c>
      <c r="P136" s="24">
        <f t="shared" si="45"/>
        <v>885.11030265052909</v>
      </c>
      <c r="Q136" s="24">
        <f t="shared" si="45"/>
        <v>895.7316262823357</v>
      </c>
      <c r="R136" s="24">
        <f t="shared" si="45"/>
        <v>906.48040579772362</v>
      </c>
      <c r="S136" s="24">
        <f t="shared" si="45"/>
        <v>917.35817066729635</v>
      </c>
      <c r="T136" s="24">
        <f t="shared" si="45"/>
        <v>928.36646871530377</v>
      </c>
      <c r="U136" s="24">
        <f t="shared" si="45"/>
        <v>939.50686633988755</v>
      </c>
      <c r="V136" s="24">
        <f t="shared" si="45"/>
        <v>950.78094873596604</v>
      </c>
      <c r="W136" s="24">
        <f t="shared" si="45"/>
        <v>962.19032012079776</v>
      </c>
      <c r="X136" s="24">
        <f t="shared" si="45"/>
        <v>973.73660396224716</v>
      </c>
      <c r="Y136" s="24">
        <f t="shared" si="45"/>
        <v>985.42144320979446</v>
      </c>
      <c r="Z136" s="24">
        <f t="shared" si="45"/>
        <v>997.2465005283118</v>
      </c>
      <c r="AA136" s="24">
        <f t="shared" si="45"/>
        <v>1009.2134585346514</v>
      </c>
    </row>
    <row r="138" spans="1:27" x14ac:dyDescent="0.3">
      <c r="A138" s="17" t="s">
        <v>173</v>
      </c>
      <c r="B138" s="17">
        <f t="shared" ref="B138:AA138" si="46">+B126</f>
        <v>2021</v>
      </c>
      <c r="C138" s="17">
        <f t="shared" si="46"/>
        <v>2022</v>
      </c>
      <c r="D138" s="17">
        <f t="shared" si="46"/>
        <v>2023</v>
      </c>
      <c r="E138" s="17">
        <f t="shared" si="46"/>
        <v>2024</v>
      </c>
      <c r="F138" s="17">
        <f t="shared" si="46"/>
        <v>2025</v>
      </c>
      <c r="G138" s="17">
        <f t="shared" si="46"/>
        <v>2026</v>
      </c>
      <c r="H138" s="17">
        <f t="shared" si="46"/>
        <v>2027</v>
      </c>
      <c r="I138" s="17">
        <f t="shared" si="46"/>
        <v>2028</v>
      </c>
      <c r="J138" s="17">
        <f t="shared" si="46"/>
        <v>2029</v>
      </c>
      <c r="K138" s="17">
        <f t="shared" si="46"/>
        <v>2030</v>
      </c>
      <c r="L138" s="17">
        <f t="shared" si="46"/>
        <v>2031</v>
      </c>
      <c r="M138" s="17">
        <f t="shared" si="46"/>
        <v>2032</v>
      </c>
      <c r="N138" s="17">
        <f t="shared" si="46"/>
        <v>2033</v>
      </c>
      <c r="O138" s="17">
        <f t="shared" si="46"/>
        <v>2034</v>
      </c>
      <c r="P138" s="17">
        <f t="shared" si="46"/>
        <v>2035</v>
      </c>
      <c r="Q138" s="17">
        <f t="shared" si="46"/>
        <v>2036</v>
      </c>
      <c r="R138" s="17">
        <f t="shared" si="46"/>
        <v>2037</v>
      </c>
      <c r="S138" s="17">
        <f t="shared" si="46"/>
        <v>2038</v>
      </c>
      <c r="T138" s="17">
        <f t="shared" si="46"/>
        <v>2039</v>
      </c>
      <c r="U138" s="17">
        <f t="shared" si="46"/>
        <v>2040</v>
      </c>
      <c r="V138" s="17">
        <f t="shared" si="46"/>
        <v>2041</v>
      </c>
      <c r="W138" s="17">
        <f t="shared" si="46"/>
        <v>2042</v>
      </c>
      <c r="X138" s="17">
        <f t="shared" si="46"/>
        <v>2043</v>
      </c>
      <c r="Y138" s="17">
        <f t="shared" si="46"/>
        <v>2044</v>
      </c>
      <c r="Z138" s="17">
        <f t="shared" si="46"/>
        <v>2045</v>
      </c>
      <c r="AA138" s="17">
        <f t="shared" si="46"/>
        <v>2046</v>
      </c>
    </row>
    <row r="139" spans="1:27" s="1" customFormat="1" ht="15" thickBot="1" x14ac:dyDescent="0.35">
      <c r="A139" s="38" t="s">
        <v>197</v>
      </c>
      <c r="B139" s="39">
        <f t="shared" ref="B139:AA139" si="47">+B136+B127</f>
        <v>1056.5775000000001</v>
      </c>
      <c r="C139" s="39">
        <f t="shared" si="47"/>
        <v>1069.2564299999999</v>
      </c>
      <c r="D139" s="39">
        <f t="shared" si="47"/>
        <v>1082.0875071599999</v>
      </c>
      <c r="E139" s="39">
        <f t="shared" si="47"/>
        <v>1095.0725572459201</v>
      </c>
      <c r="F139" s="39">
        <f t="shared" si="47"/>
        <v>1108.2134279328711</v>
      </c>
      <c r="G139" s="39">
        <f t="shared" si="47"/>
        <v>1121.5119890680653</v>
      </c>
      <c r="H139" s="39">
        <f t="shared" si="47"/>
        <v>1134.970132936882</v>
      </c>
      <c r="I139" s="39">
        <f t="shared" si="47"/>
        <v>1148.5897745321249</v>
      </c>
      <c r="J139" s="39">
        <f t="shared" si="47"/>
        <v>1162.3728518265104</v>
      </c>
      <c r="K139" s="39">
        <f t="shared" si="47"/>
        <v>1176.3213260484285</v>
      </c>
      <c r="L139" s="39">
        <f t="shared" si="47"/>
        <v>1190.4371819610096</v>
      </c>
      <c r="M139" s="39">
        <f t="shared" si="47"/>
        <v>1204.7224281445417</v>
      </c>
      <c r="N139" s="39">
        <f t="shared" si="47"/>
        <v>1219.1790972822762</v>
      </c>
      <c r="O139" s="39">
        <f t="shared" si="47"/>
        <v>1233.8092464496635</v>
      </c>
      <c r="P139" s="39">
        <f t="shared" si="47"/>
        <v>1248.6149574070594</v>
      </c>
      <c r="Q139" s="39">
        <f t="shared" si="47"/>
        <v>1263.5983368959444</v>
      </c>
      <c r="R139" s="39">
        <f t="shared" si="47"/>
        <v>1278.7615169386956</v>
      </c>
      <c r="S139" s="39">
        <f t="shared" si="47"/>
        <v>1294.1066551419599</v>
      </c>
      <c r="T139" s="39">
        <f t="shared" si="47"/>
        <v>1309.6359350036632</v>
      </c>
      <c r="U139" s="39">
        <f t="shared" si="47"/>
        <v>1325.3515662237073</v>
      </c>
      <c r="V139" s="39">
        <f t="shared" si="47"/>
        <v>1341.2557850183916</v>
      </c>
      <c r="W139" s="39">
        <f t="shared" si="47"/>
        <v>1357.3508544386127</v>
      </c>
      <c r="X139" s="39">
        <f t="shared" si="47"/>
        <v>1373.6390646918758</v>
      </c>
      <c r="Y139" s="39">
        <f t="shared" si="47"/>
        <v>1390.1227334681787</v>
      </c>
      <c r="Z139" s="39">
        <f t="shared" si="47"/>
        <v>1406.8042062697966</v>
      </c>
      <c r="AA139" s="39">
        <f t="shared" si="47"/>
        <v>1423.685856745034</v>
      </c>
    </row>
    <row r="141" spans="1:27" ht="18" x14ac:dyDescent="0.35">
      <c r="A141" s="109" t="s">
        <v>199</v>
      </c>
    </row>
    <row r="142" spans="1:27" x14ac:dyDescent="0.3">
      <c r="A142" s="45" t="s">
        <v>49</v>
      </c>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row>
    <row r="143" spans="1:27" x14ac:dyDescent="0.3">
      <c r="A143" s="183"/>
      <c r="B143" s="101"/>
      <c r="C143" s="46" t="s">
        <v>181</v>
      </c>
      <c r="D143" s="101"/>
      <c r="E143" s="101"/>
      <c r="F143" s="101"/>
      <c r="G143" s="82" t="s">
        <v>170</v>
      </c>
      <c r="H143" s="83"/>
      <c r="I143" s="83"/>
      <c r="J143" s="83"/>
      <c r="K143" s="83"/>
      <c r="L143" s="83"/>
      <c r="M143" s="83"/>
      <c r="N143" s="83"/>
      <c r="O143" s="83"/>
      <c r="P143" s="84"/>
      <c r="Q143" s="101"/>
      <c r="R143" s="101"/>
      <c r="S143" s="101"/>
      <c r="T143" s="101"/>
      <c r="U143" s="101"/>
      <c r="V143" s="101"/>
      <c r="W143" s="101"/>
      <c r="X143" s="101"/>
      <c r="Y143" s="101"/>
      <c r="Z143" s="101"/>
      <c r="AA143" s="101"/>
    </row>
    <row r="144" spans="1:27" x14ac:dyDescent="0.3">
      <c r="A144" s="183"/>
      <c r="B144" s="101"/>
      <c r="C144" s="1" t="s">
        <v>183</v>
      </c>
      <c r="D144" s="101"/>
      <c r="E144" s="101"/>
      <c r="F144" s="101"/>
      <c r="G144" s="85" t="s">
        <v>443</v>
      </c>
      <c r="H144" s="72"/>
      <c r="I144" s="72"/>
      <c r="J144" s="72"/>
      <c r="K144" s="72"/>
      <c r="L144" s="72"/>
      <c r="M144" s="72"/>
      <c r="N144" s="72"/>
      <c r="O144" s="72"/>
      <c r="P144" s="86"/>
      <c r="Q144" s="101"/>
      <c r="R144" s="101"/>
      <c r="S144" s="101"/>
      <c r="T144" s="101"/>
      <c r="U144" s="101"/>
      <c r="V144" s="101"/>
      <c r="W144" s="101"/>
      <c r="X144" s="101"/>
      <c r="Y144" s="101"/>
      <c r="Z144" s="101"/>
      <c r="AA144" s="101"/>
    </row>
    <row r="145" spans="1:27" x14ac:dyDescent="0.3">
      <c r="A145" s="3" t="s">
        <v>3</v>
      </c>
      <c r="B145" s="124">
        <v>0</v>
      </c>
      <c r="C145" s="124">
        <f t="shared" ref="C145:AA145" si="48">+B145+1</f>
        <v>1</v>
      </c>
      <c r="D145" s="124">
        <f t="shared" si="48"/>
        <v>2</v>
      </c>
      <c r="E145" s="124">
        <f t="shared" si="48"/>
        <v>3</v>
      </c>
      <c r="F145" s="124">
        <f t="shared" si="48"/>
        <v>4</v>
      </c>
      <c r="G145" s="124">
        <f t="shared" si="48"/>
        <v>5</v>
      </c>
      <c r="H145" s="124">
        <f t="shared" si="48"/>
        <v>6</v>
      </c>
      <c r="I145" s="124">
        <f t="shared" si="48"/>
        <v>7</v>
      </c>
      <c r="J145" s="124">
        <f t="shared" si="48"/>
        <v>8</v>
      </c>
      <c r="K145" s="124">
        <f t="shared" si="48"/>
        <v>9</v>
      </c>
      <c r="L145" s="124">
        <f t="shared" si="48"/>
        <v>10</v>
      </c>
      <c r="M145" s="124">
        <f t="shared" si="48"/>
        <v>11</v>
      </c>
      <c r="N145" s="124">
        <f t="shared" si="48"/>
        <v>12</v>
      </c>
      <c r="O145" s="124">
        <f t="shared" si="48"/>
        <v>13</v>
      </c>
      <c r="P145" s="124">
        <f t="shared" si="48"/>
        <v>14</v>
      </c>
      <c r="Q145" s="124">
        <f t="shared" si="48"/>
        <v>15</v>
      </c>
      <c r="R145" s="124">
        <f t="shared" si="48"/>
        <v>16</v>
      </c>
      <c r="S145" s="124">
        <f t="shared" si="48"/>
        <v>17</v>
      </c>
      <c r="T145" s="124">
        <f t="shared" si="48"/>
        <v>18</v>
      </c>
      <c r="U145" s="124">
        <f t="shared" si="48"/>
        <v>19</v>
      </c>
      <c r="V145" s="124">
        <f t="shared" si="48"/>
        <v>20</v>
      </c>
      <c r="W145" s="124">
        <f t="shared" si="48"/>
        <v>21</v>
      </c>
      <c r="X145" s="124">
        <f t="shared" si="48"/>
        <v>22</v>
      </c>
      <c r="Y145" s="124">
        <f t="shared" si="48"/>
        <v>23</v>
      </c>
      <c r="Z145" s="124">
        <f t="shared" si="48"/>
        <v>24</v>
      </c>
      <c r="AA145" s="124">
        <f t="shared" si="48"/>
        <v>25</v>
      </c>
    </row>
    <row r="146" spans="1:27" x14ac:dyDescent="0.3">
      <c r="A146" s="175" t="s">
        <v>400</v>
      </c>
      <c r="B146" s="174">
        <v>2021</v>
      </c>
      <c r="C146" s="174">
        <f t="shared" ref="C146:AA146" si="49">+B146+1</f>
        <v>2022</v>
      </c>
      <c r="D146" s="174">
        <f t="shared" si="49"/>
        <v>2023</v>
      </c>
      <c r="E146" s="174">
        <f t="shared" si="49"/>
        <v>2024</v>
      </c>
      <c r="F146" s="174">
        <f t="shared" si="49"/>
        <v>2025</v>
      </c>
      <c r="G146" s="174">
        <f t="shared" si="49"/>
        <v>2026</v>
      </c>
      <c r="H146" s="174">
        <f t="shared" si="49"/>
        <v>2027</v>
      </c>
      <c r="I146" s="174">
        <f t="shared" si="49"/>
        <v>2028</v>
      </c>
      <c r="J146" s="174">
        <f t="shared" si="49"/>
        <v>2029</v>
      </c>
      <c r="K146" s="174">
        <f t="shared" si="49"/>
        <v>2030</v>
      </c>
      <c r="L146" s="174">
        <f t="shared" si="49"/>
        <v>2031</v>
      </c>
      <c r="M146" s="174">
        <f t="shared" si="49"/>
        <v>2032</v>
      </c>
      <c r="N146" s="174">
        <f t="shared" si="49"/>
        <v>2033</v>
      </c>
      <c r="O146" s="174">
        <f t="shared" si="49"/>
        <v>2034</v>
      </c>
      <c r="P146" s="174">
        <f t="shared" si="49"/>
        <v>2035</v>
      </c>
      <c r="Q146" s="174">
        <f t="shared" si="49"/>
        <v>2036</v>
      </c>
      <c r="R146" s="174">
        <f t="shared" si="49"/>
        <v>2037</v>
      </c>
      <c r="S146" s="174">
        <f t="shared" si="49"/>
        <v>2038</v>
      </c>
      <c r="T146" s="174">
        <f t="shared" si="49"/>
        <v>2039</v>
      </c>
      <c r="U146" s="174">
        <f t="shared" si="49"/>
        <v>2040</v>
      </c>
      <c r="V146" s="174">
        <f t="shared" si="49"/>
        <v>2041</v>
      </c>
      <c r="W146" s="174">
        <f t="shared" si="49"/>
        <v>2042</v>
      </c>
      <c r="X146" s="174">
        <f t="shared" si="49"/>
        <v>2043</v>
      </c>
      <c r="Y146" s="174">
        <f t="shared" si="49"/>
        <v>2044</v>
      </c>
      <c r="Z146" s="174">
        <f t="shared" si="49"/>
        <v>2045</v>
      </c>
      <c r="AA146" s="174">
        <f t="shared" si="49"/>
        <v>2046</v>
      </c>
    </row>
    <row r="147" spans="1:27" ht="15" thickBot="1" x14ac:dyDescent="0.35">
      <c r="A147" s="22" t="s">
        <v>169</v>
      </c>
      <c r="B147" s="112">
        <f>'K. Opt0'!B162</f>
        <v>283.42</v>
      </c>
      <c r="C147" s="112">
        <f>'K. Opt0'!C162</f>
        <v>283.42</v>
      </c>
      <c r="D147" s="112">
        <f>'K. Opt0'!D162</f>
        <v>283.42</v>
      </c>
      <c r="E147" s="112">
        <f>'K. Opt0'!E162</f>
        <v>283.42</v>
      </c>
      <c r="F147" s="112">
        <f>'K. Opt0'!F162</f>
        <v>283.42</v>
      </c>
      <c r="G147" s="112">
        <f>'K. Opt0'!G159</f>
        <v>141.71</v>
      </c>
      <c r="H147" s="112">
        <f>'K. Opt0'!H159</f>
        <v>141.71</v>
      </c>
      <c r="I147" s="112">
        <f>'K. Opt0'!I159</f>
        <v>141.71</v>
      </c>
      <c r="J147" s="112">
        <f>'K. Opt0'!J159</f>
        <v>141.71</v>
      </c>
      <c r="K147" s="112">
        <f>'K. Opt0'!K159</f>
        <v>141.71</v>
      </c>
      <c r="L147" s="112">
        <f>'K. Opt0'!L159</f>
        <v>141.71</v>
      </c>
      <c r="M147" s="112">
        <f>'K. Opt0'!M159</f>
        <v>141.71</v>
      </c>
      <c r="N147" s="112">
        <f>'K. Opt0'!N159</f>
        <v>141.71</v>
      </c>
      <c r="O147" s="112">
        <f>'K. Opt0'!O159</f>
        <v>141.71</v>
      </c>
      <c r="P147" s="112">
        <f>'K. Opt0'!P159</f>
        <v>141.71</v>
      </c>
      <c r="Q147" s="112">
        <f>'K. Opt0'!Q159</f>
        <v>141.71</v>
      </c>
      <c r="R147" s="112">
        <f>'K. Opt0'!R159</f>
        <v>141.71</v>
      </c>
      <c r="S147" s="112">
        <f>'K. Opt0'!S159</f>
        <v>141.71</v>
      </c>
      <c r="T147" s="112">
        <f>'K. Opt0'!T159</f>
        <v>141.71</v>
      </c>
      <c r="U147" s="112">
        <f>'K. Opt0'!U159</f>
        <v>141.71</v>
      </c>
      <c r="V147" s="112">
        <f>'K. Opt0'!V159</f>
        <v>141.71</v>
      </c>
      <c r="W147" s="112">
        <f>'K. Opt0'!W159</f>
        <v>141.71</v>
      </c>
      <c r="X147" s="112">
        <f>'K. Opt0'!X159</f>
        <v>141.71</v>
      </c>
      <c r="Y147" s="112">
        <f>'K. Opt0'!Y159</f>
        <v>141.71</v>
      </c>
      <c r="Z147" s="112">
        <f>'K. Opt0'!Z159</f>
        <v>141.71</v>
      </c>
      <c r="AA147" s="112">
        <f>'K. Opt0'!AA159</f>
        <v>141.71</v>
      </c>
    </row>
    <row r="148" spans="1:27" ht="15.75" customHeight="1" x14ac:dyDescent="0.3"/>
    <row r="150" spans="1:27" x14ac:dyDescent="0.3">
      <c r="A150" s="17" t="s">
        <v>71</v>
      </c>
      <c r="B150" s="17">
        <f t="shared" ref="B150:AA150" si="50">+B146</f>
        <v>2021</v>
      </c>
      <c r="C150" s="17">
        <f t="shared" si="50"/>
        <v>2022</v>
      </c>
      <c r="D150" s="17">
        <f t="shared" si="50"/>
        <v>2023</v>
      </c>
      <c r="E150" s="17">
        <f t="shared" si="50"/>
        <v>2024</v>
      </c>
      <c r="F150" s="17">
        <f t="shared" si="50"/>
        <v>2025</v>
      </c>
      <c r="G150" s="17">
        <f t="shared" si="50"/>
        <v>2026</v>
      </c>
      <c r="H150" s="17">
        <f t="shared" si="50"/>
        <v>2027</v>
      </c>
      <c r="I150" s="17">
        <f t="shared" si="50"/>
        <v>2028</v>
      </c>
      <c r="J150" s="17">
        <f t="shared" si="50"/>
        <v>2029</v>
      </c>
      <c r="K150" s="17">
        <f t="shared" si="50"/>
        <v>2030</v>
      </c>
      <c r="L150" s="17">
        <f t="shared" si="50"/>
        <v>2031</v>
      </c>
      <c r="M150" s="17">
        <f t="shared" si="50"/>
        <v>2032</v>
      </c>
      <c r="N150" s="17">
        <f t="shared" si="50"/>
        <v>2033</v>
      </c>
      <c r="O150" s="17">
        <f t="shared" si="50"/>
        <v>2034</v>
      </c>
      <c r="P150" s="17">
        <f t="shared" si="50"/>
        <v>2035</v>
      </c>
      <c r="Q150" s="17">
        <f t="shared" si="50"/>
        <v>2036</v>
      </c>
      <c r="R150" s="17">
        <f t="shared" si="50"/>
        <v>2037</v>
      </c>
      <c r="S150" s="17">
        <f t="shared" si="50"/>
        <v>2038</v>
      </c>
      <c r="T150" s="17">
        <f t="shared" si="50"/>
        <v>2039</v>
      </c>
      <c r="U150" s="17">
        <f t="shared" si="50"/>
        <v>2040</v>
      </c>
      <c r="V150" s="17">
        <f t="shared" si="50"/>
        <v>2041</v>
      </c>
      <c r="W150" s="17">
        <f t="shared" si="50"/>
        <v>2042</v>
      </c>
      <c r="X150" s="17">
        <f t="shared" si="50"/>
        <v>2043</v>
      </c>
      <c r="Y150" s="17">
        <f t="shared" si="50"/>
        <v>2044</v>
      </c>
      <c r="Z150" s="17">
        <f t="shared" si="50"/>
        <v>2045</v>
      </c>
      <c r="AA150" s="17">
        <f t="shared" si="50"/>
        <v>2046</v>
      </c>
    </row>
    <row r="151" spans="1:27" s="1" customFormat="1" ht="15" thickBot="1" x14ac:dyDescent="0.35">
      <c r="A151" s="38" t="s">
        <v>197</v>
      </c>
      <c r="B151" s="39">
        <f t="shared" ref="B151:E151" si="51">B147</f>
        <v>283.42</v>
      </c>
      <c r="C151" s="39">
        <f t="shared" si="51"/>
        <v>283.42</v>
      </c>
      <c r="D151" s="39">
        <f t="shared" si="51"/>
        <v>283.42</v>
      </c>
      <c r="E151" s="39">
        <f t="shared" si="51"/>
        <v>283.42</v>
      </c>
      <c r="F151" s="39">
        <f>F147</f>
        <v>283.42</v>
      </c>
      <c r="G151" s="39">
        <f t="shared" ref="G151:AA151" si="52">G147</f>
        <v>141.71</v>
      </c>
      <c r="H151" s="39">
        <f t="shared" si="52"/>
        <v>141.71</v>
      </c>
      <c r="I151" s="39">
        <f t="shared" si="52"/>
        <v>141.71</v>
      </c>
      <c r="J151" s="39">
        <f t="shared" si="52"/>
        <v>141.71</v>
      </c>
      <c r="K151" s="39">
        <f t="shared" si="52"/>
        <v>141.71</v>
      </c>
      <c r="L151" s="39">
        <f t="shared" si="52"/>
        <v>141.71</v>
      </c>
      <c r="M151" s="39">
        <f t="shared" si="52"/>
        <v>141.71</v>
      </c>
      <c r="N151" s="39">
        <f t="shared" si="52"/>
        <v>141.71</v>
      </c>
      <c r="O151" s="39">
        <f t="shared" si="52"/>
        <v>141.71</v>
      </c>
      <c r="P151" s="39">
        <f t="shared" si="52"/>
        <v>141.71</v>
      </c>
      <c r="Q151" s="39">
        <f t="shared" si="52"/>
        <v>141.71</v>
      </c>
      <c r="R151" s="39">
        <f t="shared" si="52"/>
        <v>141.71</v>
      </c>
      <c r="S151" s="39">
        <f t="shared" si="52"/>
        <v>141.71</v>
      </c>
      <c r="T151" s="39">
        <f t="shared" si="52"/>
        <v>141.71</v>
      </c>
      <c r="U151" s="39">
        <f t="shared" si="52"/>
        <v>141.71</v>
      </c>
      <c r="V151" s="39">
        <f t="shared" si="52"/>
        <v>141.71</v>
      </c>
      <c r="W151" s="39">
        <f t="shared" si="52"/>
        <v>141.71</v>
      </c>
      <c r="X151" s="39">
        <f t="shared" si="52"/>
        <v>141.71</v>
      </c>
      <c r="Y151" s="39">
        <f t="shared" si="52"/>
        <v>141.71</v>
      </c>
      <c r="Z151" s="39">
        <f t="shared" si="52"/>
        <v>141.71</v>
      </c>
      <c r="AA151" s="39">
        <f t="shared" si="52"/>
        <v>141.71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82B00-C4CB-4219-9D23-C9F04537A7CB}">
  <sheetPr>
    <tabColor theme="8" tint="-0.249977111117893"/>
  </sheetPr>
  <dimension ref="A1"/>
  <sheetViews>
    <sheetView showGridLines="0" showRowColHeaders="0" view="pageBreakPreview" zoomScale="80" zoomScaleNormal="100" zoomScaleSheetLayoutView="80" workbookViewId="0"/>
  </sheetViews>
  <sheetFormatPr defaultRowHeight="14.4" x14ac:dyDescent="0.3"/>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0988-52E6-492F-B801-D03AE81EC7F4}">
  <sheetPr>
    <tabColor theme="8" tint="-0.249977111117893"/>
  </sheetPr>
  <dimension ref="A1:AA32"/>
  <sheetViews>
    <sheetView showGridLines="0" zoomScale="80" zoomScaleNormal="80" workbookViewId="0">
      <selection activeCell="A13" sqref="A13"/>
    </sheetView>
  </sheetViews>
  <sheetFormatPr defaultColWidth="8.77734375" defaultRowHeight="14.4" x14ac:dyDescent="0.3"/>
  <cols>
    <col min="1" max="1" width="58.33203125" style="168" bestFit="1" customWidth="1"/>
    <col min="2" max="2" width="11" style="168" customWidth="1"/>
    <col min="3" max="5" width="9.33203125" style="168" bestFit="1" customWidth="1"/>
    <col min="6" max="7" width="9.44140625" style="168" bestFit="1" customWidth="1"/>
    <col min="8" max="27" width="9.33203125" style="168" bestFit="1" customWidth="1"/>
    <col min="28" max="16384" width="8.77734375" style="168"/>
  </cols>
  <sheetData>
    <row r="1" spans="1:27" ht="21" x14ac:dyDescent="0.4">
      <c r="A1" s="2" t="s">
        <v>0</v>
      </c>
    </row>
    <row r="2" spans="1:27" x14ac:dyDescent="0.3">
      <c r="A2" s="10" t="str">
        <f>'Inputs &amp; Summary'!$B$6</f>
        <v>Yellow shaded cells are input cells</v>
      </c>
      <c r="G2" s="82" t="s">
        <v>131</v>
      </c>
      <c r="H2" s="83"/>
      <c r="I2" s="83"/>
      <c r="J2" s="83"/>
      <c r="K2" s="83"/>
      <c r="L2" s="83"/>
      <c r="M2" s="83"/>
      <c r="N2" s="83"/>
      <c r="O2" s="83"/>
      <c r="P2" s="83"/>
      <c r="Q2" s="83"/>
      <c r="R2" s="83"/>
      <c r="S2" s="83"/>
      <c r="T2" s="83"/>
      <c r="U2" s="84"/>
    </row>
    <row r="3" spans="1:27" x14ac:dyDescent="0.3">
      <c r="A3" s="4" t="s">
        <v>5</v>
      </c>
      <c r="B3" s="168" t="str">
        <f>'Inputs &amp; Summary'!B15</f>
        <v>Burwood</v>
      </c>
      <c r="G3" s="85" t="s">
        <v>132</v>
      </c>
      <c r="H3" s="72"/>
      <c r="I3" s="72"/>
      <c r="J3" s="72"/>
      <c r="K3" s="72"/>
      <c r="L3" s="72"/>
      <c r="M3" s="72"/>
      <c r="N3" s="72"/>
      <c r="O3" s="72"/>
      <c r="P3" s="72"/>
      <c r="Q3" s="72"/>
      <c r="R3" s="72"/>
      <c r="S3" s="72"/>
      <c r="T3" s="72"/>
      <c r="U3" s="86"/>
    </row>
    <row r="4" spans="1:27" x14ac:dyDescent="0.3">
      <c r="A4" s="5" t="s">
        <v>6</v>
      </c>
      <c r="B4" s="172">
        <f>'Inputs &amp; Summary'!E21</f>
        <v>2.75E-2</v>
      </c>
      <c r="C4" s="168" t="s">
        <v>2</v>
      </c>
    </row>
    <row r="5" spans="1:27" x14ac:dyDescent="0.3">
      <c r="A5" s="3" t="s">
        <v>3</v>
      </c>
      <c r="B5" s="168">
        <v>0</v>
      </c>
      <c r="C5" s="168">
        <f t="shared" ref="C5:AA5" si="0">+B5+1</f>
        <v>1</v>
      </c>
      <c r="D5" s="168">
        <f t="shared" si="0"/>
        <v>2</v>
      </c>
      <c r="E5" s="168">
        <f t="shared" si="0"/>
        <v>3</v>
      </c>
      <c r="F5" s="168">
        <f t="shared" si="0"/>
        <v>4</v>
      </c>
      <c r="G5" s="168">
        <f t="shared" si="0"/>
        <v>5</v>
      </c>
      <c r="H5" s="168">
        <f t="shared" si="0"/>
        <v>6</v>
      </c>
      <c r="I5" s="168">
        <f t="shared" si="0"/>
        <v>7</v>
      </c>
      <c r="J5" s="168">
        <f t="shared" si="0"/>
        <v>8</v>
      </c>
      <c r="K5" s="168">
        <f t="shared" si="0"/>
        <v>9</v>
      </c>
      <c r="L5" s="168">
        <f t="shared" si="0"/>
        <v>10</v>
      </c>
      <c r="M5" s="168">
        <f t="shared" si="0"/>
        <v>11</v>
      </c>
      <c r="N5" s="168">
        <f t="shared" si="0"/>
        <v>12</v>
      </c>
      <c r="O5" s="168">
        <f t="shared" si="0"/>
        <v>13</v>
      </c>
      <c r="P5" s="168">
        <f t="shared" si="0"/>
        <v>14</v>
      </c>
      <c r="Q5" s="168">
        <f t="shared" si="0"/>
        <v>15</v>
      </c>
      <c r="R5" s="168">
        <f t="shared" si="0"/>
        <v>16</v>
      </c>
      <c r="S5" s="168">
        <f t="shared" si="0"/>
        <v>17</v>
      </c>
      <c r="T5" s="168">
        <f t="shared" si="0"/>
        <v>18</v>
      </c>
      <c r="U5" s="168">
        <f t="shared" si="0"/>
        <v>19</v>
      </c>
      <c r="V5" s="168">
        <f t="shared" si="0"/>
        <v>20</v>
      </c>
      <c r="W5" s="168">
        <f t="shared" si="0"/>
        <v>21</v>
      </c>
      <c r="X5" s="168">
        <f t="shared" si="0"/>
        <v>22</v>
      </c>
      <c r="Y5" s="168">
        <f t="shared" si="0"/>
        <v>23</v>
      </c>
      <c r="Z5" s="168">
        <f t="shared" si="0"/>
        <v>24</v>
      </c>
      <c r="AA5" s="168">
        <f t="shared" si="0"/>
        <v>25</v>
      </c>
    </row>
    <row r="6" spans="1:27" x14ac:dyDescent="0.3">
      <c r="A6" s="7" t="s">
        <v>399</v>
      </c>
      <c r="B6" s="8">
        <v>2021</v>
      </c>
      <c r="C6" s="8">
        <f t="shared" ref="C6:AA6" si="1">+B6+1</f>
        <v>2022</v>
      </c>
      <c r="D6" s="8">
        <f t="shared" si="1"/>
        <v>2023</v>
      </c>
      <c r="E6" s="8">
        <f t="shared" si="1"/>
        <v>2024</v>
      </c>
      <c r="F6" s="8">
        <f t="shared" si="1"/>
        <v>2025</v>
      </c>
      <c r="G6" s="8">
        <f t="shared" si="1"/>
        <v>2026</v>
      </c>
      <c r="H6" s="8">
        <f t="shared" si="1"/>
        <v>2027</v>
      </c>
      <c r="I6" s="8">
        <f t="shared" si="1"/>
        <v>2028</v>
      </c>
      <c r="J6" s="8">
        <f t="shared" si="1"/>
        <v>2029</v>
      </c>
      <c r="K6" s="8">
        <f t="shared" si="1"/>
        <v>2030</v>
      </c>
      <c r="L6" s="8">
        <f t="shared" si="1"/>
        <v>2031</v>
      </c>
      <c r="M6" s="8">
        <f t="shared" si="1"/>
        <v>2032</v>
      </c>
      <c r="N6" s="8">
        <f t="shared" si="1"/>
        <v>2033</v>
      </c>
      <c r="O6" s="8">
        <f t="shared" si="1"/>
        <v>2034</v>
      </c>
      <c r="P6" s="8">
        <f t="shared" si="1"/>
        <v>2035</v>
      </c>
      <c r="Q6" s="8">
        <f t="shared" si="1"/>
        <v>2036</v>
      </c>
      <c r="R6" s="8">
        <f t="shared" si="1"/>
        <v>2037</v>
      </c>
      <c r="S6" s="8">
        <f t="shared" si="1"/>
        <v>2038</v>
      </c>
      <c r="T6" s="8">
        <f t="shared" si="1"/>
        <v>2039</v>
      </c>
      <c r="U6" s="8">
        <f t="shared" si="1"/>
        <v>2040</v>
      </c>
      <c r="V6" s="8">
        <f t="shared" si="1"/>
        <v>2041</v>
      </c>
      <c r="W6" s="8">
        <f t="shared" si="1"/>
        <v>2042</v>
      </c>
      <c r="X6" s="8">
        <f t="shared" si="1"/>
        <v>2043</v>
      </c>
      <c r="Y6" s="8">
        <f t="shared" si="1"/>
        <v>2044</v>
      </c>
      <c r="Z6" s="8">
        <f t="shared" si="1"/>
        <v>2045</v>
      </c>
      <c r="AA6" s="8">
        <f t="shared" si="1"/>
        <v>2046</v>
      </c>
    </row>
    <row r="7" spans="1:27" ht="5.25" customHeight="1" x14ac:dyDescent="0.3"/>
    <row r="8" spans="1:27" x14ac:dyDescent="0.3">
      <c r="A8" s="1" t="str">
        <f>'Inputs &amp; Summary'!B71</f>
        <v>Burwood: Do not replace Burwood depot</v>
      </c>
    </row>
    <row r="9" spans="1:27" ht="6" customHeight="1" x14ac:dyDescent="0.3">
      <c r="A9" s="1"/>
    </row>
    <row r="10" spans="1:27" x14ac:dyDescent="0.3">
      <c r="A10" s="168" t="s">
        <v>403</v>
      </c>
      <c r="B10" s="48">
        <f>+'B. Opt0'!B8</f>
        <v>211.48577623534734</v>
      </c>
      <c r="C10" s="48">
        <f>+'B. Opt0'!C8</f>
        <v>213.65281692918325</v>
      </c>
      <c r="D10" s="48">
        <f>+'B. Opt0'!D8</f>
        <v>215.84412847879011</v>
      </c>
      <c r="E10" s="48">
        <f>+'B. Opt0'!E8</f>
        <v>218.05998271775258</v>
      </c>
      <c r="F10" s="48">
        <f>+'B. Opt0'!F8</f>
        <v>220.30065452419143</v>
      </c>
      <c r="G10" s="48">
        <f>+'B. Opt0'!G8</f>
        <v>222.56642185486237</v>
      </c>
      <c r="H10" s="48">
        <f>+'B. Opt0'!H8</f>
        <v>224.85756577963684</v>
      </c>
      <c r="I10" s="48">
        <f>+'B. Opt0'!I8</f>
        <v>227.17437051636881</v>
      </c>
      <c r="J10" s="48">
        <f>+'B. Opt0'!J8</f>
        <v>229.51712346615216</v>
      </c>
      <c r="K10" s="48">
        <f>+'B. Opt0'!K8</f>
        <v>231.88611524897308</v>
      </c>
      <c r="L10" s="48">
        <f>+'B. Opt0'!L8</f>
        <v>234.28163973976157</v>
      </c>
      <c r="M10" s="48">
        <f>+'B. Opt0'!M8</f>
        <v>236.70399410484691</v>
      </c>
      <c r="N10" s="48">
        <f>+'B. Opt0'!N8</f>
        <v>239.15347883882123</v>
      </c>
      <c r="O10" s="48">
        <f>+'B. Opt0'!O8</f>
        <v>241.63039780181603</v>
      </c>
      <c r="P10" s="48">
        <f>+'B. Opt0'!P8</f>
        <v>244.13505825719639</v>
      </c>
      <c r="Q10" s="48">
        <f>+'B. Opt0'!Q8</f>
        <v>246.66777090967705</v>
      </c>
      <c r="R10" s="48">
        <f>+'B. Opt0'!R8</f>
        <v>249.22884994386541</v>
      </c>
      <c r="S10" s="48">
        <f>+'B. Opt0'!S8</f>
        <v>251.81861306323671</v>
      </c>
      <c r="T10" s="48">
        <f>+'B. Opt0'!T8</f>
        <v>254.43738152954498</v>
      </c>
      <c r="U10" s="48">
        <f>+'B. Opt0'!U8</f>
        <v>257.08548020267591</v>
      </c>
      <c r="V10" s="48">
        <f>+'B. Opt0'!V8</f>
        <v>259.76323758094588</v>
      </c>
      <c r="W10" s="48">
        <f>+'B. Opt0'!W8</f>
        <v>262.47098584185244</v>
      </c>
      <c r="X10" s="48">
        <f>+'B. Opt0'!X8</f>
        <v>265.20906088328127</v>
      </c>
      <c r="Y10" s="48">
        <f>+'B. Opt0'!Y8</f>
        <v>267.97780236517406</v>
      </c>
      <c r="Z10" s="48">
        <f>+'B. Opt0'!Z8</f>
        <v>270.77755375166396</v>
      </c>
      <c r="AA10" s="48">
        <f>+'B. Opt0'!AA8</f>
        <v>273.60866235368269</v>
      </c>
    </row>
    <row r="11" spans="1:27" x14ac:dyDescent="0.3">
      <c r="A11" s="29" t="s">
        <v>404</v>
      </c>
      <c r="B11" s="48">
        <f>+'B. Opt0'!B9</f>
        <v>509.09227623534736</v>
      </c>
      <c r="C11" s="48">
        <f>+'B. Opt0'!C9</f>
        <v>514.33351972918331</v>
      </c>
      <c r="D11" s="48">
        <f>+'B. Opt0'!D9</f>
        <v>519.63600207015008</v>
      </c>
      <c r="E11" s="48">
        <f>+'B. Opt0'!E9</f>
        <v>525.00043957637581</v>
      </c>
      <c r="F11" s="48">
        <f>+'B. Opt0'!F9</f>
        <v>530.42755695406777</v>
      </c>
      <c r="G11" s="48">
        <f>+'B. Opt0'!G9</f>
        <v>535.91808739584303</v>
      </c>
      <c r="H11" s="48">
        <f>+'B. Opt0'!H9</f>
        <v>541.47277268021276</v>
      </c>
      <c r="I11" s="48">
        <f>+'B. Opt0'!I9</f>
        <v>547.09236327223414</v>
      </c>
      <c r="J11" s="48">
        <f>+'B. Opt0'!J9</f>
        <v>552.77761842534198</v>
      </c>
      <c r="K11" s="48">
        <f>+'B. Opt0'!K9</f>
        <v>558.52930628437821</v>
      </c>
      <c r="L11" s="48">
        <f>+'B. Opt0'!L9</f>
        <v>564.34820398982765</v>
      </c>
      <c r="M11" s="48">
        <f>+'B. Opt0'!M9</f>
        <v>570.23509778327889</v>
      </c>
      <c r="N11" s="48">
        <f>+'B. Opt0'!N9</f>
        <v>576.19078311412204</v>
      </c>
      <c r="O11" s="48">
        <f>+'B. Opt0'!O9</f>
        <v>582.21606474749865</v>
      </c>
      <c r="P11" s="48">
        <f>+'B. Opt0'!P9</f>
        <v>588.31175687351913</v>
      </c>
      <c r="Q11" s="48">
        <f>+'B. Opt0'!Q9</f>
        <v>594.47868321776127</v>
      </c>
      <c r="R11" s="48">
        <f>+'B. Opt0'!R9</f>
        <v>600.71767715306589</v>
      </c>
      <c r="S11" s="48">
        <f>+'B. Opt0'!S9</f>
        <v>607.02958181264512</v>
      </c>
      <c r="T11" s="48">
        <f>+'B. Opt0'!T9</f>
        <v>613.41525020451718</v>
      </c>
      <c r="U11" s="48">
        <f>+'B. Opt0'!U9</f>
        <v>619.87554532728518</v>
      </c>
      <c r="V11" s="48">
        <f>+'B. Opt0'!V9</f>
        <v>626.41134028727379</v>
      </c>
      <c r="W11" s="48">
        <f>+'B. Opt0'!W9</f>
        <v>633.02351841704217</v>
      </c>
      <c r="X11" s="48">
        <f>+'B. Opt0'!X9</f>
        <v>639.71297339528655</v>
      </c>
      <c r="Y11" s="48">
        <f>+'B. Opt0'!Y9</f>
        <v>646.48060936815114</v>
      </c>
      <c r="Z11" s="48">
        <f>+'B. Opt0'!Z9</f>
        <v>653.32734107196165</v>
      </c>
      <c r="AA11" s="48">
        <f>+'B. Opt0'!AA9</f>
        <v>660.25409395740155</v>
      </c>
    </row>
    <row r="12" spans="1:27" x14ac:dyDescent="0.3">
      <c r="A12" s="168" t="s">
        <v>405</v>
      </c>
      <c r="B12" s="48">
        <f>+'B. Opt0'!B10</f>
        <v>219.21</v>
      </c>
      <c r="C12" s="48">
        <f>+'B. Opt0'!C10</f>
        <v>221.08500000000001</v>
      </c>
      <c r="D12" s="48">
        <f>+'B. Opt0'!D10</f>
        <v>223.00687500000001</v>
      </c>
      <c r="E12" s="48">
        <f>+'B. Opt0'!E10</f>
        <v>224.97679687499999</v>
      </c>
      <c r="F12" s="48">
        <f>+'B. Opt0'!F10</f>
        <v>226.995966796875</v>
      </c>
      <c r="G12" s="48">
        <f>+'B. Opt0'!G10</f>
        <v>229.06561596679686</v>
      </c>
      <c r="H12" s="48">
        <f>+'B. Opt0'!H10</f>
        <v>231.18700636596677</v>
      </c>
      <c r="I12" s="48">
        <f>+'B. Opt0'!I10</f>
        <v>233.36143152511596</v>
      </c>
      <c r="J12" s="48">
        <f>+'B. Opt0'!J10</f>
        <v>235.59021731324384</v>
      </c>
      <c r="K12" s="48">
        <f>+'B. Opt0'!K10</f>
        <v>237.87472274607489</v>
      </c>
      <c r="L12" s="48">
        <f>+'B. Opt0'!L10</f>
        <v>240.21634081472678</v>
      </c>
      <c r="M12" s="48">
        <f>+'B. Opt0'!M10</f>
        <v>242.61649933509494</v>
      </c>
      <c r="N12" s="48">
        <f>+'B. Opt0'!N10</f>
        <v>245.0766618184723</v>
      </c>
      <c r="O12" s="48">
        <f>+'B. Opt0'!O10</f>
        <v>247.59832836393412</v>
      </c>
      <c r="P12" s="48">
        <f>+'B. Opt0'!P10</f>
        <v>250.18303657303247</v>
      </c>
      <c r="Q12" s="48">
        <f>+'B. Opt0'!Q10</f>
        <v>252.8323624873583</v>
      </c>
      <c r="R12" s="48">
        <f>+'B. Opt0'!R10</f>
        <v>255.54792154954225</v>
      </c>
      <c r="S12" s="48">
        <f>+'B. Opt0'!S10</f>
        <v>258.33136958828078</v>
      </c>
      <c r="T12" s="48">
        <f>+'B. Opt0'!T10</f>
        <v>261.18440382798781</v>
      </c>
      <c r="U12" s="48">
        <f>+'B. Opt0'!U10</f>
        <v>264.10876392368749</v>
      </c>
      <c r="V12" s="48">
        <f>+'B. Opt0'!V10</f>
        <v>267.10623302177964</v>
      </c>
      <c r="W12" s="48">
        <f>+'B. Opt0'!W10</f>
        <v>270.17863884732412</v>
      </c>
      <c r="X12" s="48">
        <f>+'B. Opt0'!X10</f>
        <v>273.32785481850726</v>
      </c>
      <c r="Y12" s="48">
        <f>+'B. Opt0'!Y10</f>
        <v>276.55580118896995</v>
      </c>
      <c r="Z12" s="48">
        <f>+'B. Opt0'!Z10</f>
        <v>279.86444621869418</v>
      </c>
      <c r="AA12" s="48">
        <f>+'B. Opt0'!AA10</f>
        <v>283.25580737416152</v>
      </c>
    </row>
    <row r="13" spans="1:27" x14ac:dyDescent="0.3">
      <c r="A13" s="168" t="s">
        <v>447</v>
      </c>
      <c r="B13" s="48">
        <f>+'B. Opt0'!B11</f>
        <v>833.89499999999998</v>
      </c>
      <c r="C13" s="48">
        <f>+'B. Opt0'!C11</f>
        <v>843.90174000000002</v>
      </c>
      <c r="D13" s="48">
        <f>+'B. Opt0'!D11</f>
        <v>854.02856087999999</v>
      </c>
      <c r="E13" s="48">
        <f>+'B. Opt0'!E11</f>
        <v>864.27690361056011</v>
      </c>
      <c r="F13" s="48">
        <f>+'B. Opt0'!F11</f>
        <v>874.64822645388665</v>
      </c>
      <c r="G13" s="48">
        <f>+'B. Opt0'!G11</f>
        <v>885.14400517133333</v>
      </c>
      <c r="H13" s="48">
        <f>+'B. Opt0'!H11</f>
        <v>895.76573323338926</v>
      </c>
      <c r="I13" s="48">
        <f>+'B. Opt0'!I11</f>
        <v>906.51492203219004</v>
      </c>
      <c r="J13" s="48">
        <f>+'B. Opt0'!J11</f>
        <v>917.39310109657629</v>
      </c>
      <c r="K13" s="48">
        <f>+'B. Opt0'!K11</f>
        <v>928.40181830973518</v>
      </c>
      <c r="L13" s="48">
        <f>+'B. Opt0'!L11</f>
        <v>939.54264012945191</v>
      </c>
      <c r="M13" s="48">
        <f>+'B. Opt0'!M11</f>
        <v>950.81715181100537</v>
      </c>
      <c r="N13" s="48">
        <f>+'B. Opt0'!N11</f>
        <v>962.22695763273737</v>
      </c>
      <c r="O13" s="48">
        <f>+'B. Opt0'!O11</f>
        <v>973.77368112433032</v>
      </c>
      <c r="P13" s="48">
        <f>+'B. Opt0'!P11</f>
        <v>985.45896529782226</v>
      </c>
      <c r="Q13" s="48">
        <f>+'B. Opt0'!Q11</f>
        <v>997.28447288139637</v>
      </c>
      <c r="R13" s="48">
        <f>+'B. Opt0'!R11</f>
        <v>1009.251886555973</v>
      </c>
      <c r="S13" s="48">
        <f>+'B. Opt0'!S11</f>
        <v>1021.3629091946448</v>
      </c>
      <c r="T13" s="48">
        <f>+'B. Opt0'!T11</f>
        <v>1033.6192641049804</v>
      </c>
      <c r="U13" s="48">
        <f>+'B. Opt0'!U11</f>
        <v>1046.0226952742403</v>
      </c>
      <c r="V13" s="48">
        <f>+'B. Opt0'!V11</f>
        <v>1058.574967617531</v>
      </c>
      <c r="W13" s="48">
        <f>+'B. Opt0'!W11</f>
        <v>1071.2778672289414</v>
      </c>
      <c r="X13" s="48">
        <f>+'B. Opt0'!X11</f>
        <v>1084.1332016356885</v>
      </c>
      <c r="Y13" s="48">
        <f>+'B. Opt0'!Y11</f>
        <v>1097.1428000553171</v>
      </c>
      <c r="Z13" s="48">
        <f>+'B. Opt0'!Z11</f>
        <v>1110.3085136559807</v>
      </c>
      <c r="AA13" s="48">
        <f>+'B. Opt0'!AA11</f>
        <v>1123.6322158198525</v>
      </c>
    </row>
    <row r="14" spans="1:27" s="326" customFormat="1" x14ac:dyDescent="0.3">
      <c r="A14" s="326" t="s">
        <v>406</v>
      </c>
      <c r="B14" s="48">
        <f>+'B. Opt0'!B12</f>
        <v>283.42</v>
      </c>
      <c r="C14" s="48">
        <f>+'B. Opt0'!C12</f>
        <v>283.42</v>
      </c>
      <c r="D14" s="48">
        <f>+'B. Opt0'!D12</f>
        <v>283.42</v>
      </c>
      <c r="E14" s="48">
        <f>+'B. Opt0'!E12</f>
        <v>283.42</v>
      </c>
      <c r="F14" s="48">
        <f>+'B. Opt0'!F12</f>
        <v>283.42</v>
      </c>
      <c r="G14" s="48">
        <f>+'B. Opt0'!G12</f>
        <v>283.42</v>
      </c>
      <c r="H14" s="48">
        <f>+'B. Opt0'!H12</f>
        <v>283.42</v>
      </c>
      <c r="I14" s="48">
        <f>+'B. Opt0'!I12</f>
        <v>283.42</v>
      </c>
      <c r="J14" s="48">
        <f>+'B. Opt0'!J12</f>
        <v>283.42</v>
      </c>
      <c r="K14" s="48">
        <f>+'B. Opt0'!K12</f>
        <v>283.42</v>
      </c>
      <c r="L14" s="48">
        <f>+'B. Opt0'!L12</f>
        <v>283.42</v>
      </c>
      <c r="M14" s="48">
        <f>+'B. Opt0'!M12</f>
        <v>283.42</v>
      </c>
      <c r="N14" s="48">
        <f>+'B. Opt0'!N12</f>
        <v>283.42</v>
      </c>
      <c r="O14" s="48">
        <f>+'B. Opt0'!O12</f>
        <v>283.42</v>
      </c>
      <c r="P14" s="48">
        <f>+'B. Opt0'!P12</f>
        <v>283.42</v>
      </c>
      <c r="Q14" s="48">
        <f>+'B. Opt0'!Q12</f>
        <v>283.42</v>
      </c>
      <c r="R14" s="48">
        <f>+'B. Opt0'!R12</f>
        <v>283.42</v>
      </c>
      <c r="S14" s="48">
        <f>+'B. Opt0'!S12</f>
        <v>283.42</v>
      </c>
      <c r="T14" s="48">
        <f>+'B. Opt0'!T12</f>
        <v>283.42</v>
      </c>
      <c r="U14" s="48">
        <f>+'B. Opt0'!U12</f>
        <v>283.42</v>
      </c>
      <c r="V14" s="48">
        <f>+'B. Opt0'!V12</f>
        <v>283.42</v>
      </c>
      <c r="W14" s="48">
        <f>+'B. Opt0'!W12</f>
        <v>283.42</v>
      </c>
      <c r="X14" s="48">
        <f>+'B. Opt0'!X12</f>
        <v>283.42</v>
      </c>
      <c r="Y14" s="48">
        <f>+'B. Opt0'!Y12</f>
        <v>283.42</v>
      </c>
      <c r="Z14" s="48">
        <f>+'B. Opt0'!Z12</f>
        <v>283.42</v>
      </c>
      <c r="AA14" s="48">
        <f>+'B. Opt0'!AA12</f>
        <v>283.42</v>
      </c>
    </row>
    <row r="15" spans="1:27" s="326" customFormat="1" x14ac:dyDescent="0.3">
      <c r="A15" s="326" t="s">
        <v>407</v>
      </c>
      <c r="B15" s="48">
        <f>+'B. Opt0'!B13</f>
        <v>0</v>
      </c>
      <c r="C15" s="48">
        <f>+'B. Opt0'!C13</f>
        <v>2586.5421262874706</v>
      </c>
      <c r="D15" s="48">
        <f>+'B. Opt0'!D13</f>
        <v>2602.743892219537</v>
      </c>
      <c r="E15" s="48">
        <f>+'B. Opt0'!E13</f>
        <v>2619.1271179300429</v>
      </c>
      <c r="F15" s="48">
        <f>+'B. Opt0'!F13</f>
        <v>2635.6938357685067</v>
      </c>
      <c r="G15" s="48">
        <f>+'B. Opt0'!G13</f>
        <v>2652.4461008467615</v>
      </c>
      <c r="H15" s="48">
        <f>+'B. Opt0'!H13</f>
        <v>2669.3859912938924</v>
      </c>
      <c r="I15" s="48">
        <f>+'B. Opt0'!I13</f>
        <v>2686.5156085140316</v>
      </c>
      <c r="J15" s="48">
        <f>+'B. Opt0'!J13</f>
        <v>2703.837077447035</v>
      </c>
      <c r="K15" s="48">
        <f>+'B. Opt0'!K13</f>
        <v>2721.3525468320895</v>
      </c>
      <c r="L15" s="48">
        <f>+'B. Opt0'!L13</f>
        <v>2739.0641894742557</v>
      </c>
      <c r="M15" s="48">
        <f>+'B. Opt0'!M13</f>
        <v>2756.9742025140149</v>
      </c>
      <c r="N15" s="48">
        <f>+'B. Opt0'!N13</f>
        <v>2775.0848076998186</v>
      </c>
      <c r="O15" s="48">
        <f>+'B. Opt0'!O13</f>
        <v>2793.3982516637034</v>
      </c>
      <c r="P15" s="48">
        <f>+'B. Opt0'!P13</f>
        <v>2811.9168061999844</v>
      </c>
      <c r="Q15" s="48">
        <f>+'B. Opt0'!Q13</f>
        <v>2830.6427685470721</v>
      </c>
      <c r="R15" s="48">
        <f>+'B. Opt0'!R13</f>
        <v>2849.5784616724459</v>
      </c>
      <c r="S15" s="48">
        <f>+'B. Opt0'!S13</f>
        <v>2868.7262345608242</v>
      </c>
      <c r="T15" s="48">
        <f>+'B. Opt0'!T13</f>
        <v>2888.0884625055533</v>
      </c>
      <c r="U15" s="48">
        <f>+'B. Opt0'!U13</f>
        <v>2907.6675474032627</v>
      </c>
      <c r="V15" s="48">
        <f>+'B. Opt0'!V13</f>
        <v>2927.4659180518265</v>
      </c>
      <c r="W15" s="48">
        <f>+'B. Opt0'!W13</f>
        <v>2947.4860304516533</v>
      </c>
      <c r="X15" s="48">
        <f>+'B. Opt0'!X13</f>
        <v>2967.7303681103594</v>
      </c>
      <c r="Y15" s="48">
        <f>+'B. Opt0'!Y13</f>
        <v>2988.2014423508426</v>
      </c>
      <c r="Z15" s="48">
        <f>+'B. Opt0'!Z13</f>
        <v>3008.9017926228189</v>
      </c>
      <c r="AA15" s="48">
        <f>+'B. Opt0'!AA13</f>
        <v>3029.8339868178423</v>
      </c>
    </row>
    <row r="16" spans="1:27" x14ac:dyDescent="0.3">
      <c r="A16" s="1" t="s">
        <v>11</v>
      </c>
      <c r="B16" s="24">
        <f>+SUM(B10:B15)</f>
        <v>2057.1030524706948</v>
      </c>
      <c r="C16" s="24">
        <f t="shared" ref="C16:AA16" si="2">+SUM(C10:C15)</f>
        <v>4662.9352029458369</v>
      </c>
      <c r="D16" s="24">
        <f t="shared" si="2"/>
        <v>4698.6794586484775</v>
      </c>
      <c r="E16" s="24">
        <f t="shared" si="2"/>
        <v>4734.8612407097316</v>
      </c>
      <c r="F16" s="24">
        <f t="shared" si="2"/>
        <v>4771.4862404975274</v>
      </c>
      <c r="G16" s="24">
        <f t="shared" si="2"/>
        <v>4808.5602312355968</v>
      </c>
      <c r="H16" s="24">
        <f t="shared" si="2"/>
        <v>4846.0890693530982</v>
      </c>
      <c r="I16" s="24">
        <f t="shared" si="2"/>
        <v>4884.0786958599401</v>
      </c>
      <c r="J16" s="24">
        <f t="shared" si="2"/>
        <v>4922.5351377483494</v>
      </c>
      <c r="K16" s="24">
        <f t="shared" si="2"/>
        <v>4961.464509421251</v>
      </c>
      <c r="L16" s="24">
        <f t="shared" si="2"/>
        <v>5000.8730141480237</v>
      </c>
      <c r="M16" s="24">
        <f t="shared" si="2"/>
        <v>5040.766945548241</v>
      </c>
      <c r="N16" s="24">
        <f t="shared" si="2"/>
        <v>5081.1526891039721</v>
      </c>
      <c r="O16" s="24">
        <f t="shared" si="2"/>
        <v>5122.0367237012824</v>
      </c>
      <c r="P16" s="24">
        <f t="shared" si="2"/>
        <v>5163.425623201555</v>
      </c>
      <c r="Q16" s="24">
        <f t="shared" si="2"/>
        <v>5205.3260580432652</v>
      </c>
      <c r="R16" s="24">
        <f t="shared" si="2"/>
        <v>5247.7447968748929</v>
      </c>
      <c r="S16" s="24">
        <f t="shared" si="2"/>
        <v>5290.6887082196317</v>
      </c>
      <c r="T16" s="24">
        <f t="shared" si="2"/>
        <v>5334.1647621725833</v>
      </c>
      <c r="U16" s="24">
        <f t="shared" si="2"/>
        <v>5378.1800321311512</v>
      </c>
      <c r="V16" s="24">
        <f t="shared" si="2"/>
        <v>5422.7416965593566</v>
      </c>
      <c r="W16" s="24">
        <f t="shared" si="2"/>
        <v>5467.8570407868137</v>
      </c>
      <c r="X16" s="24">
        <f t="shared" si="2"/>
        <v>5513.5334588431233</v>
      </c>
      <c r="Y16" s="24">
        <f t="shared" si="2"/>
        <v>5559.7784553284546</v>
      </c>
      <c r="Z16" s="24">
        <f t="shared" si="2"/>
        <v>5606.5996473211198</v>
      </c>
      <c r="AA16" s="24">
        <f t="shared" si="2"/>
        <v>5654.0047663229407</v>
      </c>
    </row>
    <row r="17" spans="1:27" x14ac:dyDescent="0.3">
      <c r="A17" s="4" t="s">
        <v>74</v>
      </c>
      <c r="B17" s="171">
        <f>NPV(B4,C16:AA16)+B16</f>
        <v>92989.228213311551</v>
      </c>
      <c r="C17" s="364" t="s">
        <v>396</v>
      </c>
      <c r="D17" s="365">
        <f>SUM(B16:AA16)-SUM('B. Opt0'!B14:AA14)</f>
        <v>0</v>
      </c>
    </row>
    <row r="18" spans="1:27" ht="5.25" customHeight="1" x14ac:dyDescent="0.3">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row>
    <row r="19" spans="1:27" x14ac:dyDescent="0.3">
      <c r="A19" s="1" t="str">
        <f>'Inputs &amp; Summary'!B72</f>
        <v>Burwood: Develop new depot on greenfield site</v>
      </c>
    </row>
    <row r="20" spans="1:27" x14ac:dyDescent="0.3">
      <c r="A20" s="168" t="s">
        <v>12</v>
      </c>
      <c r="B20" s="328">
        <f>+'B. Opt1'!B9</f>
        <v>14700</v>
      </c>
      <c r="C20" s="48">
        <f>+'B. Opt1'!C9</f>
        <v>15400</v>
      </c>
      <c r="D20" s="48">
        <f>+'B. Opt1'!D9</f>
        <v>0</v>
      </c>
      <c r="E20" s="48">
        <f>+'B. Opt1'!E9</f>
        <v>0</v>
      </c>
      <c r="F20" s="48">
        <f>+'B. Opt1'!F9</f>
        <v>0</v>
      </c>
      <c r="G20" s="48">
        <f>+'B. Opt1'!G9</f>
        <v>0</v>
      </c>
      <c r="H20" s="48">
        <f>+'B. Opt1'!H9</f>
        <v>0</v>
      </c>
      <c r="I20" s="48">
        <f>+'B. Opt1'!I9</f>
        <v>0</v>
      </c>
      <c r="J20" s="48">
        <f>+'B. Opt1'!J9</f>
        <v>0</v>
      </c>
      <c r="K20" s="48">
        <f>+'B. Opt1'!K9</f>
        <v>0</v>
      </c>
      <c r="L20" s="48">
        <f>+'B. Opt1'!L9</f>
        <v>0</v>
      </c>
      <c r="M20" s="48">
        <f>+'B. Opt1'!M9</f>
        <v>0</v>
      </c>
      <c r="N20" s="48">
        <f>+'B. Opt1'!N9</f>
        <v>0</v>
      </c>
      <c r="O20" s="48">
        <f>+'B. Opt1'!O9</f>
        <v>0</v>
      </c>
      <c r="P20" s="48">
        <f>+'B. Opt1'!P9</f>
        <v>0</v>
      </c>
      <c r="Q20" s="48">
        <f>+'B. Opt1'!Q9</f>
        <v>0</v>
      </c>
      <c r="R20" s="48">
        <f>+'B. Opt1'!R9</f>
        <v>0</v>
      </c>
      <c r="S20" s="48">
        <f>+'B. Opt1'!S9</f>
        <v>0</v>
      </c>
      <c r="T20" s="48">
        <f>+'B. Opt1'!T9</f>
        <v>0</v>
      </c>
      <c r="U20" s="48">
        <f>+'B. Opt1'!U9</f>
        <v>0</v>
      </c>
      <c r="V20" s="48">
        <f>+'B. Opt1'!V9</f>
        <v>0</v>
      </c>
      <c r="W20" s="48">
        <f>+'B. Opt1'!W9</f>
        <v>0</v>
      </c>
      <c r="X20" s="48">
        <f>+'B. Opt1'!X9</f>
        <v>0</v>
      </c>
      <c r="Y20" s="48">
        <f>+'B. Opt1'!Y9</f>
        <v>0</v>
      </c>
      <c r="Z20" s="48">
        <f>+'B. Opt1'!Z9</f>
        <v>0</v>
      </c>
      <c r="AA20" s="48">
        <f>+'B. Opt1'!AA9</f>
        <v>0</v>
      </c>
    </row>
    <row r="21" spans="1:27" s="196" customFormat="1" x14ac:dyDescent="0.3">
      <c r="A21" s="196" t="s">
        <v>128</v>
      </c>
      <c r="B21" s="48">
        <f>+'B. Opt1'!B10</f>
        <v>2057.1030524706948</v>
      </c>
      <c r="C21" s="48">
        <f>+'B. Opt1'!C10</f>
        <v>2331.4676014729184</v>
      </c>
      <c r="D21" s="48">
        <f>+'B. Opt1'!D10</f>
        <v>0</v>
      </c>
      <c r="E21" s="48">
        <f>+'B. Opt1'!E10</f>
        <v>0</v>
      </c>
      <c r="F21" s="48">
        <f>+'B. Opt1'!F10</f>
        <v>0</v>
      </c>
      <c r="G21" s="48">
        <f>+'B. Opt1'!G10</f>
        <v>0</v>
      </c>
      <c r="H21" s="48">
        <f>+'B. Opt1'!H10</f>
        <v>0</v>
      </c>
      <c r="I21" s="48">
        <f>+'B. Opt1'!I10</f>
        <v>0</v>
      </c>
      <c r="J21" s="48">
        <f>+'B. Opt1'!J10</f>
        <v>0</v>
      </c>
      <c r="K21" s="48">
        <f>+'B. Opt1'!K10</f>
        <v>0</v>
      </c>
      <c r="L21" s="48">
        <f>+'B. Opt1'!L10</f>
        <v>0</v>
      </c>
      <c r="M21" s="48">
        <f>+'B. Opt1'!M10</f>
        <v>0</v>
      </c>
      <c r="N21" s="48">
        <f>+'B. Opt1'!N10</f>
        <v>0</v>
      </c>
      <c r="O21" s="48">
        <f>+'B. Opt1'!O10</f>
        <v>0</v>
      </c>
      <c r="P21" s="48">
        <f>+'B. Opt1'!P10</f>
        <v>0</v>
      </c>
      <c r="Q21" s="48">
        <f>+'B. Opt1'!Q10</f>
        <v>0</v>
      </c>
      <c r="R21" s="48">
        <f>+'B. Opt1'!R10</f>
        <v>0</v>
      </c>
      <c r="S21" s="48">
        <f>+'B. Opt1'!S10</f>
        <v>0</v>
      </c>
      <c r="T21" s="48">
        <f>+'B. Opt1'!T10</f>
        <v>0</v>
      </c>
      <c r="U21" s="48">
        <f>+'B. Opt1'!U10</f>
        <v>0</v>
      </c>
      <c r="V21" s="48">
        <f>+'B. Opt1'!V10</f>
        <v>0</v>
      </c>
      <c r="W21" s="48">
        <f>+'B. Opt1'!W10</f>
        <v>0</v>
      </c>
      <c r="X21" s="48">
        <f>+'B. Opt1'!X10</f>
        <v>0</v>
      </c>
      <c r="Y21" s="48">
        <f>+'B. Opt1'!Y10</f>
        <v>0</v>
      </c>
      <c r="Z21" s="48">
        <f>+'B. Opt1'!Z10</f>
        <v>0</v>
      </c>
      <c r="AA21" s="48">
        <f>+'B. Opt1'!AA10</f>
        <v>0</v>
      </c>
    </row>
    <row r="22" spans="1:27" x14ac:dyDescent="0.3">
      <c r="A22" s="10" t="s">
        <v>129</v>
      </c>
      <c r="B22" s="48">
        <f>+'B. Opt1'!B11</f>
        <v>0</v>
      </c>
      <c r="C22" s="48">
        <f>+'B. Opt1'!C11</f>
        <v>0</v>
      </c>
      <c r="D22" s="48">
        <f>+'B. Opt1'!D11</f>
        <v>0</v>
      </c>
      <c r="E22" s="48">
        <f>+'B. Opt1'!E11</f>
        <v>0</v>
      </c>
      <c r="F22" s="48">
        <f>+'B. Opt1'!F11</f>
        <v>0</v>
      </c>
      <c r="G22" s="48">
        <f>+'B. Opt1'!G11</f>
        <v>0</v>
      </c>
      <c r="H22" s="48">
        <f>+'B. Opt1'!H11</f>
        <v>0</v>
      </c>
      <c r="I22" s="48">
        <f>+'B. Opt1'!I11</f>
        <v>0</v>
      </c>
      <c r="J22" s="48">
        <f>+'B. Opt1'!J11</f>
        <v>0</v>
      </c>
      <c r="K22" s="48">
        <f>+'B. Opt1'!K11</f>
        <v>0</v>
      </c>
      <c r="L22" s="48">
        <f>+'B. Opt1'!L11</f>
        <v>0</v>
      </c>
      <c r="M22" s="48">
        <f>+'B. Opt1'!M11</f>
        <v>0</v>
      </c>
      <c r="N22" s="48">
        <f>+'B. Opt1'!N11</f>
        <v>0</v>
      </c>
      <c r="O22" s="48">
        <f>+'B. Opt1'!O11</f>
        <v>0</v>
      </c>
      <c r="P22" s="48">
        <f>+'B. Opt1'!P11</f>
        <v>0</v>
      </c>
      <c r="Q22" s="48">
        <f>+'B. Opt1'!Q11</f>
        <v>0</v>
      </c>
      <c r="R22" s="48">
        <f>+'B. Opt1'!R11</f>
        <v>0</v>
      </c>
      <c r="S22" s="48">
        <f>+'B. Opt1'!S11</f>
        <v>0</v>
      </c>
      <c r="T22" s="48">
        <f>+'B. Opt1'!T11</f>
        <v>0</v>
      </c>
      <c r="U22" s="48">
        <f>+'B. Opt1'!U11</f>
        <v>0</v>
      </c>
      <c r="V22" s="48">
        <f>+'B. Opt1'!V11</f>
        <v>0</v>
      </c>
      <c r="W22" s="48">
        <f>+'B. Opt1'!W11</f>
        <v>0</v>
      </c>
      <c r="X22" s="48">
        <f>+'B. Opt1'!X11</f>
        <v>0</v>
      </c>
      <c r="Y22" s="48">
        <f>+'B. Opt1'!Y11</f>
        <v>0</v>
      </c>
      <c r="Z22" s="48">
        <f>+'B. Opt1'!Z11</f>
        <v>0</v>
      </c>
      <c r="AA22" s="48">
        <f>+'B. Opt1'!AA11</f>
        <v>0</v>
      </c>
    </row>
    <row r="23" spans="1:27" x14ac:dyDescent="0.3">
      <c r="A23" s="1" t="s">
        <v>13</v>
      </c>
      <c r="B23" s="24">
        <f t="shared" ref="B23:AA23" si="3">SUM(B20:B22)</f>
        <v>16757.103052470695</v>
      </c>
      <c r="C23" s="16">
        <f t="shared" si="3"/>
        <v>17731.467601472919</v>
      </c>
      <c r="D23" s="16">
        <f t="shared" si="3"/>
        <v>0</v>
      </c>
      <c r="E23" s="16">
        <f t="shared" si="3"/>
        <v>0</v>
      </c>
      <c r="F23" s="16">
        <f t="shared" si="3"/>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c r="P23" s="16">
        <f t="shared" si="3"/>
        <v>0</v>
      </c>
      <c r="Q23" s="16">
        <f t="shared" si="3"/>
        <v>0</v>
      </c>
      <c r="R23" s="16">
        <f t="shared" si="3"/>
        <v>0</v>
      </c>
      <c r="S23" s="16">
        <f t="shared" si="3"/>
        <v>0</v>
      </c>
      <c r="T23" s="16">
        <f t="shared" si="3"/>
        <v>0</v>
      </c>
      <c r="U23" s="16">
        <f t="shared" si="3"/>
        <v>0</v>
      </c>
      <c r="V23" s="16">
        <f t="shared" si="3"/>
        <v>0</v>
      </c>
      <c r="W23" s="16">
        <f t="shared" si="3"/>
        <v>0</v>
      </c>
      <c r="X23" s="16">
        <f t="shared" si="3"/>
        <v>0</v>
      </c>
      <c r="Y23" s="16">
        <f t="shared" si="3"/>
        <v>0</v>
      </c>
      <c r="Z23" s="16">
        <f t="shared" si="3"/>
        <v>0</v>
      </c>
      <c r="AA23" s="16">
        <f t="shared" si="3"/>
        <v>0</v>
      </c>
    </row>
    <row r="24" spans="1:27" x14ac:dyDescent="0.3">
      <c r="A24" s="4" t="s">
        <v>73</v>
      </c>
      <c r="B24" s="171">
        <f>NPV(B4,C23:AA23)+B23</f>
        <v>34014.005827626825</v>
      </c>
      <c r="C24" s="364" t="s">
        <v>396</v>
      </c>
      <c r="D24" s="365">
        <f>SUM(B23:AA23)-SUM('B. Opt1'!B12:AA12)</f>
        <v>0</v>
      </c>
    </row>
    <row r="25" spans="1:27" ht="5.25" customHeight="1" x14ac:dyDescent="0.3">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row>
    <row r="26" spans="1:27" x14ac:dyDescent="0.3">
      <c r="A26" s="1" t="str">
        <f>'Inputs &amp; Summary'!B73</f>
        <v>Burwood: Develop new depot on brownfield site</v>
      </c>
    </row>
    <row r="27" spans="1:27" x14ac:dyDescent="0.3">
      <c r="A27" s="168" t="s">
        <v>12</v>
      </c>
      <c r="B27" s="328">
        <f>+'B. Opt2'!B9</f>
        <v>18051.6694505263</v>
      </c>
      <c r="C27" s="48">
        <f>+'B. Opt2'!C9</f>
        <v>13598.119590702699</v>
      </c>
      <c r="D27" s="48">
        <f>+'B. Opt2'!D9</f>
        <v>0</v>
      </c>
      <c r="E27" s="48">
        <f>+'B. Opt2'!E9</f>
        <v>0</v>
      </c>
      <c r="F27" s="48">
        <f>+'B. Opt2'!F9</f>
        <v>0</v>
      </c>
      <c r="G27" s="48">
        <f>+'B. Opt2'!G9</f>
        <v>0</v>
      </c>
      <c r="H27" s="48">
        <f>+'B. Opt2'!H9</f>
        <v>0</v>
      </c>
      <c r="I27" s="48">
        <f>+'B. Opt2'!I9</f>
        <v>0</v>
      </c>
      <c r="J27" s="48">
        <f>+'B. Opt2'!J9</f>
        <v>0</v>
      </c>
      <c r="K27" s="48">
        <f>+'B. Opt2'!K9</f>
        <v>0</v>
      </c>
      <c r="L27" s="48">
        <f>+'B. Opt2'!L9</f>
        <v>0</v>
      </c>
      <c r="M27" s="48">
        <f>+'B. Opt2'!M9</f>
        <v>0</v>
      </c>
      <c r="N27" s="48">
        <f>+'B. Opt2'!N9</f>
        <v>0</v>
      </c>
      <c r="O27" s="48">
        <f>+'B. Opt2'!O9</f>
        <v>0</v>
      </c>
      <c r="P27" s="48">
        <f>+'B. Opt2'!P9</f>
        <v>0</v>
      </c>
      <c r="Q27" s="48">
        <f>+'B. Opt2'!Q9</f>
        <v>0</v>
      </c>
      <c r="R27" s="48">
        <f>+'B. Opt2'!R9</f>
        <v>0</v>
      </c>
      <c r="S27" s="48">
        <f>+'B. Opt2'!S9</f>
        <v>0</v>
      </c>
      <c r="T27" s="48">
        <f>+'B. Opt2'!T9</f>
        <v>0</v>
      </c>
      <c r="U27" s="48">
        <f>+'B. Opt2'!U9</f>
        <v>0</v>
      </c>
      <c r="V27" s="48">
        <f>+'B. Opt2'!V9</f>
        <v>0</v>
      </c>
      <c r="W27" s="48">
        <f>+'B. Opt2'!W9</f>
        <v>0</v>
      </c>
      <c r="X27" s="48">
        <f>+'B. Opt2'!X9</f>
        <v>0</v>
      </c>
      <c r="Y27" s="48">
        <f>+'B. Opt2'!Y9</f>
        <v>0</v>
      </c>
      <c r="Z27" s="48">
        <f>+'B. Opt2'!Z9</f>
        <v>0</v>
      </c>
      <c r="AA27" s="48">
        <f>+'B. Opt2'!AA9</f>
        <v>0</v>
      </c>
    </row>
    <row r="28" spans="1:27" x14ac:dyDescent="0.3">
      <c r="A28" s="168" t="s">
        <v>128</v>
      </c>
      <c r="B28" s="48">
        <f>+'B. Opt2'!B10</f>
        <v>2057.1030524706948</v>
      </c>
      <c r="C28" s="48">
        <f>+'B. Opt2'!C10</f>
        <v>2331.4676014729184</v>
      </c>
      <c r="D28" s="48">
        <f>+'B. Opt2'!D10</f>
        <v>0</v>
      </c>
      <c r="E28" s="48">
        <f>+'B. Opt2'!E10</f>
        <v>0</v>
      </c>
      <c r="F28" s="48">
        <f>+'B. Opt2'!F10</f>
        <v>0</v>
      </c>
      <c r="G28" s="48">
        <f>+'B. Opt2'!G10</f>
        <v>0</v>
      </c>
      <c r="H28" s="48">
        <f>+'B. Opt2'!H10</f>
        <v>0</v>
      </c>
      <c r="I28" s="48">
        <f>+'B. Opt2'!I10</f>
        <v>0</v>
      </c>
      <c r="J28" s="48">
        <f>+'B. Opt2'!J10</f>
        <v>0</v>
      </c>
      <c r="K28" s="48">
        <f>+'B. Opt2'!K10</f>
        <v>0</v>
      </c>
      <c r="L28" s="48">
        <f>+'B. Opt2'!L10</f>
        <v>0</v>
      </c>
      <c r="M28" s="48">
        <f>+'B. Opt2'!M10</f>
        <v>0</v>
      </c>
      <c r="N28" s="48">
        <f>+'B. Opt2'!N10</f>
        <v>0</v>
      </c>
      <c r="O28" s="48">
        <f>+'B. Opt2'!O10</f>
        <v>0</v>
      </c>
      <c r="P28" s="48">
        <f>+'B. Opt2'!P10</f>
        <v>0</v>
      </c>
      <c r="Q28" s="48">
        <f>+'B. Opt2'!Q10</f>
        <v>0</v>
      </c>
      <c r="R28" s="48">
        <f>+'B. Opt2'!R10</f>
        <v>0</v>
      </c>
      <c r="S28" s="48">
        <f>+'B. Opt2'!S10</f>
        <v>0</v>
      </c>
      <c r="T28" s="48">
        <f>+'B. Opt2'!T10</f>
        <v>0</v>
      </c>
      <c r="U28" s="48">
        <f>+'B. Opt2'!U10</f>
        <v>0</v>
      </c>
      <c r="V28" s="48">
        <f>+'B. Opt2'!V10</f>
        <v>0</v>
      </c>
      <c r="W28" s="48">
        <f>+'B. Opt2'!W10</f>
        <v>0</v>
      </c>
      <c r="X28" s="48">
        <f>+'B. Opt2'!X10</f>
        <v>0</v>
      </c>
      <c r="Y28" s="48">
        <f>+'B. Opt2'!Y10</f>
        <v>0</v>
      </c>
      <c r="Z28" s="48">
        <f>+'B. Opt2'!Z10</f>
        <v>0</v>
      </c>
      <c r="AA28" s="48">
        <f>+'B. Opt2'!AA10</f>
        <v>0</v>
      </c>
    </row>
    <row r="29" spans="1:27" x14ac:dyDescent="0.3">
      <c r="A29" s="10" t="s">
        <v>129</v>
      </c>
      <c r="B29" s="48">
        <f>+'B. Opt2'!B11</f>
        <v>0</v>
      </c>
      <c r="C29" s="48">
        <f>+'B. Opt2'!C11</f>
        <v>0</v>
      </c>
      <c r="D29" s="48">
        <f>+'B. Opt2'!D11</f>
        <v>0</v>
      </c>
      <c r="E29" s="48">
        <f>+'B. Opt2'!E11</f>
        <v>0</v>
      </c>
      <c r="F29" s="48">
        <f>+'B. Opt2'!F11</f>
        <v>0</v>
      </c>
      <c r="G29" s="48">
        <f>+'B. Opt2'!G11</f>
        <v>0</v>
      </c>
      <c r="H29" s="48">
        <f>+'B. Opt2'!H11</f>
        <v>0</v>
      </c>
      <c r="I29" s="48">
        <f>+'B. Opt2'!I11</f>
        <v>0</v>
      </c>
      <c r="J29" s="48">
        <f>+'B. Opt2'!J11</f>
        <v>0</v>
      </c>
      <c r="K29" s="48">
        <f>+'B. Opt2'!K11</f>
        <v>0</v>
      </c>
      <c r="L29" s="48">
        <f>+'B. Opt2'!L11</f>
        <v>0</v>
      </c>
      <c r="M29" s="48">
        <f>+'B. Opt2'!M11</f>
        <v>0</v>
      </c>
      <c r="N29" s="48">
        <f>+'B. Opt2'!N11</f>
        <v>0</v>
      </c>
      <c r="O29" s="48">
        <f>+'B. Opt2'!O11</f>
        <v>0</v>
      </c>
      <c r="P29" s="48">
        <f>+'B. Opt2'!P11</f>
        <v>0</v>
      </c>
      <c r="Q29" s="48">
        <f>+'B. Opt2'!Q11</f>
        <v>0</v>
      </c>
      <c r="R29" s="48">
        <f>+'B. Opt2'!R11</f>
        <v>0</v>
      </c>
      <c r="S29" s="48">
        <f>+'B. Opt2'!S11</f>
        <v>0</v>
      </c>
      <c r="T29" s="48">
        <f>+'B. Opt2'!T11</f>
        <v>0</v>
      </c>
      <c r="U29" s="48">
        <f>+'B. Opt2'!U11</f>
        <v>0</v>
      </c>
      <c r="V29" s="48">
        <f>+'B. Opt2'!V11</f>
        <v>0</v>
      </c>
      <c r="W29" s="48">
        <f>+'B. Opt2'!W11</f>
        <v>0</v>
      </c>
      <c r="X29" s="48">
        <f>+'B. Opt2'!X11</f>
        <v>0</v>
      </c>
      <c r="Y29" s="48">
        <f>+'B. Opt2'!Y11</f>
        <v>0</v>
      </c>
      <c r="Z29" s="48">
        <f>+'B. Opt2'!Z11</f>
        <v>0</v>
      </c>
      <c r="AA29" s="48">
        <f>+'B. Opt2'!AA11</f>
        <v>0</v>
      </c>
    </row>
    <row r="30" spans="1:27" x14ac:dyDescent="0.3">
      <c r="A30" s="1" t="s">
        <v>14</v>
      </c>
      <c r="B30" s="199">
        <f t="shared" ref="B30:AA30" si="4">SUM(B27:B29)</f>
        <v>20108.772502996995</v>
      </c>
      <c r="C30" s="21">
        <f t="shared" si="4"/>
        <v>15929.587192175619</v>
      </c>
      <c r="D30" s="21">
        <f t="shared" si="4"/>
        <v>0</v>
      </c>
      <c r="E30" s="21">
        <f t="shared" si="4"/>
        <v>0</v>
      </c>
      <c r="F30" s="21">
        <f t="shared" si="4"/>
        <v>0</v>
      </c>
      <c r="G30" s="21">
        <f t="shared" si="4"/>
        <v>0</v>
      </c>
      <c r="H30" s="21">
        <f t="shared" si="4"/>
        <v>0</v>
      </c>
      <c r="I30" s="21">
        <f t="shared" si="4"/>
        <v>0</v>
      </c>
      <c r="J30" s="21">
        <f t="shared" si="4"/>
        <v>0</v>
      </c>
      <c r="K30" s="21">
        <f t="shared" si="4"/>
        <v>0</v>
      </c>
      <c r="L30" s="21">
        <f t="shared" si="4"/>
        <v>0</v>
      </c>
      <c r="M30" s="21">
        <f t="shared" si="4"/>
        <v>0</v>
      </c>
      <c r="N30" s="21">
        <f t="shared" si="4"/>
        <v>0</v>
      </c>
      <c r="O30" s="21">
        <f t="shared" si="4"/>
        <v>0</v>
      </c>
      <c r="P30" s="21">
        <f t="shared" si="4"/>
        <v>0</v>
      </c>
      <c r="Q30" s="21">
        <f t="shared" si="4"/>
        <v>0</v>
      </c>
      <c r="R30" s="21">
        <f t="shared" si="4"/>
        <v>0</v>
      </c>
      <c r="S30" s="21">
        <f t="shared" si="4"/>
        <v>0</v>
      </c>
      <c r="T30" s="21">
        <f t="shared" si="4"/>
        <v>0</v>
      </c>
      <c r="U30" s="21">
        <f t="shared" si="4"/>
        <v>0</v>
      </c>
      <c r="V30" s="21">
        <f t="shared" si="4"/>
        <v>0</v>
      </c>
      <c r="W30" s="21">
        <f t="shared" si="4"/>
        <v>0</v>
      </c>
      <c r="X30" s="21">
        <f t="shared" si="4"/>
        <v>0</v>
      </c>
      <c r="Y30" s="21">
        <f t="shared" si="4"/>
        <v>0</v>
      </c>
      <c r="Z30" s="21">
        <f t="shared" si="4"/>
        <v>0</v>
      </c>
      <c r="AA30" s="21">
        <f t="shared" si="4"/>
        <v>0</v>
      </c>
    </row>
    <row r="31" spans="1:27" x14ac:dyDescent="0.3">
      <c r="A31" s="4" t="s">
        <v>75</v>
      </c>
      <c r="B31" s="171">
        <f>NPV(B4,C30:AA30)+B30</f>
        <v>35612.020378593705</v>
      </c>
      <c r="C31" s="364" t="s">
        <v>396</v>
      </c>
      <c r="D31" s="365">
        <f>SUM(B30:AA30)-SUM('B. Opt2'!B12:AA12)</f>
        <v>0</v>
      </c>
    </row>
    <row r="32" spans="1:27" ht="5.25" customHeight="1" x14ac:dyDescent="0.3">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7D4F-5785-49C6-ACDF-1088656E0056}">
  <sheetPr>
    <tabColor theme="8" tint="-0.249977111117893"/>
  </sheetPr>
  <dimension ref="A1:AB190"/>
  <sheetViews>
    <sheetView showGridLines="0" zoomScale="80" zoomScaleNormal="80" workbookViewId="0">
      <selection activeCell="C33" sqref="C33"/>
    </sheetView>
  </sheetViews>
  <sheetFormatPr defaultColWidth="8.77734375" defaultRowHeight="14.4" x14ac:dyDescent="0.3"/>
  <cols>
    <col min="1" max="1" width="50" style="168" customWidth="1"/>
    <col min="2" max="2" width="9.44140625" style="168" customWidth="1"/>
    <col min="3" max="16384" width="8.77734375" style="168"/>
  </cols>
  <sheetData>
    <row r="1" spans="1:28" ht="21" x14ac:dyDescent="0.4">
      <c r="A1" s="2" t="str">
        <f>'Inputs &amp; Summary'!B71</f>
        <v>Burwood: Do not replace Burwood depot</v>
      </c>
    </row>
    <row r="2" spans="1:28" x14ac:dyDescent="0.3">
      <c r="A2" s="10" t="str">
        <f>'Inputs &amp; Summary'!$B$5</f>
        <v>All values shown are costs, expressed in $000 as at June 2021 unless otherwise stated.</v>
      </c>
      <c r="B2" s="4"/>
      <c r="C2" s="1"/>
      <c r="D2" s="1"/>
      <c r="E2" s="1"/>
      <c r="F2" s="93" t="s">
        <v>353</v>
      </c>
      <c r="G2" s="96"/>
      <c r="H2" s="96"/>
      <c r="I2" s="96"/>
      <c r="J2" s="96"/>
      <c r="K2" s="96"/>
      <c r="L2" s="96"/>
      <c r="M2" s="96"/>
      <c r="N2" s="96"/>
      <c r="O2" s="96"/>
      <c r="P2" s="97"/>
      <c r="Q2" s="1"/>
      <c r="R2" s="1"/>
      <c r="S2" s="1"/>
      <c r="T2" s="1"/>
      <c r="U2" s="1"/>
      <c r="V2" s="1"/>
      <c r="W2" s="1"/>
      <c r="X2" s="1"/>
      <c r="Y2" s="1"/>
      <c r="Z2" s="1"/>
      <c r="AA2" s="1"/>
      <c r="AB2" s="1"/>
    </row>
    <row r="3" spans="1:28" x14ac:dyDescent="0.3">
      <c r="A3" s="10"/>
      <c r="B3" s="4"/>
      <c r="C3" s="1"/>
      <c r="D3" s="1"/>
      <c r="E3" s="1"/>
      <c r="F3" s="85" t="s">
        <v>135</v>
      </c>
      <c r="G3" s="71"/>
      <c r="H3" s="71"/>
      <c r="I3" s="71"/>
      <c r="J3" s="71"/>
      <c r="K3" s="71"/>
      <c r="L3" s="71"/>
      <c r="M3" s="71"/>
      <c r="N3" s="71"/>
      <c r="O3" s="71"/>
      <c r="P3" s="98"/>
      <c r="Q3" s="1"/>
      <c r="R3" s="1"/>
      <c r="S3" s="1"/>
      <c r="T3" s="1"/>
      <c r="U3" s="1"/>
      <c r="V3" s="1"/>
      <c r="W3" s="1"/>
      <c r="X3" s="1"/>
      <c r="Y3" s="1"/>
      <c r="Z3" s="1"/>
      <c r="AA3" s="1"/>
      <c r="AB3" s="1"/>
    </row>
    <row r="4" spans="1:28" x14ac:dyDescent="0.3">
      <c r="A4" s="6" t="s">
        <v>402</v>
      </c>
      <c r="B4" s="6">
        <v>2022</v>
      </c>
    </row>
    <row r="5" spans="1:28" ht="18" x14ac:dyDescent="0.35">
      <c r="A5" s="94" t="s">
        <v>117</v>
      </c>
      <c r="B5" s="95"/>
      <c r="C5" s="95"/>
      <c r="D5" s="95"/>
      <c r="E5" s="95"/>
      <c r="F5" s="95"/>
      <c r="G5" s="95"/>
      <c r="H5" s="95"/>
      <c r="I5" s="95"/>
      <c r="J5" s="95"/>
      <c r="K5" s="95"/>
      <c r="L5" s="95"/>
      <c r="M5" s="95"/>
      <c r="N5" s="95"/>
      <c r="O5" s="95"/>
      <c r="P5" s="95"/>
      <c r="Q5" s="95"/>
      <c r="R5" s="95"/>
      <c r="S5" s="95"/>
      <c r="T5" s="95"/>
      <c r="U5" s="95"/>
      <c r="V5" s="95"/>
      <c r="W5" s="95"/>
      <c r="X5" s="95"/>
      <c r="Y5" s="95"/>
      <c r="Z5" s="95"/>
      <c r="AA5" s="95"/>
    </row>
    <row r="6" spans="1:28" x14ac:dyDescent="0.3">
      <c r="A6" s="3" t="s">
        <v>3</v>
      </c>
      <c r="B6" s="168">
        <v>0</v>
      </c>
      <c r="C6" s="168">
        <f t="shared" ref="C6:AA6" si="0">+B6+1</f>
        <v>1</v>
      </c>
      <c r="D6" s="168">
        <f t="shared" si="0"/>
        <v>2</v>
      </c>
      <c r="E6" s="168">
        <f t="shared" si="0"/>
        <v>3</v>
      </c>
      <c r="F6" s="168">
        <f t="shared" si="0"/>
        <v>4</v>
      </c>
      <c r="G6" s="168">
        <f t="shared" si="0"/>
        <v>5</v>
      </c>
      <c r="H6" s="168">
        <f t="shared" si="0"/>
        <v>6</v>
      </c>
      <c r="I6" s="168">
        <f t="shared" si="0"/>
        <v>7</v>
      </c>
      <c r="J6" s="168">
        <f t="shared" si="0"/>
        <v>8</v>
      </c>
      <c r="K6" s="168">
        <f t="shared" si="0"/>
        <v>9</v>
      </c>
      <c r="L6" s="168">
        <f t="shared" si="0"/>
        <v>10</v>
      </c>
      <c r="M6" s="168">
        <f t="shared" si="0"/>
        <v>11</v>
      </c>
      <c r="N6" s="168">
        <f t="shared" si="0"/>
        <v>12</v>
      </c>
      <c r="O6" s="168">
        <f t="shared" si="0"/>
        <v>13</v>
      </c>
      <c r="P6" s="168">
        <f t="shared" si="0"/>
        <v>14</v>
      </c>
      <c r="Q6" s="168">
        <f t="shared" si="0"/>
        <v>15</v>
      </c>
      <c r="R6" s="168">
        <f t="shared" si="0"/>
        <v>16</v>
      </c>
      <c r="S6" s="168">
        <f t="shared" si="0"/>
        <v>17</v>
      </c>
      <c r="T6" s="168">
        <f t="shared" si="0"/>
        <v>18</v>
      </c>
      <c r="U6" s="168">
        <f t="shared" si="0"/>
        <v>19</v>
      </c>
      <c r="V6" s="168">
        <f t="shared" si="0"/>
        <v>20</v>
      </c>
      <c r="W6" s="168">
        <f t="shared" si="0"/>
        <v>21</v>
      </c>
      <c r="X6" s="168">
        <f t="shared" si="0"/>
        <v>22</v>
      </c>
      <c r="Y6" s="168">
        <f t="shared" si="0"/>
        <v>23</v>
      </c>
      <c r="Z6" s="168">
        <f t="shared" si="0"/>
        <v>24</v>
      </c>
      <c r="AA6" s="168">
        <f t="shared" si="0"/>
        <v>25</v>
      </c>
    </row>
    <row r="7" spans="1:28" x14ac:dyDescent="0.3">
      <c r="A7" s="175" t="s">
        <v>400</v>
      </c>
      <c r="B7" s="174">
        <v>2021</v>
      </c>
      <c r="C7" s="174">
        <f t="shared" ref="C7:AA7" si="1">+B7+1</f>
        <v>2022</v>
      </c>
      <c r="D7" s="174">
        <f t="shared" si="1"/>
        <v>2023</v>
      </c>
      <c r="E7" s="174">
        <f t="shared" si="1"/>
        <v>2024</v>
      </c>
      <c r="F7" s="174">
        <f t="shared" si="1"/>
        <v>2025</v>
      </c>
      <c r="G7" s="174">
        <f t="shared" si="1"/>
        <v>2026</v>
      </c>
      <c r="H7" s="174">
        <f t="shared" si="1"/>
        <v>2027</v>
      </c>
      <c r="I7" s="174">
        <f t="shared" si="1"/>
        <v>2028</v>
      </c>
      <c r="J7" s="174">
        <f t="shared" si="1"/>
        <v>2029</v>
      </c>
      <c r="K7" s="174">
        <f t="shared" si="1"/>
        <v>2030</v>
      </c>
      <c r="L7" s="174">
        <f t="shared" si="1"/>
        <v>2031</v>
      </c>
      <c r="M7" s="174">
        <f t="shared" si="1"/>
        <v>2032</v>
      </c>
      <c r="N7" s="174">
        <f t="shared" si="1"/>
        <v>2033</v>
      </c>
      <c r="O7" s="174">
        <f t="shared" si="1"/>
        <v>2034</v>
      </c>
      <c r="P7" s="174">
        <f t="shared" si="1"/>
        <v>2035</v>
      </c>
      <c r="Q7" s="174">
        <f t="shared" si="1"/>
        <v>2036</v>
      </c>
      <c r="R7" s="174">
        <f t="shared" si="1"/>
        <v>2037</v>
      </c>
      <c r="S7" s="174">
        <f t="shared" si="1"/>
        <v>2038</v>
      </c>
      <c r="T7" s="174">
        <f t="shared" si="1"/>
        <v>2039</v>
      </c>
      <c r="U7" s="174">
        <f t="shared" si="1"/>
        <v>2040</v>
      </c>
      <c r="V7" s="174">
        <f t="shared" si="1"/>
        <v>2041</v>
      </c>
      <c r="W7" s="174">
        <f t="shared" si="1"/>
        <v>2042</v>
      </c>
      <c r="X7" s="174">
        <f t="shared" si="1"/>
        <v>2043</v>
      </c>
      <c r="Y7" s="174">
        <f t="shared" si="1"/>
        <v>2044</v>
      </c>
      <c r="Z7" s="174">
        <f t="shared" si="1"/>
        <v>2045</v>
      </c>
      <c r="AA7" s="174">
        <f t="shared" si="1"/>
        <v>2046</v>
      </c>
    </row>
    <row r="8" spans="1:28" s="326" customFormat="1" x14ac:dyDescent="0.3">
      <c r="A8" s="326" t="str">
        <f>+A20</f>
        <v>(A) Cost of inadequate depot capacity</v>
      </c>
      <c r="B8" s="73">
        <f>+B51</f>
        <v>211.48577623534734</v>
      </c>
      <c r="C8" s="73">
        <f t="shared" ref="C8:AA8" si="2">+C51</f>
        <v>213.65281692918325</v>
      </c>
      <c r="D8" s="73">
        <f t="shared" si="2"/>
        <v>215.84412847879011</v>
      </c>
      <c r="E8" s="73">
        <f t="shared" si="2"/>
        <v>218.05998271775258</v>
      </c>
      <c r="F8" s="73">
        <f t="shared" si="2"/>
        <v>220.30065452419143</v>
      </c>
      <c r="G8" s="73">
        <f t="shared" si="2"/>
        <v>222.56642185486237</v>
      </c>
      <c r="H8" s="73">
        <f t="shared" si="2"/>
        <v>224.85756577963684</v>
      </c>
      <c r="I8" s="73">
        <f t="shared" si="2"/>
        <v>227.17437051636881</v>
      </c>
      <c r="J8" s="73">
        <f t="shared" si="2"/>
        <v>229.51712346615216</v>
      </c>
      <c r="K8" s="73">
        <f t="shared" si="2"/>
        <v>231.88611524897308</v>
      </c>
      <c r="L8" s="73">
        <f t="shared" si="2"/>
        <v>234.28163973976157</v>
      </c>
      <c r="M8" s="73">
        <f t="shared" si="2"/>
        <v>236.70399410484691</v>
      </c>
      <c r="N8" s="73">
        <f t="shared" si="2"/>
        <v>239.15347883882123</v>
      </c>
      <c r="O8" s="73">
        <f t="shared" si="2"/>
        <v>241.63039780181603</v>
      </c>
      <c r="P8" s="73">
        <f t="shared" si="2"/>
        <v>244.13505825719639</v>
      </c>
      <c r="Q8" s="73">
        <f t="shared" si="2"/>
        <v>246.66777090967705</v>
      </c>
      <c r="R8" s="73">
        <f t="shared" si="2"/>
        <v>249.22884994386541</v>
      </c>
      <c r="S8" s="73">
        <f t="shared" si="2"/>
        <v>251.81861306323671</v>
      </c>
      <c r="T8" s="73">
        <f t="shared" si="2"/>
        <v>254.43738152954498</v>
      </c>
      <c r="U8" s="73">
        <f t="shared" si="2"/>
        <v>257.08548020267591</v>
      </c>
      <c r="V8" s="73">
        <f t="shared" si="2"/>
        <v>259.76323758094588</v>
      </c>
      <c r="W8" s="73">
        <f t="shared" si="2"/>
        <v>262.47098584185244</v>
      </c>
      <c r="X8" s="73">
        <f t="shared" si="2"/>
        <v>265.20906088328127</v>
      </c>
      <c r="Y8" s="73">
        <f t="shared" si="2"/>
        <v>267.97780236517406</v>
      </c>
      <c r="Z8" s="73">
        <f t="shared" si="2"/>
        <v>270.77755375166396</v>
      </c>
      <c r="AA8" s="73">
        <f t="shared" si="2"/>
        <v>273.60866235368269</v>
      </c>
    </row>
    <row r="9" spans="1:28" s="326" customFormat="1" x14ac:dyDescent="0.3">
      <c r="A9" s="326" t="str">
        <f>+A53</f>
        <v>(B) Cost of inadequate storage</v>
      </c>
      <c r="B9" s="73">
        <f>+B88</f>
        <v>509.09227623534736</v>
      </c>
      <c r="C9" s="73">
        <f t="shared" ref="C9:AA9" si="3">+C88</f>
        <v>514.33351972918331</v>
      </c>
      <c r="D9" s="73">
        <f t="shared" si="3"/>
        <v>519.63600207015008</v>
      </c>
      <c r="E9" s="73">
        <f t="shared" si="3"/>
        <v>525.00043957637581</v>
      </c>
      <c r="F9" s="73">
        <f t="shared" si="3"/>
        <v>530.42755695406777</v>
      </c>
      <c r="G9" s="73">
        <f t="shared" si="3"/>
        <v>535.91808739584303</v>
      </c>
      <c r="H9" s="73">
        <f t="shared" si="3"/>
        <v>541.47277268021276</v>
      </c>
      <c r="I9" s="73">
        <f t="shared" si="3"/>
        <v>547.09236327223414</v>
      </c>
      <c r="J9" s="73">
        <f t="shared" si="3"/>
        <v>552.77761842534198</v>
      </c>
      <c r="K9" s="73">
        <f t="shared" si="3"/>
        <v>558.52930628437821</v>
      </c>
      <c r="L9" s="73">
        <f t="shared" si="3"/>
        <v>564.34820398982765</v>
      </c>
      <c r="M9" s="73">
        <f t="shared" si="3"/>
        <v>570.23509778327889</v>
      </c>
      <c r="N9" s="73">
        <f t="shared" si="3"/>
        <v>576.19078311412204</v>
      </c>
      <c r="O9" s="73">
        <f t="shared" si="3"/>
        <v>582.21606474749865</v>
      </c>
      <c r="P9" s="73">
        <f t="shared" si="3"/>
        <v>588.31175687351913</v>
      </c>
      <c r="Q9" s="73">
        <f t="shared" si="3"/>
        <v>594.47868321776127</v>
      </c>
      <c r="R9" s="73">
        <f t="shared" si="3"/>
        <v>600.71767715306589</v>
      </c>
      <c r="S9" s="73">
        <f t="shared" si="3"/>
        <v>607.02958181264512</v>
      </c>
      <c r="T9" s="73">
        <f t="shared" si="3"/>
        <v>613.41525020451718</v>
      </c>
      <c r="U9" s="73">
        <f t="shared" si="3"/>
        <v>619.87554532728518</v>
      </c>
      <c r="V9" s="73">
        <f t="shared" si="3"/>
        <v>626.41134028727379</v>
      </c>
      <c r="W9" s="73">
        <f t="shared" si="3"/>
        <v>633.02351841704217</v>
      </c>
      <c r="X9" s="73">
        <f t="shared" si="3"/>
        <v>639.71297339528655</v>
      </c>
      <c r="Y9" s="73">
        <f t="shared" si="3"/>
        <v>646.48060936815114</v>
      </c>
      <c r="Z9" s="73">
        <f t="shared" si="3"/>
        <v>653.32734107196165</v>
      </c>
      <c r="AA9" s="73">
        <f t="shared" si="3"/>
        <v>660.25409395740155</v>
      </c>
    </row>
    <row r="10" spans="1:28" s="326" customFormat="1" x14ac:dyDescent="0.3">
      <c r="A10" s="326" t="str">
        <f>+A90</f>
        <v xml:space="preserve">(C) Cost of not addressing structural issues </v>
      </c>
      <c r="B10" s="73">
        <f>+B104</f>
        <v>219.21</v>
      </c>
      <c r="C10" s="73">
        <f t="shared" ref="C10:AA10" si="4">+C104</f>
        <v>221.08500000000001</v>
      </c>
      <c r="D10" s="73">
        <f t="shared" si="4"/>
        <v>223.00687500000001</v>
      </c>
      <c r="E10" s="73">
        <f t="shared" si="4"/>
        <v>224.97679687499999</v>
      </c>
      <c r="F10" s="73">
        <f t="shared" si="4"/>
        <v>226.995966796875</v>
      </c>
      <c r="G10" s="73">
        <f t="shared" si="4"/>
        <v>229.06561596679686</v>
      </c>
      <c r="H10" s="73">
        <f t="shared" si="4"/>
        <v>231.18700636596677</v>
      </c>
      <c r="I10" s="73">
        <f t="shared" si="4"/>
        <v>233.36143152511596</v>
      </c>
      <c r="J10" s="73">
        <f t="shared" si="4"/>
        <v>235.59021731324384</v>
      </c>
      <c r="K10" s="73">
        <f t="shared" si="4"/>
        <v>237.87472274607489</v>
      </c>
      <c r="L10" s="73">
        <f t="shared" si="4"/>
        <v>240.21634081472678</v>
      </c>
      <c r="M10" s="73">
        <f t="shared" si="4"/>
        <v>242.61649933509494</v>
      </c>
      <c r="N10" s="73">
        <f t="shared" si="4"/>
        <v>245.0766618184723</v>
      </c>
      <c r="O10" s="73">
        <f t="shared" si="4"/>
        <v>247.59832836393412</v>
      </c>
      <c r="P10" s="73">
        <f t="shared" si="4"/>
        <v>250.18303657303247</v>
      </c>
      <c r="Q10" s="73">
        <f t="shared" si="4"/>
        <v>252.8323624873583</v>
      </c>
      <c r="R10" s="73">
        <f t="shared" si="4"/>
        <v>255.54792154954225</v>
      </c>
      <c r="S10" s="73">
        <f t="shared" si="4"/>
        <v>258.33136958828078</v>
      </c>
      <c r="T10" s="73">
        <f t="shared" si="4"/>
        <v>261.18440382798781</v>
      </c>
      <c r="U10" s="73">
        <f t="shared" si="4"/>
        <v>264.10876392368749</v>
      </c>
      <c r="V10" s="73">
        <f t="shared" si="4"/>
        <v>267.10623302177964</v>
      </c>
      <c r="W10" s="73">
        <f t="shared" si="4"/>
        <v>270.17863884732412</v>
      </c>
      <c r="X10" s="73">
        <f t="shared" si="4"/>
        <v>273.32785481850726</v>
      </c>
      <c r="Y10" s="73">
        <f t="shared" si="4"/>
        <v>276.55580118896995</v>
      </c>
      <c r="Z10" s="73">
        <f t="shared" si="4"/>
        <v>279.86444621869418</v>
      </c>
      <c r="AA10" s="73">
        <f t="shared" si="4"/>
        <v>283.25580737416152</v>
      </c>
    </row>
    <row r="11" spans="1:28" x14ac:dyDescent="0.3">
      <c r="A11" s="168" t="str">
        <f>+A106</f>
        <v>(D) Costs of outdated facilities</v>
      </c>
      <c r="B11" s="73">
        <f>+B128</f>
        <v>833.89499999999998</v>
      </c>
      <c r="C11" s="73">
        <f t="shared" ref="C11:AA11" si="5">+C128</f>
        <v>843.90174000000002</v>
      </c>
      <c r="D11" s="73">
        <f t="shared" si="5"/>
        <v>854.02856087999999</v>
      </c>
      <c r="E11" s="73">
        <f t="shared" si="5"/>
        <v>864.27690361056011</v>
      </c>
      <c r="F11" s="73">
        <f t="shared" si="5"/>
        <v>874.64822645388665</v>
      </c>
      <c r="G11" s="73">
        <f t="shared" si="5"/>
        <v>885.14400517133333</v>
      </c>
      <c r="H11" s="73">
        <f t="shared" si="5"/>
        <v>895.76573323338926</v>
      </c>
      <c r="I11" s="73">
        <f t="shared" si="5"/>
        <v>906.51492203219004</v>
      </c>
      <c r="J11" s="73">
        <f t="shared" si="5"/>
        <v>917.39310109657629</v>
      </c>
      <c r="K11" s="73">
        <f t="shared" si="5"/>
        <v>928.40181830973518</v>
      </c>
      <c r="L11" s="73">
        <f t="shared" si="5"/>
        <v>939.54264012945191</v>
      </c>
      <c r="M11" s="73">
        <f t="shared" si="5"/>
        <v>950.81715181100537</v>
      </c>
      <c r="N11" s="73">
        <f t="shared" si="5"/>
        <v>962.22695763273737</v>
      </c>
      <c r="O11" s="73">
        <f t="shared" si="5"/>
        <v>973.77368112433032</v>
      </c>
      <c r="P11" s="73">
        <f t="shared" si="5"/>
        <v>985.45896529782226</v>
      </c>
      <c r="Q11" s="73">
        <f t="shared" si="5"/>
        <v>997.28447288139637</v>
      </c>
      <c r="R11" s="73">
        <f t="shared" si="5"/>
        <v>1009.251886555973</v>
      </c>
      <c r="S11" s="73">
        <f t="shared" si="5"/>
        <v>1021.3629091946448</v>
      </c>
      <c r="T11" s="73">
        <f t="shared" si="5"/>
        <v>1033.6192641049804</v>
      </c>
      <c r="U11" s="73">
        <f t="shared" si="5"/>
        <v>1046.0226952742403</v>
      </c>
      <c r="V11" s="73">
        <f t="shared" si="5"/>
        <v>1058.574967617531</v>
      </c>
      <c r="W11" s="73">
        <f t="shared" si="5"/>
        <v>1071.2778672289414</v>
      </c>
      <c r="X11" s="73">
        <f t="shared" si="5"/>
        <v>1084.1332016356885</v>
      </c>
      <c r="Y11" s="73">
        <f t="shared" si="5"/>
        <v>1097.1428000553171</v>
      </c>
      <c r="Z11" s="73">
        <f t="shared" si="5"/>
        <v>1110.3085136559807</v>
      </c>
      <c r="AA11" s="73">
        <f t="shared" si="5"/>
        <v>1123.6322158198525</v>
      </c>
    </row>
    <row r="12" spans="1:28" x14ac:dyDescent="0.3">
      <c r="A12" s="326" t="str">
        <f>+A131</f>
        <v>(E) Costs of not addressing safety risks</v>
      </c>
      <c r="B12" s="73">
        <f>+B155</f>
        <v>283.42</v>
      </c>
      <c r="C12" s="73">
        <f t="shared" ref="C12:AA12" si="6">+C155</f>
        <v>283.42</v>
      </c>
      <c r="D12" s="73">
        <f t="shared" si="6"/>
        <v>283.42</v>
      </c>
      <c r="E12" s="73">
        <f t="shared" si="6"/>
        <v>283.42</v>
      </c>
      <c r="F12" s="73">
        <f t="shared" si="6"/>
        <v>283.42</v>
      </c>
      <c r="G12" s="73">
        <f t="shared" si="6"/>
        <v>283.42</v>
      </c>
      <c r="H12" s="73">
        <f t="shared" si="6"/>
        <v>283.42</v>
      </c>
      <c r="I12" s="73">
        <f t="shared" si="6"/>
        <v>283.42</v>
      </c>
      <c r="J12" s="73">
        <f t="shared" si="6"/>
        <v>283.42</v>
      </c>
      <c r="K12" s="73">
        <f t="shared" si="6"/>
        <v>283.42</v>
      </c>
      <c r="L12" s="73">
        <f t="shared" si="6"/>
        <v>283.42</v>
      </c>
      <c r="M12" s="73">
        <f t="shared" si="6"/>
        <v>283.42</v>
      </c>
      <c r="N12" s="73">
        <f t="shared" si="6"/>
        <v>283.42</v>
      </c>
      <c r="O12" s="73">
        <f t="shared" si="6"/>
        <v>283.42</v>
      </c>
      <c r="P12" s="73">
        <f t="shared" si="6"/>
        <v>283.42</v>
      </c>
      <c r="Q12" s="73">
        <f t="shared" si="6"/>
        <v>283.42</v>
      </c>
      <c r="R12" s="73">
        <f t="shared" si="6"/>
        <v>283.42</v>
      </c>
      <c r="S12" s="73">
        <f t="shared" si="6"/>
        <v>283.42</v>
      </c>
      <c r="T12" s="73">
        <f t="shared" si="6"/>
        <v>283.42</v>
      </c>
      <c r="U12" s="73">
        <f t="shared" si="6"/>
        <v>283.42</v>
      </c>
      <c r="V12" s="73">
        <f t="shared" si="6"/>
        <v>283.42</v>
      </c>
      <c r="W12" s="73">
        <f t="shared" si="6"/>
        <v>283.42</v>
      </c>
      <c r="X12" s="73">
        <f t="shared" si="6"/>
        <v>283.42</v>
      </c>
      <c r="Y12" s="73">
        <f t="shared" si="6"/>
        <v>283.42</v>
      </c>
      <c r="Z12" s="73">
        <f t="shared" si="6"/>
        <v>283.42</v>
      </c>
      <c r="AA12" s="73">
        <f t="shared" si="6"/>
        <v>283.42</v>
      </c>
    </row>
    <row r="13" spans="1:28" x14ac:dyDescent="0.3">
      <c r="A13" s="6" t="str">
        <f>+A157</f>
        <v>(F) Cost of increased travel time</v>
      </c>
      <c r="B13" s="73">
        <f>+B190</f>
        <v>0</v>
      </c>
      <c r="C13" s="73">
        <f t="shared" ref="C13:AA13" si="7">+C190</f>
        <v>2586.5421262874706</v>
      </c>
      <c r="D13" s="73">
        <f t="shared" si="7"/>
        <v>2602.743892219537</v>
      </c>
      <c r="E13" s="73">
        <f t="shared" si="7"/>
        <v>2619.1271179300429</v>
      </c>
      <c r="F13" s="73">
        <f t="shared" si="7"/>
        <v>2635.6938357685067</v>
      </c>
      <c r="G13" s="73">
        <f t="shared" si="7"/>
        <v>2652.4461008467615</v>
      </c>
      <c r="H13" s="73">
        <f t="shared" si="7"/>
        <v>2669.3859912938924</v>
      </c>
      <c r="I13" s="73">
        <f t="shared" si="7"/>
        <v>2686.5156085140316</v>
      </c>
      <c r="J13" s="73">
        <f t="shared" si="7"/>
        <v>2703.837077447035</v>
      </c>
      <c r="K13" s="73">
        <f t="shared" si="7"/>
        <v>2721.3525468320895</v>
      </c>
      <c r="L13" s="73">
        <f t="shared" si="7"/>
        <v>2739.0641894742557</v>
      </c>
      <c r="M13" s="73">
        <f t="shared" si="7"/>
        <v>2756.9742025140149</v>
      </c>
      <c r="N13" s="73">
        <f t="shared" si="7"/>
        <v>2775.0848076998186</v>
      </c>
      <c r="O13" s="73">
        <f t="shared" si="7"/>
        <v>2793.3982516637034</v>
      </c>
      <c r="P13" s="73">
        <f t="shared" si="7"/>
        <v>2811.9168061999844</v>
      </c>
      <c r="Q13" s="73">
        <f t="shared" si="7"/>
        <v>2830.6427685470721</v>
      </c>
      <c r="R13" s="73">
        <f t="shared" si="7"/>
        <v>2849.5784616724459</v>
      </c>
      <c r="S13" s="73">
        <f t="shared" si="7"/>
        <v>2868.7262345608242</v>
      </c>
      <c r="T13" s="73">
        <f t="shared" si="7"/>
        <v>2888.0884625055533</v>
      </c>
      <c r="U13" s="73">
        <f t="shared" si="7"/>
        <v>2907.6675474032627</v>
      </c>
      <c r="V13" s="73">
        <f t="shared" si="7"/>
        <v>2927.4659180518265</v>
      </c>
      <c r="W13" s="73">
        <f t="shared" si="7"/>
        <v>2947.4860304516533</v>
      </c>
      <c r="X13" s="73">
        <f t="shared" si="7"/>
        <v>2967.7303681103594</v>
      </c>
      <c r="Y13" s="73">
        <f t="shared" si="7"/>
        <v>2988.2014423508426</v>
      </c>
      <c r="Z13" s="73">
        <f t="shared" si="7"/>
        <v>3008.9017926228189</v>
      </c>
      <c r="AA13" s="73">
        <f t="shared" si="7"/>
        <v>3029.8339868178423</v>
      </c>
    </row>
    <row r="14" spans="1:28" ht="15" thickBot="1" x14ac:dyDescent="0.35">
      <c r="A14" s="69" t="s">
        <v>124</v>
      </c>
      <c r="B14" s="70">
        <f>+SUM(B8:B13)</f>
        <v>2057.1030524706948</v>
      </c>
      <c r="C14" s="70">
        <f t="shared" ref="C14:AA14" si="8">+SUM(C8:C13)</f>
        <v>4662.9352029458369</v>
      </c>
      <c r="D14" s="70">
        <f t="shared" si="8"/>
        <v>4698.6794586484775</v>
      </c>
      <c r="E14" s="70">
        <f t="shared" si="8"/>
        <v>4734.8612407097316</v>
      </c>
      <c r="F14" s="70">
        <f t="shared" si="8"/>
        <v>4771.4862404975274</v>
      </c>
      <c r="G14" s="70">
        <f t="shared" si="8"/>
        <v>4808.5602312355968</v>
      </c>
      <c r="H14" s="70">
        <f t="shared" si="8"/>
        <v>4846.0890693530982</v>
      </c>
      <c r="I14" s="70">
        <f t="shared" si="8"/>
        <v>4884.0786958599401</v>
      </c>
      <c r="J14" s="70">
        <f t="shared" si="8"/>
        <v>4922.5351377483494</v>
      </c>
      <c r="K14" s="70">
        <f t="shared" si="8"/>
        <v>4961.464509421251</v>
      </c>
      <c r="L14" s="70">
        <f t="shared" si="8"/>
        <v>5000.8730141480237</v>
      </c>
      <c r="M14" s="70">
        <f t="shared" si="8"/>
        <v>5040.766945548241</v>
      </c>
      <c r="N14" s="70">
        <f t="shared" si="8"/>
        <v>5081.1526891039721</v>
      </c>
      <c r="O14" s="70">
        <f t="shared" si="8"/>
        <v>5122.0367237012824</v>
      </c>
      <c r="P14" s="70">
        <f t="shared" si="8"/>
        <v>5163.425623201555</v>
      </c>
      <c r="Q14" s="70">
        <f t="shared" si="8"/>
        <v>5205.3260580432652</v>
      </c>
      <c r="R14" s="70">
        <f t="shared" si="8"/>
        <v>5247.7447968748929</v>
      </c>
      <c r="S14" s="70">
        <f t="shared" si="8"/>
        <v>5290.6887082196317</v>
      </c>
      <c r="T14" s="70">
        <f t="shared" si="8"/>
        <v>5334.1647621725833</v>
      </c>
      <c r="U14" s="70">
        <f t="shared" si="8"/>
        <v>5378.1800321311512</v>
      </c>
      <c r="V14" s="70">
        <f t="shared" si="8"/>
        <v>5422.7416965593566</v>
      </c>
      <c r="W14" s="70">
        <f t="shared" si="8"/>
        <v>5467.8570407868137</v>
      </c>
      <c r="X14" s="70">
        <f t="shared" si="8"/>
        <v>5513.5334588431233</v>
      </c>
      <c r="Y14" s="70">
        <f t="shared" si="8"/>
        <v>5559.7784553284546</v>
      </c>
      <c r="Z14" s="70">
        <f t="shared" si="8"/>
        <v>5606.5996473211198</v>
      </c>
      <c r="AA14" s="70">
        <f t="shared" si="8"/>
        <v>5654.0047663229407</v>
      </c>
    </row>
    <row r="16" spans="1:28" ht="18" x14ac:dyDescent="0.35">
      <c r="A16" s="94" t="s">
        <v>118</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8" spans="1:27" x14ac:dyDescent="0.3">
      <c r="A18" s="53" t="str">
        <f>'Inputs &amp; Summary'!$B$6</f>
        <v>Yellow shaded cells are input cells</v>
      </c>
      <c r="C18" s="364" t="s">
        <v>396</v>
      </c>
      <c r="D18" s="365">
        <f>ROUND(SUM(B14:AA14)-SUM(B29:AA29,B40:AA40,B47:AA47,B64:AA64,B74:AA74,B85:AA85,B101:AA101,B115:AA115,B125:AA125,B140:AA140,B152:AA152,B190:AA190),2)</f>
        <v>0</v>
      </c>
    </row>
    <row r="20" spans="1:27" s="326" customFormat="1" ht="18" x14ac:dyDescent="0.35">
      <c r="A20" s="108" t="s">
        <v>161</v>
      </c>
    </row>
    <row r="21" spans="1:27" s="326" customFormat="1" x14ac:dyDescent="0.3">
      <c r="A21" s="45" t="s">
        <v>19</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row>
    <row r="22" spans="1:27" s="326" customFormat="1" x14ac:dyDescent="0.3">
      <c r="C22" s="46" t="s">
        <v>181</v>
      </c>
    </row>
    <row r="23" spans="1:27" s="326" customFormat="1" x14ac:dyDescent="0.3">
      <c r="A23" s="326" t="s">
        <v>18</v>
      </c>
      <c r="B23" s="173">
        <f>'Inputs &amp; Summary'!Q86</f>
        <v>2164</v>
      </c>
      <c r="C23" s="1" t="s">
        <v>184</v>
      </c>
      <c r="F23" s="93" t="s">
        <v>411</v>
      </c>
      <c r="G23" s="83"/>
      <c r="H23" s="83"/>
      <c r="I23" s="83"/>
      <c r="J23" s="83"/>
      <c r="K23" s="83"/>
      <c r="L23" s="83"/>
      <c r="M23" s="83"/>
      <c r="N23" s="83"/>
      <c r="O23" s="83"/>
      <c r="P23" s="83"/>
      <c r="Q23" s="83"/>
      <c r="R23" s="83"/>
      <c r="S23" s="83"/>
      <c r="T23" s="83"/>
      <c r="U23" s="83"/>
      <c r="V23" s="83"/>
      <c r="W23" s="84"/>
    </row>
    <row r="24" spans="1:27" s="326" customFormat="1" x14ac:dyDescent="0.3">
      <c r="A24" s="326" t="s">
        <v>44</v>
      </c>
      <c r="B24" s="178">
        <f>'Inputs &amp; Summary'!Q85</f>
        <v>1.12E-2</v>
      </c>
      <c r="C24" s="1" t="s">
        <v>184</v>
      </c>
      <c r="F24" s="379" t="s">
        <v>410</v>
      </c>
      <c r="G24" s="88"/>
      <c r="H24" s="88"/>
      <c r="I24" s="88"/>
      <c r="J24" s="88"/>
      <c r="K24" s="88"/>
      <c r="L24" s="88"/>
      <c r="M24" s="88"/>
      <c r="N24" s="88"/>
      <c r="O24" s="88"/>
      <c r="P24" s="88"/>
      <c r="Q24" s="88"/>
      <c r="R24" s="88"/>
      <c r="S24" s="88"/>
      <c r="T24" s="88"/>
      <c r="U24" s="88"/>
      <c r="V24" s="88"/>
      <c r="W24" s="89"/>
    </row>
    <row r="25" spans="1:27" s="326" customFormat="1" x14ac:dyDescent="0.3">
      <c r="A25" s="326" t="s">
        <v>53</v>
      </c>
      <c r="B25" s="157">
        <f>'Inputs &amp; Summary'!P108</f>
        <v>0.05</v>
      </c>
      <c r="C25" s="1" t="s">
        <v>185</v>
      </c>
      <c r="F25" s="85" t="s">
        <v>412</v>
      </c>
      <c r="G25" s="72"/>
      <c r="H25" s="72"/>
      <c r="I25" s="72"/>
      <c r="J25" s="72"/>
      <c r="K25" s="72"/>
      <c r="L25" s="72"/>
      <c r="M25" s="72"/>
      <c r="N25" s="72"/>
      <c r="O25" s="72"/>
      <c r="P25" s="72"/>
      <c r="Q25" s="72"/>
      <c r="R25" s="72"/>
      <c r="S25" s="72"/>
      <c r="T25" s="72"/>
      <c r="U25" s="72"/>
      <c r="V25" s="72"/>
      <c r="W25" s="86"/>
    </row>
    <row r="26" spans="1:27" s="326" customFormat="1" x14ac:dyDescent="0.3">
      <c r="A26" s="326" t="s">
        <v>54</v>
      </c>
      <c r="B26" s="65">
        <f>'Inputs &amp; Summary'!P109</f>
        <v>80</v>
      </c>
      <c r="C26" s="1" t="s">
        <v>186</v>
      </c>
    </row>
    <row r="27" spans="1:27" s="326" customFormat="1" x14ac:dyDescent="0.3">
      <c r="A27" s="3" t="s">
        <v>3</v>
      </c>
      <c r="B27" s="326">
        <v>0</v>
      </c>
      <c r="C27" s="326">
        <f t="shared" ref="C27:AA28" si="9">+B27+1</f>
        <v>1</v>
      </c>
      <c r="D27" s="326">
        <f t="shared" si="9"/>
        <v>2</v>
      </c>
      <c r="E27" s="326">
        <f t="shared" si="9"/>
        <v>3</v>
      </c>
      <c r="F27" s="326">
        <f t="shared" si="9"/>
        <v>4</v>
      </c>
      <c r="G27" s="326">
        <f t="shared" si="9"/>
        <v>5</v>
      </c>
      <c r="H27" s="326">
        <f t="shared" si="9"/>
        <v>6</v>
      </c>
      <c r="I27" s="326">
        <f t="shared" si="9"/>
        <v>7</v>
      </c>
      <c r="J27" s="326">
        <f t="shared" si="9"/>
        <v>8</v>
      </c>
      <c r="K27" s="326">
        <f t="shared" si="9"/>
        <v>9</v>
      </c>
      <c r="L27" s="326">
        <f t="shared" si="9"/>
        <v>10</v>
      </c>
      <c r="M27" s="326">
        <f t="shared" si="9"/>
        <v>11</v>
      </c>
      <c r="N27" s="326">
        <f t="shared" si="9"/>
        <v>12</v>
      </c>
      <c r="O27" s="326">
        <f t="shared" si="9"/>
        <v>13</v>
      </c>
      <c r="P27" s="326">
        <f t="shared" si="9"/>
        <v>14</v>
      </c>
      <c r="Q27" s="326">
        <f t="shared" si="9"/>
        <v>15</v>
      </c>
      <c r="R27" s="326">
        <f t="shared" si="9"/>
        <v>16</v>
      </c>
      <c r="S27" s="326">
        <f t="shared" si="9"/>
        <v>17</v>
      </c>
      <c r="T27" s="326">
        <f t="shared" si="9"/>
        <v>18</v>
      </c>
      <c r="U27" s="326">
        <f t="shared" si="9"/>
        <v>19</v>
      </c>
      <c r="V27" s="326">
        <f t="shared" si="9"/>
        <v>20</v>
      </c>
      <c r="W27" s="326">
        <f t="shared" si="9"/>
        <v>21</v>
      </c>
      <c r="X27" s="326">
        <f t="shared" si="9"/>
        <v>22</v>
      </c>
      <c r="Y27" s="326">
        <f t="shared" si="9"/>
        <v>23</v>
      </c>
      <c r="Z27" s="326">
        <f t="shared" si="9"/>
        <v>24</v>
      </c>
      <c r="AA27" s="326">
        <f t="shared" si="9"/>
        <v>25</v>
      </c>
    </row>
    <row r="28" spans="1:27" s="326" customFormat="1" x14ac:dyDescent="0.3">
      <c r="A28" s="175" t="s">
        <v>400</v>
      </c>
      <c r="B28" s="174">
        <v>2021</v>
      </c>
      <c r="C28" s="174">
        <f t="shared" si="9"/>
        <v>2022</v>
      </c>
      <c r="D28" s="174">
        <f t="shared" si="9"/>
        <v>2023</v>
      </c>
      <c r="E28" s="174">
        <f t="shared" si="9"/>
        <v>2024</v>
      </c>
      <c r="F28" s="174">
        <f t="shared" si="9"/>
        <v>2025</v>
      </c>
      <c r="G28" s="174">
        <f t="shared" si="9"/>
        <v>2026</v>
      </c>
      <c r="H28" s="174">
        <f t="shared" si="9"/>
        <v>2027</v>
      </c>
      <c r="I28" s="174">
        <f t="shared" si="9"/>
        <v>2028</v>
      </c>
      <c r="J28" s="174">
        <f t="shared" si="9"/>
        <v>2029</v>
      </c>
      <c r="K28" s="174">
        <f t="shared" si="9"/>
        <v>2030</v>
      </c>
      <c r="L28" s="174">
        <f t="shared" si="9"/>
        <v>2031</v>
      </c>
      <c r="M28" s="174">
        <f t="shared" si="9"/>
        <v>2032</v>
      </c>
      <c r="N28" s="174">
        <f t="shared" si="9"/>
        <v>2033</v>
      </c>
      <c r="O28" s="174">
        <f t="shared" si="9"/>
        <v>2034</v>
      </c>
      <c r="P28" s="174">
        <f t="shared" si="9"/>
        <v>2035</v>
      </c>
      <c r="Q28" s="174">
        <f t="shared" si="9"/>
        <v>2036</v>
      </c>
      <c r="R28" s="174">
        <f t="shared" si="9"/>
        <v>2037</v>
      </c>
      <c r="S28" s="174">
        <f t="shared" si="9"/>
        <v>2038</v>
      </c>
      <c r="T28" s="174">
        <f t="shared" si="9"/>
        <v>2039</v>
      </c>
      <c r="U28" s="174">
        <f t="shared" si="9"/>
        <v>2040</v>
      </c>
      <c r="V28" s="174">
        <f t="shared" si="9"/>
        <v>2041</v>
      </c>
      <c r="W28" s="174">
        <f t="shared" si="9"/>
        <v>2042</v>
      </c>
      <c r="X28" s="174">
        <f t="shared" si="9"/>
        <v>2043</v>
      </c>
      <c r="Y28" s="174">
        <f t="shared" si="9"/>
        <v>2044</v>
      </c>
      <c r="Z28" s="174">
        <f t="shared" si="9"/>
        <v>2045</v>
      </c>
      <c r="AA28" s="174">
        <f t="shared" si="9"/>
        <v>2046</v>
      </c>
    </row>
    <row r="29" spans="1:27" s="1" customFormat="1" x14ac:dyDescent="0.3">
      <c r="A29" s="1" t="s">
        <v>57</v>
      </c>
      <c r="B29" s="44">
        <f>+B23*B25*B26/1000</f>
        <v>8.6560000000000006</v>
      </c>
      <c r="C29" s="44">
        <f t="shared" ref="C29:AA29" si="10">+B29*(1+$B$24)</f>
        <v>8.7529472000000013</v>
      </c>
      <c r="D29" s="44">
        <f t="shared" si="10"/>
        <v>8.8509802086400029</v>
      </c>
      <c r="E29" s="44">
        <f t="shared" si="10"/>
        <v>8.9501111869767715</v>
      </c>
      <c r="F29" s="44">
        <f t="shared" si="10"/>
        <v>9.0503524322709126</v>
      </c>
      <c r="G29" s="44">
        <f t="shared" si="10"/>
        <v>9.1517163795123473</v>
      </c>
      <c r="H29" s="44">
        <f t="shared" si="10"/>
        <v>9.254215602962887</v>
      </c>
      <c r="I29" s="44">
        <f t="shared" si="10"/>
        <v>9.3578628177160716</v>
      </c>
      <c r="J29" s="44">
        <f t="shared" si="10"/>
        <v>9.4626708812744926</v>
      </c>
      <c r="K29" s="44">
        <f t="shared" si="10"/>
        <v>9.568652795144768</v>
      </c>
      <c r="L29" s="44">
        <f t="shared" si="10"/>
        <v>9.6758217064503906</v>
      </c>
      <c r="M29" s="44">
        <f t="shared" si="10"/>
        <v>9.7841909095626356</v>
      </c>
      <c r="N29" s="44">
        <f t="shared" si="10"/>
        <v>9.8937738477497383</v>
      </c>
      <c r="O29" s="44">
        <f t="shared" si="10"/>
        <v>10.004584114844537</v>
      </c>
      <c r="P29" s="44">
        <f t="shared" si="10"/>
        <v>10.116635456930796</v>
      </c>
      <c r="Q29" s="44">
        <f t="shared" si="10"/>
        <v>10.229941774048422</v>
      </c>
      <c r="R29" s="44">
        <f t="shared" si="10"/>
        <v>10.344517121917765</v>
      </c>
      <c r="S29" s="44">
        <f t="shared" si="10"/>
        <v>10.460375713683245</v>
      </c>
      <c r="T29" s="44">
        <f t="shared" si="10"/>
        <v>10.577531921676499</v>
      </c>
      <c r="U29" s="44">
        <f t="shared" si="10"/>
        <v>10.696000279199277</v>
      </c>
      <c r="V29" s="44">
        <f t="shared" si="10"/>
        <v>10.81579548232631</v>
      </c>
      <c r="W29" s="44">
        <f t="shared" si="10"/>
        <v>10.936932391728366</v>
      </c>
      <c r="X29" s="44">
        <f t="shared" si="10"/>
        <v>11.059426034515724</v>
      </c>
      <c r="Y29" s="44">
        <f t="shared" si="10"/>
        <v>11.183291606102301</v>
      </c>
      <c r="Z29" s="44">
        <f t="shared" si="10"/>
        <v>11.308544472090649</v>
      </c>
      <c r="AA29" s="44">
        <f t="shared" si="10"/>
        <v>11.435200170178065</v>
      </c>
    </row>
    <row r="30" spans="1:27" s="326" customFormat="1" x14ac:dyDescent="0.3"/>
    <row r="31" spans="1:27" s="326" customFormat="1" x14ac:dyDescent="0.3">
      <c r="A31" s="45" t="s">
        <v>20</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row>
    <row r="32" spans="1:27" s="326" customFormat="1" x14ac:dyDescent="0.3">
      <c r="C32" s="46" t="s">
        <v>181</v>
      </c>
    </row>
    <row r="33" spans="1:27" s="326" customFormat="1" x14ac:dyDescent="0.3">
      <c r="A33" s="326" t="s">
        <v>113</v>
      </c>
      <c r="B33" s="179">
        <f>'Inputs &amp; Summary'!Q81</f>
        <v>47.828616539314339</v>
      </c>
      <c r="C33" s="1" t="s">
        <v>262</v>
      </c>
    </row>
    <row r="34" spans="1:27" s="326" customFormat="1" x14ac:dyDescent="0.3">
      <c r="A34" s="326" t="s">
        <v>114</v>
      </c>
      <c r="B34" s="32">
        <f>'Inputs &amp; Summary'!G84</f>
        <v>193220.91</v>
      </c>
      <c r="C34" s="1" t="s">
        <v>184</v>
      </c>
      <c r="F34" s="82" t="s">
        <v>413</v>
      </c>
      <c r="G34" s="83"/>
      <c r="H34" s="83"/>
      <c r="I34" s="83"/>
      <c r="J34" s="83"/>
      <c r="K34" s="83"/>
      <c r="L34" s="83"/>
      <c r="M34" s="83"/>
      <c r="N34" s="83"/>
      <c r="O34" s="83"/>
      <c r="P34" s="83"/>
      <c r="Q34" s="83"/>
      <c r="R34" s="83"/>
      <c r="S34" s="83"/>
      <c r="T34" s="83"/>
      <c r="U34" s="83"/>
      <c r="V34" s="83"/>
      <c r="W34" s="84"/>
    </row>
    <row r="35" spans="1:27" s="326" customFormat="1" x14ac:dyDescent="0.3">
      <c r="A35" s="326" t="s">
        <v>44</v>
      </c>
      <c r="B35" s="178">
        <f>'Inputs &amp; Summary'!Q85</f>
        <v>1.12E-2</v>
      </c>
      <c r="C35" s="1" t="s">
        <v>184</v>
      </c>
      <c r="F35" s="87" t="s">
        <v>414</v>
      </c>
      <c r="G35" s="119"/>
      <c r="H35" s="119"/>
      <c r="I35" s="119"/>
      <c r="J35" s="119"/>
      <c r="K35" s="119"/>
      <c r="L35" s="119"/>
      <c r="M35" s="119"/>
      <c r="N35" s="119"/>
      <c r="O35" s="119"/>
      <c r="P35" s="119"/>
      <c r="Q35" s="119"/>
      <c r="R35" s="119"/>
      <c r="S35" s="119"/>
      <c r="T35" s="119"/>
      <c r="U35" s="88"/>
      <c r="V35" s="88"/>
      <c r="W35" s="89"/>
    </row>
    <row r="36" spans="1:27" s="326" customFormat="1" x14ac:dyDescent="0.3">
      <c r="A36" s="326" t="s">
        <v>115</v>
      </c>
      <c r="B36" s="157">
        <f>'Inputs &amp; Summary'!P111</f>
        <v>0.02</v>
      </c>
      <c r="C36" s="1" t="s">
        <v>185</v>
      </c>
      <c r="F36" s="87" t="s">
        <v>415</v>
      </c>
      <c r="G36" s="119"/>
      <c r="H36" s="119"/>
      <c r="I36" s="119"/>
      <c r="J36" s="119"/>
      <c r="K36" s="119"/>
      <c r="L36" s="119"/>
      <c r="M36" s="119"/>
      <c r="N36" s="119"/>
      <c r="O36" s="119"/>
      <c r="P36" s="119"/>
      <c r="Q36" s="119"/>
      <c r="R36" s="119"/>
      <c r="S36" s="119"/>
      <c r="T36" s="119"/>
      <c r="U36" s="88"/>
      <c r="V36" s="88"/>
      <c r="W36" s="89"/>
    </row>
    <row r="37" spans="1:27" s="326" customFormat="1" x14ac:dyDescent="0.3">
      <c r="A37" s="326" t="s">
        <v>116</v>
      </c>
      <c r="B37" s="118">
        <f>+B33*B34*B36/1000</f>
        <v>184.82977623534734</v>
      </c>
      <c r="C37" s="1" t="s">
        <v>188</v>
      </c>
      <c r="F37" s="85" t="s">
        <v>416</v>
      </c>
      <c r="G37" s="72"/>
      <c r="H37" s="72"/>
      <c r="I37" s="72"/>
      <c r="J37" s="72"/>
      <c r="K37" s="72"/>
      <c r="L37" s="72"/>
      <c r="M37" s="72"/>
      <c r="N37" s="72"/>
      <c r="O37" s="72"/>
      <c r="P37" s="72"/>
      <c r="Q37" s="72"/>
      <c r="R37" s="72"/>
      <c r="S37" s="72"/>
      <c r="T37" s="72"/>
      <c r="U37" s="72"/>
      <c r="V37" s="72"/>
      <c r="W37" s="86"/>
    </row>
    <row r="38" spans="1:27" s="326" customFormat="1" x14ac:dyDescent="0.3">
      <c r="A38" s="3" t="s">
        <v>3</v>
      </c>
      <c r="B38" s="326">
        <v>0</v>
      </c>
      <c r="C38" s="326">
        <f t="shared" ref="C38:AA39" si="11">+B38+1</f>
        <v>1</v>
      </c>
      <c r="D38" s="326">
        <f t="shared" si="11"/>
        <v>2</v>
      </c>
      <c r="E38" s="326">
        <f t="shared" si="11"/>
        <v>3</v>
      </c>
      <c r="F38" s="326">
        <f t="shared" si="11"/>
        <v>4</v>
      </c>
      <c r="G38" s="326">
        <f t="shared" si="11"/>
        <v>5</v>
      </c>
      <c r="H38" s="326">
        <f t="shared" si="11"/>
        <v>6</v>
      </c>
      <c r="I38" s="326">
        <f t="shared" si="11"/>
        <v>7</v>
      </c>
      <c r="J38" s="326">
        <f t="shared" si="11"/>
        <v>8</v>
      </c>
      <c r="K38" s="326">
        <f t="shared" si="11"/>
        <v>9</v>
      </c>
      <c r="L38" s="326">
        <f t="shared" si="11"/>
        <v>10</v>
      </c>
      <c r="M38" s="326">
        <f t="shared" si="11"/>
        <v>11</v>
      </c>
      <c r="N38" s="326">
        <f t="shared" si="11"/>
        <v>12</v>
      </c>
      <c r="O38" s="326">
        <f t="shared" si="11"/>
        <v>13</v>
      </c>
      <c r="P38" s="326">
        <f t="shared" si="11"/>
        <v>14</v>
      </c>
      <c r="Q38" s="326">
        <f t="shared" si="11"/>
        <v>15</v>
      </c>
      <c r="R38" s="326">
        <f t="shared" si="11"/>
        <v>16</v>
      </c>
      <c r="S38" s="326">
        <f t="shared" si="11"/>
        <v>17</v>
      </c>
      <c r="T38" s="326">
        <f t="shared" si="11"/>
        <v>18</v>
      </c>
      <c r="U38" s="326">
        <f t="shared" si="11"/>
        <v>19</v>
      </c>
      <c r="V38" s="326">
        <f t="shared" si="11"/>
        <v>20</v>
      </c>
      <c r="W38" s="326">
        <f t="shared" si="11"/>
        <v>21</v>
      </c>
      <c r="X38" s="326">
        <f t="shared" si="11"/>
        <v>22</v>
      </c>
      <c r="Y38" s="326">
        <f t="shared" si="11"/>
        <v>23</v>
      </c>
      <c r="Z38" s="326">
        <f t="shared" si="11"/>
        <v>24</v>
      </c>
      <c r="AA38" s="326">
        <f t="shared" si="11"/>
        <v>25</v>
      </c>
    </row>
    <row r="39" spans="1:27" s="326" customFormat="1" x14ac:dyDescent="0.3">
      <c r="A39" s="175" t="s">
        <v>400</v>
      </c>
      <c r="B39" s="174">
        <v>2021</v>
      </c>
      <c r="C39" s="174">
        <f t="shared" si="11"/>
        <v>2022</v>
      </c>
      <c r="D39" s="174">
        <f t="shared" si="11"/>
        <v>2023</v>
      </c>
      <c r="E39" s="174">
        <f t="shared" si="11"/>
        <v>2024</v>
      </c>
      <c r="F39" s="174">
        <f t="shared" si="11"/>
        <v>2025</v>
      </c>
      <c r="G39" s="174">
        <f t="shared" si="11"/>
        <v>2026</v>
      </c>
      <c r="H39" s="174">
        <f t="shared" si="11"/>
        <v>2027</v>
      </c>
      <c r="I39" s="174">
        <f t="shared" si="11"/>
        <v>2028</v>
      </c>
      <c r="J39" s="174">
        <f t="shared" si="11"/>
        <v>2029</v>
      </c>
      <c r="K39" s="174">
        <f t="shared" si="11"/>
        <v>2030</v>
      </c>
      <c r="L39" s="174">
        <f t="shared" si="11"/>
        <v>2031</v>
      </c>
      <c r="M39" s="174">
        <f t="shared" si="11"/>
        <v>2032</v>
      </c>
      <c r="N39" s="174">
        <f t="shared" si="11"/>
        <v>2033</v>
      </c>
      <c r="O39" s="174">
        <f t="shared" si="11"/>
        <v>2034</v>
      </c>
      <c r="P39" s="174">
        <f t="shared" si="11"/>
        <v>2035</v>
      </c>
      <c r="Q39" s="174">
        <f t="shared" si="11"/>
        <v>2036</v>
      </c>
      <c r="R39" s="174">
        <f t="shared" si="11"/>
        <v>2037</v>
      </c>
      <c r="S39" s="174">
        <f t="shared" si="11"/>
        <v>2038</v>
      </c>
      <c r="T39" s="174">
        <f t="shared" si="11"/>
        <v>2039</v>
      </c>
      <c r="U39" s="174">
        <f t="shared" si="11"/>
        <v>2040</v>
      </c>
      <c r="V39" s="174">
        <f t="shared" si="11"/>
        <v>2041</v>
      </c>
      <c r="W39" s="174">
        <f t="shared" si="11"/>
        <v>2042</v>
      </c>
      <c r="X39" s="174">
        <f t="shared" si="11"/>
        <v>2043</v>
      </c>
      <c r="Y39" s="174">
        <f t="shared" si="11"/>
        <v>2044</v>
      </c>
      <c r="Z39" s="174">
        <f t="shared" si="11"/>
        <v>2045</v>
      </c>
      <c r="AA39" s="174">
        <f t="shared" si="11"/>
        <v>2046</v>
      </c>
    </row>
    <row r="40" spans="1:27" s="326" customFormat="1" x14ac:dyDescent="0.3">
      <c r="A40" s="180" t="s">
        <v>58</v>
      </c>
      <c r="B40" s="68">
        <f>+B37</f>
        <v>184.82977623534734</v>
      </c>
      <c r="C40" s="68">
        <f t="shared" ref="C40:AA40" si="12">+$B$40*(1+$B$35)^C38</f>
        <v>186.89986972918325</v>
      </c>
      <c r="D40" s="68">
        <f t="shared" si="12"/>
        <v>188.9931482701501</v>
      </c>
      <c r="E40" s="68">
        <f t="shared" si="12"/>
        <v>191.10987153077579</v>
      </c>
      <c r="F40" s="68">
        <f t="shared" si="12"/>
        <v>193.2503020919205</v>
      </c>
      <c r="G40" s="68">
        <f t="shared" si="12"/>
        <v>195.41470547535002</v>
      </c>
      <c r="H40" s="68">
        <f t="shared" si="12"/>
        <v>197.60335017667396</v>
      </c>
      <c r="I40" s="68">
        <f t="shared" si="12"/>
        <v>199.81650769865274</v>
      </c>
      <c r="J40" s="68">
        <f t="shared" si="12"/>
        <v>202.05445258487765</v>
      </c>
      <c r="K40" s="68">
        <f t="shared" si="12"/>
        <v>204.31746245382831</v>
      </c>
      <c r="L40" s="68">
        <f t="shared" si="12"/>
        <v>206.60581803331118</v>
      </c>
      <c r="M40" s="68">
        <f t="shared" si="12"/>
        <v>208.91980319528429</v>
      </c>
      <c r="N40" s="68">
        <f t="shared" si="12"/>
        <v>211.25970499107149</v>
      </c>
      <c r="O40" s="68">
        <f t="shared" si="12"/>
        <v>213.6258136869715</v>
      </c>
      <c r="P40" s="68">
        <f t="shared" si="12"/>
        <v>216.0184228002656</v>
      </c>
      <c r="Q40" s="68">
        <f t="shared" si="12"/>
        <v>218.43782913562862</v>
      </c>
      <c r="R40" s="68">
        <f t="shared" si="12"/>
        <v>220.88433282194765</v>
      </c>
      <c r="S40" s="68">
        <f t="shared" si="12"/>
        <v>223.35823734955346</v>
      </c>
      <c r="T40" s="68">
        <f t="shared" si="12"/>
        <v>225.85984960786848</v>
      </c>
      <c r="U40" s="68">
        <f t="shared" si="12"/>
        <v>228.38947992347664</v>
      </c>
      <c r="V40" s="68">
        <f t="shared" si="12"/>
        <v>230.9474420986196</v>
      </c>
      <c r="W40" s="68">
        <f t="shared" si="12"/>
        <v>233.53405345012411</v>
      </c>
      <c r="X40" s="68">
        <f t="shared" si="12"/>
        <v>236.14963484876554</v>
      </c>
      <c r="Y40" s="68">
        <f t="shared" si="12"/>
        <v>238.79451075907176</v>
      </c>
      <c r="Z40" s="68">
        <f t="shared" si="12"/>
        <v>241.46900927957333</v>
      </c>
      <c r="AA40" s="68">
        <f t="shared" si="12"/>
        <v>244.17346218350463</v>
      </c>
    </row>
    <row r="41" spans="1:27" s="326" customFormat="1" x14ac:dyDescent="0.3">
      <c r="A41" s="1"/>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row>
    <row r="42" spans="1:27" s="326" customFormat="1" x14ac:dyDescent="0.3">
      <c r="A42" s="45" t="s">
        <v>149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s="326" customFormat="1" x14ac:dyDescent="0.3">
      <c r="A43" s="1"/>
      <c r="C43" s="46" t="s">
        <v>181</v>
      </c>
    </row>
    <row r="44" spans="1:27" s="326" customFormat="1" x14ac:dyDescent="0.3">
      <c r="A44" s="326" t="s">
        <v>261</v>
      </c>
      <c r="B44" s="6">
        <f>'Inputs &amp; Summary'!P113</f>
        <v>18</v>
      </c>
      <c r="C44" s="177"/>
      <c r="F44" s="82" t="s">
        <v>418</v>
      </c>
      <c r="G44" s="83"/>
      <c r="H44" s="83"/>
      <c r="I44" s="83"/>
      <c r="J44" s="83"/>
      <c r="K44" s="83"/>
      <c r="L44" s="83"/>
      <c r="M44" s="83"/>
      <c r="N44" s="83"/>
      <c r="O44" s="83"/>
      <c r="P44" s="83"/>
      <c r="Q44" s="83"/>
      <c r="R44" s="83"/>
      <c r="S44" s="83"/>
      <c r="T44" s="83"/>
      <c r="U44" s="83"/>
      <c r="V44" s="83"/>
      <c r="W44" s="84"/>
    </row>
    <row r="45" spans="1:27" s="326" customFormat="1" x14ac:dyDescent="0.3">
      <c r="A45" s="1"/>
      <c r="C45" s="1"/>
      <c r="F45" s="85" t="s">
        <v>417</v>
      </c>
      <c r="G45" s="72"/>
      <c r="H45" s="72"/>
      <c r="I45" s="72"/>
      <c r="J45" s="72"/>
      <c r="K45" s="72"/>
      <c r="L45" s="72"/>
      <c r="M45" s="72"/>
      <c r="N45" s="72"/>
      <c r="O45" s="72"/>
      <c r="P45" s="72"/>
      <c r="Q45" s="72"/>
      <c r="R45" s="72"/>
      <c r="S45" s="72"/>
      <c r="T45" s="72"/>
      <c r="U45" s="72"/>
      <c r="V45" s="72"/>
      <c r="W45" s="86"/>
    </row>
    <row r="46" spans="1:27" s="326" customFormat="1" x14ac:dyDescent="0.3">
      <c r="A46" s="175" t="s">
        <v>400</v>
      </c>
      <c r="B46" s="174">
        <v>2021</v>
      </c>
      <c r="C46" s="174">
        <f t="shared" ref="C46:AA46" si="13">+B46+1</f>
        <v>2022</v>
      </c>
      <c r="D46" s="174">
        <f t="shared" si="13"/>
        <v>2023</v>
      </c>
      <c r="E46" s="174">
        <f t="shared" si="13"/>
        <v>2024</v>
      </c>
      <c r="F46" s="174">
        <f t="shared" si="13"/>
        <v>2025</v>
      </c>
      <c r="G46" s="174">
        <f t="shared" si="13"/>
        <v>2026</v>
      </c>
      <c r="H46" s="174">
        <f t="shared" si="13"/>
        <v>2027</v>
      </c>
      <c r="I46" s="174">
        <f t="shared" si="13"/>
        <v>2028</v>
      </c>
      <c r="J46" s="174">
        <f t="shared" si="13"/>
        <v>2029</v>
      </c>
      <c r="K46" s="174">
        <f t="shared" si="13"/>
        <v>2030</v>
      </c>
      <c r="L46" s="174">
        <f t="shared" si="13"/>
        <v>2031</v>
      </c>
      <c r="M46" s="174">
        <f t="shared" si="13"/>
        <v>2032</v>
      </c>
      <c r="N46" s="174">
        <f t="shared" si="13"/>
        <v>2033</v>
      </c>
      <c r="O46" s="174">
        <f t="shared" si="13"/>
        <v>2034</v>
      </c>
      <c r="P46" s="174">
        <f t="shared" si="13"/>
        <v>2035</v>
      </c>
      <c r="Q46" s="174">
        <f t="shared" si="13"/>
        <v>2036</v>
      </c>
      <c r="R46" s="174">
        <f t="shared" si="13"/>
        <v>2037</v>
      </c>
      <c r="S46" s="174">
        <f t="shared" si="13"/>
        <v>2038</v>
      </c>
      <c r="T46" s="174">
        <f t="shared" si="13"/>
        <v>2039</v>
      </c>
      <c r="U46" s="174">
        <f t="shared" si="13"/>
        <v>2040</v>
      </c>
      <c r="V46" s="174">
        <f t="shared" si="13"/>
        <v>2041</v>
      </c>
      <c r="W46" s="174">
        <f t="shared" si="13"/>
        <v>2042</v>
      </c>
      <c r="X46" s="174">
        <f t="shared" si="13"/>
        <v>2043</v>
      </c>
      <c r="Y46" s="174">
        <f t="shared" si="13"/>
        <v>2044</v>
      </c>
      <c r="Z46" s="174">
        <f t="shared" si="13"/>
        <v>2045</v>
      </c>
      <c r="AA46" s="174">
        <f t="shared" si="13"/>
        <v>2046</v>
      </c>
    </row>
    <row r="47" spans="1:27" s="326" customFormat="1" x14ac:dyDescent="0.3">
      <c r="A47" s="1" t="s">
        <v>59</v>
      </c>
      <c r="B47" s="25">
        <f>B44</f>
        <v>18</v>
      </c>
      <c r="C47" s="25">
        <f t="shared" ref="C47:AA47" si="14">+B47</f>
        <v>18</v>
      </c>
      <c r="D47" s="25">
        <f t="shared" si="14"/>
        <v>18</v>
      </c>
      <c r="E47" s="25">
        <f t="shared" si="14"/>
        <v>18</v>
      </c>
      <c r="F47" s="25">
        <f t="shared" si="14"/>
        <v>18</v>
      </c>
      <c r="G47" s="25">
        <f t="shared" si="14"/>
        <v>18</v>
      </c>
      <c r="H47" s="25">
        <f t="shared" si="14"/>
        <v>18</v>
      </c>
      <c r="I47" s="25">
        <f t="shared" si="14"/>
        <v>18</v>
      </c>
      <c r="J47" s="25">
        <f t="shared" si="14"/>
        <v>18</v>
      </c>
      <c r="K47" s="25">
        <f t="shared" si="14"/>
        <v>18</v>
      </c>
      <c r="L47" s="25">
        <f t="shared" si="14"/>
        <v>18</v>
      </c>
      <c r="M47" s="25">
        <f t="shared" si="14"/>
        <v>18</v>
      </c>
      <c r="N47" s="25">
        <f t="shared" si="14"/>
        <v>18</v>
      </c>
      <c r="O47" s="25">
        <f t="shared" si="14"/>
        <v>18</v>
      </c>
      <c r="P47" s="25">
        <f t="shared" si="14"/>
        <v>18</v>
      </c>
      <c r="Q47" s="25">
        <f t="shared" si="14"/>
        <v>18</v>
      </c>
      <c r="R47" s="25">
        <f t="shared" si="14"/>
        <v>18</v>
      </c>
      <c r="S47" s="25">
        <f t="shared" si="14"/>
        <v>18</v>
      </c>
      <c r="T47" s="25">
        <f t="shared" si="14"/>
        <v>18</v>
      </c>
      <c r="U47" s="25">
        <f t="shared" si="14"/>
        <v>18</v>
      </c>
      <c r="V47" s="25">
        <f t="shared" si="14"/>
        <v>18</v>
      </c>
      <c r="W47" s="25">
        <f t="shared" si="14"/>
        <v>18</v>
      </c>
      <c r="X47" s="25">
        <f t="shared" si="14"/>
        <v>18</v>
      </c>
      <c r="Y47" s="25">
        <f t="shared" si="14"/>
        <v>18</v>
      </c>
      <c r="Z47" s="25">
        <f t="shared" si="14"/>
        <v>18</v>
      </c>
      <c r="AA47" s="25">
        <f t="shared" si="14"/>
        <v>18</v>
      </c>
    </row>
    <row r="48" spans="1:27" s="326" customFormat="1" x14ac:dyDescent="0.3">
      <c r="A48" s="1"/>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row>
    <row r="49" spans="1:27" s="326" customFormat="1" x14ac:dyDescent="0.3"/>
    <row r="50" spans="1:27" s="326" customFormat="1" x14ac:dyDescent="0.3">
      <c r="A50" s="17" t="s">
        <v>68</v>
      </c>
      <c r="B50" s="17">
        <f t="shared" ref="B50:AA50" si="15">+B28</f>
        <v>2021</v>
      </c>
      <c r="C50" s="17">
        <f t="shared" si="15"/>
        <v>2022</v>
      </c>
      <c r="D50" s="17">
        <f t="shared" si="15"/>
        <v>2023</v>
      </c>
      <c r="E50" s="17">
        <f t="shared" si="15"/>
        <v>2024</v>
      </c>
      <c r="F50" s="17">
        <f t="shared" si="15"/>
        <v>2025</v>
      </c>
      <c r="G50" s="17">
        <f t="shared" si="15"/>
        <v>2026</v>
      </c>
      <c r="H50" s="17">
        <f t="shared" si="15"/>
        <v>2027</v>
      </c>
      <c r="I50" s="17">
        <f t="shared" si="15"/>
        <v>2028</v>
      </c>
      <c r="J50" s="17">
        <f t="shared" si="15"/>
        <v>2029</v>
      </c>
      <c r="K50" s="17">
        <f t="shared" si="15"/>
        <v>2030</v>
      </c>
      <c r="L50" s="17">
        <f t="shared" si="15"/>
        <v>2031</v>
      </c>
      <c r="M50" s="17">
        <f t="shared" si="15"/>
        <v>2032</v>
      </c>
      <c r="N50" s="17">
        <f t="shared" si="15"/>
        <v>2033</v>
      </c>
      <c r="O50" s="17">
        <f t="shared" si="15"/>
        <v>2034</v>
      </c>
      <c r="P50" s="17">
        <f t="shared" si="15"/>
        <v>2035</v>
      </c>
      <c r="Q50" s="17">
        <f t="shared" si="15"/>
        <v>2036</v>
      </c>
      <c r="R50" s="17">
        <f t="shared" si="15"/>
        <v>2037</v>
      </c>
      <c r="S50" s="17">
        <f t="shared" si="15"/>
        <v>2038</v>
      </c>
      <c r="T50" s="17">
        <f t="shared" si="15"/>
        <v>2039</v>
      </c>
      <c r="U50" s="17">
        <f t="shared" si="15"/>
        <v>2040</v>
      </c>
      <c r="V50" s="17">
        <f t="shared" si="15"/>
        <v>2041</v>
      </c>
      <c r="W50" s="17">
        <f t="shared" si="15"/>
        <v>2042</v>
      </c>
      <c r="X50" s="17">
        <f t="shared" si="15"/>
        <v>2043</v>
      </c>
      <c r="Y50" s="17">
        <f t="shared" si="15"/>
        <v>2044</v>
      </c>
      <c r="Z50" s="17">
        <f t="shared" si="15"/>
        <v>2045</v>
      </c>
      <c r="AA50" s="17">
        <f t="shared" si="15"/>
        <v>2046</v>
      </c>
    </row>
    <row r="51" spans="1:27" s="1" customFormat="1" ht="15" thickBot="1" x14ac:dyDescent="0.35">
      <c r="A51" s="38" t="s">
        <v>55</v>
      </c>
      <c r="B51" s="39">
        <f t="shared" ref="B51:AA51" si="16">+B40+B29+B47</f>
        <v>211.48577623534734</v>
      </c>
      <c r="C51" s="39">
        <f t="shared" si="16"/>
        <v>213.65281692918325</v>
      </c>
      <c r="D51" s="39">
        <f t="shared" si="16"/>
        <v>215.84412847879011</v>
      </c>
      <c r="E51" s="39">
        <f t="shared" si="16"/>
        <v>218.05998271775258</v>
      </c>
      <c r="F51" s="39">
        <f t="shared" si="16"/>
        <v>220.30065452419143</v>
      </c>
      <c r="G51" s="39">
        <f t="shared" si="16"/>
        <v>222.56642185486237</v>
      </c>
      <c r="H51" s="39">
        <f t="shared" si="16"/>
        <v>224.85756577963684</v>
      </c>
      <c r="I51" s="39">
        <f t="shared" si="16"/>
        <v>227.17437051636881</v>
      </c>
      <c r="J51" s="39">
        <f t="shared" si="16"/>
        <v>229.51712346615216</v>
      </c>
      <c r="K51" s="39">
        <f t="shared" si="16"/>
        <v>231.88611524897308</v>
      </c>
      <c r="L51" s="39">
        <f t="shared" si="16"/>
        <v>234.28163973976157</v>
      </c>
      <c r="M51" s="39">
        <f t="shared" si="16"/>
        <v>236.70399410484691</v>
      </c>
      <c r="N51" s="39">
        <f t="shared" si="16"/>
        <v>239.15347883882123</v>
      </c>
      <c r="O51" s="39">
        <f t="shared" si="16"/>
        <v>241.63039780181603</v>
      </c>
      <c r="P51" s="39">
        <f t="shared" si="16"/>
        <v>244.13505825719639</v>
      </c>
      <c r="Q51" s="39">
        <f t="shared" si="16"/>
        <v>246.66777090967705</v>
      </c>
      <c r="R51" s="39">
        <f t="shared" si="16"/>
        <v>249.22884994386541</v>
      </c>
      <c r="S51" s="39">
        <f t="shared" si="16"/>
        <v>251.81861306323671</v>
      </c>
      <c r="T51" s="39">
        <f t="shared" si="16"/>
        <v>254.43738152954498</v>
      </c>
      <c r="U51" s="39">
        <f t="shared" si="16"/>
        <v>257.08548020267591</v>
      </c>
      <c r="V51" s="39">
        <f t="shared" si="16"/>
        <v>259.76323758094588</v>
      </c>
      <c r="W51" s="39">
        <f t="shared" si="16"/>
        <v>262.47098584185244</v>
      </c>
      <c r="X51" s="39">
        <f t="shared" si="16"/>
        <v>265.20906088328127</v>
      </c>
      <c r="Y51" s="39">
        <f t="shared" si="16"/>
        <v>267.97780236517406</v>
      </c>
      <c r="Z51" s="39">
        <f t="shared" si="16"/>
        <v>270.77755375166396</v>
      </c>
      <c r="AA51" s="39">
        <f t="shared" si="16"/>
        <v>273.60866235368269</v>
      </c>
    </row>
    <row r="52" spans="1:27" s="326" customFormat="1" x14ac:dyDescent="0.3"/>
    <row r="53" spans="1:27" s="326" customFormat="1" ht="18" x14ac:dyDescent="0.35">
      <c r="A53" s="108" t="s">
        <v>162</v>
      </c>
    </row>
    <row r="54" spans="1:27" s="326" customFormat="1" x14ac:dyDescent="0.3">
      <c r="A54" s="45" t="s">
        <v>51</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row>
    <row r="55" spans="1:27" s="326" customFormat="1" x14ac:dyDescent="0.3">
      <c r="C55" s="46" t="s">
        <v>181</v>
      </c>
    </row>
    <row r="56" spans="1:27" s="326" customFormat="1" x14ac:dyDescent="0.3">
      <c r="A56" s="326" t="s">
        <v>40</v>
      </c>
      <c r="B56" s="173">
        <f>'Inputs &amp; Summary'!G95</f>
        <v>78.3</v>
      </c>
      <c r="C56" s="1" t="s">
        <v>184</v>
      </c>
      <c r="F56" s="378" t="s">
        <v>425</v>
      </c>
      <c r="G56" s="83"/>
      <c r="H56" s="83"/>
      <c r="I56" s="83"/>
      <c r="J56" s="83"/>
      <c r="K56" s="83"/>
      <c r="L56" s="83"/>
      <c r="M56" s="83"/>
      <c r="N56" s="83"/>
      <c r="O56" s="83"/>
      <c r="P56" s="83"/>
      <c r="Q56" s="83"/>
      <c r="R56" s="83"/>
      <c r="S56" s="83"/>
      <c r="T56" s="83"/>
      <c r="U56" s="83"/>
      <c r="V56" s="83"/>
      <c r="W56" s="84"/>
    </row>
    <row r="57" spans="1:27" s="326" customFormat="1" x14ac:dyDescent="0.3">
      <c r="A57" s="326" t="s">
        <v>56</v>
      </c>
      <c r="B57" s="173">
        <f>'Inputs &amp; Summary'!G96</f>
        <v>135</v>
      </c>
      <c r="C57" s="1" t="s">
        <v>184</v>
      </c>
      <c r="F57" s="87" t="s">
        <v>420</v>
      </c>
      <c r="G57" s="88"/>
      <c r="H57" s="88"/>
      <c r="I57" s="88"/>
      <c r="J57" s="88"/>
      <c r="K57" s="88"/>
      <c r="L57" s="88"/>
      <c r="M57" s="88"/>
      <c r="N57" s="88"/>
      <c r="O57" s="88"/>
      <c r="P57" s="88"/>
      <c r="Q57" s="88"/>
      <c r="R57" s="88"/>
      <c r="S57" s="88"/>
      <c r="T57" s="88"/>
      <c r="U57" s="88"/>
      <c r="V57" s="88"/>
      <c r="W57" s="89"/>
    </row>
    <row r="58" spans="1:27" s="326" customFormat="1" x14ac:dyDescent="0.3">
      <c r="A58" s="326" t="s">
        <v>260</v>
      </c>
      <c r="B58" s="158">
        <f>'Inputs &amp; Summary'!P117</f>
        <v>0.01</v>
      </c>
      <c r="C58" s="1" t="s">
        <v>185</v>
      </c>
      <c r="F58" s="85" t="s">
        <v>421</v>
      </c>
      <c r="G58" s="72"/>
      <c r="H58" s="72"/>
      <c r="I58" s="72"/>
      <c r="J58" s="72"/>
      <c r="K58" s="72"/>
      <c r="L58" s="72"/>
      <c r="M58" s="72"/>
      <c r="N58" s="72"/>
      <c r="O58" s="72"/>
      <c r="P58" s="72"/>
      <c r="Q58" s="72"/>
      <c r="R58" s="72"/>
      <c r="S58" s="72"/>
      <c r="T58" s="72"/>
      <c r="U58" s="72"/>
      <c r="V58" s="72"/>
      <c r="W58" s="86"/>
    </row>
    <row r="59" spans="1:27" s="326" customFormat="1" x14ac:dyDescent="0.3">
      <c r="A59" s="326" t="s">
        <v>39</v>
      </c>
      <c r="B59" s="160">
        <f>'Inputs &amp; Summary'!P118</f>
        <v>1.2E-2</v>
      </c>
      <c r="C59" s="1" t="s">
        <v>194</v>
      </c>
    </row>
    <row r="60" spans="1:27" s="326" customFormat="1" x14ac:dyDescent="0.3">
      <c r="A60" s="3" t="s">
        <v>3</v>
      </c>
      <c r="B60" s="6">
        <v>0</v>
      </c>
      <c r="C60" s="326">
        <f t="shared" ref="C60:AA61" si="17">+B60+1</f>
        <v>1</v>
      </c>
      <c r="D60" s="326">
        <f t="shared" si="17"/>
        <v>2</v>
      </c>
      <c r="E60" s="326">
        <f t="shared" si="17"/>
        <v>3</v>
      </c>
      <c r="F60" s="326">
        <f t="shared" si="17"/>
        <v>4</v>
      </c>
      <c r="G60" s="326">
        <f t="shared" si="17"/>
        <v>5</v>
      </c>
      <c r="H60" s="326">
        <f t="shared" si="17"/>
        <v>6</v>
      </c>
      <c r="I60" s="326">
        <f t="shared" si="17"/>
        <v>7</v>
      </c>
      <c r="J60" s="326">
        <f t="shared" si="17"/>
        <v>8</v>
      </c>
      <c r="K60" s="326">
        <f t="shared" si="17"/>
        <v>9</v>
      </c>
      <c r="L60" s="326">
        <f t="shared" si="17"/>
        <v>10</v>
      </c>
      <c r="M60" s="326">
        <f t="shared" si="17"/>
        <v>11</v>
      </c>
      <c r="N60" s="326">
        <f t="shared" si="17"/>
        <v>12</v>
      </c>
      <c r="O60" s="326">
        <f t="shared" si="17"/>
        <v>13</v>
      </c>
      <c r="P60" s="326">
        <f t="shared" si="17"/>
        <v>14</v>
      </c>
      <c r="Q60" s="326">
        <f t="shared" si="17"/>
        <v>15</v>
      </c>
      <c r="R60" s="326">
        <f t="shared" si="17"/>
        <v>16</v>
      </c>
      <c r="S60" s="326">
        <f t="shared" si="17"/>
        <v>17</v>
      </c>
      <c r="T60" s="326">
        <f t="shared" si="17"/>
        <v>18</v>
      </c>
      <c r="U60" s="326">
        <f t="shared" si="17"/>
        <v>19</v>
      </c>
      <c r="V60" s="326">
        <f t="shared" si="17"/>
        <v>20</v>
      </c>
      <c r="W60" s="326">
        <f t="shared" si="17"/>
        <v>21</v>
      </c>
      <c r="X60" s="326">
        <f t="shared" si="17"/>
        <v>22</v>
      </c>
      <c r="Y60" s="326">
        <f t="shared" si="17"/>
        <v>23</v>
      </c>
      <c r="Z60" s="326">
        <f t="shared" si="17"/>
        <v>24</v>
      </c>
      <c r="AA60" s="326">
        <f t="shared" si="17"/>
        <v>25</v>
      </c>
    </row>
    <row r="61" spans="1:27" s="326" customFormat="1" x14ac:dyDescent="0.3">
      <c r="A61" s="175" t="s">
        <v>400</v>
      </c>
      <c r="B61" s="19">
        <v>2021</v>
      </c>
      <c r="C61" s="174">
        <f t="shared" si="17"/>
        <v>2022</v>
      </c>
      <c r="D61" s="174">
        <f t="shared" si="17"/>
        <v>2023</v>
      </c>
      <c r="E61" s="174">
        <f t="shared" si="17"/>
        <v>2024</v>
      </c>
      <c r="F61" s="174">
        <f t="shared" si="17"/>
        <v>2025</v>
      </c>
      <c r="G61" s="174">
        <f t="shared" si="17"/>
        <v>2026</v>
      </c>
      <c r="H61" s="174">
        <f t="shared" si="17"/>
        <v>2027</v>
      </c>
      <c r="I61" s="174">
        <f t="shared" si="17"/>
        <v>2028</v>
      </c>
      <c r="J61" s="174">
        <f t="shared" si="17"/>
        <v>2029</v>
      </c>
      <c r="K61" s="174">
        <f t="shared" si="17"/>
        <v>2030</v>
      </c>
      <c r="L61" s="174">
        <f t="shared" si="17"/>
        <v>2031</v>
      </c>
      <c r="M61" s="174">
        <f t="shared" si="17"/>
        <v>2032</v>
      </c>
      <c r="N61" s="174">
        <f t="shared" si="17"/>
        <v>2033</v>
      </c>
      <c r="O61" s="174">
        <f t="shared" si="17"/>
        <v>2034</v>
      </c>
      <c r="P61" s="174">
        <f t="shared" si="17"/>
        <v>2035</v>
      </c>
      <c r="Q61" s="174">
        <f t="shared" si="17"/>
        <v>2036</v>
      </c>
      <c r="R61" s="174">
        <f t="shared" si="17"/>
        <v>2037</v>
      </c>
      <c r="S61" s="174">
        <f t="shared" si="17"/>
        <v>2038</v>
      </c>
      <c r="T61" s="174">
        <f t="shared" si="17"/>
        <v>2039</v>
      </c>
      <c r="U61" s="174">
        <f t="shared" si="17"/>
        <v>2040</v>
      </c>
      <c r="V61" s="174">
        <f t="shared" si="17"/>
        <v>2041</v>
      </c>
      <c r="W61" s="174">
        <f t="shared" si="17"/>
        <v>2042</v>
      </c>
      <c r="X61" s="174">
        <f t="shared" si="17"/>
        <v>2043</v>
      </c>
      <c r="Y61" s="174">
        <f t="shared" si="17"/>
        <v>2044</v>
      </c>
      <c r="Z61" s="174">
        <f t="shared" si="17"/>
        <v>2045</v>
      </c>
      <c r="AA61" s="174">
        <f t="shared" si="17"/>
        <v>2046</v>
      </c>
    </row>
    <row r="62" spans="1:27" s="326" customFormat="1" x14ac:dyDescent="0.3">
      <c r="A62" s="326" t="s">
        <v>259</v>
      </c>
      <c r="B62" s="182">
        <f>+(B56*B57*B58)</f>
        <v>105.705</v>
      </c>
      <c r="C62" s="182">
        <f t="shared" ref="C62:AA62" si="18">$B62*(1+$B59)^C60</f>
        <v>106.97346</v>
      </c>
      <c r="D62" s="182">
        <f t="shared" si="18"/>
        <v>108.25714151999999</v>
      </c>
      <c r="E62" s="182">
        <f t="shared" si="18"/>
        <v>109.55622721824</v>
      </c>
      <c r="F62" s="182">
        <f t="shared" si="18"/>
        <v>110.87090194485887</v>
      </c>
      <c r="G62" s="182">
        <f t="shared" si="18"/>
        <v>112.20135276819718</v>
      </c>
      <c r="H62" s="182">
        <f t="shared" si="18"/>
        <v>113.54776900141553</v>
      </c>
      <c r="I62" s="182">
        <f t="shared" si="18"/>
        <v>114.91034222943254</v>
      </c>
      <c r="J62" s="182">
        <f t="shared" si="18"/>
        <v>116.28926633618572</v>
      </c>
      <c r="K62" s="182">
        <f t="shared" si="18"/>
        <v>117.68473753221994</v>
      </c>
      <c r="L62" s="182">
        <f t="shared" si="18"/>
        <v>119.09695438260658</v>
      </c>
      <c r="M62" s="182">
        <f t="shared" si="18"/>
        <v>120.52611783519787</v>
      </c>
      <c r="N62" s="182">
        <f t="shared" si="18"/>
        <v>121.97243124922024</v>
      </c>
      <c r="O62" s="182">
        <f t="shared" si="18"/>
        <v>123.43610042421088</v>
      </c>
      <c r="P62" s="182">
        <f t="shared" si="18"/>
        <v>124.9173336293014</v>
      </c>
      <c r="Q62" s="182">
        <f t="shared" si="18"/>
        <v>126.41634163285305</v>
      </c>
      <c r="R62" s="182">
        <f t="shared" si="18"/>
        <v>127.93333773244727</v>
      </c>
      <c r="S62" s="182">
        <f t="shared" si="18"/>
        <v>129.46853778523666</v>
      </c>
      <c r="T62" s="182">
        <f t="shared" si="18"/>
        <v>131.02216023865947</v>
      </c>
      <c r="U62" s="182">
        <f t="shared" si="18"/>
        <v>132.59442616152339</v>
      </c>
      <c r="V62" s="182">
        <f t="shared" si="18"/>
        <v>134.18555927546166</v>
      </c>
      <c r="W62" s="182">
        <f t="shared" si="18"/>
        <v>135.79578598676721</v>
      </c>
      <c r="X62" s="182">
        <f t="shared" si="18"/>
        <v>137.4253354186084</v>
      </c>
      <c r="Y62" s="182">
        <f t="shared" si="18"/>
        <v>139.07443944363175</v>
      </c>
      <c r="Z62" s="182">
        <f t="shared" si="18"/>
        <v>140.74333271695531</v>
      </c>
      <c r="AA62" s="182">
        <f t="shared" si="18"/>
        <v>142.43225270955875</v>
      </c>
    </row>
    <row r="63" spans="1:27" s="326" customFormat="1" x14ac:dyDescent="0.3">
      <c r="A63" s="181" t="s">
        <v>258</v>
      </c>
      <c r="B63" s="6">
        <f>+'Inputs &amp; Summary'!$P$119</f>
        <v>60</v>
      </c>
      <c r="C63" s="326">
        <f>+'Inputs &amp; Summary'!$P$119</f>
        <v>60</v>
      </c>
      <c r="D63" s="326">
        <f>+'Inputs &amp; Summary'!$P$119</f>
        <v>60</v>
      </c>
      <c r="E63" s="326">
        <f>+'Inputs &amp; Summary'!$P$119</f>
        <v>60</v>
      </c>
      <c r="F63" s="326">
        <f>+'Inputs &amp; Summary'!$P$119</f>
        <v>60</v>
      </c>
      <c r="G63" s="326">
        <f>+'Inputs &amp; Summary'!$P$119</f>
        <v>60</v>
      </c>
      <c r="H63" s="326">
        <f>+'Inputs &amp; Summary'!$P$119</f>
        <v>60</v>
      </c>
      <c r="I63" s="326">
        <f>+'Inputs &amp; Summary'!$P$119</f>
        <v>60</v>
      </c>
      <c r="J63" s="326">
        <f>+'Inputs &amp; Summary'!$P$119</f>
        <v>60</v>
      </c>
      <c r="K63" s="326">
        <f>+'Inputs &amp; Summary'!$P$119</f>
        <v>60</v>
      </c>
      <c r="L63" s="326">
        <f>+'Inputs &amp; Summary'!$P$119</f>
        <v>60</v>
      </c>
      <c r="M63" s="326">
        <f>+'Inputs &amp; Summary'!$P$119</f>
        <v>60</v>
      </c>
      <c r="N63" s="326">
        <f>+'Inputs &amp; Summary'!$P$119</f>
        <v>60</v>
      </c>
      <c r="O63" s="326">
        <f>+'Inputs &amp; Summary'!$P$119</f>
        <v>60</v>
      </c>
      <c r="P63" s="326">
        <f>+'Inputs &amp; Summary'!$P$119</f>
        <v>60</v>
      </c>
      <c r="Q63" s="326">
        <f>+'Inputs &amp; Summary'!$P$119</f>
        <v>60</v>
      </c>
      <c r="R63" s="326">
        <f>+'Inputs &amp; Summary'!$P$119</f>
        <v>60</v>
      </c>
      <c r="S63" s="326">
        <f>+'Inputs &amp; Summary'!$P$119</f>
        <v>60</v>
      </c>
      <c r="T63" s="326">
        <f>+'Inputs &amp; Summary'!$P$119</f>
        <v>60</v>
      </c>
      <c r="U63" s="326">
        <f>+'Inputs &amp; Summary'!$P$119</f>
        <v>60</v>
      </c>
      <c r="V63" s="326">
        <f>+'Inputs &amp; Summary'!$P$119</f>
        <v>60</v>
      </c>
      <c r="W63" s="326">
        <f>+'Inputs &amp; Summary'!$P$119</f>
        <v>60</v>
      </c>
      <c r="X63" s="326">
        <f>+'Inputs &amp; Summary'!$P$119</f>
        <v>60</v>
      </c>
      <c r="Y63" s="326">
        <f>+'Inputs &amp; Summary'!$P$119</f>
        <v>60</v>
      </c>
      <c r="Z63" s="326">
        <f>+'Inputs &amp; Summary'!$P$119</f>
        <v>60</v>
      </c>
      <c r="AA63" s="326">
        <f>+'Inputs &amp; Summary'!$P$119</f>
        <v>60</v>
      </c>
    </row>
    <row r="64" spans="1:27" s="326" customFormat="1" x14ac:dyDescent="0.3">
      <c r="A64" s="180" t="s">
        <v>57</v>
      </c>
      <c r="B64" s="68">
        <f t="shared" ref="B64:AA64" si="19">B63+B62</f>
        <v>165.70499999999998</v>
      </c>
      <c r="C64" s="68">
        <f t="shared" si="19"/>
        <v>166.97345999999999</v>
      </c>
      <c r="D64" s="68">
        <f t="shared" si="19"/>
        <v>168.25714152</v>
      </c>
      <c r="E64" s="68">
        <f t="shared" si="19"/>
        <v>169.55622721824</v>
      </c>
      <c r="F64" s="68">
        <f t="shared" si="19"/>
        <v>170.87090194485887</v>
      </c>
      <c r="G64" s="68">
        <f t="shared" si="19"/>
        <v>172.20135276819718</v>
      </c>
      <c r="H64" s="68">
        <f t="shared" si="19"/>
        <v>173.54776900141553</v>
      </c>
      <c r="I64" s="68">
        <f t="shared" si="19"/>
        <v>174.91034222943256</v>
      </c>
      <c r="J64" s="68">
        <f t="shared" si="19"/>
        <v>176.28926633618573</v>
      </c>
      <c r="K64" s="68">
        <f t="shared" si="19"/>
        <v>177.68473753221994</v>
      </c>
      <c r="L64" s="68">
        <f t="shared" si="19"/>
        <v>179.09695438260658</v>
      </c>
      <c r="M64" s="68">
        <f t="shared" si="19"/>
        <v>180.52611783519785</v>
      </c>
      <c r="N64" s="68">
        <f t="shared" si="19"/>
        <v>181.97243124922022</v>
      </c>
      <c r="O64" s="68">
        <f t="shared" si="19"/>
        <v>183.43610042421088</v>
      </c>
      <c r="P64" s="68">
        <f t="shared" si="19"/>
        <v>184.9173336293014</v>
      </c>
      <c r="Q64" s="68">
        <f t="shared" si="19"/>
        <v>186.41634163285306</v>
      </c>
      <c r="R64" s="68">
        <f t="shared" si="19"/>
        <v>187.93333773244728</v>
      </c>
      <c r="S64" s="68">
        <f t="shared" si="19"/>
        <v>189.46853778523666</v>
      </c>
      <c r="T64" s="68">
        <f t="shared" si="19"/>
        <v>191.02216023865947</v>
      </c>
      <c r="U64" s="68">
        <f t="shared" si="19"/>
        <v>192.59442616152339</v>
      </c>
      <c r="V64" s="68">
        <f t="shared" si="19"/>
        <v>194.18555927546166</v>
      </c>
      <c r="W64" s="68">
        <f t="shared" si="19"/>
        <v>195.79578598676721</v>
      </c>
      <c r="X64" s="68">
        <f t="shared" si="19"/>
        <v>197.4253354186084</v>
      </c>
      <c r="Y64" s="68">
        <f t="shared" si="19"/>
        <v>199.07443944363175</v>
      </c>
      <c r="Z64" s="68">
        <f t="shared" si="19"/>
        <v>200.74333271695531</v>
      </c>
      <c r="AA64" s="68">
        <f t="shared" si="19"/>
        <v>202.43225270955875</v>
      </c>
    </row>
    <row r="65" spans="1:27" s="326" customFormat="1" x14ac:dyDescent="0.3"/>
    <row r="66" spans="1:27" s="326" customFormat="1" x14ac:dyDescent="0.3">
      <c r="A66" s="45" t="s">
        <v>50</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row>
    <row r="67" spans="1:27" s="326" customFormat="1" x14ac:dyDescent="0.3">
      <c r="C67" s="46" t="s">
        <v>181</v>
      </c>
    </row>
    <row r="68" spans="1:27" s="326" customFormat="1" x14ac:dyDescent="0.3">
      <c r="A68" s="326" t="s">
        <v>40</v>
      </c>
      <c r="B68" s="173">
        <f>'Inputs &amp; Summary'!G95</f>
        <v>78.3</v>
      </c>
      <c r="C68" s="1" t="s">
        <v>184</v>
      </c>
      <c r="F68" s="82" t="s">
        <v>424</v>
      </c>
      <c r="G68" s="83"/>
      <c r="H68" s="83"/>
      <c r="I68" s="83"/>
      <c r="J68" s="83"/>
      <c r="K68" s="83"/>
      <c r="L68" s="83"/>
      <c r="M68" s="83"/>
      <c r="N68" s="83"/>
      <c r="O68" s="83"/>
      <c r="P68" s="83"/>
      <c r="Q68" s="83"/>
      <c r="R68" s="83"/>
      <c r="S68" s="83"/>
      <c r="T68" s="83"/>
      <c r="U68" s="83"/>
      <c r="V68" s="83"/>
      <c r="W68" s="84"/>
    </row>
    <row r="69" spans="1:27" s="326" customFormat="1" x14ac:dyDescent="0.3">
      <c r="A69" s="326" t="s">
        <v>56</v>
      </c>
      <c r="B69" s="173">
        <f>'Inputs &amp; Summary'!G96</f>
        <v>135</v>
      </c>
      <c r="C69" s="1" t="s">
        <v>184</v>
      </c>
      <c r="F69" s="87" t="s">
        <v>423</v>
      </c>
      <c r="G69" s="88"/>
      <c r="H69" s="88"/>
      <c r="I69" s="88"/>
      <c r="J69" s="88"/>
      <c r="K69" s="88"/>
      <c r="L69" s="88"/>
      <c r="M69" s="88"/>
      <c r="N69" s="88"/>
      <c r="O69" s="88"/>
      <c r="P69" s="88"/>
      <c r="Q69" s="88"/>
      <c r="R69" s="88"/>
      <c r="S69" s="88"/>
      <c r="T69" s="88"/>
      <c r="U69" s="88"/>
      <c r="V69" s="88"/>
      <c r="W69" s="89"/>
    </row>
    <row r="70" spans="1:27" s="326" customFormat="1" x14ac:dyDescent="0.3">
      <c r="A70" s="326" t="s">
        <v>257</v>
      </c>
      <c r="B70" s="158">
        <f>'Inputs &amp; Summary'!P121</f>
        <v>1.4999999999999999E-2</v>
      </c>
      <c r="C70" s="1" t="s">
        <v>185</v>
      </c>
      <c r="F70" s="85" t="s">
        <v>422</v>
      </c>
      <c r="G70" s="72"/>
      <c r="H70" s="72"/>
      <c r="I70" s="72"/>
      <c r="J70" s="72"/>
      <c r="K70" s="72"/>
      <c r="L70" s="72"/>
      <c r="M70" s="72"/>
      <c r="N70" s="72"/>
      <c r="O70" s="72"/>
      <c r="P70" s="72"/>
      <c r="Q70" s="72"/>
      <c r="R70" s="72"/>
      <c r="S70" s="72"/>
      <c r="T70" s="72"/>
      <c r="U70" s="72"/>
      <c r="V70" s="72"/>
      <c r="W70" s="86"/>
    </row>
    <row r="71" spans="1:27" s="326" customFormat="1" x14ac:dyDescent="0.3">
      <c r="A71" s="326" t="s">
        <v>39</v>
      </c>
      <c r="B71" s="160">
        <f>'Inputs &amp; Summary'!P122</f>
        <v>1.2E-2</v>
      </c>
      <c r="C71" s="1" t="s">
        <v>194</v>
      </c>
    </row>
    <row r="72" spans="1:27" s="326" customFormat="1" x14ac:dyDescent="0.3">
      <c r="A72" s="3" t="s">
        <v>3</v>
      </c>
      <c r="B72" s="6">
        <v>0</v>
      </c>
      <c r="C72" s="326">
        <f t="shared" ref="C72:AA73" si="20">+B72+1</f>
        <v>1</v>
      </c>
      <c r="D72" s="326">
        <f t="shared" si="20"/>
        <v>2</v>
      </c>
      <c r="E72" s="326">
        <f t="shared" si="20"/>
        <v>3</v>
      </c>
      <c r="F72" s="326">
        <f t="shared" si="20"/>
        <v>4</v>
      </c>
      <c r="G72" s="326">
        <f t="shared" si="20"/>
        <v>5</v>
      </c>
      <c r="H72" s="326">
        <f t="shared" si="20"/>
        <v>6</v>
      </c>
      <c r="I72" s="326">
        <f t="shared" si="20"/>
        <v>7</v>
      </c>
      <c r="J72" s="326">
        <f t="shared" si="20"/>
        <v>8</v>
      </c>
      <c r="K72" s="326">
        <f t="shared" si="20"/>
        <v>9</v>
      </c>
      <c r="L72" s="326">
        <f t="shared" si="20"/>
        <v>10</v>
      </c>
      <c r="M72" s="326">
        <f t="shared" si="20"/>
        <v>11</v>
      </c>
      <c r="N72" s="326">
        <f t="shared" si="20"/>
        <v>12</v>
      </c>
      <c r="O72" s="326">
        <f t="shared" si="20"/>
        <v>13</v>
      </c>
      <c r="P72" s="326">
        <f t="shared" si="20"/>
        <v>14</v>
      </c>
      <c r="Q72" s="326">
        <f t="shared" si="20"/>
        <v>15</v>
      </c>
      <c r="R72" s="326">
        <f t="shared" si="20"/>
        <v>16</v>
      </c>
      <c r="S72" s="326">
        <f t="shared" si="20"/>
        <v>17</v>
      </c>
      <c r="T72" s="326">
        <f t="shared" si="20"/>
        <v>18</v>
      </c>
      <c r="U72" s="326">
        <f t="shared" si="20"/>
        <v>19</v>
      </c>
      <c r="V72" s="326">
        <f t="shared" si="20"/>
        <v>20</v>
      </c>
      <c r="W72" s="326">
        <f t="shared" si="20"/>
        <v>21</v>
      </c>
      <c r="X72" s="326">
        <f t="shared" si="20"/>
        <v>22</v>
      </c>
      <c r="Y72" s="326">
        <f t="shared" si="20"/>
        <v>23</v>
      </c>
      <c r="Z72" s="326">
        <f t="shared" si="20"/>
        <v>24</v>
      </c>
      <c r="AA72" s="326">
        <f t="shared" si="20"/>
        <v>25</v>
      </c>
    </row>
    <row r="73" spans="1:27" s="326" customFormat="1" x14ac:dyDescent="0.3">
      <c r="A73" s="175" t="s">
        <v>400</v>
      </c>
      <c r="B73" s="174">
        <v>2021</v>
      </c>
      <c r="C73" s="174">
        <f t="shared" si="20"/>
        <v>2022</v>
      </c>
      <c r="D73" s="174">
        <f t="shared" si="20"/>
        <v>2023</v>
      </c>
      <c r="E73" s="174">
        <f t="shared" si="20"/>
        <v>2024</v>
      </c>
      <c r="F73" s="174">
        <f t="shared" si="20"/>
        <v>2025</v>
      </c>
      <c r="G73" s="174">
        <f t="shared" si="20"/>
        <v>2026</v>
      </c>
      <c r="H73" s="174">
        <f t="shared" si="20"/>
        <v>2027</v>
      </c>
      <c r="I73" s="174">
        <f t="shared" si="20"/>
        <v>2028</v>
      </c>
      <c r="J73" s="174">
        <f t="shared" si="20"/>
        <v>2029</v>
      </c>
      <c r="K73" s="174">
        <f t="shared" si="20"/>
        <v>2030</v>
      </c>
      <c r="L73" s="174">
        <f t="shared" si="20"/>
        <v>2031</v>
      </c>
      <c r="M73" s="174">
        <f t="shared" si="20"/>
        <v>2032</v>
      </c>
      <c r="N73" s="174">
        <f t="shared" si="20"/>
        <v>2033</v>
      </c>
      <c r="O73" s="174">
        <f t="shared" si="20"/>
        <v>2034</v>
      </c>
      <c r="P73" s="174">
        <f t="shared" si="20"/>
        <v>2035</v>
      </c>
      <c r="Q73" s="174">
        <f t="shared" si="20"/>
        <v>2036</v>
      </c>
      <c r="R73" s="174">
        <f t="shared" si="20"/>
        <v>2037</v>
      </c>
      <c r="S73" s="174">
        <f t="shared" si="20"/>
        <v>2038</v>
      </c>
      <c r="T73" s="174">
        <f t="shared" si="20"/>
        <v>2039</v>
      </c>
      <c r="U73" s="174">
        <f t="shared" si="20"/>
        <v>2040</v>
      </c>
      <c r="V73" s="174">
        <f t="shared" si="20"/>
        <v>2041</v>
      </c>
      <c r="W73" s="174">
        <f t="shared" si="20"/>
        <v>2042</v>
      </c>
      <c r="X73" s="174">
        <f t="shared" si="20"/>
        <v>2043</v>
      </c>
      <c r="Y73" s="174">
        <f t="shared" si="20"/>
        <v>2044</v>
      </c>
      <c r="Z73" s="174">
        <f t="shared" si="20"/>
        <v>2045</v>
      </c>
      <c r="AA73" s="174">
        <f t="shared" si="20"/>
        <v>2046</v>
      </c>
    </row>
    <row r="74" spans="1:27" s="326" customFormat="1" x14ac:dyDescent="0.3">
      <c r="A74" s="1" t="s">
        <v>58</v>
      </c>
      <c r="B74" s="24">
        <f>+(B68*B69*B70)</f>
        <v>158.5575</v>
      </c>
      <c r="C74" s="24">
        <f t="shared" ref="C74:AA74" si="21">+$B$74*(1+$B$71)^C72</f>
        <v>160.46019000000001</v>
      </c>
      <c r="D74" s="24">
        <f t="shared" si="21"/>
        <v>162.38571228000001</v>
      </c>
      <c r="E74" s="24">
        <f t="shared" si="21"/>
        <v>164.33434082735999</v>
      </c>
      <c r="F74" s="24">
        <f t="shared" si="21"/>
        <v>166.30635291728831</v>
      </c>
      <c r="G74" s="24">
        <f t="shared" si="21"/>
        <v>168.30202915229577</v>
      </c>
      <c r="H74" s="24">
        <f t="shared" si="21"/>
        <v>170.3216535021233</v>
      </c>
      <c r="I74" s="24">
        <f t="shared" si="21"/>
        <v>172.36551334414881</v>
      </c>
      <c r="J74" s="24">
        <f t="shared" si="21"/>
        <v>174.4338995042786</v>
      </c>
      <c r="K74" s="24">
        <f t="shared" si="21"/>
        <v>176.52710629832993</v>
      </c>
      <c r="L74" s="24">
        <f t="shared" si="21"/>
        <v>178.64543157390989</v>
      </c>
      <c r="M74" s="24">
        <f t="shared" si="21"/>
        <v>180.78917675279681</v>
      </c>
      <c r="N74" s="24">
        <f t="shared" si="21"/>
        <v>182.95864687383036</v>
      </c>
      <c r="O74" s="24">
        <f t="shared" si="21"/>
        <v>185.1541506363163</v>
      </c>
      <c r="P74" s="24">
        <f t="shared" si="21"/>
        <v>187.37600044395211</v>
      </c>
      <c r="Q74" s="24">
        <f t="shared" si="21"/>
        <v>189.62451244927956</v>
      </c>
      <c r="R74" s="24">
        <f t="shared" si="21"/>
        <v>191.90000659867093</v>
      </c>
      <c r="S74" s="24">
        <f t="shared" si="21"/>
        <v>194.20280667785499</v>
      </c>
      <c r="T74" s="24">
        <f t="shared" si="21"/>
        <v>196.53324035798923</v>
      </c>
      <c r="U74" s="24">
        <f t="shared" si="21"/>
        <v>198.89163924228512</v>
      </c>
      <c r="V74" s="24">
        <f t="shared" si="21"/>
        <v>201.2783389131925</v>
      </c>
      <c r="W74" s="24">
        <f t="shared" si="21"/>
        <v>203.69367898015085</v>
      </c>
      <c r="X74" s="24">
        <f t="shared" si="21"/>
        <v>206.13800312791261</v>
      </c>
      <c r="Y74" s="24">
        <f t="shared" si="21"/>
        <v>208.61165916544761</v>
      </c>
      <c r="Z74" s="24">
        <f t="shared" si="21"/>
        <v>211.11499907543296</v>
      </c>
      <c r="AA74" s="24">
        <f t="shared" si="21"/>
        <v>213.64837906433814</v>
      </c>
    </row>
    <row r="75" spans="1:27" s="326" customFormat="1" x14ac:dyDescent="0.3"/>
    <row r="76" spans="1:27" s="326" customFormat="1" x14ac:dyDescent="0.3">
      <c r="A76" s="45" t="s">
        <v>21</v>
      </c>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row>
    <row r="77" spans="1:27" s="326" customFormat="1" x14ac:dyDescent="0.3">
      <c r="C77" s="46" t="s">
        <v>181</v>
      </c>
    </row>
    <row r="78" spans="1:27" s="326" customFormat="1" x14ac:dyDescent="0.3">
      <c r="A78" s="326" t="s">
        <v>113</v>
      </c>
      <c r="B78" s="179">
        <f>'Inputs &amp; Summary'!Q81</f>
        <v>47.828616539314339</v>
      </c>
      <c r="C78" s="1" t="s">
        <v>184</v>
      </c>
    </row>
    <row r="79" spans="1:27" s="326" customFormat="1" x14ac:dyDescent="0.3">
      <c r="A79" s="326" t="s">
        <v>114</v>
      </c>
      <c r="B79" s="32">
        <f>'Inputs &amp; Summary'!G84</f>
        <v>193220.91</v>
      </c>
      <c r="C79" s="1" t="s">
        <v>184</v>
      </c>
      <c r="F79" s="378" t="s">
        <v>428</v>
      </c>
      <c r="G79" s="83"/>
      <c r="H79" s="83"/>
      <c r="I79" s="83"/>
      <c r="J79" s="83"/>
      <c r="K79" s="83"/>
      <c r="L79" s="83"/>
      <c r="M79" s="83"/>
      <c r="N79" s="83"/>
      <c r="O79" s="83"/>
      <c r="P79" s="83"/>
      <c r="Q79" s="83"/>
      <c r="R79" s="83"/>
      <c r="S79" s="83"/>
      <c r="T79" s="83"/>
      <c r="U79" s="83"/>
      <c r="V79" s="83"/>
      <c r="W79" s="84"/>
    </row>
    <row r="80" spans="1:27" s="326" customFormat="1" x14ac:dyDescent="0.3">
      <c r="A80" s="326" t="s">
        <v>44</v>
      </c>
      <c r="B80" s="178">
        <f>'Inputs &amp; Summary'!Q85</f>
        <v>1.12E-2</v>
      </c>
      <c r="C80" s="1" t="s">
        <v>184</v>
      </c>
      <c r="F80" s="87" t="s">
        <v>426</v>
      </c>
      <c r="G80" s="88"/>
      <c r="H80" s="88"/>
      <c r="I80" s="88"/>
      <c r="J80" s="88"/>
      <c r="K80" s="88"/>
      <c r="L80" s="88"/>
      <c r="M80" s="88"/>
      <c r="N80" s="88"/>
      <c r="O80" s="88"/>
      <c r="P80" s="88"/>
      <c r="Q80" s="88"/>
      <c r="R80" s="88"/>
      <c r="S80" s="88"/>
      <c r="T80" s="88"/>
      <c r="U80" s="88"/>
      <c r="V80" s="88"/>
      <c r="W80" s="89"/>
    </row>
    <row r="81" spans="1:27" s="326" customFormat="1" x14ac:dyDescent="0.3">
      <c r="A81" s="326" t="s">
        <v>115</v>
      </c>
      <c r="B81" s="157">
        <f>'Inputs &amp; Summary'!P124</f>
        <v>0.02</v>
      </c>
      <c r="C81" s="1" t="s">
        <v>185</v>
      </c>
      <c r="F81" s="85" t="s">
        <v>427</v>
      </c>
      <c r="G81" s="72"/>
      <c r="H81" s="72"/>
      <c r="I81" s="72"/>
      <c r="J81" s="72"/>
      <c r="K81" s="72"/>
      <c r="L81" s="72"/>
      <c r="M81" s="72"/>
      <c r="N81" s="72"/>
      <c r="O81" s="72"/>
      <c r="P81" s="72"/>
      <c r="Q81" s="72"/>
      <c r="R81" s="72"/>
      <c r="S81" s="72"/>
      <c r="T81" s="72"/>
      <c r="U81" s="72"/>
      <c r="V81" s="72"/>
      <c r="W81" s="86"/>
    </row>
    <row r="82" spans="1:27" s="326" customFormat="1" x14ac:dyDescent="0.3">
      <c r="A82" s="326" t="s">
        <v>116</v>
      </c>
      <c r="B82" s="118">
        <f>+B78*B79*B81/1000</f>
        <v>184.82977623534734</v>
      </c>
      <c r="C82" s="1" t="s">
        <v>188</v>
      </c>
    </row>
    <row r="83" spans="1:27" s="326" customFormat="1" x14ac:dyDescent="0.3">
      <c r="A83" s="3" t="s">
        <v>3</v>
      </c>
      <c r="B83" s="326">
        <v>0</v>
      </c>
      <c r="C83" s="326">
        <f t="shared" ref="C83:AA84" si="22">+B83+1</f>
        <v>1</v>
      </c>
      <c r="D83" s="326">
        <f t="shared" si="22"/>
        <v>2</v>
      </c>
      <c r="E83" s="326">
        <f t="shared" si="22"/>
        <v>3</v>
      </c>
      <c r="F83" s="326">
        <f t="shared" si="22"/>
        <v>4</v>
      </c>
      <c r="G83" s="326">
        <f t="shared" si="22"/>
        <v>5</v>
      </c>
      <c r="H83" s="326">
        <f t="shared" si="22"/>
        <v>6</v>
      </c>
      <c r="I83" s="326">
        <f t="shared" si="22"/>
        <v>7</v>
      </c>
      <c r="J83" s="326">
        <f t="shared" si="22"/>
        <v>8</v>
      </c>
      <c r="K83" s="326">
        <f t="shared" si="22"/>
        <v>9</v>
      </c>
      <c r="L83" s="326">
        <f t="shared" si="22"/>
        <v>10</v>
      </c>
      <c r="M83" s="326">
        <f t="shared" si="22"/>
        <v>11</v>
      </c>
      <c r="N83" s="326">
        <f t="shared" si="22"/>
        <v>12</v>
      </c>
      <c r="O83" s="326">
        <f t="shared" si="22"/>
        <v>13</v>
      </c>
      <c r="P83" s="326">
        <f t="shared" si="22"/>
        <v>14</v>
      </c>
      <c r="Q83" s="326">
        <f t="shared" si="22"/>
        <v>15</v>
      </c>
      <c r="R83" s="326">
        <f t="shared" si="22"/>
        <v>16</v>
      </c>
      <c r="S83" s="326">
        <f t="shared" si="22"/>
        <v>17</v>
      </c>
      <c r="T83" s="326">
        <f t="shared" si="22"/>
        <v>18</v>
      </c>
      <c r="U83" s="326">
        <f t="shared" si="22"/>
        <v>19</v>
      </c>
      <c r="V83" s="326">
        <f t="shared" si="22"/>
        <v>20</v>
      </c>
      <c r="W83" s="326">
        <f t="shared" si="22"/>
        <v>21</v>
      </c>
      <c r="X83" s="326">
        <f t="shared" si="22"/>
        <v>22</v>
      </c>
      <c r="Y83" s="326">
        <f t="shared" si="22"/>
        <v>23</v>
      </c>
      <c r="Z83" s="326">
        <f t="shared" si="22"/>
        <v>24</v>
      </c>
      <c r="AA83" s="326">
        <f t="shared" si="22"/>
        <v>25</v>
      </c>
    </row>
    <row r="84" spans="1:27" s="326" customFormat="1" x14ac:dyDescent="0.3">
      <c r="A84" s="175" t="s">
        <v>400</v>
      </c>
      <c r="B84" s="174">
        <v>2021</v>
      </c>
      <c r="C84" s="174">
        <f t="shared" si="22"/>
        <v>2022</v>
      </c>
      <c r="D84" s="174">
        <f t="shared" si="22"/>
        <v>2023</v>
      </c>
      <c r="E84" s="174">
        <f t="shared" si="22"/>
        <v>2024</v>
      </c>
      <c r="F84" s="174">
        <f t="shared" si="22"/>
        <v>2025</v>
      </c>
      <c r="G84" s="174">
        <f t="shared" si="22"/>
        <v>2026</v>
      </c>
      <c r="H84" s="174">
        <f t="shared" si="22"/>
        <v>2027</v>
      </c>
      <c r="I84" s="174">
        <f t="shared" si="22"/>
        <v>2028</v>
      </c>
      <c r="J84" s="174">
        <f t="shared" si="22"/>
        <v>2029</v>
      </c>
      <c r="K84" s="174">
        <f t="shared" si="22"/>
        <v>2030</v>
      </c>
      <c r="L84" s="174">
        <f t="shared" si="22"/>
        <v>2031</v>
      </c>
      <c r="M84" s="174">
        <f t="shared" si="22"/>
        <v>2032</v>
      </c>
      <c r="N84" s="174">
        <f t="shared" si="22"/>
        <v>2033</v>
      </c>
      <c r="O84" s="174">
        <f t="shared" si="22"/>
        <v>2034</v>
      </c>
      <c r="P84" s="174">
        <f t="shared" si="22"/>
        <v>2035</v>
      </c>
      <c r="Q84" s="174">
        <f t="shared" si="22"/>
        <v>2036</v>
      </c>
      <c r="R84" s="174">
        <f t="shared" si="22"/>
        <v>2037</v>
      </c>
      <c r="S84" s="174">
        <f t="shared" si="22"/>
        <v>2038</v>
      </c>
      <c r="T84" s="174">
        <f t="shared" si="22"/>
        <v>2039</v>
      </c>
      <c r="U84" s="174">
        <f t="shared" si="22"/>
        <v>2040</v>
      </c>
      <c r="V84" s="174">
        <f t="shared" si="22"/>
        <v>2041</v>
      </c>
      <c r="W84" s="174">
        <f t="shared" si="22"/>
        <v>2042</v>
      </c>
      <c r="X84" s="174">
        <f t="shared" si="22"/>
        <v>2043</v>
      </c>
      <c r="Y84" s="174">
        <f t="shared" si="22"/>
        <v>2044</v>
      </c>
      <c r="Z84" s="174">
        <f t="shared" si="22"/>
        <v>2045</v>
      </c>
      <c r="AA84" s="174">
        <f t="shared" si="22"/>
        <v>2046</v>
      </c>
    </row>
    <row r="85" spans="1:27" s="326" customFormat="1" x14ac:dyDescent="0.3">
      <c r="A85" s="1" t="s">
        <v>59</v>
      </c>
      <c r="B85" s="24">
        <f>+B82</f>
        <v>184.82977623534734</v>
      </c>
      <c r="C85" s="24">
        <f t="shared" ref="C85:AA85" si="23">+$B$85*(1+$B$80)^C83</f>
        <v>186.89986972918325</v>
      </c>
      <c r="D85" s="24">
        <f t="shared" si="23"/>
        <v>188.9931482701501</v>
      </c>
      <c r="E85" s="24">
        <f t="shared" si="23"/>
        <v>191.10987153077579</v>
      </c>
      <c r="F85" s="24">
        <f t="shared" si="23"/>
        <v>193.2503020919205</v>
      </c>
      <c r="G85" s="24">
        <f t="shared" si="23"/>
        <v>195.41470547535002</v>
      </c>
      <c r="H85" s="24">
        <f t="shared" si="23"/>
        <v>197.60335017667396</v>
      </c>
      <c r="I85" s="24">
        <f t="shared" si="23"/>
        <v>199.81650769865274</v>
      </c>
      <c r="J85" s="24">
        <f t="shared" si="23"/>
        <v>202.05445258487765</v>
      </c>
      <c r="K85" s="24">
        <f t="shared" si="23"/>
        <v>204.31746245382831</v>
      </c>
      <c r="L85" s="24">
        <f t="shared" si="23"/>
        <v>206.60581803331118</v>
      </c>
      <c r="M85" s="24">
        <f t="shared" si="23"/>
        <v>208.91980319528429</v>
      </c>
      <c r="N85" s="24">
        <f t="shared" si="23"/>
        <v>211.25970499107149</v>
      </c>
      <c r="O85" s="24">
        <f t="shared" si="23"/>
        <v>213.6258136869715</v>
      </c>
      <c r="P85" s="24">
        <f t="shared" si="23"/>
        <v>216.0184228002656</v>
      </c>
      <c r="Q85" s="24">
        <f t="shared" si="23"/>
        <v>218.43782913562862</v>
      </c>
      <c r="R85" s="24">
        <f t="shared" si="23"/>
        <v>220.88433282194765</v>
      </c>
      <c r="S85" s="24">
        <f t="shared" si="23"/>
        <v>223.35823734955346</v>
      </c>
      <c r="T85" s="24">
        <f t="shared" si="23"/>
        <v>225.85984960786848</v>
      </c>
      <c r="U85" s="24">
        <f t="shared" si="23"/>
        <v>228.38947992347664</v>
      </c>
      <c r="V85" s="24">
        <f t="shared" si="23"/>
        <v>230.9474420986196</v>
      </c>
      <c r="W85" s="24">
        <f t="shared" si="23"/>
        <v>233.53405345012411</v>
      </c>
      <c r="X85" s="24">
        <f t="shared" si="23"/>
        <v>236.14963484876554</v>
      </c>
      <c r="Y85" s="24">
        <f t="shared" si="23"/>
        <v>238.79451075907176</v>
      </c>
      <c r="Z85" s="24">
        <f t="shared" si="23"/>
        <v>241.46900927957333</v>
      </c>
      <c r="AA85" s="24">
        <f t="shared" si="23"/>
        <v>244.17346218350463</v>
      </c>
    </row>
    <row r="86" spans="1:27" s="326" customFormat="1" x14ac:dyDescent="0.3"/>
    <row r="87" spans="1:27" s="326" customFormat="1" x14ac:dyDescent="0.3">
      <c r="A87" s="17" t="s">
        <v>69</v>
      </c>
      <c r="B87" s="17">
        <f t="shared" ref="B87:AA87" si="24">+B61</f>
        <v>2021</v>
      </c>
      <c r="C87" s="17">
        <f t="shared" si="24"/>
        <v>2022</v>
      </c>
      <c r="D87" s="17">
        <f t="shared" si="24"/>
        <v>2023</v>
      </c>
      <c r="E87" s="17">
        <f t="shared" si="24"/>
        <v>2024</v>
      </c>
      <c r="F87" s="17">
        <f t="shared" si="24"/>
        <v>2025</v>
      </c>
      <c r="G87" s="17">
        <f t="shared" si="24"/>
        <v>2026</v>
      </c>
      <c r="H87" s="17">
        <f t="shared" si="24"/>
        <v>2027</v>
      </c>
      <c r="I87" s="17">
        <f t="shared" si="24"/>
        <v>2028</v>
      </c>
      <c r="J87" s="17">
        <f t="shared" si="24"/>
        <v>2029</v>
      </c>
      <c r="K87" s="17">
        <f t="shared" si="24"/>
        <v>2030</v>
      </c>
      <c r="L87" s="17">
        <f t="shared" si="24"/>
        <v>2031</v>
      </c>
      <c r="M87" s="17">
        <f t="shared" si="24"/>
        <v>2032</v>
      </c>
      <c r="N87" s="17">
        <f t="shared" si="24"/>
        <v>2033</v>
      </c>
      <c r="O87" s="17">
        <f t="shared" si="24"/>
        <v>2034</v>
      </c>
      <c r="P87" s="17">
        <f t="shared" si="24"/>
        <v>2035</v>
      </c>
      <c r="Q87" s="17">
        <f t="shared" si="24"/>
        <v>2036</v>
      </c>
      <c r="R87" s="17">
        <f t="shared" si="24"/>
        <v>2037</v>
      </c>
      <c r="S87" s="17">
        <f t="shared" si="24"/>
        <v>2038</v>
      </c>
      <c r="T87" s="17">
        <f t="shared" si="24"/>
        <v>2039</v>
      </c>
      <c r="U87" s="17">
        <f t="shared" si="24"/>
        <v>2040</v>
      </c>
      <c r="V87" s="17">
        <f t="shared" si="24"/>
        <v>2041</v>
      </c>
      <c r="W87" s="17">
        <f t="shared" si="24"/>
        <v>2042</v>
      </c>
      <c r="X87" s="17">
        <f t="shared" si="24"/>
        <v>2043</v>
      </c>
      <c r="Y87" s="17">
        <f t="shared" si="24"/>
        <v>2044</v>
      </c>
      <c r="Z87" s="17">
        <f t="shared" si="24"/>
        <v>2045</v>
      </c>
      <c r="AA87" s="17">
        <f t="shared" si="24"/>
        <v>2046</v>
      </c>
    </row>
    <row r="88" spans="1:27" s="1" customFormat="1" ht="15" thickBot="1" x14ac:dyDescent="0.35">
      <c r="A88" s="38" t="s">
        <v>55</v>
      </c>
      <c r="B88" s="39">
        <f t="shared" ref="B88:AA88" si="25">+B85+B74+B64</f>
        <v>509.09227623534736</v>
      </c>
      <c r="C88" s="39">
        <f t="shared" si="25"/>
        <v>514.33351972918331</v>
      </c>
      <c r="D88" s="39">
        <f t="shared" si="25"/>
        <v>519.63600207015008</v>
      </c>
      <c r="E88" s="39">
        <f t="shared" si="25"/>
        <v>525.00043957637581</v>
      </c>
      <c r="F88" s="39">
        <f t="shared" si="25"/>
        <v>530.42755695406777</v>
      </c>
      <c r="G88" s="39">
        <f t="shared" si="25"/>
        <v>535.91808739584303</v>
      </c>
      <c r="H88" s="39">
        <f t="shared" si="25"/>
        <v>541.47277268021276</v>
      </c>
      <c r="I88" s="39">
        <f t="shared" si="25"/>
        <v>547.09236327223414</v>
      </c>
      <c r="J88" s="39">
        <f t="shared" si="25"/>
        <v>552.77761842534198</v>
      </c>
      <c r="K88" s="39">
        <f t="shared" si="25"/>
        <v>558.52930628437821</v>
      </c>
      <c r="L88" s="39">
        <f t="shared" si="25"/>
        <v>564.34820398982765</v>
      </c>
      <c r="M88" s="39">
        <f t="shared" si="25"/>
        <v>570.23509778327889</v>
      </c>
      <c r="N88" s="39">
        <f t="shared" si="25"/>
        <v>576.19078311412204</v>
      </c>
      <c r="O88" s="39">
        <f t="shared" si="25"/>
        <v>582.21606474749865</v>
      </c>
      <c r="P88" s="39">
        <f t="shared" si="25"/>
        <v>588.31175687351913</v>
      </c>
      <c r="Q88" s="39">
        <f t="shared" si="25"/>
        <v>594.47868321776127</v>
      </c>
      <c r="R88" s="39">
        <f t="shared" si="25"/>
        <v>600.71767715306589</v>
      </c>
      <c r="S88" s="39">
        <f t="shared" si="25"/>
        <v>607.02958181264512</v>
      </c>
      <c r="T88" s="39">
        <f t="shared" si="25"/>
        <v>613.41525020451718</v>
      </c>
      <c r="U88" s="39">
        <f t="shared" si="25"/>
        <v>619.87554532728518</v>
      </c>
      <c r="V88" s="39">
        <f t="shared" si="25"/>
        <v>626.41134028727379</v>
      </c>
      <c r="W88" s="39">
        <f t="shared" si="25"/>
        <v>633.02351841704217</v>
      </c>
      <c r="X88" s="39">
        <f t="shared" si="25"/>
        <v>639.71297339528655</v>
      </c>
      <c r="Y88" s="39">
        <f t="shared" si="25"/>
        <v>646.48060936815114</v>
      </c>
      <c r="Z88" s="39">
        <f t="shared" si="25"/>
        <v>653.32734107196165</v>
      </c>
      <c r="AA88" s="39">
        <f t="shared" si="25"/>
        <v>660.25409395740155</v>
      </c>
    </row>
    <row r="89" spans="1:27" s="30" customFormat="1" x14ac:dyDescent="0.3">
      <c r="A89" s="14"/>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row>
    <row r="90" spans="1:27" s="326" customFormat="1" ht="18" x14ac:dyDescent="0.35">
      <c r="A90" s="108" t="s">
        <v>163</v>
      </c>
    </row>
    <row r="91" spans="1:27" s="326" customFormat="1" x14ac:dyDescent="0.3">
      <c r="A91" s="45" t="s">
        <v>419</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row>
    <row r="92" spans="1:27" s="326" customFormat="1" x14ac:dyDescent="0.3">
      <c r="A92" s="1"/>
      <c r="C92" s="46" t="s">
        <v>181</v>
      </c>
    </row>
    <row r="93" spans="1:27" s="326" customFormat="1" x14ac:dyDescent="0.3">
      <c r="A93" s="326" t="s">
        <v>28</v>
      </c>
      <c r="B93" s="32">
        <f>'Inputs &amp; Summary'!G98</f>
        <v>4557</v>
      </c>
      <c r="C93" s="1" t="s">
        <v>184</v>
      </c>
    </row>
    <row r="94" spans="1:27" s="326" customFormat="1" x14ac:dyDescent="0.3">
      <c r="A94" s="326" t="s">
        <v>29</v>
      </c>
      <c r="B94" s="173">
        <f>'Inputs &amp; Summary'!Q99</f>
        <v>3</v>
      </c>
      <c r="C94" s="1" t="s">
        <v>184</v>
      </c>
      <c r="F94" s="82" t="s">
        <v>148</v>
      </c>
      <c r="G94" s="83"/>
      <c r="H94" s="83"/>
      <c r="I94" s="83"/>
      <c r="J94" s="83"/>
      <c r="K94" s="83"/>
      <c r="L94" s="83"/>
      <c r="M94" s="83"/>
      <c r="N94" s="83"/>
      <c r="O94" s="83"/>
      <c r="P94" s="83"/>
      <c r="Q94" s="84"/>
    </row>
    <row r="95" spans="1:27" s="326" customFormat="1" x14ac:dyDescent="0.3">
      <c r="A95" s="326" t="s">
        <v>34</v>
      </c>
      <c r="B95" s="161">
        <f>'Inputs &amp; Summary'!P137</f>
        <v>0.01</v>
      </c>
      <c r="C95" s="1" t="s">
        <v>189</v>
      </c>
      <c r="D95" s="31"/>
      <c r="F95" s="87" t="s">
        <v>147</v>
      </c>
      <c r="G95" s="88"/>
      <c r="H95" s="88"/>
      <c r="I95" s="88"/>
      <c r="J95" s="88"/>
      <c r="K95" s="88"/>
      <c r="L95" s="88"/>
      <c r="M95" s="88"/>
      <c r="N95" s="88"/>
      <c r="O95" s="88"/>
      <c r="P95" s="88"/>
      <c r="Q95" s="89"/>
    </row>
    <row r="96" spans="1:27" s="326" customFormat="1" x14ac:dyDescent="0.3">
      <c r="A96" s="326" t="s">
        <v>33</v>
      </c>
      <c r="B96" s="6">
        <f>'Inputs &amp; Summary'!P138</f>
        <v>750</v>
      </c>
      <c r="C96" s="1" t="s">
        <v>190</v>
      </c>
      <c r="F96" s="85" t="s">
        <v>438</v>
      </c>
      <c r="G96" s="72"/>
      <c r="H96" s="72"/>
      <c r="I96" s="72"/>
      <c r="J96" s="72"/>
      <c r="K96" s="72"/>
      <c r="L96" s="72"/>
      <c r="M96" s="72"/>
      <c r="N96" s="72"/>
      <c r="O96" s="72"/>
      <c r="P96" s="72"/>
      <c r="Q96" s="86"/>
    </row>
    <row r="97" spans="1:27" s="326" customFormat="1" x14ac:dyDescent="0.3">
      <c r="A97" s="326" t="s">
        <v>32</v>
      </c>
      <c r="B97" s="6">
        <f>'Inputs &amp; Summary'!P139</f>
        <v>75</v>
      </c>
      <c r="C97" s="1" t="s">
        <v>190</v>
      </c>
    </row>
    <row r="98" spans="1:27" s="326" customFormat="1" x14ac:dyDescent="0.3">
      <c r="A98" s="326" t="s">
        <v>62</v>
      </c>
      <c r="B98" s="54">
        <f>'Inputs &amp; Summary'!P140</f>
        <v>2.5000000000000001E-2</v>
      </c>
      <c r="C98" s="1" t="s">
        <v>191</v>
      </c>
    </row>
    <row r="99" spans="1:27" s="326" customFormat="1" x14ac:dyDescent="0.3">
      <c r="A99" s="3" t="s">
        <v>3</v>
      </c>
      <c r="B99" s="326">
        <v>0</v>
      </c>
      <c r="C99" s="326">
        <f t="shared" ref="C99:AA100" si="26">+B99+1</f>
        <v>1</v>
      </c>
      <c r="D99" s="326">
        <f t="shared" si="26"/>
        <v>2</v>
      </c>
      <c r="E99" s="326">
        <f t="shared" si="26"/>
        <v>3</v>
      </c>
      <c r="F99" s="326">
        <f t="shared" si="26"/>
        <v>4</v>
      </c>
      <c r="G99" s="326">
        <f t="shared" si="26"/>
        <v>5</v>
      </c>
      <c r="H99" s="326">
        <f t="shared" si="26"/>
        <v>6</v>
      </c>
      <c r="I99" s="326">
        <f t="shared" si="26"/>
        <v>7</v>
      </c>
      <c r="J99" s="326">
        <f t="shared" si="26"/>
        <v>8</v>
      </c>
      <c r="K99" s="326">
        <f t="shared" si="26"/>
        <v>9</v>
      </c>
      <c r="L99" s="326">
        <f t="shared" si="26"/>
        <v>10</v>
      </c>
      <c r="M99" s="326">
        <f t="shared" si="26"/>
        <v>11</v>
      </c>
      <c r="N99" s="326">
        <f t="shared" si="26"/>
        <v>12</v>
      </c>
      <c r="O99" s="326">
        <f t="shared" si="26"/>
        <v>13</v>
      </c>
      <c r="P99" s="326">
        <f t="shared" si="26"/>
        <v>14</v>
      </c>
      <c r="Q99" s="326">
        <f t="shared" si="26"/>
        <v>15</v>
      </c>
      <c r="R99" s="326">
        <f t="shared" si="26"/>
        <v>16</v>
      </c>
      <c r="S99" s="326">
        <f t="shared" si="26"/>
        <v>17</v>
      </c>
      <c r="T99" s="326">
        <f t="shared" si="26"/>
        <v>18</v>
      </c>
      <c r="U99" s="326">
        <f t="shared" si="26"/>
        <v>19</v>
      </c>
      <c r="V99" s="326">
        <f t="shared" si="26"/>
        <v>20</v>
      </c>
      <c r="W99" s="326">
        <f t="shared" si="26"/>
        <v>21</v>
      </c>
      <c r="X99" s="326">
        <f t="shared" si="26"/>
        <v>22</v>
      </c>
      <c r="Y99" s="326">
        <f t="shared" si="26"/>
        <v>23</v>
      </c>
      <c r="Z99" s="326">
        <f t="shared" si="26"/>
        <v>24</v>
      </c>
      <c r="AA99" s="326">
        <f t="shared" si="26"/>
        <v>25</v>
      </c>
    </row>
    <row r="100" spans="1:27" s="326" customFormat="1" x14ac:dyDescent="0.3">
      <c r="A100" s="175" t="s">
        <v>400</v>
      </c>
      <c r="B100" s="174">
        <v>2021</v>
      </c>
      <c r="C100" s="174">
        <f t="shared" si="26"/>
        <v>2022</v>
      </c>
      <c r="D100" s="174">
        <f t="shared" si="26"/>
        <v>2023</v>
      </c>
      <c r="E100" s="174">
        <f t="shared" si="26"/>
        <v>2024</v>
      </c>
      <c r="F100" s="174">
        <f t="shared" si="26"/>
        <v>2025</v>
      </c>
      <c r="G100" s="174">
        <f t="shared" si="26"/>
        <v>2026</v>
      </c>
      <c r="H100" s="174">
        <f t="shared" si="26"/>
        <v>2027</v>
      </c>
      <c r="I100" s="174">
        <f t="shared" si="26"/>
        <v>2028</v>
      </c>
      <c r="J100" s="174">
        <f t="shared" si="26"/>
        <v>2029</v>
      </c>
      <c r="K100" s="174">
        <f t="shared" si="26"/>
        <v>2030</v>
      </c>
      <c r="L100" s="174">
        <f t="shared" si="26"/>
        <v>2031</v>
      </c>
      <c r="M100" s="174">
        <f t="shared" si="26"/>
        <v>2032</v>
      </c>
      <c r="N100" s="174">
        <f t="shared" si="26"/>
        <v>2033</v>
      </c>
      <c r="O100" s="174">
        <f t="shared" si="26"/>
        <v>2034</v>
      </c>
      <c r="P100" s="174">
        <f t="shared" si="26"/>
        <v>2035</v>
      </c>
      <c r="Q100" s="174">
        <f t="shared" si="26"/>
        <v>2036</v>
      </c>
      <c r="R100" s="174">
        <f t="shared" si="26"/>
        <v>2037</v>
      </c>
      <c r="S100" s="174">
        <f t="shared" si="26"/>
        <v>2038</v>
      </c>
      <c r="T100" s="174">
        <f t="shared" si="26"/>
        <v>2039</v>
      </c>
      <c r="U100" s="174">
        <f t="shared" si="26"/>
        <v>2040</v>
      </c>
      <c r="V100" s="174">
        <f t="shared" si="26"/>
        <v>2041</v>
      </c>
      <c r="W100" s="174">
        <f t="shared" si="26"/>
        <v>2042</v>
      </c>
      <c r="X100" s="174">
        <f t="shared" si="26"/>
        <v>2043</v>
      </c>
      <c r="Y100" s="174">
        <f t="shared" si="26"/>
        <v>2044</v>
      </c>
      <c r="Z100" s="174">
        <f t="shared" si="26"/>
        <v>2045</v>
      </c>
      <c r="AA100" s="174">
        <f t="shared" si="26"/>
        <v>2046</v>
      </c>
    </row>
    <row r="101" spans="1:27" s="326" customFormat="1" x14ac:dyDescent="0.3">
      <c r="A101" s="1" t="s">
        <v>58</v>
      </c>
      <c r="B101" s="25">
        <f t="shared" ref="B101:AA101" si="27">+($B$93*$B$94*$B$95)+($B$96*$B$95)+($B$97*(1+$B$98)^B99)</f>
        <v>219.21</v>
      </c>
      <c r="C101" s="25">
        <f t="shared" si="27"/>
        <v>221.08500000000001</v>
      </c>
      <c r="D101" s="25">
        <f t="shared" si="27"/>
        <v>223.00687500000001</v>
      </c>
      <c r="E101" s="25">
        <f t="shared" si="27"/>
        <v>224.97679687499999</v>
      </c>
      <c r="F101" s="25">
        <f t="shared" si="27"/>
        <v>226.995966796875</v>
      </c>
      <c r="G101" s="25">
        <f t="shared" si="27"/>
        <v>229.06561596679686</v>
      </c>
      <c r="H101" s="25">
        <f t="shared" si="27"/>
        <v>231.18700636596677</v>
      </c>
      <c r="I101" s="25">
        <f t="shared" si="27"/>
        <v>233.36143152511596</v>
      </c>
      <c r="J101" s="25">
        <f t="shared" si="27"/>
        <v>235.59021731324384</v>
      </c>
      <c r="K101" s="25">
        <f t="shared" si="27"/>
        <v>237.87472274607489</v>
      </c>
      <c r="L101" s="25">
        <f t="shared" si="27"/>
        <v>240.21634081472678</v>
      </c>
      <c r="M101" s="25">
        <f t="shared" si="27"/>
        <v>242.61649933509494</v>
      </c>
      <c r="N101" s="25">
        <f t="shared" si="27"/>
        <v>245.0766618184723</v>
      </c>
      <c r="O101" s="25">
        <f t="shared" si="27"/>
        <v>247.59832836393412</v>
      </c>
      <c r="P101" s="25">
        <f t="shared" si="27"/>
        <v>250.18303657303247</v>
      </c>
      <c r="Q101" s="25">
        <f t="shared" si="27"/>
        <v>252.8323624873583</v>
      </c>
      <c r="R101" s="25">
        <f t="shared" si="27"/>
        <v>255.54792154954225</v>
      </c>
      <c r="S101" s="25">
        <f t="shared" si="27"/>
        <v>258.33136958828078</v>
      </c>
      <c r="T101" s="25">
        <f t="shared" si="27"/>
        <v>261.18440382798781</v>
      </c>
      <c r="U101" s="25">
        <f t="shared" si="27"/>
        <v>264.10876392368749</v>
      </c>
      <c r="V101" s="25">
        <f t="shared" si="27"/>
        <v>267.10623302177964</v>
      </c>
      <c r="W101" s="25">
        <f t="shared" si="27"/>
        <v>270.17863884732412</v>
      </c>
      <c r="X101" s="25">
        <f t="shared" si="27"/>
        <v>273.32785481850726</v>
      </c>
      <c r="Y101" s="25">
        <f t="shared" si="27"/>
        <v>276.55580118896995</v>
      </c>
      <c r="Z101" s="25">
        <f t="shared" si="27"/>
        <v>279.86444621869418</v>
      </c>
      <c r="AA101" s="25">
        <f t="shared" si="27"/>
        <v>283.25580737416152</v>
      </c>
    </row>
    <row r="102" spans="1:27" s="326" customFormat="1" x14ac:dyDescent="0.3">
      <c r="A102" s="1"/>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row>
    <row r="103" spans="1:27" s="326" customFormat="1" x14ac:dyDescent="0.3">
      <c r="A103" s="17" t="s">
        <v>70</v>
      </c>
      <c r="B103" s="17">
        <f>+B100</f>
        <v>2021</v>
      </c>
      <c r="C103" s="17">
        <f t="shared" ref="C103:AA103" si="28">+C100</f>
        <v>2022</v>
      </c>
      <c r="D103" s="17">
        <f t="shared" si="28"/>
        <v>2023</v>
      </c>
      <c r="E103" s="17">
        <f t="shared" si="28"/>
        <v>2024</v>
      </c>
      <c r="F103" s="17">
        <f t="shared" si="28"/>
        <v>2025</v>
      </c>
      <c r="G103" s="17">
        <f t="shared" si="28"/>
        <v>2026</v>
      </c>
      <c r="H103" s="17">
        <f t="shared" si="28"/>
        <v>2027</v>
      </c>
      <c r="I103" s="17">
        <f t="shared" si="28"/>
        <v>2028</v>
      </c>
      <c r="J103" s="17">
        <f t="shared" si="28"/>
        <v>2029</v>
      </c>
      <c r="K103" s="17">
        <f t="shared" si="28"/>
        <v>2030</v>
      </c>
      <c r="L103" s="17">
        <f t="shared" si="28"/>
        <v>2031</v>
      </c>
      <c r="M103" s="17">
        <f t="shared" si="28"/>
        <v>2032</v>
      </c>
      <c r="N103" s="17">
        <f t="shared" si="28"/>
        <v>2033</v>
      </c>
      <c r="O103" s="17">
        <f t="shared" si="28"/>
        <v>2034</v>
      </c>
      <c r="P103" s="17">
        <f t="shared" si="28"/>
        <v>2035</v>
      </c>
      <c r="Q103" s="17">
        <f t="shared" si="28"/>
        <v>2036</v>
      </c>
      <c r="R103" s="17">
        <f t="shared" si="28"/>
        <v>2037</v>
      </c>
      <c r="S103" s="17">
        <f t="shared" si="28"/>
        <v>2038</v>
      </c>
      <c r="T103" s="17">
        <f t="shared" si="28"/>
        <v>2039</v>
      </c>
      <c r="U103" s="17">
        <f t="shared" si="28"/>
        <v>2040</v>
      </c>
      <c r="V103" s="17">
        <f t="shared" si="28"/>
        <v>2041</v>
      </c>
      <c r="W103" s="17">
        <f t="shared" si="28"/>
        <v>2042</v>
      </c>
      <c r="X103" s="17">
        <f t="shared" si="28"/>
        <v>2043</v>
      </c>
      <c r="Y103" s="17">
        <f t="shared" si="28"/>
        <v>2044</v>
      </c>
      <c r="Z103" s="17">
        <f t="shared" si="28"/>
        <v>2045</v>
      </c>
      <c r="AA103" s="17">
        <f t="shared" si="28"/>
        <v>2046</v>
      </c>
    </row>
    <row r="104" spans="1:27" s="1" customFormat="1" ht="15" thickBot="1" x14ac:dyDescent="0.35">
      <c r="A104" s="38" t="s">
        <v>55</v>
      </c>
      <c r="B104" s="206">
        <f>+B101</f>
        <v>219.21</v>
      </c>
      <c r="C104" s="206">
        <f t="shared" ref="C104:AA104" si="29">+C101</f>
        <v>221.08500000000001</v>
      </c>
      <c r="D104" s="206">
        <f t="shared" si="29"/>
        <v>223.00687500000001</v>
      </c>
      <c r="E104" s="206">
        <f t="shared" si="29"/>
        <v>224.97679687499999</v>
      </c>
      <c r="F104" s="206">
        <f t="shared" si="29"/>
        <v>226.995966796875</v>
      </c>
      <c r="G104" s="206">
        <f t="shared" si="29"/>
        <v>229.06561596679686</v>
      </c>
      <c r="H104" s="206">
        <f t="shared" si="29"/>
        <v>231.18700636596677</v>
      </c>
      <c r="I104" s="206">
        <f t="shared" si="29"/>
        <v>233.36143152511596</v>
      </c>
      <c r="J104" s="206">
        <f t="shared" si="29"/>
        <v>235.59021731324384</v>
      </c>
      <c r="K104" s="206">
        <f t="shared" si="29"/>
        <v>237.87472274607489</v>
      </c>
      <c r="L104" s="206">
        <f t="shared" si="29"/>
        <v>240.21634081472678</v>
      </c>
      <c r="M104" s="206">
        <f t="shared" si="29"/>
        <v>242.61649933509494</v>
      </c>
      <c r="N104" s="206">
        <f t="shared" si="29"/>
        <v>245.0766618184723</v>
      </c>
      <c r="O104" s="206">
        <f t="shared" si="29"/>
        <v>247.59832836393412</v>
      </c>
      <c r="P104" s="206">
        <f t="shared" si="29"/>
        <v>250.18303657303247</v>
      </c>
      <c r="Q104" s="206">
        <f t="shared" si="29"/>
        <v>252.8323624873583</v>
      </c>
      <c r="R104" s="206">
        <f t="shared" si="29"/>
        <v>255.54792154954225</v>
      </c>
      <c r="S104" s="206">
        <f t="shared" si="29"/>
        <v>258.33136958828078</v>
      </c>
      <c r="T104" s="206">
        <f t="shared" si="29"/>
        <v>261.18440382798781</v>
      </c>
      <c r="U104" s="206">
        <f t="shared" si="29"/>
        <v>264.10876392368749</v>
      </c>
      <c r="V104" s="206">
        <f t="shared" si="29"/>
        <v>267.10623302177964</v>
      </c>
      <c r="W104" s="206">
        <f t="shared" si="29"/>
        <v>270.17863884732412</v>
      </c>
      <c r="X104" s="206">
        <f t="shared" si="29"/>
        <v>273.32785481850726</v>
      </c>
      <c r="Y104" s="206">
        <f t="shared" si="29"/>
        <v>276.55580118896995</v>
      </c>
      <c r="Z104" s="206">
        <f t="shared" si="29"/>
        <v>279.86444621869418</v>
      </c>
      <c r="AA104" s="206">
        <f t="shared" si="29"/>
        <v>283.25580737416152</v>
      </c>
    </row>
    <row r="105" spans="1:27" s="30" customFormat="1" x14ac:dyDescent="0.3">
      <c r="A105" s="14"/>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row>
    <row r="106" spans="1:27" ht="18" x14ac:dyDescent="0.35">
      <c r="A106" s="108" t="s">
        <v>164</v>
      </c>
      <c r="B106" s="270"/>
      <c r="C106" s="270"/>
      <c r="D106" s="270"/>
      <c r="E106" s="270"/>
      <c r="F106" s="270"/>
    </row>
    <row r="107" spans="1:27" x14ac:dyDescent="0.3">
      <c r="A107" s="45" t="s">
        <v>354</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row>
    <row r="108" spans="1:27" x14ac:dyDescent="0.3">
      <c r="A108" s="1"/>
      <c r="C108" s="46" t="s">
        <v>181</v>
      </c>
    </row>
    <row r="109" spans="1:27" x14ac:dyDescent="0.3">
      <c r="A109" s="168" t="s">
        <v>36</v>
      </c>
      <c r="B109" s="173">
        <f>'Inputs &amp; Summary'!G90</f>
        <v>45.24</v>
      </c>
      <c r="C109" s="1" t="s">
        <v>184</v>
      </c>
    </row>
    <row r="110" spans="1:27" x14ac:dyDescent="0.3">
      <c r="A110" s="168" t="s">
        <v>37</v>
      </c>
      <c r="B110" s="168">
        <f>'Inputs &amp; Summary'!G91</f>
        <v>135</v>
      </c>
      <c r="C110" s="1" t="s">
        <v>184</v>
      </c>
      <c r="F110" s="82" t="s">
        <v>430</v>
      </c>
      <c r="G110" s="83"/>
      <c r="H110" s="83"/>
      <c r="I110" s="83"/>
      <c r="J110" s="83"/>
      <c r="K110" s="83"/>
      <c r="L110" s="83"/>
      <c r="M110" s="83"/>
      <c r="N110" s="83"/>
      <c r="O110" s="83"/>
      <c r="P110" s="83"/>
      <c r="Q110" s="83"/>
      <c r="R110" s="83"/>
      <c r="S110" s="83"/>
      <c r="T110" s="84"/>
    </row>
    <row r="111" spans="1:27" x14ac:dyDescent="0.3">
      <c r="A111" s="168" t="s">
        <v>203</v>
      </c>
      <c r="B111" s="157">
        <f>'Inputs &amp; Summary'!P144</f>
        <v>0.05</v>
      </c>
      <c r="C111" s="1" t="s">
        <v>185</v>
      </c>
      <c r="F111" s="107" t="s">
        <v>429</v>
      </c>
      <c r="G111" s="72"/>
      <c r="H111" s="72"/>
      <c r="I111" s="72"/>
      <c r="J111" s="72"/>
      <c r="K111" s="72"/>
      <c r="L111" s="72"/>
      <c r="M111" s="72"/>
      <c r="N111" s="72"/>
      <c r="O111" s="72"/>
      <c r="P111" s="72"/>
      <c r="Q111" s="72"/>
      <c r="R111" s="72"/>
      <c r="S111" s="72"/>
      <c r="T111" s="86"/>
    </row>
    <row r="112" spans="1:27" x14ac:dyDescent="0.3">
      <c r="A112" s="168" t="s">
        <v>282</v>
      </c>
      <c r="B112" s="158">
        <f>'Inputs &amp; Summary'!P145</f>
        <v>1.2E-2</v>
      </c>
      <c r="C112" s="1" t="s">
        <v>183</v>
      </c>
    </row>
    <row r="113" spans="1:27" x14ac:dyDescent="0.3">
      <c r="A113" s="3" t="s">
        <v>3</v>
      </c>
      <c r="B113" s="168">
        <v>0</v>
      </c>
      <c r="C113" s="168">
        <f t="shared" ref="C113:AA113" si="30">+B113+1</f>
        <v>1</v>
      </c>
      <c r="D113" s="168">
        <f t="shared" si="30"/>
        <v>2</v>
      </c>
      <c r="E113" s="168">
        <f t="shared" si="30"/>
        <v>3</v>
      </c>
      <c r="F113" s="168">
        <f t="shared" si="30"/>
        <v>4</v>
      </c>
      <c r="G113" s="168">
        <f t="shared" si="30"/>
        <v>5</v>
      </c>
      <c r="H113" s="168">
        <f t="shared" si="30"/>
        <v>6</v>
      </c>
      <c r="I113" s="168">
        <f t="shared" si="30"/>
        <v>7</v>
      </c>
      <c r="J113" s="168">
        <f t="shared" si="30"/>
        <v>8</v>
      </c>
      <c r="K113" s="168">
        <f t="shared" si="30"/>
        <v>9</v>
      </c>
      <c r="L113" s="168">
        <f t="shared" si="30"/>
        <v>10</v>
      </c>
      <c r="M113" s="168">
        <f t="shared" si="30"/>
        <v>11</v>
      </c>
      <c r="N113" s="168">
        <f t="shared" si="30"/>
        <v>12</v>
      </c>
      <c r="O113" s="168">
        <f t="shared" si="30"/>
        <v>13</v>
      </c>
      <c r="P113" s="168">
        <f t="shared" si="30"/>
        <v>14</v>
      </c>
      <c r="Q113" s="168">
        <f t="shared" si="30"/>
        <v>15</v>
      </c>
      <c r="R113" s="168">
        <f t="shared" si="30"/>
        <v>16</v>
      </c>
      <c r="S113" s="168">
        <f t="shared" si="30"/>
        <v>17</v>
      </c>
      <c r="T113" s="168">
        <f t="shared" si="30"/>
        <v>18</v>
      </c>
      <c r="U113" s="168">
        <f t="shared" si="30"/>
        <v>19</v>
      </c>
      <c r="V113" s="168">
        <f t="shared" si="30"/>
        <v>20</v>
      </c>
      <c r="W113" s="168">
        <f t="shared" si="30"/>
        <v>21</v>
      </c>
      <c r="X113" s="168">
        <f t="shared" si="30"/>
        <v>22</v>
      </c>
      <c r="Y113" s="168">
        <f t="shared" si="30"/>
        <v>23</v>
      </c>
      <c r="Z113" s="168">
        <f t="shared" si="30"/>
        <v>24</v>
      </c>
      <c r="AA113" s="168">
        <f t="shared" si="30"/>
        <v>25</v>
      </c>
    </row>
    <row r="114" spans="1:27" x14ac:dyDescent="0.3">
      <c r="A114" s="175" t="s">
        <v>400</v>
      </c>
      <c r="B114" s="174">
        <v>2021</v>
      </c>
      <c r="C114" s="174">
        <f t="shared" ref="C114:AA114" si="31">+B114+1</f>
        <v>2022</v>
      </c>
      <c r="D114" s="174">
        <f t="shared" si="31"/>
        <v>2023</v>
      </c>
      <c r="E114" s="174">
        <f t="shared" si="31"/>
        <v>2024</v>
      </c>
      <c r="F114" s="174">
        <f t="shared" si="31"/>
        <v>2025</v>
      </c>
      <c r="G114" s="174">
        <f t="shared" si="31"/>
        <v>2026</v>
      </c>
      <c r="H114" s="174">
        <f t="shared" si="31"/>
        <v>2027</v>
      </c>
      <c r="I114" s="174">
        <f t="shared" si="31"/>
        <v>2028</v>
      </c>
      <c r="J114" s="174">
        <f t="shared" si="31"/>
        <v>2029</v>
      </c>
      <c r="K114" s="174">
        <f t="shared" si="31"/>
        <v>2030</v>
      </c>
      <c r="L114" s="174">
        <f t="shared" si="31"/>
        <v>2031</v>
      </c>
      <c r="M114" s="174">
        <f t="shared" si="31"/>
        <v>2032</v>
      </c>
      <c r="N114" s="174">
        <f t="shared" si="31"/>
        <v>2033</v>
      </c>
      <c r="O114" s="174">
        <f t="shared" si="31"/>
        <v>2034</v>
      </c>
      <c r="P114" s="174">
        <f t="shared" si="31"/>
        <v>2035</v>
      </c>
      <c r="Q114" s="174">
        <f t="shared" si="31"/>
        <v>2036</v>
      </c>
      <c r="R114" s="174">
        <f t="shared" si="31"/>
        <v>2037</v>
      </c>
      <c r="S114" s="174">
        <f t="shared" si="31"/>
        <v>2038</v>
      </c>
      <c r="T114" s="174">
        <f t="shared" si="31"/>
        <v>2039</v>
      </c>
      <c r="U114" s="174">
        <f t="shared" si="31"/>
        <v>2040</v>
      </c>
      <c r="V114" s="174">
        <f t="shared" si="31"/>
        <v>2041</v>
      </c>
      <c r="W114" s="174">
        <f t="shared" si="31"/>
        <v>2042</v>
      </c>
      <c r="X114" s="174">
        <f t="shared" si="31"/>
        <v>2043</v>
      </c>
      <c r="Y114" s="174">
        <f t="shared" si="31"/>
        <v>2044</v>
      </c>
      <c r="Z114" s="174">
        <f t="shared" si="31"/>
        <v>2045</v>
      </c>
      <c r="AA114" s="174">
        <f t="shared" si="31"/>
        <v>2046</v>
      </c>
    </row>
    <row r="115" spans="1:27" x14ac:dyDescent="0.3">
      <c r="A115" s="1" t="s">
        <v>57</v>
      </c>
      <c r="B115" s="24">
        <f>+B109*B110*B111</f>
        <v>305.37000000000006</v>
      </c>
      <c r="C115" s="24">
        <f t="shared" ref="C115:AA115" si="32">+$B$115*(1+$B$112)^C113</f>
        <v>309.03444000000007</v>
      </c>
      <c r="D115" s="24">
        <f t="shared" si="32"/>
        <v>312.74285328000002</v>
      </c>
      <c r="E115" s="24">
        <f t="shared" si="32"/>
        <v>316.49576751936007</v>
      </c>
      <c r="F115" s="24">
        <f t="shared" si="32"/>
        <v>320.29371672959235</v>
      </c>
      <c r="G115" s="24">
        <f t="shared" si="32"/>
        <v>324.13724133034748</v>
      </c>
      <c r="H115" s="24">
        <f t="shared" si="32"/>
        <v>328.0268882263116</v>
      </c>
      <c r="I115" s="24">
        <f t="shared" si="32"/>
        <v>331.96321088502742</v>
      </c>
      <c r="J115" s="24">
        <f t="shared" si="32"/>
        <v>335.94676941564774</v>
      </c>
      <c r="K115" s="24">
        <f t="shared" si="32"/>
        <v>339.97813064863544</v>
      </c>
      <c r="L115" s="24">
        <f t="shared" si="32"/>
        <v>344.05786821641908</v>
      </c>
      <c r="M115" s="24">
        <f t="shared" si="32"/>
        <v>348.18656263501612</v>
      </c>
      <c r="N115" s="24">
        <f t="shared" si="32"/>
        <v>352.36480138663632</v>
      </c>
      <c r="O115" s="24">
        <f t="shared" si="32"/>
        <v>356.59317900327591</v>
      </c>
      <c r="P115" s="24">
        <f t="shared" si="32"/>
        <v>360.87229715131525</v>
      </c>
      <c r="Q115" s="24">
        <f t="shared" si="32"/>
        <v>365.20276471713112</v>
      </c>
      <c r="R115" s="24">
        <f t="shared" si="32"/>
        <v>369.58519789373668</v>
      </c>
      <c r="S115" s="24">
        <f t="shared" si="32"/>
        <v>374.02022026846151</v>
      </c>
      <c r="T115" s="24">
        <f t="shared" si="32"/>
        <v>378.50846291168301</v>
      </c>
      <c r="U115" s="24">
        <f t="shared" si="32"/>
        <v>383.05056446662326</v>
      </c>
      <c r="V115" s="24">
        <f t="shared" si="32"/>
        <v>387.64717124022269</v>
      </c>
      <c r="W115" s="24">
        <f t="shared" si="32"/>
        <v>392.29893729510536</v>
      </c>
      <c r="X115" s="24">
        <f t="shared" si="32"/>
        <v>397.00652454264656</v>
      </c>
      <c r="Y115" s="24">
        <f t="shared" si="32"/>
        <v>401.77060283715844</v>
      </c>
      <c r="Z115" s="24">
        <f t="shared" si="32"/>
        <v>406.59185007120425</v>
      </c>
      <c r="AA115" s="24">
        <f t="shared" si="32"/>
        <v>411.4709522720587</v>
      </c>
    </row>
    <row r="116" spans="1:27" x14ac:dyDescent="0.3">
      <c r="A116" s="1"/>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x14ac:dyDescent="0.3">
      <c r="A117" s="45" t="s">
        <v>355</v>
      </c>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row>
    <row r="118" spans="1:27" x14ac:dyDescent="0.3">
      <c r="A118" s="1"/>
      <c r="C118" s="46" t="s">
        <v>181</v>
      </c>
    </row>
    <row r="119" spans="1:27" x14ac:dyDescent="0.3">
      <c r="A119" s="168" t="s">
        <v>40</v>
      </c>
      <c r="B119" s="173">
        <f>'Inputs &amp; Summary'!G95</f>
        <v>78.3</v>
      </c>
      <c r="C119" s="1" t="s">
        <v>184</v>
      </c>
    </row>
    <row r="120" spans="1:27" x14ac:dyDescent="0.3">
      <c r="A120" s="168" t="s">
        <v>41</v>
      </c>
      <c r="B120" s="168">
        <f>'Inputs &amp; Summary'!G96</f>
        <v>135</v>
      </c>
      <c r="C120" s="1" t="s">
        <v>184</v>
      </c>
      <c r="F120" s="82" t="s">
        <v>431</v>
      </c>
      <c r="G120" s="83"/>
      <c r="H120" s="83"/>
      <c r="I120" s="83"/>
      <c r="J120" s="83"/>
      <c r="K120" s="83"/>
      <c r="L120" s="83"/>
      <c r="M120" s="83"/>
      <c r="N120" s="83"/>
      <c r="O120" s="83"/>
      <c r="P120" s="83"/>
      <c r="Q120" s="84"/>
      <c r="R120" s="83"/>
      <c r="S120" s="83"/>
      <c r="T120" s="84"/>
    </row>
    <row r="121" spans="1:27" x14ac:dyDescent="0.3">
      <c r="A121" s="168" t="s">
        <v>204</v>
      </c>
      <c r="B121" s="158">
        <f>'Inputs &amp; Summary'!P147</f>
        <v>0.05</v>
      </c>
      <c r="C121" s="1" t="s">
        <v>183</v>
      </c>
      <c r="F121" s="107" t="s">
        <v>429</v>
      </c>
      <c r="G121" s="72"/>
      <c r="H121" s="72"/>
      <c r="I121" s="72"/>
      <c r="J121" s="72"/>
      <c r="K121" s="72"/>
      <c r="L121" s="72"/>
      <c r="M121" s="72"/>
      <c r="N121" s="72"/>
      <c r="O121" s="72"/>
      <c r="P121" s="72"/>
      <c r="Q121" s="72"/>
      <c r="R121" s="72"/>
      <c r="S121" s="72"/>
      <c r="T121" s="86"/>
    </row>
    <row r="122" spans="1:27" x14ac:dyDescent="0.3">
      <c r="A122" s="168" t="s">
        <v>282</v>
      </c>
      <c r="B122" s="158">
        <f>'Inputs &amp; Summary'!P148</f>
        <v>1.2E-2</v>
      </c>
      <c r="C122" s="1" t="s">
        <v>183</v>
      </c>
      <c r="R122" s="326"/>
    </row>
    <row r="123" spans="1:27" x14ac:dyDescent="0.3">
      <c r="A123" s="3" t="s">
        <v>3</v>
      </c>
      <c r="B123" s="168">
        <v>0</v>
      </c>
      <c r="C123" s="168">
        <f t="shared" ref="C123:AA123" si="33">+B123+1</f>
        <v>1</v>
      </c>
      <c r="D123" s="168">
        <f t="shared" si="33"/>
        <v>2</v>
      </c>
      <c r="E123" s="168">
        <f t="shared" si="33"/>
        <v>3</v>
      </c>
      <c r="F123" s="168">
        <f t="shared" si="33"/>
        <v>4</v>
      </c>
      <c r="G123" s="168">
        <f t="shared" si="33"/>
        <v>5</v>
      </c>
      <c r="H123" s="168">
        <f t="shared" si="33"/>
        <v>6</v>
      </c>
      <c r="I123" s="168">
        <f t="shared" si="33"/>
        <v>7</v>
      </c>
      <c r="J123" s="168">
        <f t="shared" si="33"/>
        <v>8</v>
      </c>
      <c r="K123" s="168">
        <f t="shared" si="33"/>
        <v>9</v>
      </c>
      <c r="L123" s="168">
        <f t="shared" si="33"/>
        <v>10</v>
      </c>
      <c r="M123" s="168">
        <f t="shared" si="33"/>
        <v>11</v>
      </c>
      <c r="N123" s="168">
        <f t="shared" si="33"/>
        <v>12</v>
      </c>
      <c r="O123" s="168">
        <f t="shared" si="33"/>
        <v>13</v>
      </c>
      <c r="P123" s="168">
        <f t="shared" si="33"/>
        <v>14</v>
      </c>
      <c r="Q123" s="168">
        <f t="shared" si="33"/>
        <v>15</v>
      </c>
      <c r="R123" s="168">
        <f t="shared" si="33"/>
        <v>16</v>
      </c>
      <c r="S123" s="168">
        <f t="shared" si="33"/>
        <v>17</v>
      </c>
      <c r="T123" s="168">
        <f t="shared" si="33"/>
        <v>18</v>
      </c>
      <c r="U123" s="168">
        <f t="shared" si="33"/>
        <v>19</v>
      </c>
      <c r="V123" s="168">
        <f t="shared" si="33"/>
        <v>20</v>
      </c>
      <c r="W123" s="168">
        <f t="shared" si="33"/>
        <v>21</v>
      </c>
      <c r="X123" s="168">
        <f t="shared" si="33"/>
        <v>22</v>
      </c>
      <c r="Y123" s="168">
        <f t="shared" si="33"/>
        <v>23</v>
      </c>
      <c r="Z123" s="168">
        <f t="shared" si="33"/>
        <v>24</v>
      </c>
      <c r="AA123" s="168">
        <f t="shared" si="33"/>
        <v>25</v>
      </c>
    </row>
    <row r="124" spans="1:27" x14ac:dyDescent="0.3">
      <c r="A124" s="175" t="s">
        <v>400</v>
      </c>
      <c r="B124" s="174">
        <v>2021</v>
      </c>
      <c r="C124" s="174">
        <f t="shared" ref="C124:AA124" si="34">+B124+1</f>
        <v>2022</v>
      </c>
      <c r="D124" s="174">
        <f t="shared" si="34"/>
        <v>2023</v>
      </c>
      <c r="E124" s="174">
        <f t="shared" si="34"/>
        <v>2024</v>
      </c>
      <c r="F124" s="174">
        <f t="shared" si="34"/>
        <v>2025</v>
      </c>
      <c r="G124" s="174">
        <f t="shared" si="34"/>
        <v>2026</v>
      </c>
      <c r="H124" s="174">
        <f t="shared" si="34"/>
        <v>2027</v>
      </c>
      <c r="I124" s="174">
        <f t="shared" si="34"/>
        <v>2028</v>
      </c>
      <c r="J124" s="174">
        <f t="shared" si="34"/>
        <v>2029</v>
      </c>
      <c r="K124" s="174">
        <f t="shared" si="34"/>
        <v>2030</v>
      </c>
      <c r="L124" s="174">
        <f t="shared" si="34"/>
        <v>2031</v>
      </c>
      <c r="M124" s="174">
        <f t="shared" si="34"/>
        <v>2032</v>
      </c>
      <c r="N124" s="174">
        <f t="shared" si="34"/>
        <v>2033</v>
      </c>
      <c r="O124" s="174">
        <f t="shared" si="34"/>
        <v>2034</v>
      </c>
      <c r="P124" s="174">
        <f t="shared" si="34"/>
        <v>2035</v>
      </c>
      <c r="Q124" s="174">
        <f t="shared" si="34"/>
        <v>2036</v>
      </c>
      <c r="R124" s="174">
        <f t="shared" si="34"/>
        <v>2037</v>
      </c>
      <c r="S124" s="174">
        <f t="shared" si="34"/>
        <v>2038</v>
      </c>
      <c r="T124" s="174">
        <f t="shared" si="34"/>
        <v>2039</v>
      </c>
      <c r="U124" s="174">
        <f t="shared" si="34"/>
        <v>2040</v>
      </c>
      <c r="V124" s="174">
        <f t="shared" si="34"/>
        <v>2041</v>
      </c>
      <c r="W124" s="174">
        <f t="shared" si="34"/>
        <v>2042</v>
      </c>
      <c r="X124" s="174">
        <f t="shared" si="34"/>
        <v>2043</v>
      </c>
      <c r="Y124" s="174">
        <f t="shared" si="34"/>
        <v>2044</v>
      </c>
      <c r="Z124" s="174">
        <f t="shared" si="34"/>
        <v>2045</v>
      </c>
      <c r="AA124" s="174">
        <f t="shared" si="34"/>
        <v>2046</v>
      </c>
    </row>
    <row r="125" spans="1:27" x14ac:dyDescent="0.3">
      <c r="A125" s="1" t="s">
        <v>58</v>
      </c>
      <c r="B125" s="24">
        <f>+(B119*B120*B121)</f>
        <v>528.52499999999998</v>
      </c>
      <c r="C125" s="24">
        <f t="shared" ref="C125:AA125" si="35">+$B$125*(1+$B$122)^C123</f>
        <v>534.8673</v>
      </c>
      <c r="D125" s="24">
        <f t="shared" si="35"/>
        <v>541.28570759999991</v>
      </c>
      <c r="E125" s="24">
        <f t="shared" si="35"/>
        <v>547.78113609119998</v>
      </c>
      <c r="F125" s="24">
        <f t="shared" si="35"/>
        <v>554.3545097242943</v>
      </c>
      <c r="G125" s="24">
        <f t="shared" si="35"/>
        <v>561.00676384098585</v>
      </c>
      <c r="H125" s="24">
        <f t="shared" si="35"/>
        <v>567.73884500707766</v>
      </c>
      <c r="I125" s="24">
        <f t="shared" si="35"/>
        <v>574.55171114716268</v>
      </c>
      <c r="J125" s="24">
        <f t="shared" si="35"/>
        <v>581.44633168092855</v>
      </c>
      <c r="K125" s="24">
        <f t="shared" si="35"/>
        <v>588.42368766109973</v>
      </c>
      <c r="L125" s="24">
        <f t="shared" si="35"/>
        <v>595.48477191303289</v>
      </c>
      <c r="M125" s="24">
        <f t="shared" si="35"/>
        <v>602.63058917598926</v>
      </c>
      <c r="N125" s="24">
        <f t="shared" si="35"/>
        <v>609.86215624610111</v>
      </c>
      <c r="O125" s="24">
        <f t="shared" si="35"/>
        <v>617.18050212105436</v>
      </c>
      <c r="P125" s="24">
        <f t="shared" si="35"/>
        <v>624.58666814650701</v>
      </c>
      <c r="Q125" s="24">
        <f t="shared" si="35"/>
        <v>632.08170816426525</v>
      </c>
      <c r="R125" s="24">
        <f t="shared" si="35"/>
        <v>639.66668866223631</v>
      </c>
      <c r="S125" s="24">
        <f t="shared" si="35"/>
        <v>647.3426889261832</v>
      </c>
      <c r="T125" s="24">
        <f t="shared" si="35"/>
        <v>655.11080119329733</v>
      </c>
      <c r="U125" s="24">
        <f t="shared" si="35"/>
        <v>662.97213080761696</v>
      </c>
      <c r="V125" s="24">
        <f t="shared" si="35"/>
        <v>670.92779637730825</v>
      </c>
      <c r="W125" s="24">
        <f t="shared" si="35"/>
        <v>678.97892993383607</v>
      </c>
      <c r="X125" s="24">
        <f t="shared" si="35"/>
        <v>687.12667709304196</v>
      </c>
      <c r="Y125" s="24">
        <f t="shared" si="35"/>
        <v>695.3721972181587</v>
      </c>
      <c r="Z125" s="24">
        <f t="shared" si="35"/>
        <v>703.71666358477648</v>
      </c>
      <c r="AA125" s="24">
        <f t="shared" si="35"/>
        <v>712.16126354779374</v>
      </c>
    </row>
    <row r="127" spans="1:27" x14ac:dyDescent="0.3">
      <c r="A127" s="17" t="s">
        <v>357</v>
      </c>
      <c r="B127" s="17">
        <f t="shared" ref="B127:AA127" si="36">+B114</f>
        <v>2021</v>
      </c>
      <c r="C127" s="17">
        <f t="shared" si="36"/>
        <v>2022</v>
      </c>
      <c r="D127" s="17">
        <f t="shared" si="36"/>
        <v>2023</v>
      </c>
      <c r="E127" s="17">
        <f t="shared" si="36"/>
        <v>2024</v>
      </c>
      <c r="F127" s="17">
        <f t="shared" si="36"/>
        <v>2025</v>
      </c>
      <c r="G127" s="17">
        <f t="shared" si="36"/>
        <v>2026</v>
      </c>
      <c r="H127" s="17">
        <f t="shared" si="36"/>
        <v>2027</v>
      </c>
      <c r="I127" s="17">
        <f t="shared" si="36"/>
        <v>2028</v>
      </c>
      <c r="J127" s="17">
        <f t="shared" si="36"/>
        <v>2029</v>
      </c>
      <c r="K127" s="17">
        <f t="shared" si="36"/>
        <v>2030</v>
      </c>
      <c r="L127" s="17">
        <f t="shared" si="36"/>
        <v>2031</v>
      </c>
      <c r="M127" s="17">
        <f t="shared" si="36"/>
        <v>2032</v>
      </c>
      <c r="N127" s="17">
        <f t="shared" si="36"/>
        <v>2033</v>
      </c>
      <c r="O127" s="17">
        <f t="shared" si="36"/>
        <v>2034</v>
      </c>
      <c r="P127" s="17">
        <f t="shared" si="36"/>
        <v>2035</v>
      </c>
      <c r="Q127" s="17">
        <f t="shared" si="36"/>
        <v>2036</v>
      </c>
      <c r="R127" s="17">
        <f t="shared" si="36"/>
        <v>2037</v>
      </c>
      <c r="S127" s="17">
        <f t="shared" si="36"/>
        <v>2038</v>
      </c>
      <c r="T127" s="17">
        <f t="shared" si="36"/>
        <v>2039</v>
      </c>
      <c r="U127" s="17">
        <f t="shared" si="36"/>
        <v>2040</v>
      </c>
      <c r="V127" s="17">
        <f t="shared" si="36"/>
        <v>2041</v>
      </c>
      <c r="W127" s="17">
        <f t="shared" si="36"/>
        <v>2042</v>
      </c>
      <c r="X127" s="17">
        <f t="shared" si="36"/>
        <v>2043</v>
      </c>
      <c r="Y127" s="17">
        <f t="shared" si="36"/>
        <v>2044</v>
      </c>
      <c r="Z127" s="17">
        <f t="shared" si="36"/>
        <v>2045</v>
      </c>
      <c r="AA127" s="17">
        <f t="shared" si="36"/>
        <v>2046</v>
      </c>
    </row>
    <row r="128" spans="1:27" s="1" customFormat="1" ht="15" thickBot="1" x14ac:dyDescent="0.35">
      <c r="A128" s="38" t="s">
        <v>55</v>
      </c>
      <c r="B128" s="39">
        <f>+B125+B115</f>
        <v>833.89499999999998</v>
      </c>
      <c r="C128" s="39">
        <f t="shared" ref="C128:AA128" si="37">+C125+C115</f>
        <v>843.90174000000002</v>
      </c>
      <c r="D128" s="39">
        <f t="shared" si="37"/>
        <v>854.02856087999999</v>
      </c>
      <c r="E128" s="39">
        <f t="shared" si="37"/>
        <v>864.27690361056011</v>
      </c>
      <c r="F128" s="39">
        <f t="shared" si="37"/>
        <v>874.64822645388665</v>
      </c>
      <c r="G128" s="39">
        <f t="shared" si="37"/>
        <v>885.14400517133333</v>
      </c>
      <c r="H128" s="39">
        <f t="shared" si="37"/>
        <v>895.76573323338926</v>
      </c>
      <c r="I128" s="39">
        <f t="shared" si="37"/>
        <v>906.51492203219004</v>
      </c>
      <c r="J128" s="39">
        <f t="shared" si="37"/>
        <v>917.39310109657629</v>
      </c>
      <c r="K128" s="39">
        <f t="shared" si="37"/>
        <v>928.40181830973518</v>
      </c>
      <c r="L128" s="39">
        <f t="shared" si="37"/>
        <v>939.54264012945191</v>
      </c>
      <c r="M128" s="39">
        <f t="shared" si="37"/>
        <v>950.81715181100537</v>
      </c>
      <c r="N128" s="39">
        <f t="shared" si="37"/>
        <v>962.22695763273737</v>
      </c>
      <c r="O128" s="39">
        <f t="shared" si="37"/>
        <v>973.77368112433032</v>
      </c>
      <c r="P128" s="39">
        <f t="shared" si="37"/>
        <v>985.45896529782226</v>
      </c>
      <c r="Q128" s="39">
        <f t="shared" si="37"/>
        <v>997.28447288139637</v>
      </c>
      <c r="R128" s="39">
        <f t="shared" si="37"/>
        <v>1009.251886555973</v>
      </c>
      <c r="S128" s="39">
        <f t="shared" si="37"/>
        <v>1021.3629091946448</v>
      </c>
      <c r="T128" s="39">
        <f t="shared" si="37"/>
        <v>1033.6192641049804</v>
      </c>
      <c r="U128" s="39">
        <f t="shared" si="37"/>
        <v>1046.0226952742403</v>
      </c>
      <c r="V128" s="39">
        <f t="shared" si="37"/>
        <v>1058.574967617531</v>
      </c>
      <c r="W128" s="39">
        <f t="shared" si="37"/>
        <v>1071.2778672289414</v>
      </c>
      <c r="X128" s="39">
        <f t="shared" si="37"/>
        <v>1084.1332016356885</v>
      </c>
      <c r="Y128" s="39">
        <f t="shared" si="37"/>
        <v>1097.1428000553171</v>
      </c>
      <c r="Z128" s="39">
        <f t="shared" si="37"/>
        <v>1110.3085136559807</v>
      </c>
      <c r="AA128" s="39">
        <f t="shared" si="37"/>
        <v>1123.6322158198525</v>
      </c>
    </row>
    <row r="131" spans="1:27" ht="18" x14ac:dyDescent="0.35">
      <c r="A131" s="109" t="s">
        <v>199</v>
      </c>
      <c r="B131" s="270"/>
      <c r="C131" s="270"/>
      <c r="D131" s="270"/>
      <c r="E131" s="270"/>
      <c r="F131" s="270"/>
    </row>
    <row r="132" spans="1:27" x14ac:dyDescent="0.3">
      <c r="A132" s="45" t="s">
        <v>46</v>
      </c>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row>
    <row r="133" spans="1:27" x14ac:dyDescent="0.3">
      <c r="A133" s="1"/>
      <c r="C133" s="46" t="s">
        <v>181</v>
      </c>
    </row>
    <row r="134" spans="1:27" x14ac:dyDescent="0.3">
      <c r="A134" s="168" t="s">
        <v>48</v>
      </c>
      <c r="B134" s="32">
        <f>'Inputs &amp; Summary'!G98</f>
        <v>4557</v>
      </c>
      <c r="C134" s="1" t="s">
        <v>184</v>
      </c>
    </row>
    <row r="135" spans="1:27" x14ac:dyDescent="0.3">
      <c r="A135" s="168" t="s">
        <v>29</v>
      </c>
      <c r="B135" s="168">
        <f>'Inputs &amp; Summary'!Q99</f>
        <v>3</v>
      </c>
      <c r="C135" s="1" t="s">
        <v>184</v>
      </c>
      <c r="F135" s="82" t="s">
        <v>433</v>
      </c>
      <c r="G135" s="83"/>
      <c r="H135" s="83"/>
      <c r="I135" s="83"/>
      <c r="J135" s="83"/>
      <c r="K135" s="83"/>
      <c r="L135" s="83"/>
      <c r="M135" s="83"/>
      <c r="N135" s="83"/>
      <c r="O135" s="83"/>
      <c r="P135" s="83"/>
      <c r="Q135" s="83"/>
      <c r="R135" s="83"/>
      <c r="S135" s="83"/>
      <c r="T135" s="84"/>
    </row>
    <row r="136" spans="1:27" x14ac:dyDescent="0.3">
      <c r="A136" s="168" t="s">
        <v>254</v>
      </c>
      <c r="B136" s="188">
        <f>'Inputs &amp; Summary'!P152</f>
        <v>0.01</v>
      </c>
      <c r="C136" s="1" t="s">
        <v>183</v>
      </c>
      <c r="F136" s="87" t="s">
        <v>432</v>
      </c>
      <c r="G136" s="88"/>
      <c r="H136" s="88"/>
      <c r="I136" s="88"/>
      <c r="J136" s="88"/>
      <c r="K136" s="88"/>
      <c r="L136" s="88"/>
      <c r="M136" s="88"/>
      <c r="N136" s="88"/>
      <c r="O136" s="88"/>
      <c r="P136" s="88"/>
      <c r="Q136" s="88"/>
      <c r="R136" s="88"/>
      <c r="S136" s="88"/>
      <c r="T136" s="89"/>
    </row>
    <row r="137" spans="1:27" x14ac:dyDescent="0.3">
      <c r="A137" s="168" t="s">
        <v>45</v>
      </c>
      <c r="B137" s="6">
        <f>'Inputs &amp; Summary'!P153</f>
        <v>500</v>
      </c>
      <c r="C137" s="1" t="s">
        <v>183</v>
      </c>
      <c r="F137" s="85" t="s">
        <v>436</v>
      </c>
      <c r="G137" s="72"/>
      <c r="H137" s="72"/>
      <c r="I137" s="72"/>
      <c r="J137" s="72"/>
      <c r="K137" s="72"/>
      <c r="L137" s="72"/>
      <c r="M137" s="72"/>
      <c r="N137" s="72"/>
      <c r="O137" s="72"/>
      <c r="P137" s="72"/>
      <c r="Q137" s="72"/>
      <c r="R137" s="72"/>
      <c r="S137" s="72"/>
      <c r="T137" s="86"/>
    </row>
    <row r="138" spans="1:27" x14ac:dyDescent="0.3">
      <c r="A138" s="3" t="s">
        <v>3</v>
      </c>
      <c r="B138" s="168">
        <v>0</v>
      </c>
      <c r="C138" s="168">
        <f t="shared" ref="C138:AA138" si="38">+B138+1</f>
        <v>1</v>
      </c>
      <c r="D138" s="168">
        <f t="shared" si="38"/>
        <v>2</v>
      </c>
      <c r="E138" s="168">
        <f t="shared" si="38"/>
        <v>3</v>
      </c>
      <c r="F138" s="168">
        <f t="shared" si="38"/>
        <v>4</v>
      </c>
      <c r="G138" s="168">
        <f t="shared" si="38"/>
        <v>5</v>
      </c>
      <c r="H138" s="168">
        <f t="shared" si="38"/>
        <v>6</v>
      </c>
      <c r="I138" s="168">
        <f t="shared" si="38"/>
        <v>7</v>
      </c>
      <c r="J138" s="168">
        <f t="shared" si="38"/>
        <v>8</v>
      </c>
      <c r="K138" s="168">
        <f t="shared" si="38"/>
        <v>9</v>
      </c>
      <c r="L138" s="168">
        <f t="shared" si="38"/>
        <v>10</v>
      </c>
      <c r="M138" s="168">
        <f t="shared" si="38"/>
        <v>11</v>
      </c>
      <c r="N138" s="168">
        <f t="shared" si="38"/>
        <v>12</v>
      </c>
      <c r="O138" s="168">
        <f t="shared" si="38"/>
        <v>13</v>
      </c>
      <c r="P138" s="168">
        <f t="shared" si="38"/>
        <v>14</v>
      </c>
      <c r="Q138" s="168">
        <f t="shared" si="38"/>
        <v>15</v>
      </c>
      <c r="R138" s="168">
        <f t="shared" si="38"/>
        <v>16</v>
      </c>
      <c r="S138" s="168">
        <f t="shared" si="38"/>
        <v>17</v>
      </c>
      <c r="T138" s="168">
        <f t="shared" si="38"/>
        <v>18</v>
      </c>
      <c r="U138" s="168">
        <f t="shared" si="38"/>
        <v>19</v>
      </c>
      <c r="V138" s="168">
        <f t="shared" si="38"/>
        <v>20</v>
      </c>
      <c r="W138" s="168">
        <f t="shared" si="38"/>
        <v>21</v>
      </c>
      <c r="X138" s="168">
        <f t="shared" si="38"/>
        <v>22</v>
      </c>
      <c r="Y138" s="168">
        <f t="shared" si="38"/>
        <v>23</v>
      </c>
      <c r="Z138" s="168">
        <f t="shared" si="38"/>
        <v>24</v>
      </c>
      <c r="AA138" s="168">
        <f t="shared" si="38"/>
        <v>25</v>
      </c>
    </row>
    <row r="139" spans="1:27" x14ac:dyDescent="0.3">
      <c r="A139" s="175" t="s">
        <v>400</v>
      </c>
      <c r="B139" s="174">
        <v>2021</v>
      </c>
      <c r="C139" s="174">
        <f t="shared" ref="C139:AA139" si="39">+B139+1</f>
        <v>2022</v>
      </c>
      <c r="D139" s="174">
        <f t="shared" si="39"/>
        <v>2023</v>
      </c>
      <c r="E139" s="174">
        <f t="shared" si="39"/>
        <v>2024</v>
      </c>
      <c r="F139" s="174">
        <f t="shared" si="39"/>
        <v>2025</v>
      </c>
      <c r="G139" s="174">
        <f t="shared" si="39"/>
        <v>2026</v>
      </c>
      <c r="H139" s="174">
        <f t="shared" si="39"/>
        <v>2027</v>
      </c>
      <c r="I139" s="174">
        <f t="shared" si="39"/>
        <v>2028</v>
      </c>
      <c r="J139" s="174">
        <f t="shared" si="39"/>
        <v>2029</v>
      </c>
      <c r="K139" s="174">
        <f t="shared" si="39"/>
        <v>2030</v>
      </c>
      <c r="L139" s="174">
        <f t="shared" si="39"/>
        <v>2031</v>
      </c>
      <c r="M139" s="174">
        <f t="shared" si="39"/>
        <v>2032</v>
      </c>
      <c r="N139" s="174">
        <f t="shared" si="39"/>
        <v>2033</v>
      </c>
      <c r="O139" s="174">
        <f t="shared" si="39"/>
        <v>2034</v>
      </c>
      <c r="P139" s="174">
        <f t="shared" si="39"/>
        <v>2035</v>
      </c>
      <c r="Q139" s="174">
        <f t="shared" si="39"/>
        <v>2036</v>
      </c>
      <c r="R139" s="174">
        <f t="shared" si="39"/>
        <v>2037</v>
      </c>
      <c r="S139" s="174">
        <f t="shared" si="39"/>
        <v>2038</v>
      </c>
      <c r="T139" s="174">
        <f t="shared" si="39"/>
        <v>2039</v>
      </c>
      <c r="U139" s="174">
        <f t="shared" si="39"/>
        <v>2040</v>
      </c>
      <c r="V139" s="174">
        <f t="shared" si="39"/>
        <v>2041</v>
      </c>
      <c r="W139" s="174">
        <f t="shared" si="39"/>
        <v>2042</v>
      </c>
      <c r="X139" s="174">
        <f t="shared" si="39"/>
        <v>2043</v>
      </c>
      <c r="Y139" s="174">
        <f t="shared" si="39"/>
        <v>2044</v>
      </c>
      <c r="Z139" s="174">
        <f t="shared" si="39"/>
        <v>2045</v>
      </c>
      <c r="AA139" s="174">
        <f t="shared" si="39"/>
        <v>2046</v>
      </c>
    </row>
    <row r="140" spans="1:27" x14ac:dyDescent="0.3">
      <c r="A140" s="1" t="s">
        <v>57</v>
      </c>
      <c r="B140" s="25">
        <f>+(B134*B135*B136)+(B136*B137)</f>
        <v>141.71</v>
      </c>
      <c r="C140" s="25">
        <f t="shared" ref="C140:AA140" si="40">+B140</f>
        <v>141.71</v>
      </c>
      <c r="D140" s="25">
        <f t="shared" si="40"/>
        <v>141.71</v>
      </c>
      <c r="E140" s="25">
        <f t="shared" si="40"/>
        <v>141.71</v>
      </c>
      <c r="F140" s="25">
        <f t="shared" si="40"/>
        <v>141.71</v>
      </c>
      <c r="G140" s="25">
        <f t="shared" si="40"/>
        <v>141.71</v>
      </c>
      <c r="H140" s="25">
        <f t="shared" si="40"/>
        <v>141.71</v>
      </c>
      <c r="I140" s="25">
        <f t="shared" si="40"/>
        <v>141.71</v>
      </c>
      <c r="J140" s="25">
        <f t="shared" si="40"/>
        <v>141.71</v>
      </c>
      <c r="K140" s="25">
        <f t="shared" si="40"/>
        <v>141.71</v>
      </c>
      <c r="L140" s="25">
        <f t="shared" si="40"/>
        <v>141.71</v>
      </c>
      <c r="M140" s="25">
        <f t="shared" si="40"/>
        <v>141.71</v>
      </c>
      <c r="N140" s="25">
        <f t="shared" si="40"/>
        <v>141.71</v>
      </c>
      <c r="O140" s="25">
        <f t="shared" si="40"/>
        <v>141.71</v>
      </c>
      <c r="P140" s="25">
        <f t="shared" si="40"/>
        <v>141.71</v>
      </c>
      <c r="Q140" s="25">
        <f t="shared" si="40"/>
        <v>141.71</v>
      </c>
      <c r="R140" s="25">
        <f t="shared" si="40"/>
        <v>141.71</v>
      </c>
      <c r="S140" s="25">
        <f t="shared" si="40"/>
        <v>141.71</v>
      </c>
      <c r="T140" s="25">
        <f t="shared" si="40"/>
        <v>141.71</v>
      </c>
      <c r="U140" s="25">
        <f t="shared" si="40"/>
        <v>141.71</v>
      </c>
      <c r="V140" s="25">
        <f t="shared" si="40"/>
        <v>141.71</v>
      </c>
      <c r="W140" s="25">
        <f t="shared" si="40"/>
        <v>141.71</v>
      </c>
      <c r="X140" s="25">
        <f t="shared" si="40"/>
        <v>141.71</v>
      </c>
      <c r="Y140" s="25">
        <f t="shared" si="40"/>
        <v>141.71</v>
      </c>
      <c r="Z140" s="25">
        <f t="shared" si="40"/>
        <v>141.71</v>
      </c>
      <c r="AA140" s="25">
        <f t="shared" si="40"/>
        <v>141.71</v>
      </c>
    </row>
    <row r="142" spans="1:27" x14ac:dyDescent="0.3">
      <c r="A142" s="45" t="s">
        <v>153</v>
      </c>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row>
    <row r="143" spans="1:27" x14ac:dyDescent="0.3">
      <c r="A143" s="1"/>
      <c r="C143" s="46" t="s">
        <v>181</v>
      </c>
    </row>
    <row r="144" spans="1:27" x14ac:dyDescent="0.3">
      <c r="A144" s="168" t="s">
        <v>48</v>
      </c>
      <c r="B144" s="32">
        <f>'Inputs &amp; Summary'!G98</f>
        <v>4557</v>
      </c>
      <c r="C144" s="1" t="s">
        <v>184</v>
      </c>
    </row>
    <row r="145" spans="1:27" x14ac:dyDescent="0.3">
      <c r="A145" s="168" t="s">
        <v>29</v>
      </c>
      <c r="B145" s="168">
        <f>'Inputs &amp; Summary'!Q99</f>
        <v>3</v>
      </c>
      <c r="C145" s="1" t="s">
        <v>184</v>
      </c>
      <c r="F145" s="82" t="s">
        <v>434</v>
      </c>
      <c r="G145" s="83"/>
      <c r="H145" s="83"/>
      <c r="I145" s="83"/>
      <c r="J145" s="83"/>
      <c r="K145" s="83"/>
      <c r="L145" s="83"/>
      <c r="M145" s="83"/>
      <c r="N145" s="83"/>
      <c r="O145" s="83"/>
      <c r="P145" s="83"/>
      <c r="Q145" s="83"/>
      <c r="R145" s="83"/>
      <c r="S145" s="83"/>
      <c r="T145" s="84"/>
    </row>
    <row r="146" spans="1:27" x14ac:dyDescent="0.3">
      <c r="A146" s="117" t="s">
        <v>253</v>
      </c>
      <c r="B146" s="188">
        <f>'Inputs &amp; Summary'!P155</f>
        <v>0.01</v>
      </c>
      <c r="C146" s="1" t="s">
        <v>183</v>
      </c>
      <c r="F146" s="87" t="s">
        <v>435</v>
      </c>
      <c r="G146" s="88"/>
      <c r="H146" s="88"/>
      <c r="I146" s="88"/>
      <c r="J146" s="88"/>
      <c r="K146" s="88"/>
      <c r="L146" s="88"/>
      <c r="M146" s="88"/>
      <c r="N146" s="88"/>
      <c r="O146" s="88"/>
      <c r="P146" s="88"/>
      <c r="Q146" s="88"/>
      <c r="R146" s="88"/>
      <c r="S146" s="88"/>
      <c r="T146" s="89"/>
    </row>
    <row r="147" spans="1:27" x14ac:dyDescent="0.3">
      <c r="A147" s="168" t="s">
        <v>47</v>
      </c>
      <c r="B147" s="6">
        <f>'Inputs &amp; Summary'!P156</f>
        <v>5</v>
      </c>
      <c r="C147" s="1" t="s">
        <v>183</v>
      </c>
      <c r="F147" s="85" t="s">
        <v>437</v>
      </c>
      <c r="G147" s="72"/>
      <c r="H147" s="72"/>
      <c r="I147" s="72"/>
      <c r="J147" s="72"/>
      <c r="K147" s="72"/>
      <c r="L147" s="72"/>
      <c r="M147" s="72"/>
      <c r="N147" s="72"/>
      <c r="O147" s="72"/>
      <c r="P147" s="72"/>
      <c r="Q147" s="72"/>
      <c r="R147" s="72"/>
      <c r="S147" s="72"/>
      <c r="T147" s="86"/>
    </row>
    <row r="148" spans="1:27" x14ac:dyDescent="0.3">
      <c r="A148" s="3" t="s">
        <v>3</v>
      </c>
      <c r="B148" s="168">
        <v>0</v>
      </c>
      <c r="C148" s="168">
        <f t="shared" ref="C148:AA148" si="41">+B148+1</f>
        <v>1</v>
      </c>
      <c r="D148" s="168">
        <f t="shared" si="41"/>
        <v>2</v>
      </c>
      <c r="E148" s="168">
        <f t="shared" si="41"/>
        <v>3</v>
      </c>
      <c r="F148" s="168">
        <f t="shared" si="41"/>
        <v>4</v>
      </c>
      <c r="G148" s="168">
        <f t="shared" si="41"/>
        <v>5</v>
      </c>
      <c r="H148" s="168">
        <f t="shared" si="41"/>
        <v>6</v>
      </c>
      <c r="I148" s="168">
        <f t="shared" si="41"/>
        <v>7</v>
      </c>
      <c r="J148" s="168">
        <f t="shared" si="41"/>
        <v>8</v>
      </c>
      <c r="K148" s="168">
        <f t="shared" si="41"/>
        <v>9</v>
      </c>
      <c r="L148" s="168">
        <f t="shared" si="41"/>
        <v>10</v>
      </c>
      <c r="M148" s="168">
        <f t="shared" si="41"/>
        <v>11</v>
      </c>
      <c r="N148" s="168">
        <f t="shared" si="41"/>
        <v>12</v>
      </c>
      <c r="O148" s="168">
        <f t="shared" si="41"/>
        <v>13</v>
      </c>
      <c r="P148" s="168">
        <f t="shared" si="41"/>
        <v>14</v>
      </c>
      <c r="Q148" s="168">
        <f t="shared" si="41"/>
        <v>15</v>
      </c>
      <c r="R148" s="168">
        <f t="shared" si="41"/>
        <v>16</v>
      </c>
      <c r="S148" s="168">
        <f t="shared" si="41"/>
        <v>17</v>
      </c>
      <c r="T148" s="168">
        <f t="shared" si="41"/>
        <v>18</v>
      </c>
      <c r="U148" s="168">
        <f t="shared" si="41"/>
        <v>19</v>
      </c>
      <c r="V148" s="168">
        <f t="shared" si="41"/>
        <v>20</v>
      </c>
      <c r="W148" s="168">
        <f t="shared" si="41"/>
        <v>21</v>
      </c>
      <c r="X148" s="168">
        <f t="shared" si="41"/>
        <v>22</v>
      </c>
      <c r="Y148" s="168">
        <f t="shared" si="41"/>
        <v>23</v>
      </c>
      <c r="Z148" s="168">
        <f t="shared" si="41"/>
        <v>24</v>
      </c>
      <c r="AA148" s="168">
        <f t="shared" si="41"/>
        <v>25</v>
      </c>
    </row>
    <row r="149" spans="1:27" x14ac:dyDescent="0.3">
      <c r="A149" s="175" t="s">
        <v>400</v>
      </c>
      <c r="B149" s="174">
        <v>2021</v>
      </c>
      <c r="C149" s="174">
        <f t="shared" ref="C149:AA149" si="42">+B149+1</f>
        <v>2022</v>
      </c>
      <c r="D149" s="174">
        <f t="shared" si="42"/>
        <v>2023</v>
      </c>
      <c r="E149" s="174">
        <f t="shared" si="42"/>
        <v>2024</v>
      </c>
      <c r="F149" s="174">
        <f t="shared" si="42"/>
        <v>2025</v>
      </c>
      <c r="G149" s="174">
        <f t="shared" si="42"/>
        <v>2026</v>
      </c>
      <c r="H149" s="174">
        <f t="shared" si="42"/>
        <v>2027</v>
      </c>
      <c r="I149" s="174">
        <f t="shared" si="42"/>
        <v>2028</v>
      </c>
      <c r="J149" s="174">
        <f t="shared" si="42"/>
        <v>2029</v>
      </c>
      <c r="K149" s="174">
        <f t="shared" si="42"/>
        <v>2030</v>
      </c>
      <c r="L149" s="174">
        <f t="shared" si="42"/>
        <v>2031</v>
      </c>
      <c r="M149" s="174">
        <f t="shared" si="42"/>
        <v>2032</v>
      </c>
      <c r="N149" s="174">
        <f t="shared" si="42"/>
        <v>2033</v>
      </c>
      <c r="O149" s="174">
        <f t="shared" si="42"/>
        <v>2034</v>
      </c>
      <c r="P149" s="174">
        <f t="shared" si="42"/>
        <v>2035</v>
      </c>
      <c r="Q149" s="174">
        <f t="shared" si="42"/>
        <v>2036</v>
      </c>
      <c r="R149" s="174">
        <f t="shared" si="42"/>
        <v>2037</v>
      </c>
      <c r="S149" s="174">
        <f t="shared" si="42"/>
        <v>2038</v>
      </c>
      <c r="T149" s="174">
        <f t="shared" si="42"/>
        <v>2039</v>
      </c>
      <c r="U149" s="174">
        <f t="shared" si="42"/>
        <v>2040</v>
      </c>
      <c r="V149" s="174">
        <f t="shared" si="42"/>
        <v>2041</v>
      </c>
      <c r="W149" s="174">
        <f t="shared" si="42"/>
        <v>2042</v>
      </c>
      <c r="X149" s="174">
        <f t="shared" si="42"/>
        <v>2043</v>
      </c>
      <c r="Y149" s="174">
        <f t="shared" si="42"/>
        <v>2044</v>
      </c>
      <c r="Z149" s="174">
        <f t="shared" si="42"/>
        <v>2045</v>
      </c>
      <c r="AA149" s="174">
        <f t="shared" si="42"/>
        <v>2046</v>
      </c>
    </row>
    <row r="150" spans="1:27" x14ac:dyDescent="0.3">
      <c r="A150" s="168" t="s">
        <v>65</v>
      </c>
      <c r="B150" s="173">
        <f>+B144*B145*B146</f>
        <v>136.71</v>
      </c>
      <c r="C150" s="173">
        <f t="shared" ref="C150:AA150" si="43">+B150</f>
        <v>136.71</v>
      </c>
      <c r="D150" s="173">
        <f t="shared" si="43"/>
        <v>136.71</v>
      </c>
      <c r="E150" s="173">
        <f t="shared" si="43"/>
        <v>136.71</v>
      </c>
      <c r="F150" s="173">
        <f t="shared" si="43"/>
        <v>136.71</v>
      </c>
      <c r="G150" s="173">
        <f t="shared" si="43"/>
        <v>136.71</v>
      </c>
      <c r="H150" s="173">
        <f t="shared" si="43"/>
        <v>136.71</v>
      </c>
      <c r="I150" s="173">
        <f t="shared" si="43"/>
        <v>136.71</v>
      </c>
      <c r="J150" s="173">
        <f t="shared" si="43"/>
        <v>136.71</v>
      </c>
      <c r="K150" s="173">
        <f t="shared" si="43"/>
        <v>136.71</v>
      </c>
      <c r="L150" s="173">
        <f t="shared" si="43"/>
        <v>136.71</v>
      </c>
      <c r="M150" s="173">
        <f t="shared" si="43"/>
        <v>136.71</v>
      </c>
      <c r="N150" s="173">
        <f t="shared" si="43"/>
        <v>136.71</v>
      </c>
      <c r="O150" s="173">
        <f t="shared" si="43"/>
        <v>136.71</v>
      </c>
      <c r="P150" s="173">
        <f t="shared" si="43"/>
        <v>136.71</v>
      </c>
      <c r="Q150" s="173">
        <f t="shared" si="43"/>
        <v>136.71</v>
      </c>
      <c r="R150" s="173">
        <f t="shared" si="43"/>
        <v>136.71</v>
      </c>
      <c r="S150" s="173">
        <f t="shared" si="43"/>
        <v>136.71</v>
      </c>
      <c r="T150" s="173">
        <f t="shared" si="43"/>
        <v>136.71</v>
      </c>
      <c r="U150" s="173">
        <f t="shared" si="43"/>
        <v>136.71</v>
      </c>
      <c r="V150" s="173">
        <f t="shared" si="43"/>
        <v>136.71</v>
      </c>
      <c r="W150" s="173">
        <f t="shared" si="43"/>
        <v>136.71</v>
      </c>
      <c r="X150" s="173">
        <f t="shared" si="43"/>
        <v>136.71</v>
      </c>
      <c r="Y150" s="173">
        <f t="shared" si="43"/>
        <v>136.71</v>
      </c>
      <c r="Z150" s="173">
        <f t="shared" si="43"/>
        <v>136.71</v>
      </c>
      <c r="AA150" s="173">
        <f t="shared" si="43"/>
        <v>136.71</v>
      </c>
    </row>
    <row r="151" spans="1:27" x14ac:dyDescent="0.3">
      <c r="A151" s="168" t="s">
        <v>66</v>
      </c>
      <c r="B151" s="168">
        <f>+B147</f>
        <v>5</v>
      </c>
      <c r="C151" s="168">
        <f t="shared" ref="C151:AA151" si="44">+B151</f>
        <v>5</v>
      </c>
      <c r="D151" s="168">
        <f t="shared" si="44"/>
        <v>5</v>
      </c>
      <c r="E151" s="168">
        <f t="shared" si="44"/>
        <v>5</v>
      </c>
      <c r="F151" s="168">
        <f t="shared" si="44"/>
        <v>5</v>
      </c>
      <c r="G151" s="168">
        <f t="shared" si="44"/>
        <v>5</v>
      </c>
      <c r="H151" s="168">
        <f t="shared" si="44"/>
        <v>5</v>
      </c>
      <c r="I151" s="168">
        <f t="shared" si="44"/>
        <v>5</v>
      </c>
      <c r="J151" s="168">
        <f t="shared" si="44"/>
        <v>5</v>
      </c>
      <c r="K151" s="168">
        <f t="shared" si="44"/>
        <v>5</v>
      </c>
      <c r="L151" s="168">
        <f t="shared" si="44"/>
        <v>5</v>
      </c>
      <c r="M151" s="168">
        <f t="shared" si="44"/>
        <v>5</v>
      </c>
      <c r="N151" s="168">
        <f t="shared" si="44"/>
        <v>5</v>
      </c>
      <c r="O151" s="168">
        <f t="shared" si="44"/>
        <v>5</v>
      </c>
      <c r="P151" s="168">
        <f t="shared" si="44"/>
        <v>5</v>
      </c>
      <c r="Q151" s="168">
        <f t="shared" si="44"/>
        <v>5</v>
      </c>
      <c r="R151" s="168">
        <f t="shared" si="44"/>
        <v>5</v>
      </c>
      <c r="S151" s="168">
        <f t="shared" si="44"/>
        <v>5</v>
      </c>
      <c r="T151" s="168">
        <f t="shared" si="44"/>
        <v>5</v>
      </c>
      <c r="U151" s="168">
        <f t="shared" si="44"/>
        <v>5</v>
      </c>
      <c r="V151" s="168">
        <f t="shared" si="44"/>
        <v>5</v>
      </c>
      <c r="W151" s="168">
        <f t="shared" si="44"/>
        <v>5</v>
      </c>
      <c r="X151" s="168">
        <f t="shared" si="44"/>
        <v>5</v>
      </c>
      <c r="Y151" s="168">
        <f t="shared" si="44"/>
        <v>5</v>
      </c>
      <c r="Z151" s="168">
        <f t="shared" si="44"/>
        <v>5</v>
      </c>
      <c r="AA151" s="168">
        <f t="shared" si="44"/>
        <v>5</v>
      </c>
    </row>
    <row r="152" spans="1:27" x14ac:dyDescent="0.3">
      <c r="A152" s="1" t="s">
        <v>58</v>
      </c>
      <c r="B152" s="25">
        <f t="shared" ref="B152:AA152" si="45">+B151+B150</f>
        <v>141.71</v>
      </c>
      <c r="C152" s="25">
        <f t="shared" si="45"/>
        <v>141.71</v>
      </c>
      <c r="D152" s="25">
        <f t="shared" si="45"/>
        <v>141.71</v>
      </c>
      <c r="E152" s="25">
        <f t="shared" si="45"/>
        <v>141.71</v>
      </c>
      <c r="F152" s="25">
        <f t="shared" si="45"/>
        <v>141.71</v>
      </c>
      <c r="G152" s="25">
        <f t="shared" si="45"/>
        <v>141.71</v>
      </c>
      <c r="H152" s="25">
        <f t="shared" si="45"/>
        <v>141.71</v>
      </c>
      <c r="I152" s="25">
        <f t="shared" si="45"/>
        <v>141.71</v>
      </c>
      <c r="J152" s="25">
        <f t="shared" si="45"/>
        <v>141.71</v>
      </c>
      <c r="K152" s="25">
        <f t="shared" si="45"/>
        <v>141.71</v>
      </c>
      <c r="L152" s="25">
        <f t="shared" si="45"/>
        <v>141.71</v>
      </c>
      <c r="M152" s="25">
        <f t="shared" si="45"/>
        <v>141.71</v>
      </c>
      <c r="N152" s="25">
        <f t="shared" si="45"/>
        <v>141.71</v>
      </c>
      <c r="O152" s="25">
        <f t="shared" si="45"/>
        <v>141.71</v>
      </c>
      <c r="P152" s="25">
        <f t="shared" si="45"/>
        <v>141.71</v>
      </c>
      <c r="Q152" s="25">
        <f t="shared" si="45"/>
        <v>141.71</v>
      </c>
      <c r="R152" s="25">
        <f t="shared" si="45"/>
        <v>141.71</v>
      </c>
      <c r="S152" s="25">
        <f t="shared" si="45"/>
        <v>141.71</v>
      </c>
      <c r="T152" s="25">
        <f t="shared" si="45"/>
        <v>141.71</v>
      </c>
      <c r="U152" s="25">
        <f t="shared" si="45"/>
        <v>141.71</v>
      </c>
      <c r="V152" s="25">
        <f t="shared" si="45"/>
        <v>141.71</v>
      </c>
      <c r="W152" s="25">
        <f t="shared" si="45"/>
        <v>141.71</v>
      </c>
      <c r="X152" s="25">
        <f t="shared" si="45"/>
        <v>141.71</v>
      </c>
      <c r="Y152" s="25">
        <f t="shared" si="45"/>
        <v>141.71</v>
      </c>
      <c r="Z152" s="25">
        <f t="shared" si="45"/>
        <v>141.71</v>
      </c>
      <c r="AA152" s="25">
        <f t="shared" si="45"/>
        <v>141.71</v>
      </c>
    </row>
    <row r="154" spans="1:27" x14ac:dyDescent="0.3">
      <c r="A154" s="17" t="s">
        <v>71</v>
      </c>
      <c r="B154" s="17">
        <f t="shared" ref="B154:AA154" si="46">+B139</f>
        <v>2021</v>
      </c>
      <c r="C154" s="17">
        <f t="shared" si="46"/>
        <v>2022</v>
      </c>
      <c r="D154" s="17">
        <f t="shared" si="46"/>
        <v>2023</v>
      </c>
      <c r="E154" s="17">
        <f t="shared" si="46"/>
        <v>2024</v>
      </c>
      <c r="F154" s="17">
        <f t="shared" si="46"/>
        <v>2025</v>
      </c>
      <c r="G154" s="17">
        <f t="shared" si="46"/>
        <v>2026</v>
      </c>
      <c r="H154" s="17">
        <f t="shared" si="46"/>
        <v>2027</v>
      </c>
      <c r="I154" s="17">
        <f t="shared" si="46"/>
        <v>2028</v>
      </c>
      <c r="J154" s="17">
        <f t="shared" si="46"/>
        <v>2029</v>
      </c>
      <c r="K154" s="17">
        <f t="shared" si="46"/>
        <v>2030</v>
      </c>
      <c r="L154" s="17">
        <f t="shared" si="46"/>
        <v>2031</v>
      </c>
      <c r="M154" s="17">
        <f t="shared" si="46"/>
        <v>2032</v>
      </c>
      <c r="N154" s="17">
        <f t="shared" si="46"/>
        <v>2033</v>
      </c>
      <c r="O154" s="17">
        <f t="shared" si="46"/>
        <v>2034</v>
      </c>
      <c r="P154" s="17">
        <f t="shared" si="46"/>
        <v>2035</v>
      </c>
      <c r="Q154" s="17">
        <f t="shared" si="46"/>
        <v>2036</v>
      </c>
      <c r="R154" s="17">
        <f t="shared" si="46"/>
        <v>2037</v>
      </c>
      <c r="S154" s="17">
        <f t="shared" si="46"/>
        <v>2038</v>
      </c>
      <c r="T154" s="17">
        <f t="shared" si="46"/>
        <v>2039</v>
      </c>
      <c r="U154" s="17">
        <f t="shared" si="46"/>
        <v>2040</v>
      </c>
      <c r="V154" s="17">
        <f t="shared" si="46"/>
        <v>2041</v>
      </c>
      <c r="W154" s="17">
        <f t="shared" si="46"/>
        <v>2042</v>
      </c>
      <c r="X154" s="17">
        <f t="shared" si="46"/>
        <v>2043</v>
      </c>
      <c r="Y154" s="17">
        <f t="shared" si="46"/>
        <v>2044</v>
      </c>
      <c r="Z154" s="17">
        <f t="shared" si="46"/>
        <v>2045</v>
      </c>
      <c r="AA154" s="17">
        <f t="shared" si="46"/>
        <v>2046</v>
      </c>
    </row>
    <row r="155" spans="1:27" s="1" customFormat="1" ht="15" thickBot="1" x14ac:dyDescent="0.35">
      <c r="A155" s="38" t="s">
        <v>55</v>
      </c>
      <c r="B155" s="39">
        <f t="shared" ref="B155:AA155" si="47">+B152+B140</f>
        <v>283.42</v>
      </c>
      <c r="C155" s="39">
        <f t="shared" si="47"/>
        <v>283.42</v>
      </c>
      <c r="D155" s="39">
        <f t="shared" si="47"/>
        <v>283.42</v>
      </c>
      <c r="E155" s="39">
        <f t="shared" si="47"/>
        <v>283.42</v>
      </c>
      <c r="F155" s="39">
        <f t="shared" si="47"/>
        <v>283.42</v>
      </c>
      <c r="G155" s="39">
        <f t="shared" si="47"/>
        <v>283.42</v>
      </c>
      <c r="H155" s="39">
        <f t="shared" si="47"/>
        <v>283.42</v>
      </c>
      <c r="I155" s="39">
        <f t="shared" si="47"/>
        <v>283.42</v>
      </c>
      <c r="J155" s="39">
        <f t="shared" si="47"/>
        <v>283.42</v>
      </c>
      <c r="K155" s="39">
        <f t="shared" si="47"/>
        <v>283.42</v>
      </c>
      <c r="L155" s="39">
        <f t="shared" si="47"/>
        <v>283.42</v>
      </c>
      <c r="M155" s="39">
        <f t="shared" si="47"/>
        <v>283.42</v>
      </c>
      <c r="N155" s="39">
        <f t="shared" si="47"/>
        <v>283.42</v>
      </c>
      <c r="O155" s="39">
        <f t="shared" si="47"/>
        <v>283.42</v>
      </c>
      <c r="P155" s="39">
        <f t="shared" si="47"/>
        <v>283.42</v>
      </c>
      <c r="Q155" s="39">
        <f t="shared" si="47"/>
        <v>283.42</v>
      </c>
      <c r="R155" s="39">
        <f t="shared" si="47"/>
        <v>283.42</v>
      </c>
      <c r="S155" s="39">
        <f t="shared" si="47"/>
        <v>283.42</v>
      </c>
      <c r="T155" s="39">
        <f t="shared" si="47"/>
        <v>283.42</v>
      </c>
      <c r="U155" s="39">
        <f t="shared" si="47"/>
        <v>283.42</v>
      </c>
      <c r="V155" s="39">
        <f t="shared" si="47"/>
        <v>283.42</v>
      </c>
      <c r="W155" s="39">
        <f t="shared" si="47"/>
        <v>283.42</v>
      </c>
      <c r="X155" s="39">
        <f t="shared" si="47"/>
        <v>283.42</v>
      </c>
      <c r="Y155" s="39">
        <f t="shared" si="47"/>
        <v>283.42</v>
      </c>
      <c r="Z155" s="39">
        <f t="shared" si="47"/>
        <v>283.42</v>
      </c>
      <c r="AA155" s="39">
        <f t="shared" si="47"/>
        <v>283.42</v>
      </c>
    </row>
    <row r="157" spans="1:27" ht="18" x14ac:dyDescent="0.35">
      <c r="A157" s="108" t="s">
        <v>401</v>
      </c>
    </row>
    <row r="158" spans="1:27" x14ac:dyDescent="0.3">
      <c r="A158" s="45" t="s">
        <v>367</v>
      </c>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row>
    <row r="159" spans="1:27" x14ac:dyDescent="0.3">
      <c r="A159" s="183"/>
      <c r="B159" s="101"/>
      <c r="C159" s="46" t="s">
        <v>181</v>
      </c>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row>
    <row r="160" spans="1:27" x14ac:dyDescent="0.3">
      <c r="A160" s="259" t="s">
        <v>113</v>
      </c>
      <c r="B160" s="179">
        <f>'Inputs &amp; Summary'!Q81</f>
        <v>47.828616539314339</v>
      </c>
      <c r="C160" s="1" t="s">
        <v>262</v>
      </c>
    </row>
    <row r="161" spans="1:27" x14ac:dyDescent="0.3">
      <c r="A161" s="259" t="s">
        <v>114</v>
      </c>
      <c r="B161" s="32">
        <f>'Inputs &amp; Summary'!G84</f>
        <v>193220.91</v>
      </c>
      <c r="C161" s="1" t="s">
        <v>184</v>
      </c>
      <c r="F161" s="275" t="s">
        <v>365</v>
      </c>
      <c r="G161" s="83"/>
      <c r="H161" s="83"/>
      <c r="I161" s="83"/>
      <c r="J161" s="83"/>
      <c r="K161" s="83"/>
      <c r="L161" s="83"/>
      <c r="M161" s="83"/>
      <c r="N161" s="83"/>
      <c r="O161" s="83"/>
      <c r="P161" s="83"/>
      <c r="Q161" s="83"/>
      <c r="R161" s="83"/>
      <c r="S161" s="83"/>
      <c r="T161" s="83"/>
      <c r="U161" s="84"/>
    </row>
    <row r="162" spans="1:27" x14ac:dyDescent="0.3">
      <c r="A162" s="259" t="s">
        <v>44</v>
      </c>
      <c r="B162" s="178">
        <f>'Inputs &amp; Summary'!Q85</f>
        <v>1.12E-2</v>
      </c>
      <c r="C162" s="1" t="s">
        <v>184</v>
      </c>
      <c r="F162" s="276" t="s">
        <v>360</v>
      </c>
      <c r="G162" s="119"/>
      <c r="H162" s="119"/>
      <c r="I162" s="119"/>
      <c r="J162" s="119"/>
      <c r="K162" s="119"/>
      <c r="L162" s="119"/>
      <c r="M162" s="119"/>
      <c r="N162" s="119"/>
      <c r="O162" s="119"/>
      <c r="P162" s="119"/>
      <c r="Q162" s="119"/>
      <c r="R162" s="119"/>
      <c r="S162" s="119"/>
      <c r="T162" s="119"/>
      <c r="U162" s="89"/>
    </row>
    <row r="163" spans="1:27" x14ac:dyDescent="0.3">
      <c r="A163" s="259" t="s">
        <v>115</v>
      </c>
      <c r="B163" s="158">
        <f>'Inputs &amp; Summary'!Q181</f>
        <v>0.15277777777777779</v>
      </c>
      <c r="C163" s="1" t="s">
        <v>351</v>
      </c>
      <c r="F163" s="87" t="s">
        <v>395</v>
      </c>
      <c r="G163" s="88"/>
      <c r="H163" s="88"/>
      <c r="I163" s="88"/>
      <c r="J163" s="88"/>
      <c r="K163" s="88"/>
      <c r="L163" s="88"/>
      <c r="M163" s="88"/>
      <c r="N163" s="88"/>
      <c r="O163" s="88"/>
      <c r="P163" s="88"/>
      <c r="Q163" s="88"/>
      <c r="R163" s="88"/>
      <c r="S163" s="88"/>
      <c r="T163" s="88"/>
      <c r="U163" s="89"/>
    </row>
    <row r="164" spans="1:27" x14ac:dyDescent="0.3">
      <c r="A164" s="259" t="s">
        <v>116</v>
      </c>
      <c r="B164" s="118">
        <f>+B160*B161*B163/1000</f>
        <v>1411.8941240200147</v>
      </c>
      <c r="C164" s="1" t="s">
        <v>188</v>
      </c>
      <c r="F164" s="85"/>
      <c r="G164" s="72"/>
      <c r="H164" s="72"/>
      <c r="I164" s="72"/>
      <c r="J164" s="72"/>
      <c r="K164" s="72"/>
      <c r="L164" s="72"/>
      <c r="M164" s="72"/>
      <c r="N164" s="72"/>
      <c r="O164" s="72"/>
      <c r="P164" s="72"/>
      <c r="Q164" s="72"/>
      <c r="R164" s="72"/>
      <c r="S164" s="72"/>
      <c r="T164" s="72"/>
      <c r="U164" s="86"/>
    </row>
    <row r="165" spans="1:27" x14ac:dyDescent="0.3">
      <c r="A165" s="3" t="s">
        <v>3</v>
      </c>
      <c r="B165" s="168">
        <v>0</v>
      </c>
      <c r="C165" s="168">
        <f t="shared" ref="C165:AA165" si="48">+B165+1</f>
        <v>1</v>
      </c>
      <c r="D165" s="168">
        <f t="shared" si="48"/>
        <v>2</v>
      </c>
      <c r="E165" s="168">
        <f t="shared" si="48"/>
        <v>3</v>
      </c>
      <c r="F165" s="168">
        <f t="shared" si="48"/>
        <v>4</v>
      </c>
      <c r="G165" s="168">
        <f t="shared" si="48"/>
        <v>5</v>
      </c>
      <c r="H165" s="168">
        <f t="shared" si="48"/>
        <v>6</v>
      </c>
      <c r="I165" s="168">
        <f t="shared" si="48"/>
        <v>7</v>
      </c>
      <c r="J165" s="168">
        <f t="shared" si="48"/>
        <v>8</v>
      </c>
      <c r="K165" s="168">
        <f t="shared" si="48"/>
        <v>9</v>
      </c>
      <c r="L165" s="168">
        <f t="shared" si="48"/>
        <v>10</v>
      </c>
      <c r="M165" s="168">
        <f t="shared" si="48"/>
        <v>11</v>
      </c>
      <c r="N165" s="168">
        <f t="shared" si="48"/>
        <v>12</v>
      </c>
      <c r="O165" s="168">
        <f t="shared" si="48"/>
        <v>13</v>
      </c>
      <c r="P165" s="168">
        <f t="shared" si="48"/>
        <v>14</v>
      </c>
      <c r="Q165" s="168">
        <f t="shared" si="48"/>
        <v>15</v>
      </c>
      <c r="R165" s="168">
        <f t="shared" si="48"/>
        <v>16</v>
      </c>
      <c r="S165" s="168">
        <f t="shared" si="48"/>
        <v>17</v>
      </c>
      <c r="T165" s="168">
        <f t="shared" si="48"/>
        <v>18</v>
      </c>
      <c r="U165" s="168">
        <f t="shared" si="48"/>
        <v>19</v>
      </c>
      <c r="V165" s="168">
        <f t="shared" si="48"/>
        <v>20</v>
      </c>
      <c r="W165" s="168">
        <f t="shared" si="48"/>
        <v>21</v>
      </c>
      <c r="X165" s="168">
        <f t="shared" si="48"/>
        <v>22</v>
      </c>
      <c r="Y165" s="168">
        <f t="shared" si="48"/>
        <v>23</v>
      </c>
      <c r="Z165" s="168">
        <f t="shared" si="48"/>
        <v>24</v>
      </c>
      <c r="AA165" s="168">
        <f t="shared" si="48"/>
        <v>25</v>
      </c>
    </row>
    <row r="166" spans="1:27" x14ac:dyDescent="0.3">
      <c r="A166" s="175" t="s">
        <v>400</v>
      </c>
      <c r="B166" s="174">
        <v>2021</v>
      </c>
      <c r="C166" s="174">
        <f t="shared" ref="C166:AA166" si="49">+B166+1</f>
        <v>2022</v>
      </c>
      <c r="D166" s="174">
        <f t="shared" si="49"/>
        <v>2023</v>
      </c>
      <c r="E166" s="174">
        <f t="shared" si="49"/>
        <v>2024</v>
      </c>
      <c r="F166" s="174">
        <f t="shared" si="49"/>
        <v>2025</v>
      </c>
      <c r="G166" s="174">
        <f t="shared" si="49"/>
        <v>2026</v>
      </c>
      <c r="H166" s="174">
        <f t="shared" si="49"/>
        <v>2027</v>
      </c>
      <c r="I166" s="174">
        <f t="shared" si="49"/>
        <v>2028</v>
      </c>
      <c r="J166" s="174">
        <f t="shared" si="49"/>
        <v>2029</v>
      </c>
      <c r="K166" s="174">
        <f t="shared" si="49"/>
        <v>2030</v>
      </c>
      <c r="L166" s="174">
        <f t="shared" si="49"/>
        <v>2031</v>
      </c>
      <c r="M166" s="174">
        <f t="shared" si="49"/>
        <v>2032</v>
      </c>
      <c r="N166" s="174">
        <f t="shared" si="49"/>
        <v>2033</v>
      </c>
      <c r="O166" s="174">
        <f t="shared" si="49"/>
        <v>2034</v>
      </c>
      <c r="P166" s="174">
        <f t="shared" si="49"/>
        <v>2035</v>
      </c>
      <c r="Q166" s="174">
        <f t="shared" si="49"/>
        <v>2036</v>
      </c>
      <c r="R166" s="174">
        <f t="shared" si="49"/>
        <v>2037</v>
      </c>
      <c r="S166" s="174">
        <f t="shared" si="49"/>
        <v>2038</v>
      </c>
      <c r="T166" s="174">
        <f t="shared" si="49"/>
        <v>2039</v>
      </c>
      <c r="U166" s="174">
        <f t="shared" si="49"/>
        <v>2040</v>
      </c>
      <c r="V166" s="174">
        <f t="shared" si="49"/>
        <v>2041</v>
      </c>
      <c r="W166" s="174">
        <f t="shared" si="49"/>
        <v>2042</v>
      </c>
      <c r="X166" s="174">
        <f t="shared" si="49"/>
        <v>2043</v>
      </c>
      <c r="Y166" s="174">
        <f t="shared" si="49"/>
        <v>2044</v>
      </c>
      <c r="Z166" s="174">
        <f t="shared" si="49"/>
        <v>2045</v>
      </c>
      <c r="AA166" s="174">
        <f t="shared" si="49"/>
        <v>2046</v>
      </c>
    </row>
    <row r="167" spans="1:27" x14ac:dyDescent="0.3">
      <c r="A167" s="180" t="s">
        <v>58</v>
      </c>
      <c r="B167" s="68">
        <f>+B164</f>
        <v>1411.8941240200147</v>
      </c>
      <c r="C167" s="68">
        <f t="shared" ref="C167:AA167" si="50">+$B$167*(1+$B$162)^C165</f>
        <v>1427.7073382090391</v>
      </c>
      <c r="D167" s="68">
        <f t="shared" si="50"/>
        <v>1443.6976603969804</v>
      </c>
      <c r="E167" s="68">
        <f t="shared" si="50"/>
        <v>1459.8670741934266</v>
      </c>
      <c r="F167" s="68">
        <f t="shared" si="50"/>
        <v>1476.2175854243931</v>
      </c>
      <c r="G167" s="68">
        <f t="shared" si="50"/>
        <v>1492.7512223811464</v>
      </c>
      <c r="H167" s="68">
        <f t="shared" si="50"/>
        <v>1509.4700360718155</v>
      </c>
      <c r="I167" s="68">
        <f t="shared" si="50"/>
        <v>1526.3761004758201</v>
      </c>
      <c r="J167" s="68">
        <f t="shared" si="50"/>
        <v>1543.4715128011489</v>
      </c>
      <c r="K167" s="68">
        <f t="shared" si="50"/>
        <v>1560.758393744522</v>
      </c>
      <c r="L167" s="68">
        <f t="shared" si="50"/>
        <v>1578.2388877544608</v>
      </c>
      <c r="M167" s="68">
        <f t="shared" si="50"/>
        <v>1595.915163297311</v>
      </c>
      <c r="N167" s="68">
        <f t="shared" si="50"/>
        <v>1613.7894131262408</v>
      </c>
      <c r="O167" s="68">
        <f t="shared" si="50"/>
        <v>1631.8638545532547</v>
      </c>
      <c r="P167" s="68">
        <f t="shared" si="50"/>
        <v>1650.1407297242513</v>
      </c>
      <c r="Q167" s="68">
        <f t="shared" si="50"/>
        <v>1668.6223058971636</v>
      </c>
      <c r="R167" s="68">
        <f t="shared" si="50"/>
        <v>1687.3108757232114</v>
      </c>
      <c r="S167" s="68">
        <f t="shared" si="50"/>
        <v>1706.2087575313114</v>
      </c>
      <c r="T167" s="68">
        <f t="shared" si="50"/>
        <v>1725.3182956156625</v>
      </c>
      <c r="U167" s="68">
        <f t="shared" si="50"/>
        <v>1744.641860526558</v>
      </c>
      <c r="V167" s="68">
        <f t="shared" si="50"/>
        <v>1764.1818493644557</v>
      </c>
      <c r="W167" s="68">
        <f t="shared" si="50"/>
        <v>1783.9406860773374</v>
      </c>
      <c r="X167" s="68">
        <f t="shared" si="50"/>
        <v>1803.9208217614039</v>
      </c>
      <c r="Y167" s="68">
        <f t="shared" si="50"/>
        <v>1824.1247349651319</v>
      </c>
      <c r="Z167" s="68">
        <f t="shared" si="50"/>
        <v>1844.5549319967413</v>
      </c>
      <c r="AA167" s="68">
        <f t="shared" si="50"/>
        <v>1865.2139472351053</v>
      </c>
    </row>
    <row r="168" spans="1:27" x14ac:dyDescent="0.3">
      <c r="A168" s="1"/>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row>
    <row r="169" spans="1:27" x14ac:dyDescent="0.3">
      <c r="A169" s="45" t="s">
        <v>368</v>
      </c>
      <c r="B169" s="47"/>
      <c r="C169" s="47"/>
      <c r="D169" s="47"/>
      <c r="E169" s="47"/>
      <c r="F169" s="47"/>
      <c r="G169" s="46"/>
      <c r="H169" s="46"/>
      <c r="I169" s="47"/>
      <c r="J169" s="366"/>
      <c r="K169" s="47"/>
      <c r="L169" s="47"/>
      <c r="M169" s="47"/>
      <c r="N169" s="47"/>
      <c r="O169" s="47"/>
      <c r="P169" s="47"/>
      <c r="Q169" s="47"/>
      <c r="R169" s="47"/>
      <c r="S169" s="47"/>
      <c r="T169" s="47"/>
      <c r="U169" s="47"/>
      <c r="V169" s="47"/>
      <c r="W169" s="47"/>
      <c r="X169" s="47"/>
      <c r="Y169" s="47"/>
      <c r="Z169" s="47"/>
      <c r="AA169" s="47"/>
    </row>
    <row r="170" spans="1:27" x14ac:dyDescent="0.3">
      <c r="A170" s="1"/>
      <c r="C170" s="46" t="s">
        <v>181</v>
      </c>
    </row>
    <row r="171" spans="1:27" x14ac:dyDescent="0.3">
      <c r="A171" s="259" t="s">
        <v>40</v>
      </c>
      <c r="B171" s="173">
        <f>'Inputs &amp; Summary'!G95</f>
        <v>78.3</v>
      </c>
      <c r="C171" s="1" t="s">
        <v>184</v>
      </c>
      <c r="D171" s="259"/>
      <c r="E171" s="259"/>
      <c r="F171" s="259"/>
      <c r="G171" s="259"/>
      <c r="H171" s="259"/>
      <c r="I171" s="259"/>
      <c r="J171" s="259"/>
      <c r="K171" s="259"/>
      <c r="L171" s="259"/>
      <c r="M171" s="259"/>
      <c r="N171" s="259"/>
      <c r="O171" s="259"/>
      <c r="P171" s="259"/>
      <c r="Q171" s="259"/>
      <c r="R171" s="259"/>
      <c r="S171" s="259"/>
      <c r="T171" s="259"/>
      <c r="U171" s="259"/>
    </row>
    <row r="172" spans="1:27" x14ac:dyDescent="0.3">
      <c r="A172" s="259" t="s">
        <v>56</v>
      </c>
      <c r="B172" s="173">
        <f>'Inputs &amp; Summary'!G96</f>
        <v>135</v>
      </c>
      <c r="C172" s="1" t="s">
        <v>184</v>
      </c>
      <c r="D172" s="259"/>
      <c r="E172" s="259"/>
      <c r="F172" s="275" t="s">
        <v>364</v>
      </c>
      <c r="G172" s="83"/>
      <c r="H172" s="83"/>
      <c r="I172" s="83"/>
      <c r="J172" s="83"/>
      <c r="K172" s="83"/>
      <c r="L172" s="83"/>
      <c r="M172" s="83"/>
      <c r="N172" s="83"/>
      <c r="O172" s="83"/>
      <c r="P172" s="83"/>
      <c r="Q172" s="83"/>
      <c r="R172" s="83"/>
      <c r="S172" s="83"/>
      <c r="T172" s="83"/>
      <c r="U172" s="84"/>
    </row>
    <row r="173" spans="1:27" x14ac:dyDescent="0.3">
      <c r="A173" s="259" t="s">
        <v>348</v>
      </c>
      <c r="B173" s="158">
        <f>'Inputs &amp; Summary'!Q183</f>
        <v>0.10784313725490197</v>
      </c>
      <c r="C173" s="1" t="s">
        <v>351</v>
      </c>
      <c r="D173" s="259"/>
      <c r="E173" s="259"/>
      <c r="F173" s="85" t="s">
        <v>366</v>
      </c>
      <c r="G173" s="72"/>
      <c r="H173" s="72"/>
      <c r="I173" s="72"/>
      <c r="J173" s="72"/>
      <c r="K173" s="72"/>
      <c r="L173" s="72"/>
      <c r="M173" s="72"/>
      <c r="N173" s="72"/>
      <c r="O173" s="72"/>
      <c r="P173" s="72"/>
      <c r="Q173" s="72"/>
      <c r="R173" s="72"/>
      <c r="S173" s="72"/>
      <c r="T173" s="72"/>
      <c r="U173" s="86"/>
    </row>
    <row r="174" spans="1:27" s="259" customFormat="1" x14ac:dyDescent="0.3"/>
    <row r="175" spans="1:27" x14ac:dyDescent="0.3">
      <c r="A175" s="175" t="s">
        <v>400</v>
      </c>
      <c r="B175" s="174">
        <v>2021</v>
      </c>
      <c r="C175" s="174">
        <f t="shared" ref="C175:AA175" si="51">+B175+1</f>
        <v>2022</v>
      </c>
      <c r="D175" s="174">
        <f t="shared" si="51"/>
        <v>2023</v>
      </c>
      <c r="E175" s="174">
        <f t="shared" si="51"/>
        <v>2024</v>
      </c>
      <c r="F175" s="174">
        <f t="shared" si="51"/>
        <v>2025</v>
      </c>
      <c r="G175" s="174">
        <f t="shared" si="51"/>
        <v>2026</v>
      </c>
      <c r="H175" s="174">
        <f t="shared" si="51"/>
        <v>2027</v>
      </c>
      <c r="I175" s="174">
        <f t="shared" si="51"/>
        <v>2028</v>
      </c>
      <c r="J175" s="174">
        <f t="shared" si="51"/>
        <v>2029</v>
      </c>
      <c r="K175" s="174">
        <f t="shared" si="51"/>
        <v>2030</v>
      </c>
      <c r="L175" s="174">
        <f t="shared" si="51"/>
        <v>2031</v>
      </c>
      <c r="M175" s="174">
        <f t="shared" si="51"/>
        <v>2032</v>
      </c>
      <c r="N175" s="174">
        <f t="shared" si="51"/>
        <v>2033</v>
      </c>
      <c r="O175" s="174">
        <f t="shared" si="51"/>
        <v>2034</v>
      </c>
      <c r="P175" s="174">
        <f t="shared" si="51"/>
        <v>2035</v>
      </c>
      <c r="Q175" s="174">
        <f t="shared" si="51"/>
        <v>2036</v>
      </c>
      <c r="R175" s="174">
        <f t="shared" si="51"/>
        <v>2037</v>
      </c>
      <c r="S175" s="174">
        <f t="shared" si="51"/>
        <v>2038</v>
      </c>
      <c r="T175" s="174">
        <f t="shared" si="51"/>
        <v>2039</v>
      </c>
      <c r="U175" s="174">
        <f t="shared" si="51"/>
        <v>2040</v>
      </c>
      <c r="V175" s="174">
        <f t="shared" si="51"/>
        <v>2041</v>
      </c>
      <c r="W175" s="174">
        <f t="shared" si="51"/>
        <v>2042</v>
      </c>
      <c r="X175" s="174">
        <f t="shared" si="51"/>
        <v>2043</v>
      </c>
      <c r="Y175" s="174">
        <f t="shared" si="51"/>
        <v>2044</v>
      </c>
      <c r="Z175" s="174">
        <f t="shared" si="51"/>
        <v>2045</v>
      </c>
      <c r="AA175" s="174">
        <f t="shared" si="51"/>
        <v>2046</v>
      </c>
    </row>
    <row r="176" spans="1:27" x14ac:dyDescent="0.3">
      <c r="A176" s="1" t="s">
        <v>59</v>
      </c>
      <c r="B176" s="25">
        <f>+(B171*B172*B173)</f>
        <v>1139.9558823529412</v>
      </c>
      <c r="C176" s="24">
        <f t="shared" ref="C176:AA176" si="52">+$B$176</f>
        <v>1139.9558823529412</v>
      </c>
      <c r="D176" s="24">
        <f t="shared" si="52"/>
        <v>1139.9558823529412</v>
      </c>
      <c r="E176" s="24">
        <f t="shared" si="52"/>
        <v>1139.9558823529412</v>
      </c>
      <c r="F176" s="24">
        <f t="shared" si="52"/>
        <v>1139.9558823529412</v>
      </c>
      <c r="G176" s="24">
        <f t="shared" si="52"/>
        <v>1139.9558823529412</v>
      </c>
      <c r="H176" s="24">
        <f t="shared" si="52"/>
        <v>1139.9558823529412</v>
      </c>
      <c r="I176" s="24">
        <f t="shared" si="52"/>
        <v>1139.9558823529412</v>
      </c>
      <c r="J176" s="24">
        <f t="shared" si="52"/>
        <v>1139.9558823529412</v>
      </c>
      <c r="K176" s="24">
        <f t="shared" si="52"/>
        <v>1139.9558823529412</v>
      </c>
      <c r="L176" s="24">
        <f t="shared" si="52"/>
        <v>1139.9558823529412</v>
      </c>
      <c r="M176" s="24">
        <f t="shared" si="52"/>
        <v>1139.9558823529412</v>
      </c>
      <c r="N176" s="24">
        <f t="shared" si="52"/>
        <v>1139.9558823529412</v>
      </c>
      <c r="O176" s="24">
        <f t="shared" si="52"/>
        <v>1139.9558823529412</v>
      </c>
      <c r="P176" s="24">
        <f t="shared" si="52"/>
        <v>1139.9558823529412</v>
      </c>
      <c r="Q176" s="24">
        <f t="shared" si="52"/>
        <v>1139.9558823529412</v>
      </c>
      <c r="R176" s="24">
        <f t="shared" si="52"/>
        <v>1139.9558823529412</v>
      </c>
      <c r="S176" s="24">
        <f t="shared" si="52"/>
        <v>1139.9558823529412</v>
      </c>
      <c r="T176" s="24">
        <f t="shared" si="52"/>
        <v>1139.9558823529412</v>
      </c>
      <c r="U176" s="24">
        <f t="shared" si="52"/>
        <v>1139.9558823529412</v>
      </c>
      <c r="V176" s="24">
        <f t="shared" si="52"/>
        <v>1139.9558823529412</v>
      </c>
      <c r="W176" s="24">
        <f t="shared" si="52"/>
        <v>1139.9558823529412</v>
      </c>
      <c r="X176" s="24">
        <f t="shared" si="52"/>
        <v>1139.9558823529412</v>
      </c>
      <c r="Y176" s="24">
        <f t="shared" si="52"/>
        <v>1139.9558823529412</v>
      </c>
      <c r="Z176" s="24">
        <f t="shared" si="52"/>
        <v>1139.9558823529412</v>
      </c>
      <c r="AA176" s="24">
        <f t="shared" si="52"/>
        <v>1139.9558823529412</v>
      </c>
    </row>
    <row r="178" spans="1:27" x14ac:dyDescent="0.3">
      <c r="A178" s="45" t="s">
        <v>369</v>
      </c>
      <c r="B178" s="46"/>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row>
    <row r="179" spans="1:27" x14ac:dyDescent="0.3">
      <c r="A179" s="183"/>
      <c r="B179" s="101"/>
      <c r="C179" s="46" t="s">
        <v>181</v>
      </c>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row>
    <row r="180" spans="1:27" x14ac:dyDescent="0.3">
      <c r="A180" s="259" t="s">
        <v>283</v>
      </c>
      <c r="B180" s="173">
        <f>'Inputs &amp; Summary'!Q86</f>
        <v>2164</v>
      </c>
      <c r="C180" s="1" t="s">
        <v>184</v>
      </c>
      <c r="F180" s="275" t="s">
        <v>364</v>
      </c>
      <c r="G180" s="83"/>
      <c r="H180" s="83"/>
      <c r="I180" s="83"/>
      <c r="J180" s="83"/>
      <c r="K180" s="83"/>
      <c r="L180" s="83"/>
      <c r="M180" s="83"/>
      <c r="N180" s="83"/>
      <c r="O180" s="83"/>
      <c r="P180" s="83"/>
      <c r="Q180" s="83"/>
      <c r="R180" s="83"/>
      <c r="S180" s="83"/>
      <c r="T180" s="83"/>
      <c r="U180" s="84"/>
    </row>
    <row r="181" spans="1:27" x14ac:dyDescent="0.3">
      <c r="A181" s="259" t="s">
        <v>44</v>
      </c>
      <c r="B181" s="178">
        <f>'Inputs &amp; Summary'!Q85</f>
        <v>1.12E-2</v>
      </c>
      <c r="C181" s="1" t="s">
        <v>184</v>
      </c>
      <c r="F181" s="87" t="s">
        <v>363</v>
      </c>
      <c r="G181" s="88"/>
      <c r="H181" s="88"/>
      <c r="I181" s="88"/>
      <c r="J181" s="88"/>
      <c r="K181" s="88"/>
      <c r="L181" s="88"/>
      <c r="M181" s="88"/>
      <c r="N181" s="88"/>
      <c r="O181" s="88"/>
      <c r="P181" s="88"/>
      <c r="Q181" s="88"/>
      <c r="R181" s="88"/>
      <c r="S181" s="88"/>
      <c r="T181" s="88"/>
      <c r="U181" s="89"/>
    </row>
    <row r="182" spans="1:27" x14ac:dyDescent="0.3">
      <c r="A182" s="259" t="s">
        <v>352</v>
      </c>
      <c r="B182" s="157">
        <f>'Inputs &amp; Summary'!Q185</f>
        <v>0.10784313725490197</v>
      </c>
      <c r="C182" s="1" t="s">
        <v>351</v>
      </c>
      <c r="F182" s="85" t="s">
        <v>362</v>
      </c>
      <c r="G182" s="72"/>
      <c r="H182" s="72"/>
      <c r="I182" s="72"/>
      <c r="J182" s="72"/>
      <c r="K182" s="72"/>
      <c r="L182" s="72"/>
      <c r="M182" s="72"/>
      <c r="N182" s="72"/>
      <c r="O182" s="72"/>
      <c r="P182" s="72"/>
      <c r="Q182" s="72"/>
      <c r="R182" s="72"/>
      <c r="S182" s="72"/>
      <c r="T182" s="72"/>
      <c r="U182" s="86"/>
    </row>
    <row r="183" spans="1:27" x14ac:dyDescent="0.3">
      <c r="A183" s="259" t="s">
        <v>54</v>
      </c>
      <c r="B183" s="65">
        <f>'Inputs &amp; Summary'!Q186</f>
        <v>80</v>
      </c>
      <c r="C183" s="1" t="s">
        <v>186</v>
      </c>
    </row>
    <row r="184" spans="1:27" x14ac:dyDescent="0.3">
      <c r="A184" s="3" t="s">
        <v>3</v>
      </c>
      <c r="B184" s="168">
        <v>0</v>
      </c>
      <c r="C184" s="168">
        <f t="shared" ref="C184:AA184" si="53">+B184+1</f>
        <v>1</v>
      </c>
      <c r="D184" s="168">
        <f t="shared" si="53"/>
        <v>2</v>
      </c>
      <c r="E184" s="168">
        <f t="shared" si="53"/>
        <v>3</v>
      </c>
      <c r="F184" s="168">
        <f t="shared" si="53"/>
        <v>4</v>
      </c>
      <c r="G184" s="168">
        <f t="shared" si="53"/>
        <v>5</v>
      </c>
      <c r="H184" s="168">
        <f t="shared" si="53"/>
        <v>6</v>
      </c>
      <c r="I184" s="168">
        <f t="shared" si="53"/>
        <v>7</v>
      </c>
      <c r="J184" s="168">
        <f t="shared" si="53"/>
        <v>8</v>
      </c>
      <c r="K184" s="168">
        <f t="shared" si="53"/>
        <v>9</v>
      </c>
      <c r="L184" s="168">
        <f t="shared" si="53"/>
        <v>10</v>
      </c>
      <c r="M184" s="168">
        <f t="shared" si="53"/>
        <v>11</v>
      </c>
      <c r="N184" s="168">
        <f t="shared" si="53"/>
        <v>12</v>
      </c>
      <c r="O184" s="168">
        <f t="shared" si="53"/>
        <v>13</v>
      </c>
      <c r="P184" s="168">
        <f t="shared" si="53"/>
        <v>14</v>
      </c>
      <c r="Q184" s="168">
        <f t="shared" si="53"/>
        <v>15</v>
      </c>
      <c r="R184" s="168">
        <f t="shared" si="53"/>
        <v>16</v>
      </c>
      <c r="S184" s="168">
        <f t="shared" si="53"/>
        <v>17</v>
      </c>
      <c r="T184" s="168">
        <f t="shared" si="53"/>
        <v>18</v>
      </c>
      <c r="U184" s="168">
        <f t="shared" si="53"/>
        <v>19</v>
      </c>
      <c r="V184" s="168">
        <f t="shared" si="53"/>
        <v>20</v>
      </c>
      <c r="W184" s="168">
        <f t="shared" si="53"/>
        <v>21</v>
      </c>
      <c r="X184" s="168">
        <f t="shared" si="53"/>
        <v>22</v>
      </c>
      <c r="Y184" s="168">
        <f t="shared" si="53"/>
        <v>23</v>
      </c>
      <c r="Z184" s="168">
        <f t="shared" si="53"/>
        <v>24</v>
      </c>
      <c r="AA184" s="168">
        <f t="shared" si="53"/>
        <v>25</v>
      </c>
    </row>
    <row r="185" spans="1:27" x14ac:dyDescent="0.3">
      <c r="A185" s="175" t="s">
        <v>400</v>
      </c>
      <c r="B185" s="174">
        <v>2021</v>
      </c>
      <c r="C185" s="174">
        <f t="shared" ref="C185:AA185" si="54">+B185+1</f>
        <v>2022</v>
      </c>
      <c r="D185" s="174">
        <f t="shared" si="54"/>
        <v>2023</v>
      </c>
      <c r="E185" s="174">
        <f t="shared" si="54"/>
        <v>2024</v>
      </c>
      <c r="F185" s="174">
        <f t="shared" si="54"/>
        <v>2025</v>
      </c>
      <c r="G185" s="174">
        <f t="shared" si="54"/>
        <v>2026</v>
      </c>
      <c r="H185" s="174">
        <f t="shared" si="54"/>
        <v>2027</v>
      </c>
      <c r="I185" s="174">
        <f t="shared" si="54"/>
        <v>2028</v>
      </c>
      <c r="J185" s="174">
        <f t="shared" si="54"/>
        <v>2029</v>
      </c>
      <c r="K185" s="174">
        <f t="shared" si="54"/>
        <v>2030</v>
      </c>
      <c r="L185" s="174">
        <f t="shared" si="54"/>
        <v>2031</v>
      </c>
      <c r="M185" s="174">
        <f t="shared" si="54"/>
        <v>2032</v>
      </c>
      <c r="N185" s="174">
        <f t="shared" si="54"/>
        <v>2033</v>
      </c>
      <c r="O185" s="174">
        <f t="shared" si="54"/>
        <v>2034</v>
      </c>
      <c r="P185" s="174">
        <f t="shared" si="54"/>
        <v>2035</v>
      </c>
      <c r="Q185" s="174">
        <f t="shared" si="54"/>
        <v>2036</v>
      </c>
      <c r="R185" s="174">
        <f t="shared" si="54"/>
        <v>2037</v>
      </c>
      <c r="S185" s="174">
        <f t="shared" si="54"/>
        <v>2038</v>
      </c>
      <c r="T185" s="174">
        <f t="shared" si="54"/>
        <v>2039</v>
      </c>
      <c r="U185" s="174">
        <f t="shared" si="54"/>
        <v>2040</v>
      </c>
      <c r="V185" s="174">
        <f t="shared" si="54"/>
        <v>2041</v>
      </c>
      <c r="W185" s="174">
        <f t="shared" si="54"/>
        <v>2042</v>
      </c>
      <c r="X185" s="174">
        <f t="shared" si="54"/>
        <v>2043</v>
      </c>
      <c r="Y185" s="174">
        <f t="shared" si="54"/>
        <v>2044</v>
      </c>
      <c r="Z185" s="174">
        <f t="shared" si="54"/>
        <v>2045</v>
      </c>
      <c r="AA185" s="174">
        <f t="shared" si="54"/>
        <v>2046</v>
      </c>
    </row>
    <row r="186" spans="1:27" s="1" customFormat="1" x14ac:dyDescent="0.3">
      <c r="A186" s="1" t="s">
        <v>57</v>
      </c>
      <c r="B186" s="44">
        <f>+B180*B182*B183/1000</f>
        <v>18.669803921568629</v>
      </c>
      <c r="C186" s="44">
        <f t="shared" ref="C186:AA186" si="55">+B186*(1+$B$181)</f>
        <v>18.878905725490199</v>
      </c>
      <c r="D186" s="44">
        <f t="shared" si="55"/>
        <v>19.090349469615692</v>
      </c>
      <c r="E186" s="44">
        <f t="shared" si="55"/>
        <v>19.304161383675389</v>
      </c>
      <c r="F186" s="44">
        <f t="shared" si="55"/>
        <v>19.520367991172556</v>
      </c>
      <c r="G186" s="44">
        <f t="shared" si="55"/>
        <v>19.738996112673689</v>
      </c>
      <c r="H186" s="44">
        <f t="shared" si="55"/>
        <v>19.960072869135637</v>
      </c>
      <c r="I186" s="44">
        <f t="shared" si="55"/>
        <v>20.183625685269959</v>
      </c>
      <c r="J186" s="44">
        <f t="shared" si="55"/>
        <v>20.409682292944986</v>
      </c>
      <c r="K186" s="44">
        <f t="shared" si="55"/>
        <v>20.638270734625973</v>
      </c>
      <c r="L186" s="44">
        <f t="shared" si="55"/>
        <v>20.869419366853787</v>
      </c>
      <c r="M186" s="44">
        <f t="shared" si="55"/>
        <v>21.103156863762553</v>
      </c>
      <c r="N186" s="44">
        <f t="shared" si="55"/>
        <v>21.339512220636696</v>
      </c>
      <c r="O186" s="44">
        <f t="shared" si="55"/>
        <v>21.578514757507829</v>
      </c>
      <c r="P186" s="44">
        <f t="shared" si="55"/>
        <v>21.820194122791918</v>
      </c>
      <c r="Q186" s="44">
        <f t="shared" si="55"/>
        <v>22.06458029696719</v>
      </c>
      <c r="R186" s="44">
        <f t="shared" si="55"/>
        <v>22.311703596293224</v>
      </c>
      <c r="S186" s="44">
        <f t="shared" si="55"/>
        <v>22.561594676571712</v>
      </c>
      <c r="T186" s="44">
        <f t="shared" si="55"/>
        <v>22.814284536949316</v>
      </c>
      <c r="U186" s="44">
        <f t="shared" si="55"/>
        <v>23.06980452376315</v>
      </c>
      <c r="V186" s="44">
        <f t="shared" si="55"/>
        <v>23.328186334429301</v>
      </c>
      <c r="W186" s="44">
        <f t="shared" si="55"/>
        <v>23.58946202137491</v>
      </c>
      <c r="X186" s="44">
        <f t="shared" si="55"/>
        <v>23.853663996014312</v>
      </c>
      <c r="Y186" s="44">
        <f t="shared" si="55"/>
        <v>24.120825032769673</v>
      </c>
      <c r="Z186" s="44">
        <f t="shared" si="55"/>
        <v>24.390978273136696</v>
      </c>
      <c r="AA186" s="44">
        <f t="shared" si="55"/>
        <v>24.66415722979583</v>
      </c>
    </row>
    <row r="187" spans="1:27" s="270" customFormat="1" x14ac:dyDescent="0.3"/>
    <row r="188" spans="1:27" s="270" customFormat="1" x14ac:dyDescent="0.3"/>
    <row r="189" spans="1:27" x14ac:dyDescent="0.3">
      <c r="A189" s="17" t="s">
        <v>356</v>
      </c>
      <c r="B189" s="17">
        <f t="shared" ref="B189:AA189" si="56">+B185</f>
        <v>2021</v>
      </c>
      <c r="C189" s="17">
        <f t="shared" si="56"/>
        <v>2022</v>
      </c>
      <c r="D189" s="17">
        <f t="shared" si="56"/>
        <v>2023</v>
      </c>
      <c r="E189" s="17">
        <f t="shared" si="56"/>
        <v>2024</v>
      </c>
      <c r="F189" s="17">
        <f t="shared" si="56"/>
        <v>2025</v>
      </c>
      <c r="G189" s="17">
        <f t="shared" si="56"/>
        <v>2026</v>
      </c>
      <c r="H189" s="17">
        <f t="shared" si="56"/>
        <v>2027</v>
      </c>
      <c r="I189" s="17">
        <f t="shared" si="56"/>
        <v>2028</v>
      </c>
      <c r="J189" s="17">
        <f t="shared" si="56"/>
        <v>2029</v>
      </c>
      <c r="K189" s="17">
        <f t="shared" si="56"/>
        <v>2030</v>
      </c>
      <c r="L189" s="17">
        <f t="shared" si="56"/>
        <v>2031</v>
      </c>
      <c r="M189" s="17">
        <f t="shared" si="56"/>
        <v>2032</v>
      </c>
      <c r="N189" s="17">
        <f t="shared" si="56"/>
        <v>2033</v>
      </c>
      <c r="O189" s="17">
        <f t="shared" si="56"/>
        <v>2034</v>
      </c>
      <c r="P189" s="17">
        <f t="shared" si="56"/>
        <v>2035</v>
      </c>
      <c r="Q189" s="17">
        <f t="shared" si="56"/>
        <v>2036</v>
      </c>
      <c r="R189" s="17">
        <f t="shared" si="56"/>
        <v>2037</v>
      </c>
      <c r="S189" s="17">
        <f t="shared" si="56"/>
        <v>2038</v>
      </c>
      <c r="T189" s="17">
        <f t="shared" si="56"/>
        <v>2039</v>
      </c>
      <c r="U189" s="17">
        <f t="shared" si="56"/>
        <v>2040</v>
      </c>
      <c r="V189" s="17">
        <f t="shared" si="56"/>
        <v>2041</v>
      </c>
      <c r="W189" s="17">
        <f t="shared" si="56"/>
        <v>2042</v>
      </c>
      <c r="X189" s="17">
        <f t="shared" si="56"/>
        <v>2043</v>
      </c>
      <c r="Y189" s="17">
        <f t="shared" si="56"/>
        <v>2044</v>
      </c>
      <c r="Z189" s="17">
        <f t="shared" si="56"/>
        <v>2045</v>
      </c>
      <c r="AA189" s="17">
        <f t="shared" si="56"/>
        <v>2046</v>
      </c>
    </row>
    <row r="190" spans="1:27" s="1" customFormat="1" ht="15" thickBot="1" x14ac:dyDescent="0.35">
      <c r="A190" s="38" t="s">
        <v>55</v>
      </c>
      <c r="B190" s="39">
        <f>(B189&gt;=$B$4)*(+B167+B186+B176)</f>
        <v>0</v>
      </c>
      <c r="C190" s="39">
        <f t="shared" ref="C190:AA190" si="57">(C189&gt;=$B$4)*(+C167+C186+C176)</f>
        <v>2586.5421262874706</v>
      </c>
      <c r="D190" s="39">
        <f t="shared" si="57"/>
        <v>2602.743892219537</v>
      </c>
      <c r="E190" s="39">
        <f t="shared" si="57"/>
        <v>2619.1271179300429</v>
      </c>
      <c r="F190" s="39">
        <f t="shared" si="57"/>
        <v>2635.6938357685067</v>
      </c>
      <c r="G190" s="39">
        <f t="shared" si="57"/>
        <v>2652.4461008467615</v>
      </c>
      <c r="H190" s="39">
        <f t="shared" si="57"/>
        <v>2669.3859912938924</v>
      </c>
      <c r="I190" s="39">
        <f t="shared" si="57"/>
        <v>2686.5156085140316</v>
      </c>
      <c r="J190" s="39">
        <f t="shared" si="57"/>
        <v>2703.837077447035</v>
      </c>
      <c r="K190" s="39">
        <f t="shared" si="57"/>
        <v>2721.3525468320895</v>
      </c>
      <c r="L190" s="39">
        <f t="shared" si="57"/>
        <v>2739.0641894742557</v>
      </c>
      <c r="M190" s="39">
        <f t="shared" si="57"/>
        <v>2756.9742025140149</v>
      </c>
      <c r="N190" s="39">
        <f t="shared" si="57"/>
        <v>2775.0848076998186</v>
      </c>
      <c r="O190" s="39">
        <f t="shared" si="57"/>
        <v>2793.3982516637034</v>
      </c>
      <c r="P190" s="39">
        <f t="shared" si="57"/>
        <v>2811.9168061999844</v>
      </c>
      <c r="Q190" s="39">
        <f t="shared" si="57"/>
        <v>2830.6427685470721</v>
      </c>
      <c r="R190" s="39">
        <f t="shared" si="57"/>
        <v>2849.5784616724459</v>
      </c>
      <c r="S190" s="39">
        <f t="shared" si="57"/>
        <v>2868.7262345608242</v>
      </c>
      <c r="T190" s="39">
        <f t="shared" si="57"/>
        <v>2888.0884625055533</v>
      </c>
      <c r="U190" s="39">
        <f t="shared" si="57"/>
        <v>2907.6675474032627</v>
      </c>
      <c r="V190" s="39">
        <f t="shared" si="57"/>
        <v>2927.4659180518265</v>
      </c>
      <c r="W190" s="39">
        <f t="shared" si="57"/>
        <v>2947.4860304516533</v>
      </c>
      <c r="X190" s="39">
        <f t="shared" si="57"/>
        <v>2967.7303681103594</v>
      </c>
      <c r="Y190" s="39">
        <f t="shared" si="57"/>
        <v>2988.2014423508426</v>
      </c>
      <c r="Z190" s="39">
        <f t="shared" si="57"/>
        <v>3008.9017926228189</v>
      </c>
      <c r="AA190" s="39">
        <f t="shared" si="57"/>
        <v>3029.8339868178423</v>
      </c>
    </row>
  </sheetData>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FC5A-6876-421A-9F99-4BBBD53D292C}">
  <sheetPr>
    <tabColor theme="8" tint="-0.249977111117893"/>
  </sheetPr>
  <dimension ref="A1:AA15"/>
  <sheetViews>
    <sheetView showGridLines="0" zoomScale="80" zoomScaleNormal="80" workbookViewId="0">
      <selection activeCell="C10" sqref="C10"/>
    </sheetView>
  </sheetViews>
  <sheetFormatPr defaultColWidth="8.77734375" defaultRowHeight="14.4" x14ac:dyDescent="0.3"/>
  <cols>
    <col min="1" max="1" width="44.44140625" style="168" customWidth="1"/>
    <col min="2" max="7" width="9.44140625" style="168" bestFit="1" customWidth="1"/>
    <col min="8" max="27" width="9.33203125" style="168" bestFit="1" customWidth="1"/>
    <col min="28" max="16384" width="8.77734375" style="168"/>
  </cols>
  <sheetData>
    <row r="1" spans="1:27" ht="21" x14ac:dyDescent="0.4">
      <c r="A1" s="2" t="str">
        <f>'Inputs &amp; Summary'!B72</f>
        <v>Burwood: Develop new depot on greenfield site</v>
      </c>
    </row>
    <row r="2" spans="1:27" x14ac:dyDescent="0.3">
      <c r="A2" s="10" t="str">
        <f>'Inputs &amp; Summary'!B5</f>
        <v>All values shown are costs, expressed in $000 as at June 2021 unless otherwise stated.</v>
      </c>
      <c r="G2" s="82" t="s">
        <v>156</v>
      </c>
      <c r="H2" s="83"/>
      <c r="I2" s="83"/>
      <c r="J2" s="83"/>
      <c r="K2" s="83"/>
      <c r="L2" s="83"/>
      <c r="M2" s="83"/>
      <c r="N2" s="83"/>
      <c r="O2" s="83"/>
      <c r="P2" s="83"/>
      <c r="Q2" s="83"/>
      <c r="R2" s="83"/>
      <c r="S2" s="83"/>
      <c r="T2" s="83"/>
      <c r="U2" s="83"/>
      <c r="V2" s="83"/>
      <c r="W2" s="84"/>
      <c r="X2" s="84"/>
    </row>
    <row r="3" spans="1:27" s="258" customFormat="1" x14ac:dyDescent="0.3">
      <c r="A3" s="10"/>
      <c r="G3" s="85" t="s">
        <v>284</v>
      </c>
      <c r="H3" s="72"/>
      <c r="I3" s="72"/>
      <c r="J3" s="72"/>
      <c r="K3" s="72"/>
      <c r="L3" s="72"/>
      <c r="M3" s="72"/>
      <c r="N3" s="72"/>
      <c r="O3" s="72"/>
      <c r="P3" s="72"/>
      <c r="Q3" s="72"/>
      <c r="R3" s="72"/>
      <c r="S3" s="72"/>
      <c r="T3" s="72"/>
      <c r="U3" s="72"/>
      <c r="V3" s="72"/>
      <c r="W3" s="86"/>
      <c r="X3" s="86"/>
    </row>
    <row r="4" spans="1:27" s="196" customFormat="1" x14ac:dyDescent="0.3">
      <c r="A4" s="196" t="s">
        <v>287</v>
      </c>
      <c r="B4" s="173">
        <f>'Inputs &amp; Summary'!P72</f>
        <v>2022</v>
      </c>
    </row>
    <row r="5" spans="1:27" s="196" customFormat="1" x14ac:dyDescent="0.3"/>
    <row r="6" spans="1:27" ht="18" x14ac:dyDescent="0.35">
      <c r="A6" s="94" t="s">
        <v>117</v>
      </c>
      <c r="B6" s="95"/>
      <c r="C6" s="95"/>
      <c r="D6" s="95"/>
      <c r="E6" s="95"/>
      <c r="F6" s="95"/>
      <c r="G6" s="95"/>
      <c r="H6" s="95"/>
      <c r="I6" s="95"/>
      <c r="J6" s="95"/>
      <c r="K6" s="95"/>
      <c r="L6" s="95"/>
      <c r="M6" s="95"/>
      <c r="N6" s="95"/>
      <c r="O6" s="95"/>
      <c r="P6" s="95"/>
      <c r="Q6" s="95"/>
      <c r="R6" s="95"/>
      <c r="S6" s="95"/>
      <c r="T6" s="95"/>
      <c r="U6" s="95"/>
      <c r="V6" s="95"/>
      <c r="W6" s="95"/>
      <c r="X6" s="95"/>
      <c r="Y6" s="95"/>
      <c r="Z6" s="95"/>
      <c r="AA6" s="95"/>
    </row>
    <row r="7" spans="1:27" x14ac:dyDescent="0.3">
      <c r="A7" s="3" t="s">
        <v>3</v>
      </c>
      <c r="B7" s="168">
        <v>0</v>
      </c>
      <c r="C7" s="168">
        <f t="shared" ref="C7:AA7" si="0">+B7+1</f>
        <v>1</v>
      </c>
      <c r="D7" s="168">
        <f t="shared" si="0"/>
        <v>2</v>
      </c>
      <c r="E7" s="168">
        <f t="shared" si="0"/>
        <v>3</v>
      </c>
      <c r="F7" s="168">
        <f t="shared" si="0"/>
        <v>4</v>
      </c>
      <c r="G7" s="168">
        <f t="shared" si="0"/>
        <v>5</v>
      </c>
      <c r="H7" s="168">
        <f t="shared" si="0"/>
        <v>6</v>
      </c>
      <c r="I7" s="168">
        <f t="shared" si="0"/>
        <v>7</v>
      </c>
      <c r="J7" s="168">
        <f t="shared" si="0"/>
        <v>8</v>
      </c>
      <c r="K7" s="168">
        <f t="shared" si="0"/>
        <v>9</v>
      </c>
      <c r="L7" s="168">
        <f t="shared" si="0"/>
        <v>10</v>
      </c>
      <c r="M7" s="168">
        <f t="shared" si="0"/>
        <v>11</v>
      </c>
      <c r="N7" s="168">
        <f t="shared" si="0"/>
        <v>12</v>
      </c>
      <c r="O7" s="168">
        <f t="shared" si="0"/>
        <v>13</v>
      </c>
      <c r="P7" s="168">
        <f t="shared" si="0"/>
        <v>14</v>
      </c>
      <c r="Q7" s="168">
        <f t="shared" si="0"/>
        <v>15</v>
      </c>
      <c r="R7" s="168">
        <f t="shared" si="0"/>
        <v>16</v>
      </c>
      <c r="S7" s="168">
        <f t="shared" si="0"/>
        <v>17</v>
      </c>
      <c r="T7" s="168">
        <f t="shared" si="0"/>
        <v>18</v>
      </c>
      <c r="U7" s="168">
        <f t="shared" si="0"/>
        <v>19</v>
      </c>
      <c r="V7" s="168">
        <f t="shared" si="0"/>
        <v>20</v>
      </c>
      <c r="W7" s="168">
        <f t="shared" si="0"/>
        <v>21</v>
      </c>
      <c r="X7" s="168">
        <f t="shared" si="0"/>
        <v>22</v>
      </c>
      <c r="Y7" s="168">
        <f t="shared" si="0"/>
        <v>23</v>
      </c>
      <c r="Z7" s="168">
        <f t="shared" si="0"/>
        <v>24</v>
      </c>
      <c r="AA7" s="168">
        <f t="shared" si="0"/>
        <v>25</v>
      </c>
    </row>
    <row r="8" spans="1:27" x14ac:dyDescent="0.3">
      <c r="A8" s="175" t="s">
        <v>400</v>
      </c>
      <c r="B8" s="174">
        <v>2021</v>
      </c>
      <c r="C8" s="174">
        <f t="shared" ref="C8:AA8" si="1">+B8+1</f>
        <v>2022</v>
      </c>
      <c r="D8" s="174">
        <f t="shared" si="1"/>
        <v>2023</v>
      </c>
      <c r="E8" s="174">
        <f t="shared" si="1"/>
        <v>2024</v>
      </c>
      <c r="F8" s="174">
        <f t="shared" si="1"/>
        <v>2025</v>
      </c>
      <c r="G8" s="174">
        <f t="shared" si="1"/>
        <v>2026</v>
      </c>
      <c r="H8" s="174">
        <f t="shared" si="1"/>
        <v>2027</v>
      </c>
      <c r="I8" s="174">
        <f t="shared" si="1"/>
        <v>2028</v>
      </c>
      <c r="J8" s="174">
        <f t="shared" si="1"/>
        <v>2029</v>
      </c>
      <c r="K8" s="174">
        <f t="shared" si="1"/>
        <v>2030</v>
      </c>
      <c r="L8" s="174">
        <f t="shared" si="1"/>
        <v>2031</v>
      </c>
      <c r="M8" s="174">
        <f t="shared" si="1"/>
        <v>2032</v>
      </c>
      <c r="N8" s="174">
        <f t="shared" si="1"/>
        <v>2033</v>
      </c>
      <c r="O8" s="174">
        <f t="shared" si="1"/>
        <v>2034</v>
      </c>
      <c r="P8" s="174">
        <f t="shared" si="1"/>
        <v>2035</v>
      </c>
      <c r="Q8" s="174">
        <f t="shared" si="1"/>
        <v>2036</v>
      </c>
      <c r="R8" s="174">
        <f t="shared" si="1"/>
        <v>2037</v>
      </c>
      <c r="S8" s="174">
        <f t="shared" si="1"/>
        <v>2038</v>
      </c>
      <c r="T8" s="174">
        <f t="shared" si="1"/>
        <v>2039</v>
      </c>
      <c r="U8" s="174">
        <f t="shared" si="1"/>
        <v>2040</v>
      </c>
      <c r="V8" s="174">
        <f t="shared" si="1"/>
        <v>2041</v>
      </c>
      <c r="W8" s="174">
        <f t="shared" si="1"/>
        <v>2042</v>
      </c>
      <c r="X8" s="174">
        <f t="shared" si="1"/>
        <v>2043</v>
      </c>
      <c r="Y8" s="174">
        <f t="shared" si="1"/>
        <v>2044</v>
      </c>
      <c r="Z8" s="174">
        <f t="shared" si="1"/>
        <v>2045</v>
      </c>
      <c r="AA8" s="174">
        <f t="shared" si="1"/>
        <v>2046</v>
      </c>
    </row>
    <row r="9" spans="1:27" x14ac:dyDescent="0.3">
      <c r="A9" s="10" t="s">
        <v>122</v>
      </c>
      <c r="B9" s="156">
        <f>'Inputs &amp; Summary'!E72*'Inputs &amp; Summary'!$Q$103</f>
        <v>14700</v>
      </c>
      <c r="C9" s="156">
        <f>'Inputs &amp; Summary'!F72*'Inputs &amp; Summary'!$Q$103</f>
        <v>15400</v>
      </c>
      <c r="D9" s="156">
        <f>'Inputs &amp; Summary'!G72*'Inputs &amp; Summary'!$Q$103</f>
        <v>0</v>
      </c>
      <c r="E9" s="156">
        <f>'Inputs &amp; Summary'!H72*'Inputs &amp; Summary'!$Q$103</f>
        <v>0</v>
      </c>
      <c r="F9" s="156">
        <f>'Inputs &amp; Summary'!I72*'Inputs &amp; Summary'!$Q$103</f>
        <v>0</v>
      </c>
      <c r="G9" s="156">
        <f>'Inputs &amp; Summary'!J72*'Inputs &amp; Summary'!$Q$103</f>
        <v>0</v>
      </c>
      <c r="H9" s="156">
        <f>'Inputs &amp; Summary'!K72*'Inputs &amp; Summary'!$Q$103</f>
        <v>0</v>
      </c>
      <c r="I9" s="156">
        <f>'Inputs &amp; Summary'!L72*'Inputs &amp; Summary'!$Q$103</f>
        <v>0</v>
      </c>
      <c r="J9" s="156">
        <f>'Inputs &amp; Summary'!M72*'Inputs &amp; Summary'!$Q$103</f>
        <v>0</v>
      </c>
      <c r="K9" s="156">
        <f>'Inputs &amp; Summary'!N72*'Inputs &amp; Summary'!$Q$103</f>
        <v>0</v>
      </c>
      <c r="L9" s="156">
        <f>'Inputs &amp; Summary'!O72*'Inputs &amp; Summary'!$Q$103</f>
        <v>0</v>
      </c>
      <c r="M9" s="41"/>
      <c r="N9" s="41"/>
      <c r="O9" s="41"/>
      <c r="P9" s="41"/>
      <c r="Q9" s="41"/>
      <c r="R9" s="41"/>
      <c r="S9" s="41"/>
      <c r="T9" s="41"/>
      <c r="U9" s="41"/>
      <c r="V9" s="41"/>
      <c r="W9" s="41"/>
      <c r="X9" s="41"/>
      <c r="Y9" s="41"/>
      <c r="Z9" s="41"/>
      <c r="AA9" s="41"/>
    </row>
    <row r="10" spans="1:27" s="196" customFormat="1" x14ac:dyDescent="0.3">
      <c r="A10" s="10" t="s">
        <v>128</v>
      </c>
      <c r="B10" s="156">
        <f>(B8&lt;=$B$4)*'B. Opt0'!B14</f>
        <v>2057.1030524706948</v>
      </c>
      <c r="C10" s="156">
        <f>(C8&lt;=$B$4)*'B. Opt0'!C14/2</f>
        <v>2331.4676014729184</v>
      </c>
      <c r="D10" s="156">
        <f>(D8&lt;=$B$4)*'B. Opt0'!D14</f>
        <v>0</v>
      </c>
      <c r="E10" s="156">
        <f>(E8&lt;=$B$4)*'B. Opt0'!E14</f>
        <v>0</v>
      </c>
      <c r="F10" s="156">
        <f>(F8&lt;=$B$4)*'B. Opt0'!F14</f>
        <v>0</v>
      </c>
      <c r="G10" s="156">
        <f>(G8&lt;=$B$4)*'B. Opt0'!G14</f>
        <v>0</v>
      </c>
      <c r="H10" s="156">
        <f>(H8&lt;=$B$4)*'B. Opt0'!H14</f>
        <v>0</v>
      </c>
      <c r="I10" s="156">
        <f>(I8&lt;=$B$4)*'B. Opt0'!I14</f>
        <v>0</v>
      </c>
      <c r="J10" s="156">
        <f>(J8&lt;=$B$4)*'B. Opt0'!J14</f>
        <v>0</v>
      </c>
      <c r="K10" s="156">
        <f>(K8&lt;=$B$4)*'B. Opt0'!K14</f>
        <v>0</v>
      </c>
      <c r="L10" s="156">
        <f>(L8&lt;=$B$4)*'B. Opt0'!L14</f>
        <v>0</v>
      </c>
      <c r="M10" s="156">
        <f>(M8&lt;=$B$4)*'B. Opt0'!M14</f>
        <v>0</v>
      </c>
      <c r="N10" s="156">
        <f>(N8&lt;=$B$4)*'B. Opt0'!N14</f>
        <v>0</v>
      </c>
      <c r="O10" s="156">
        <f>(O8&lt;=$B$4)*'B. Opt0'!O14</f>
        <v>0</v>
      </c>
      <c r="P10" s="156">
        <f>(P8&lt;=$B$4)*'B. Opt0'!P14</f>
        <v>0</v>
      </c>
      <c r="Q10" s="156">
        <f>(Q8&lt;=$B$4)*'B. Opt0'!Q14</f>
        <v>0</v>
      </c>
      <c r="R10" s="156">
        <f>(R8&lt;=$B$4)*'B. Opt0'!R14</f>
        <v>0</v>
      </c>
      <c r="S10" s="156">
        <f>(S8&lt;=$B$4)*'B. Opt0'!S14</f>
        <v>0</v>
      </c>
      <c r="T10" s="156">
        <f>(T8&lt;=$B$4)*'B. Opt0'!T14</f>
        <v>0</v>
      </c>
      <c r="U10" s="156">
        <f>(U8&lt;=$B$4)*'B. Opt0'!U14</f>
        <v>0</v>
      </c>
      <c r="V10" s="156">
        <f>(V8&lt;=$B$4)*'B. Opt0'!V14</f>
        <v>0</v>
      </c>
      <c r="W10" s="156">
        <f>(W8&lt;=$B$4)*'B. Opt0'!W14</f>
        <v>0</v>
      </c>
      <c r="X10" s="156">
        <f>(X8&lt;=$B$4)*'B. Opt0'!X14</f>
        <v>0</v>
      </c>
      <c r="Y10" s="156">
        <f>(Y8&lt;=$B$4)*'B. Opt0'!Y14</f>
        <v>0</v>
      </c>
      <c r="Z10" s="156">
        <f>(Z8&lt;=$B$4)*'B. Opt0'!Z14</f>
        <v>0</v>
      </c>
      <c r="AA10" s="156">
        <f>(AA8&lt;=$B$4)*'B. Opt0'!AA14</f>
        <v>0</v>
      </c>
    </row>
    <row r="11" spans="1:27" x14ac:dyDescent="0.3">
      <c r="A11" s="377"/>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row>
    <row r="12" spans="1:27" ht="15" thickBot="1" x14ac:dyDescent="0.35">
      <c r="A12" s="80" t="s">
        <v>13</v>
      </c>
      <c r="B12" s="105">
        <f t="shared" ref="B12:AA12" si="2">+SUM(B9:B11)</f>
        <v>16757.103052470695</v>
      </c>
      <c r="C12" s="105">
        <f t="shared" si="2"/>
        <v>17731.467601472919</v>
      </c>
      <c r="D12" s="105">
        <f t="shared" si="2"/>
        <v>0</v>
      </c>
      <c r="E12" s="105">
        <f t="shared" si="2"/>
        <v>0</v>
      </c>
      <c r="F12" s="105">
        <f t="shared" si="2"/>
        <v>0</v>
      </c>
      <c r="G12" s="105">
        <f t="shared" si="2"/>
        <v>0</v>
      </c>
      <c r="H12" s="105">
        <f t="shared" si="2"/>
        <v>0</v>
      </c>
      <c r="I12" s="105">
        <f t="shared" si="2"/>
        <v>0</v>
      </c>
      <c r="J12" s="105">
        <f t="shared" si="2"/>
        <v>0</v>
      </c>
      <c r="K12" s="105">
        <f t="shared" si="2"/>
        <v>0</v>
      </c>
      <c r="L12" s="105">
        <f t="shared" si="2"/>
        <v>0</v>
      </c>
      <c r="M12" s="105">
        <f t="shared" si="2"/>
        <v>0</v>
      </c>
      <c r="N12" s="105">
        <f t="shared" si="2"/>
        <v>0</v>
      </c>
      <c r="O12" s="105">
        <f t="shared" si="2"/>
        <v>0</v>
      </c>
      <c r="P12" s="105">
        <f t="shared" si="2"/>
        <v>0</v>
      </c>
      <c r="Q12" s="105">
        <f t="shared" si="2"/>
        <v>0</v>
      </c>
      <c r="R12" s="105">
        <f t="shared" si="2"/>
        <v>0</v>
      </c>
      <c r="S12" s="105">
        <f t="shared" si="2"/>
        <v>0</v>
      </c>
      <c r="T12" s="105">
        <f t="shared" si="2"/>
        <v>0</v>
      </c>
      <c r="U12" s="105">
        <f t="shared" si="2"/>
        <v>0</v>
      </c>
      <c r="V12" s="105">
        <f t="shared" si="2"/>
        <v>0</v>
      </c>
      <c r="W12" s="105">
        <f t="shared" si="2"/>
        <v>0</v>
      </c>
      <c r="X12" s="105">
        <f t="shared" si="2"/>
        <v>0</v>
      </c>
      <c r="Y12" s="105">
        <f t="shared" si="2"/>
        <v>0</v>
      </c>
      <c r="Z12" s="105">
        <f t="shared" si="2"/>
        <v>0</v>
      </c>
      <c r="AA12" s="105">
        <f t="shared" si="2"/>
        <v>0</v>
      </c>
    </row>
    <row r="14" spans="1:27" s="270" customFormat="1" x14ac:dyDescent="0.3">
      <c r="A14" s="326"/>
      <c r="C14" s="364" t="s">
        <v>396</v>
      </c>
      <c r="D14" s="365">
        <f>SUM(B12:AA12)-SUM(B9:AA10)</f>
        <v>0</v>
      </c>
    </row>
    <row r="15" spans="1:27" s="270" customFormat="1" x14ac:dyDescent="0.3"/>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90000-3D86-400C-8638-31C974B8463F}">
  <sheetPr>
    <tabColor theme="8" tint="-0.249977111117893"/>
  </sheetPr>
  <dimension ref="A1:AA15"/>
  <sheetViews>
    <sheetView showGridLines="0" zoomScale="80" zoomScaleNormal="80" workbookViewId="0">
      <selection activeCell="M31" sqref="M31"/>
    </sheetView>
  </sheetViews>
  <sheetFormatPr defaultColWidth="8.77734375" defaultRowHeight="14.4" x14ac:dyDescent="0.3"/>
  <cols>
    <col min="1" max="1" width="40.6640625" style="168" customWidth="1"/>
    <col min="2" max="16384" width="8.77734375" style="168"/>
  </cols>
  <sheetData>
    <row r="1" spans="1:27" ht="21" x14ac:dyDescent="0.4">
      <c r="A1" s="2" t="str">
        <f>'Inputs &amp; Summary'!B73</f>
        <v>Burwood: Develop new depot on brownfield site</v>
      </c>
    </row>
    <row r="2" spans="1:27" x14ac:dyDescent="0.3">
      <c r="A2" s="10" t="str">
        <f>'Inputs &amp; Summary'!B5</f>
        <v>All values shown are costs, expressed in $000 as at June 2021 unless otherwise stated.</v>
      </c>
      <c r="G2" s="82" t="s">
        <v>156</v>
      </c>
      <c r="H2" s="83"/>
      <c r="I2" s="83"/>
      <c r="J2" s="83"/>
      <c r="K2" s="83"/>
      <c r="L2" s="83"/>
      <c r="M2" s="83"/>
      <c r="N2" s="83"/>
      <c r="O2" s="83"/>
      <c r="P2" s="83"/>
      <c r="Q2" s="83"/>
      <c r="R2" s="83"/>
      <c r="S2" s="83"/>
      <c r="T2" s="83"/>
      <c r="U2" s="83"/>
      <c r="V2" s="83"/>
      <c r="W2" s="83"/>
      <c r="X2" s="84"/>
    </row>
    <row r="3" spans="1:27" x14ac:dyDescent="0.3">
      <c r="A3" s="10"/>
      <c r="G3" s="85" t="s">
        <v>155</v>
      </c>
      <c r="H3" s="72"/>
      <c r="I3" s="72"/>
      <c r="J3" s="72"/>
      <c r="K3" s="72"/>
      <c r="L3" s="72"/>
      <c r="M3" s="72"/>
      <c r="N3" s="72"/>
      <c r="O3" s="72"/>
      <c r="P3" s="72"/>
      <c r="Q3" s="72"/>
      <c r="R3" s="72"/>
      <c r="S3" s="72"/>
      <c r="T3" s="72"/>
      <c r="U3" s="72"/>
      <c r="V3" s="72"/>
      <c r="W3" s="72"/>
      <c r="X3" s="86"/>
    </row>
    <row r="4" spans="1:27" s="196" customFormat="1" x14ac:dyDescent="0.3">
      <c r="A4" s="196" t="s">
        <v>287</v>
      </c>
      <c r="B4" s="173">
        <f>'Inputs &amp; Summary'!P73</f>
        <v>2022</v>
      </c>
    </row>
    <row r="5" spans="1:27" s="196" customFormat="1" x14ac:dyDescent="0.3"/>
    <row r="6" spans="1:27" ht="18" x14ac:dyDescent="0.35">
      <c r="A6" s="94" t="s">
        <v>117</v>
      </c>
      <c r="B6" s="95"/>
      <c r="C6" s="95"/>
      <c r="D6" s="95"/>
      <c r="E6" s="95"/>
      <c r="F6" s="95"/>
      <c r="G6" s="95"/>
      <c r="H6" s="95"/>
      <c r="I6" s="95"/>
      <c r="J6" s="95"/>
      <c r="K6" s="95"/>
      <c r="L6" s="95"/>
      <c r="M6" s="95"/>
      <c r="N6" s="95"/>
      <c r="O6" s="95"/>
      <c r="P6" s="95"/>
      <c r="Q6" s="95"/>
      <c r="R6" s="95"/>
      <c r="S6" s="95"/>
      <c r="T6" s="95"/>
      <c r="U6" s="95"/>
      <c r="V6" s="95"/>
      <c r="W6" s="95"/>
      <c r="X6" s="95"/>
      <c r="Y6" s="95"/>
      <c r="Z6" s="95"/>
      <c r="AA6" s="95"/>
    </row>
    <row r="7" spans="1:27" x14ac:dyDescent="0.3">
      <c r="A7" s="3" t="s">
        <v>3</v>
      </c>
      <c r="B7" s="168">
        <v>0</v>
      </c>
      <c r="C7" s="168">
        <f t="shared" ref="C7:AA7" si="0">+B7+1</f>
        <v>1</v>
      </c>
      <c r="D7" s="168">
        <f t="shared" si="0"/>
        <v>2</v>
      </c>
      <c r="E7" s="168">
        <f t="shared" si="0"/>
        <v>3</v>
      </c>
      <c r="F7" s="168">
        <f t="shared" si="0"/>
        <v>4</v>
      </c>
      <c r="G7" s="168">
        <f t="shared" si="0"/>
        <v>5</v>
      </c>
      <c r="H7" s="168">
        <f t="shared" si="0"/>
        <v>6</v>
      </c>
      <c r="I7" s="168">
        <f t="shared" si="0"/>
        <v>7</v>
      </c>
      <c r="J7" s="168">
        <f t="shared" si="0"/>
        <v>8</v>
      </c>
      <c r="K7" s="168">
        <f t="shared" si="0"/>
        <v>9</v>
      </c>
      <c r="L7" s="168">
        <f t="shared" si="0"/>
        <v>10</v>
      </c>
      <c r="M7" s="168">
        <f t="shared" si="0"/>
        <v>11</v>
      </c>
      <c r="N7" s="168">
        <f t="shared" si="0"/>
        <v>12</v>
      </c>
      <c r="O7" s="168">
        <f t="shared" si="0"/>
        <v>13</v>
      </c>
      <c r="P7" s="168">
        <f t="shared" si="0"/>
        <v>14</v>
      </c>
      <c r="Q7" s="168">
        <f t="shared" si="0"/>
        <v>15</v>
      </c>
      <c r="R7" s="168">
        <f t="shared" si="0"/>
        <v>16</v>
      </c>
      <c r="S7" s="168">
        <f t="shared" si="0"/>
        <v>17</v>
      </c>
      <c r="T7" s="168">
        <f t="shared" si="0"/>
        <v>18</v>
      </c>
      <c r="U7" s="168">
        <f t="shared" si="0"/>
        <v>19</v>
      </c>
      <c r="V7" s="168">
        <f t="shared" si="0"/>
        <v>20</v>
      </c>
      <c r="W7" s="168">
        <f t="shared" si="0"/>
        <v>21</v>
      </c>
      <c r="X7" s="168">
        <f t="shared" si="0"/>
        <v>22</v>
      </c>
      <c r="Y7" s="168">
        <f t="shared" si="0"/>
        <v>23</v>
      </c>
      <c r="Z7" s="168">
        <f t="shared" si="0"/>
        <v>24</v>
      </c>
      <c r="AA7" s="168">
        <f t="shared" si="0"/>
        <v>25</v>
      </c>
    </row>
    <row r="8" spans="1:27" x14ac:dyDescent="0.3">
      <c r="A8" s="175" t="s">
        <v>400</v>
      </c>
      <c r="B8" s="174">
        <v>2021</v>
      </c>
      <c r="C8" s="174">
        <f t="shared" ref="C8:AA8" si="1">+B8+1</f>
        <v>2022</v>
      </c>
      <c r="D8" s="174">
        <f t="shared" si="1"/>
        <v>2023</v>
      </c>
      <c r="E8" s="174">
        <f t="shared" si="1"/>
        <v>2024</v>
      </c>
      <c r="F8" s="174">
        <f t="shared" si="1"/>
        <v>2025</v>
      </c>
      <c r="G8" s="174">
        <f t="shared" si="1"/>
        <v>2026</v>
      </c>
      <c r="H8" s="174">
        <f t="shared" si="1"/>
        <v>2027</v>
      </c>
      <c r="I8" s="174">
        <f t="shared" si="1"/>
        <v>2028</v>
      </c>
      <c r="J8" s="174">
        <f t="shared" si="1"/>
        <v>2029</v>
      </c>
      <c r="K8" s="174">
        <f t="shared" si="1"/>
        <v>2030</v>
      </c>
      <c r="L8" s="174">
        <f t="shared" si="1"/>
        <v>2031</v>
      </c>
      <c r="M8" s="174">
        <f t="shared" si="1"/>
        <v>2032</v>
      </c>
      <c r="N8" s="174">
        <f t="shared" si="1"/>
        <v>2033</v>
      </c>
      <c r="O8" s="174">
        <f t="shared" si="1"/>
        <v>2034</v>
      </c>
      <c r="P8" s="174">
        <f t="shared" si="1"/>
        <v>2035</v>
      </c>
      <c r="Q8" s="174">
        <f t="shared" si="1"/>
        <v>2036</v>
      </c>
      <c r="R8" s="174">
        <f t="shared" si="1"/>
        <v>2037</v>
      </c>
      <c r="S8" s="174">
        <f t="shared" si="1"/>
        <v>2038</v>
      </c>
      <c r="T8" s="174">
        <f t="shared" si="1"/>
        <v>2039</v>
      </c>
      <c r="U8" s="174">
        <f t="shared" si="1"/>
        <v>2040</v>
      </c>
      <c r="V8" s="174">
        <f t="shared" si="1"/>
        <v>2041</v>
      </c>
      <c r="W8" s="174">
        <f t="shared" si="1"/>
        <v>2042</v>
      </c>
      <c r="X8" s="174">
        <f t="shared" si="1"/>
        <v>2043</v>
      </c>
      <c r="Y8" s="174">
        <f t="shared" si="1"/>
        <v>2044</v>
      </c>
      <c r="Z8" s="174">
        <f t="shared" si="1"/>
        <v>2045</v>
      </c>
      <c r="AA8" s="174">
        <f t="shared" si="1"/>
        <v>2046</v>
      </c>
    </row>
    <row r="9" spans="1:27" x14ac:dyDescent="0.3">
      <c r="A9" s="10" t="s">
        <v>127</v>
      </c>
      <c r="B9" s="156">
        <f>'Inputs &amp; Summary'!E73*'Inputs &amp; Summary'!$Q$103</f>
        <v>18051.6694505263</v>
      </c>
      <c r="C9" s="156">
        <f>'Inputs &amp; Summary'!F73*'Inputs &amp; Summary'!$Q$103</f>
        <v>13598.119590702699</v>
      </c>
      <c r="D9" s="156">
        <f>'Inputs &amp; Summary'!G73*'Inputs &amp; Summary'!$Q$103</f>
        <v>0</v>
      </c>
      <c r="E9" s="156">
        <f>'Inputs &amp; Summary'!H73*'Inputs &amp; Summary'!$Q$103</f>
        <v>0</v>
      </c>
      <c r="F9" s="156">
        <f>'Inputs &amp; Summary'!I73*'Inputs &amp; Summary'!$Q$103</f>
        <v>0</v>
      </c>
      <c r="G9" s="156">
        <f>'Inputs &amp; Summary'!J73*'Inputs &amp; Summary'!$Q$103</f>
        <v>0</v>
      </c>
      <c r="H9" s="156">
        <f>'Inputs &amp; Summary'!K73*'Inputs &amp; Summary'!$Q$103</f>
        <v>0</v>
      </c>
      <c r="I9" s="156">
        <f>'Inputs &amp; Summary'!L73*'Inputs &amp; Summary'!$Q$103</f>
        <v>0</v>
      </c>
      <c r="J9" s="156">
        <f>'Inputs &amp; Summary'!M73*'Inputs &amp; Summary'!$Q$103</f>
        <v>0</v>
      </c>
      <c r="K9" s="156">
        <f>'Inputs &amp; Summary'!N73*'Inputs &amp; Summary'!$Q$103</f>
        <v>0</v>
      </c>
      <c r="L9" s="156">
        <f>'Inputs &amp; Summary'!O73*'Inputs &amp; Summary'!$Q$103</f>
        <v>0</v>
      </c>
      <c r="M9" s="41"/>
      <c r="N9" s="41"/>
      <c r="O9" s="41"/>
      <c r="P9" s="41"/>
      <c r="Q9" s="41"/>
      <c r="R9" s="41"/>
      <c r="S9" s="41"/>
      <c r="T9" s="41"/>
      <c r="U9" s="41"/>
      <c r="V9" s="41"/>
      <c r="W9" s="41"/>
      <c r="X9" s="41"/>
      <c r="Y9" s="41"/>
      <c r="Z9" s="41"/>
      <c r="AA9" s="41"/>
    </row>
    <row r="10" spans="1:27" x14ac:dyDescent="0.3">
      <c r="A10" s="168" t="s">
        <v>128</v>
      </c>
      <c r="B10" s="156">
        <f>(B8&lt;=$B$4)*'B. Opt0'!B14</f>
        <v>2057.1030524706948</v>
      </c>
      <c r="C10" s="156">
        <f>(C8&lt;=$B$4)*'B. Opt0'!C14/2</f>
        <v>2331.4676014729184</v>
      </c>
      <c r="D10" s="156">
        <f>(D8&lt;=$B$4)*'B. Opt0'!D14</f>
        <v>0</v>
      </c>
      <c r="E10" s="156">
        <f>(E8&lt;=$B$4)*'B. Opt0'!E14</f>
        <v>0</v>
      </c>
      <c r="F10" s="156">
        <f>(F8&lt;=$B$4)*'B. Opt0'!F14</f>
        <v>0</v>
      </c>
      <c r="G10" s="156">
        <f>(G8&lt;=$B$4)*'B. Opt0'!G14</f>
        <v>0</v>
      </c>
      <c r="H10" s="156">
        <f>(H8&lt;=$B$4)*'B. Opt0'!H14</f>
        <v>0</v>
      </c>
      <c r="I10" s="156">
        <f>(I8&lt;=$B$4)*'B. Opt0'!I14</f>
        <v>0</v>
      </c>
      <c r="J10" s="156">
        <f>(J8&lt;=$B$4)*'B. Opt0'!J14</f>
        <v>0</v>
      </c>
      <c r="K10" s="156">
        <f>(K8&lt;=$B$4)*'B. Opt0'!K14</f>
        <v>0</v>
      </c>
      <c r="L10" s="156">
        <f>(L8&lt;=$B$4)*'B. Opt0'!L14</f>
        <v>0</v>
      </c>
      <c r="M10" s="156">
        <f>(M8&lt;=$B$4)*'B. Opt0'!M14</f>
        <v>0</v>
      </c>
      <c r="N10" s="156">
        <f>(N8&lt;=$B$4)*'B. Opt0'!N14</f>
        <v>0</v>
      </c>
      <c r="O10" s="156">
        <f>(O8&lt;=$B$4)*'B. Opt0'!O14</f>
        <v>0</v>
      </c>
      <c r="P10" s="156">
        <f>(P8&lt;=$B$4)*'B. Opt0'!P14</f>
        <v>0</v>
      </c>
      <c r="Q10" s="156">
        <f>(Q8&lt;=$B$4)*'B. Opt0'!Q14</f>
        <v>0</v>
      </c>
      <c r="R10" s="156">
        <f>(R8&lt;=$B$4)*'B. Opt0'!R14</f>
        <v>0</v>
      </c>
      <c r="S10" s="156">
        <f>(S8&lt;=$B$4)*'B. Opt0'!S14</f>
        <v>0</v>
      </c>
      <c r="T10" s="156">
        <f>(T8&lt;=$B$4)*'B. Opt0'!T14</f>
        <v>0</v>
      </c>
      <c r="U10" s="156">
        <f>(U8&lt;=$B$4)*'B. Opt0'!U14</f>
        <v>0</v>
      </c>
      <c r="V10" s="156">
        <f>(V8&lt;=$B$4)*'B. Opt0'!V14</f>
        <v>0</v>
      </c>
      <c r="W10" s="156">
        <f>(W8&lt;=$B$4)*'B. Opt0'!W14</f>
        <v>0</v>
      </c>
      <c r="X10" s="156">
        <f>(X8&lt;=$B$4)*'B. Opt0'!X14</f>
        <v>0</v>
      </c>
      <c r="Y10" s="156">
        <f>(Y8&lt;=$B$4)*'B. Opt0'!Y14</f>
        <v>0</v>
      </c>
      <c r="Z10" s="156">
        <f>(Z8&lt;=$B$4)*'B. Opt0'!Z14</f>
        <v>0</v>
      </c>
      <c r="AA10" s="156">
        <f>(AA8&lt;=$B$4)*'B. Opt0'!AA14</f>
        <v>0</v>
      </c>
    </row>
    <row r="11" spans="1:27" x14ac:dyDescent="0.3">
      <c r="A11" s="377"/>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row>
    <row r="12" spans="1:27" ht="15" thickBot="1" x14ac:dyDescent="0.35">
      <c r="A12" s="80" t="s">
        <v>14</v>
      </c>
      <c r="B12" s="77">
        <f t="shared" ref="B12:AA12" si="2">+SUM(B9:B11)</f>
        <v>20108.772502996995</v>
      </c>
      <c r="C12" s="77">
        <f t="shared" si="2"/>
        <v>15929.587192175619</v>
      </c>
      <c r="D12" s="77">
        <f t="shared" si="2"/>
        <v>0</v>
      </c>
      <c r="E12" s="77">
        <f t="shared" si="2"/>
        <v>0</v>
      </c>
      <c r="F12" s="77">
        <f t="shared" si="2"/>
        <v>0</v>
      </c>
      <c r="G12" s="77">
        <f t="shared" si="2"/>
        <v>0</v>
      </c>
      <c r="H12" s="77">
        <f t="shared" si="2"/>
        <v>0</v>
      </c>
      <c r="I12" s="77">
        <f t="shared" si="2"/>
        <v>0</v>
      </c>
      <c r="J12" s="77">
        <f t="shared" si="2"/>
        <v>0</v>
      </c>
      <c r="K12" s="77">
        <f t="shared" si="2"/>
        <v>0</v>
      </c>
      <c r="L12" s="77">
        <f t="shared" si="2"/>
        <v>0</v>
      </c>
      <c r="M12" s="77">
        <f t="shared" si="2"/>
        <v>0</v>
      </c>
      <c r="N12" s="77">
        <f t="shared" si="2"/>
        <v>0</v>
      </c>
      <c r="O12" s="77">
        <f t="shared" si="2"/>
        <v>0</v>
      </c>
      <c r="P12" s="77">
        <f t="shared" si="2"/>
        <v>0</v>
      </c>
      <c r="Q12" s="77">
        <f t="shared" si="2"/>
        <v>0</v>
      </c>
      <c r="R12" s="77">
        <f t="shared" si="2"/>
        <v>0</v>
      </c>
      <c r="S12" s="77">
        <f t="shared" si="2"/>
        <v>0</v>
      </c>
      <c r="T12" s="77">
        <f t="shared" si="2"/>
        <v>0</v>
      </c>
      <c r="U12" s="77">
        <f t="shared" si="2"/>
        <v>0</v>
      </c>
      <c r="V12" s="77">
        <f t="shared" si="2"/>
        <v>0</v>
      </c>
      <c r="W12" s="77">
        <f t="shared" si="2"/>
        <v>0</v>
      </c>
      <c r="X12" s="77">
        <f t="shared" si="2"/>
        <v>0</v>
      </c>
      <c r="Y12" s="77">
        <f t="shared" si="2"/>
        <v>0</v>
      </c>
      <c r="Z12" s="77">
        <f t="shared" si="2"/>
        <v>0</v>
      </c>
      <c r="AA12" s="77">
        <f t="shared" si="2"/>
        <v>0</v>
      </c>
    </row>
    <row r="14" spans="1:27" s="270" customFormat="1" x14ac:dyDescent="0.3">
      <c r="A14" s="326"/>
      <c r="C14" s="364" t="s">
        <v>396</v>
      </c>
      <c r="D14" s="365">
        <f>SUM(B12:AA12)-SUM(B9:AA10)</f>
        <v>0</v>
      </c>
    </row>
    <row r="15" spans="1:27" s="270" customFormat="1"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Inputs &amp; Summary</vt:lpstr>
      <vt:lpstr>UsE</vt:lpstr>
      <vt:lpstr>M. Depot&gt;</vt:lpstr>
      <vt:lpstr>M. CashFlows</vt:lpstr>
      <vt:lpstr>M. Opt0</vt:lpstr>
      <vt:lpstr>M. Opt1</vt:lpstr>
      <vt:lpstr>M. Opt2</vt:lpstr>
      <vt:lpstr>M. Opt3</vt:lpstr>
      <vt:lpstr>M. Opt4</vt:lpstr>
      <vt:lpstr>K. Depot&gt;</vt:lpstr>
      <vt:lpstr>K. CashFlows</vt:lpstr>
      <vt:lpstr>K. Opt0</vt:lpstr>
      <vt:lpstr>K. Opt1</vt:lpstr>
      <vt:lpstr>K. Opt2</vt:lpstr>
      <vt:lpstr>K. Opt3</vt:lpstr>
      <vt:lpstr>K. Opt4</vt:lpstr>
      <vt:lpstr>B. Depot&gt;</vt:lpstr>
      <vt:lpstr>B. CashFlows</vt:lpstr>
      <vt:lpstr>B. Opt0</vt:lpstr>
      <vt:lpstr>B. Opt1</vt:lpstr>
      <vt:lpstr>B. Opt2</vt:lpstr>
      <vt:lpstr>UsE!cbd_vcr</vt:lpstr>
      <vt:lpstr>UsE!energy</vt:lpstr>
      <vt:lpstr>UsE!maifi_perc</vt:lpstr>
      <vt:lpstr>UsE!mins_pa</vt:lpstr>
      <vt:lpstr>UsE!non_cbd_vcr</vt:lpstr>
      <vt:lpstr>UsE!revenue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2020-11-26T02:14:01Z</dcterms:created>
  <dcterms:modified xsi:type="dcterms:W3CDTF">2020-11-30T03:37:41Z</dcterms:modified>
</cp:coreProperties>
</file>